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garverinc.local\gdata\Projects\2023\T14-2301277_1 - ODOT CI-2382A TO6 Roosevelt MEGA Grant\Deliverables\Final 2023-08-18\"/>
    </mc:Choice>
  </mc:AlternateContent>
  <xr:revisionPtr revIDLastSave="0" documentId="14_{7156B7CD-859E-427B-AA9D-4EB915BCEAB6}" xr6:coauthVersionLast="47" xr6:coauthVersionMax="47" xr10:uidLastSave="{00000000-0000-0000-0000-000000000000}"/>
  <bookViews>
    <workbookView xWindow="-23148" yWindow="-228" windowWidth="23256" windowHeight="12576" tabRatio="749" firstSheet="15" activeTab="22" xr2:uid="{F6349FBE-C7F5-42C3-BCA9-42AEFD032BBB}"/>
  </bookViews>
  <sheets>
    <sheet name="OUTPUT Summary" sheetId="2" r:id="rId1"/>
    <sheet name="INPUTS" sheetId="1" r:id="rId2"/>
    <sheet name="Calculations-&gt;" sheetId="42" r:id="rId3"/>
    <sheet name="CALCS Project Costs" sheetId="21" r:id="rId4"/>
    <sheet name="CALCS Traffic" sheetId="23" r:id="rId5"/>
    <sheet name="CALCS Safety" sheetId="24" r:id="rId6"/>
    <sheet name="CALCS Time Savings" sheetId="26" r:id="rId7"/>
    <sheet name="CALCS Emissions" sheetId="29" r:id="rId8"/>
    <sheet name="CALCS Veh Op Costs" sheetId="35" r:id="rId9"/>
    <sheet name="CALCS Pedestrian" sheetId="28" r:id="rId10"/>
    <sheet name="CALCS Bridge Hits" sheetId="33" r:id="rId11"/>
    <sheet name="CALCS Residual Value" sheetId="22" r:id="rId12"/>
    <sheet name="CALCS Avoided Detour" sheetId="41" r:id="rId13"/>
    <sheet name="References-&gt;" sheetId="14" r:id="rId14"/>
    <sheet name="REF USDOT BCA 2023 Guidlines" sheetId="17" r:id="rId15"/>
    <sheet name="REF Project Costs" sheetId="18" r:id="rId16"/>
    <sheet name="REF Traffic" sheetId="20" r:id="rId17"/>
    <sheet name="REF Accidents" sheetId="25" r:id="rId18"/>
    <sheet name="REF Pedestrian" sheetId="39" r:id="rId19"/>
    <sheet name="REF GDP Deflator" sheetId="37" r:id="rId20"/>
    <sheet name="REF Fuel Prices" sheetId="36" r:id="rId21"/>
    <sheet name="REF Detour" sheetId="38" r:id="rId22"/>
    <sheet name="OUTPUT Report Tables" sheetId="10" r:id="rId23"/>
  </sheets>
  <externalReferences>
    <externalReference r:id="rId24"/>
    <externalReference r:id="rId25"/>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1</definedName>
    <definedName name="_AtRisk_SimSetting_ReportOptionReportsFileType" hidden="1">1</definedName>
    <definedName name="_AtRisk_SimSetting_ReportOptionSelectiveQR" hidden="1">FALSE</definedName>
    <definedName name="_AtRisk_SimSetting_ReportsList" hidden="1">1</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_Fill" hidden="1">#REF!</definedName>
    <definedName name="_Key1" hidden="1">#REF!</definedName>
    <definedName name="_Key2" hidden="1">#REF!</definedName>
    <definedName name="_Order1" hidden="1">255</definedName>
    <definedName name="_Order2" hidden="1">255</definedName>
    <definedName name="_Sort" hidden="1">#REF!</definedName>
    <definedName name="AccidentCost_Fatality">[1]Inputs!$D$139</definedName>
    <definedName name="AccidentCost_Injury">[1]Inputs!$D$142</definedName>
    <definedName name="AccidentCost_PDO">[1]Inputs!$D$143</definedName>
    <definedName name="Annualization_Factor">[1]Inputs!$D$130</definedName>
    <definedName name="AutoDetour">[1]Inputs!#REF!</definedName>
    <definedName name="Avg_Veh_Occ">[1]Inputs!$D$128</definedName>
    <definedName name="BaseYear">[1]Inputs!$D$6</definedName>
    <definedName name="BIG" hidden="1">{#N/A,#N/A,FALSE,"Pricing";#N/A,#N/A,FALSE,"Summary";#N/A,#N/A,FALSE,"CompProd";#N/A,#N/A,FALSE,"CompJobhrs";#N/A,#N/A,FALSE,"Escalation";#N/A,#N/A,FALSE,"Contingency";#N/A,#N/A,FALSE,"GM";#N/A,#N/A,FALSE,"CompWage";#N/A,#N/A,FALSE,"costSum"}</definedName>
    <definedName name="BridgeLength">[1]Inputs!#REF!</definedName>
    <definedName name="CHUCK" hidden="1">{#N/A,#N/A,FALSE,"Pricing";#N/A,#N/A,FALSE,"Summary";#N/A,#N/A,FALSE,"CompProd";#N/A,#N/A,FALSE,"CompJobhrs";#N/A,#N/A,FALSE,"Escalation";#N/A,#N/A,FALSE,"Contingency";#N/A,#N/A,FALSE,"GM";#N/A,#N/A,FALSE,"CompWage";#N/A,#N/A,FALSE,"costSum"}</definedName>
    <definedName name="CMF_WidenLane">[1]Inputs!#REF!</definedName>
    <definedName name="CrashRate_Bridge">[1]Inputs!#REF!</definedName>
    <definedName name="CrashRate_Detour">[1]Inputs!#REF!</definedName>
    <definedName name="DamagedVeh_PDOcrash">[1]Inputs!$D$127</definedName>
    <definedName name="DeflatorRate" localSheetId="20">[1]Inputs!$D$13</definedName>
    <definedName name="DeflatorRate">[2]Inputs!$E$12</definedName>
    <definedName name="DetourLength">[1]Inputs!#REF!</definedName>
    <definedName name="DetourTime">[1]Inputs!#REF!</definedName>
    <definedName name="EmissionCost_Auto1">#REF!</definedName>
    <definedName name="EmissionCost_Auto2">#REF!</definedName>
    <definedName name="EmissionCost_Truck1">#REF!</definedName>
    <definedName name="EmissionCost_Truck2">#REF!</definedName>
    <definedName name="HTML_CodePage" hidden="1">1252</definedName>
    <definedName name="HTML_Control" hidden="1">{"'2-35'!$A$1:$M$48"}</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"C:\WINNT\Profiles\dmegret\Desktop\current tasks\nts2000\nts2000\HTML\Ch2_web\2-35.htm"</definedName>
    <definedName name="HTML_Title" hidden="1">"Table 2-35"</definedName>
    <definedName name="JANA" hidden="1">{#N/A,#N/A,FALSE,"Pricing";#N/A,#N/A,FALSE,"Summary";#N/A,#N/A,FALSE,"CompProd";#N/A,#N/A,FALSE,"CompJobhrs";#N/A,#N/A,FALSE,"Escalation";#N/A,#N/A,FALSE,"Contingency";#N/A,#N/A,FALSE,"GM";#N/A,#N/A,FALSE,"CompWage";#N/A,#N/A,FALSE,"costSum"}</definedName>
    <definedName name="NumberInjuryperCrash_Bridge">[1]Inputs!$D$126</definedName>
    <definedName name="NumberInjuryperCrash_Detour">[1]Inputs!#REF!</definedName>
    <definedName name="OperatingCost_Passenger">[1]Inputs!$D$145</definedName>
    <definedName name="OperatingCost_Trucks">[1]Inputs!$D$146</definedName>
    <definedName name="Pal_Workbook_GUID" hidden="1">"6UQPV5GY3NZ6N5DC9LK87FZI"</definedName>
    <definedName name="PercentFatal_Bridge">[1]Inputs!#REF!</definedName>
    <definedName name="PercentFatal_Detour">[1]Inputs!#REF!</definedName>
    <definedName name="PercentInjury_Bridge">[1]Inputs!#REF!</definedName>
    <definedName name="PercentInjury_Detour">[1]Inputs!#REF!</definedName>
    <definedName name="PercentPDO_Bridge">[1]Inputs!#REF!</definedName>
    <definedName name="PercentPDO_Detour">[1]Inputs!#REF!</definedName>
    <definedName name="RiskAfterRecalcMacro" hidden="1">""</definedName>
    <definedName name="RiskAfterSimMacro" hidden="1">""</definedName>
    <definedName name="riskATSSboxGraph" hidden="1">FALSE</definedName>
    <definedName name="riskATSSincludeSimtables" hidden="1">TRUE</definedName>
    <definedName name="riskATSSinputsGraphs" hidden="1">FALSE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SwapState" hidden="1">FALSE</definedName>
    <definedName name="RiskUpdateDisplay" hidden="1">FALSE</definedName>
    <definedName name="RiskUseDifferentSeedForEachSim" hidden="1">FALSE</definedName>
    <definedName name="RiskUseFixedSeed" hidden="1">TRUE</definedName>
    <definedName name="RiskUseMultipleCPUs" hidden="1">FALSE</definedName>
    <definedName name="RouteTime">[1]Inputs!#REF!</definedName>
    <definedName name="Services2" hidden="1">{#N/A,#N/A,FALSE,"Pricing";#N/A,#N/A,FALSE,"Summary";#N/A,#N/A,FALSE,"CompProd";#N/A,#N/A,FALSE,"CompJobhrs";#N/A,#N/A,FALSE,"Escalation";#N/A,#N/A,FALSE,"Contingency";#N/A,#N/A,FALSE,"GM";#N/A,#N/A,FALSE,"CompWage";#N/A,#N/A,FALSE,"costSum"}</definedName>
    <definedName name="ShareTruck">[1]Inputs!$D$27</definedName>
    <definedName name="temp" hidden="1">{#N/A,#N/A,FALSE,"Pricing";#N/A,#N/A,FALSE,"Summary";#N/A,#N/A,FALSE,"CompProd";#N/A,#N/A,FALSE,"CompJobhrs";#N/A,#N/A,FALSE,"Escalation";#N/A,#N/A,FALSE,"Contingency";#N/A,#N/A,FALSE,"GM";#N/A,#N/A,FALSE,"CompWage";#N/A,#N/A,FALSE,"costSum"}</definedName>
    <definedName name="TimeValue_truck">[1]Inputs!$D$136</definedName>
    <definedName name="TruckDetour">[1]Inputs!#REF!</definedName>
    <definedName name="tweet_784481064303591424" localSheetId="21">'REF Detour'!#REF!</definedName>
    <definedName name="tweet_784481374522793985" localSheetId="21">'REF Detour'!#REF!</definedName>
    <definedName name="tweet_784483338082017280" localSheetId="21">'REF Detour'!#REF!</definedName>
    <definedName name="wrn.all." hidden="1">{"sandu",#N/A,FALSE,"sandu";"flow",#N/A,FALSE,"base";"debt",#N/A,FALSE,"base";"subdebt",#N/A,FALSE,"subdebt";"operating",#N/A,FALSE,"base";"stress1",#N/A,FALSE,"stress1";"stress2",#N/A,FALSE,"stress2"}</definedName>
    <definedName name="wrn.ESTIMATE." hidden="1">{#N/A,#N/A,FALSE,"SUM";#N/A,#N/A,FALSE,"MECH.";#N/A,#N/A,FALSE,"PIPE";#N/A,#N/A,FALSE,"ELECT";#N/A,#N/A,FALSE,"PR CONT";#N/A,#N/A,FALSE,"STRUCT"}</definedName>
    <definedName name="wrn.Labor._.Cost._.Workbook." hidden="1">{#N/A,#N/A,FALSE,"RATES";#N/A,#N/A,FALSE,"LOADED RATES"}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18" l="1"/>
  <c r="B47" i="18" l="1"/>
  <c r="B49" i="18"/>
  <c r="E48" i="18"/>
  <c r="E46" i="18"/>
  <c r="B48" i="18"/>
  <c r="B46" i="18"/>
  <c r="B45" i="18"/>
  <c r="E49" i="18"/>
  <c r="E47" i="18"/>
  <c r="E45" i="18"/>
  <c r="B37" i="18"/>
  <c r="A16" i="18"/>
  <c r="A15" i="18"/>
  <c r="A14" i="18"/>
  <c r="A13" i="18"/>
  <c r="H16" i="18"/>
  <c r="G16" i="18"/>
  <c r="F16" i="18"/>
  <c r="E16" i="18"/>
  <c r="H15" i="18"/>
  <c r="G15" i="18"/>
  <c r="F15" i="18"/>
  <c r="E15" i="18"/>
  <c r="H14" i="18"/>
  <c r="G14" i="18"/>
  <c r="F14" i="18"/>
  <c r="E14" i="18"/>
  <c r="H13" i="18"/>
  <c r="G13" i="18"/>
  <c r="F13" i="18"/>
  <c r="E13" i="18"/>
  <c r="B16" i="18"/>
  <c r="B15" i="18"/>
  <c r="B14" i="18"/>
  <c r="B13" i="18"/>
  <c r="A40" i="18"/>
  <c r="I95" i="10"/>
  <c r="I97" i="10"/>
  <c r="J97" i="10"/>
  <c r="K97" i="10"/>
  <c r="L97" i="10"/>
  <c r="I98" i="10"/>
  <c r="J98" i="10"/>
  <c r="K98" i="10"/>
  <c r="L98" i="10"/>
  <c r="I99" i="10"/>
  <c r="J99" i="10"/>
  <c r="L99" i="10"/>
  <c r="I100" i="10"/>
  <c r="J100" i="10"/>
  <c r="K100" i="10"/>
  <c r="L100" i="10"/>
  <c r="I101" i="10"/>
  <c r="J101" i="10"/>
  <c r="K101" i="10"/>
  <c r="L101" i="10"/>
  <c r="I102" i="10"/>
  <c r="J102" i="10"/>
  <c r="L102" i="10"/>
  <c r="I103" i="10"/>
  <c r="J103" i="10"/>
  <c r="K103" i="10"/>
  <c r="L103" i="10"/>
  <c r="I104" i="10"/>
  <c r="J104" i="10"/>
  <c r="K104" i="10"/>
  <c r="L104" i="10"/>
  <c r="I105" i="10"/>
  <c r="J105" i="10"/>
  <c r="K105" i="10"/>
  <c r="L105" i="10"/>
  <c r="I106" i="10"/>
  <c r="J106" i="10"/>
  <c r="K106" i="10"/>
  <c r="L106" i="10"/>
  <c r="I107" i="10"/>
  <c r="J107" i="10"/>
  <c r="K107" i="10"/>
  <c r="L107" i="10"/>
  <c r="I108" i="10"/>
  <c r="J108" i="10"/>
  <c r="K108" i="10"/>
  <c r="L108" i="10"/>
  <c r="E163" i="1"/>
  <c r="E158" i="1"/>
  <c r="E45" i="1"/>
  <c r="H31" i="18"/>
  <c r="E176" i="1"/>
  <c r="D34" i="41" s="1"/>
  <c r="Q18" i="10"/>
  <c r="Q17" i="10"/>
  <c r="O50" i="10"/>
  <c r="S50" i="10"/>
  <c r="Q41" i="10"/>
  <c r="Q34" i="10"/>
  <c r="O41" i="10"/>
  <c r="V55" i="10"/>
  <c r="U55" i="10"/>
  <c r="T55" i="10"/>
  <c r="S55" i="10"/>
  <c r="R55" i="10"/>
  <c r="Q55" i="10"/>
  <c r="P55" i="10"/>
  <c r="O55" i="10"/>
  <c r="V54" i="10"/>
  <c r="U54" i="10"/>
  <c r="T54" i="10"/>
  <c r="S54" i="10"/>
  <c r="R54" i="10"/>
  <c r="Q54" i="10"/>
  <c r="P54" i="10"/>
  <c r="O54" i="10"/>
  <c r="V53" i="10"/>
  <c r="U53" i="10"/>
  <c r="T53" i="10"/>
  <c r="S53" i="10"/>
  <c r="R53" i="10"/>
  <c r="Q53" i="10"/>
  <c r="P53" i="10"/>
  <c r="O53" i="10"/>
  <c r="R45" i="10"/>
  <c r="Q45" i="10"/>
  <c r="P45" i="10"/>
  <c r="O45" i="10"/>
  <c r="R44" i="10"/>
  <c r="Q44" i="10"/>
  <c r="P44" i="10"/>
  <c r="O44" i="10"/>
  <c r="O34" i="10"/>
  <c r="R37" i="10"/>
  <c r="Q37" i="10"/>
  <c r="P37" i="10"/>
  <c r="O37" i="10"/>
  <c r="R36" i="10"/>
  <c r="Q36" i="10"/>
  <c r="P36" i="10"/>
  <c r="O36" i="10"/>
  <c r="L93" i="10"/>
  <c r="K93" i="10"/>
  <c r="J93" i="10"/>
  <c r="I93" i="10"/>
  <c r="I71" i="10"/>
  <c r="J71" i="10"/>
  <c r="L71" i="10"/>
  <c r="I72" i="10"/>
  <c r="J72" i="10"/>
  <c r="L72" i="10"/>
  <c r="I73" i="10"/>
  <c r="J73" i="10"/>
  <c r="K73" i="10"/>
  <c r="L73" i="10"/>
  <c r="I74" i="10"/>
  <c r="J74" i="10"/>
  <c r="L74" i="10"/>
  <c r="I75" i="10"/>
  <c r="J75" i="10"/>
  <c r="L75" i="10"/>
  <c r="I76" i="10"/>
  <c r="J76" i="10"/>
  <c r="L76" i="10"/>
  <c r="L70" i="10"/>
  <c r="J70" i="10"/>
  <c r="I70" i="10"/>
  <c r="I50" i="10"/>
  <c r="J50" i="10"/>
  <c r="L50" i="10"/>
  <c r="I51" i="10"/>
  <c r="J51" i="10"/>
  <c r="L51" i="10"/>
  <c r="I52" i="10"/>
  <c r="J52" i="10"/>
  <c r="L52" i="10"/>
  <c r="I53" i="10"/>
  <c r="J53" i="10"/>
  <c r="L53" i="10"/>
  <c r="I54" i="10"/>
  <c r="J54" i="10"/>
  <c r="L54" i="10"/>
  <c r="I55" i="10"/>
  <c r="J55" i="10"/>
  <c r="L55" i="10"/>
  <c r="I56" i="10"/>
  <c r="J56" i="10"/>
  <c r="L56" i="10"/>
  <c r="I57" i="10"/>
  <c r="J57" i="10"/>
  <c r="L57" i="10"/>
  <c r="I58" i="10"/>
  <c r="J58" i="10"/>
  <c r="L58" i="10"/>
  <c r="I59" i="10"/>
  <c r="J59" i="10"/>
  <c r="L59" i="10"/>
  <c r="I60" i="10"/>
  <c r="J60" i="10"/>
  <c r="L60" i="10"/>
  <c r="I42" i="10"/>
  <c r="I40" i="10"/>
  <c r="I41" i="10"/>
  <c r="I35" i="10"/>
  <c r="I36" i="10"/>
  <c r="I37" i="10"/>
  <c r="I38" i="10"/>
  <c r="I39" i="10"/>
  <c r="D31" i="38"/>
  <c r="E177" i="1" s="1"/>
  <c r="C31" i="38"/>
  <c r="E178" i="1" s="1"/>
  <c r="D35" i="41" s="1"/>
  <c r="O38" i="10" l="1"/>
  <c r="R46" i="10"/>
  <c r="Q38" i="10"/>
  <c r="P38" i="10"/>
  <c r="P46" i="10"/>
  <c r="Q46" i="10"/>
  <c r="A41" i="18"/>
  <c r="R38" i="10"/>
  <c r="O46" i="10"/>
  <c r="A42" i="18" l="1"/>
  <c r="E127" i="1"/>
  <c r="E125" i="1"/>
  <c r="D78" i="29" s="1"/>
  <c r="E122" i="1"/>
  <c r="E120" i="1"/>
  <c r="D61" i="29" s="1"/>
  <c r="E117" i="1"/>
  <c r="D42" i="29" s="1"/>
  <c r="E115" i="1"/>
  <c r="D40" i="29" s="1"/>
  <c r="E112" i="1"/>
  <c r="D25" i="29" s="1"/>
  <c r="E110" i="1"/>
  <c r="D23" i="29" s="1"/>
  <c r="E123" i="1"/>
  <c r="E118" i="1"/>
  <c r="D26" i="29" s="1"/>
  <c r="E113" i="1"/>
  <c r="E128" i="1"/>
  <c r="D81" i="29" s="1"/>
  <c r="E126" i="1"/>
  <c r="D79" i="29" s="1"/>
  <c r="E121" i="1"/>
  <c r="D62" i="29" s="1"/>
  <c r="E116" i="1"/>
  <c r="D41" i="29" s="1"/>
  <c r="E111" i="1"/>
  <c r="D24" i="29" s="1"/>
  <c r="E144" i="1"/>
  <c r="E142" i="1"/>
  <c r="D50" i="35" s="1"/>
  <c r="E140" i="1"/>
  <c r="E145" i="1"/>
  <c r="D53" i="35" s="1"/>
  <c r="E141" i="1"/>
  <c r="D26" i="35" s="1"/>
  <c r="E143" i="1"/>
  <c r="D51" i="35" s="1"/>
  <c r="E139" i="1"/>
  <c r="D24" i="35" s="1"/>
  <c r="E138" i="1"/>
  <c r="D23" i="35" s="1"/>
  <c r="E104" i="1"/>
  <c r="E102" i="1"/>
  <c r="E98" i="1"/>
  <c r="D26" i="26" s="1"/>
  <c r="E96" i="1"/>
  <c r="D24" i="26" s="1"/>
  <c r="E106" i="1"/>
  <c r="D74" i="26" s="1"/>
  <c r="E100" i="1"/>
  <c r="D27" i="26" s="1"/>
  <c r="E103" i="1"/>
  <c r="D72" i="26" s="1"/>
  <c r="E97" i="1"/>
  <c r="D25" i="26" s="1"/>
  <c r="E58" i="1"/>
  <c r="E56" i="1"/>
  <c r="E55" i="1"/>
  <c r="D18" i="23" s="1"/>
  <c r="E57" i="1"/>
  <c r="D20" i="23" s="1"/>
  <c r="E99" i="1"/>
  <c r="B99" i="1" s="1"/>
  <c r="E73" i="1"/>
  <c r="K60" i="10" s="1"/>
  <c r="E172" i="1"/>
  <c r="K102" i="10" s="1"/>
  <c r="B173" i="1"/>
  <c r="E169" i="1"/>
  <c r="K99" i="10" s="1"/>
  <c r="B170" i="1"/>
  <c r="C7" i="39"/>
  <c r="E36" i="1"/>
  <c r="E34" i="1"/>
  <c r="D30" i="41"/>
  <c r="D31" i="41" s="1"/>
  <c r="D29" i="41"/>
  <c r="D53" i="41"/>
  <c r="D19" i="41"/>
  <c r="D18" i="41"/>
  <c r="D17" i="41"/>
  <c r="F8" i="41"/>
  <c r="G8" i="41" s="1"/>
  <c r="H8" i="41" s="1"/>
  <c r="I8" i="41" s="1"/>
  <c r="J8" i="41" s="1"/>
  <c r="K8" i="41" s="1"/>
  <c r="L8" i="41" s="1"/>
  <c r="M8" i="41" s="1"/>
  <c r="N8" i="41" s="1"/>
  <c r="O8" i="41" s="1"/>
  <c r="P8" i="41" s="1"/>
  <c r="Q8" i="41" s="1"/>
  <c r="R8" i="41" s="1"/>
  <c r="S8" i="41" s="1"/>
  <c r="T8" i="41" s="1"/>
  <c r="U8" i="41" s="1"/>
  <c r="V8" i="41" s="1"/>
  <c r="W8" i="41" s="1"/>
  <c r="X8" i="41" s="1"/>
  <c r="Y8" i="41" s="1"/>
  <c r="Z8" i="41" s="1"/>
  <c r="AA8" i="41" s="1"/>
  <c r="AB8" i="41" s="1"/>
  <c r="AC8" i="41" s="1"/>
  <c r="AD8" i="41" s="1"/>
  <c r="AE8" i="41" s="1"/>
  <c r="AF8" i="41" s="1"/>
  <c r="AG8" i="41" s="1"/>
  <c r="AH8" i="41" s="1"/>
  <c r="AI8" i="41" s="1"/>
  <c r="AJ8" i="41" s="1"/>
  <c r="AK8" i="41" s="1"/>
  <c r="AL8" i="41" s="1"/>
  <c r="AM8" i="41" s="1"/>
  <c r="AN8" i="41" s="1"/>
  <c r="AO8" i="41" s="1"/>
  <c r="AP8" i="41" s="1"/>
  <c r="AQ8" i="41" s="1"/>
  <c r="AR8" i="41" s="1"/>
  <c r="F7" i="41"/>
  <c r="F9" i="41" s="1"/>
  <c r="A4" i="41"/>
  <c r="A1" i="41"/>
  <c r="G27" i="18"/>
  <c r="G34" i="18" s="1"/>
  <c r="G50" i="18" s="1"/>
  <c r="F26" i="18"/>
  <c r="H26" i="18"/>
  <c r="D32" i="22"/>
  <c r="E71" i="1"/>
  <c r="AF21" i="17"/>
  <c r="AF20" i="17"/>
  <c r="E70" i="1"/>
  <c r="D80" i="24" s="1"/>
  <c r="E69" i="1"/>
  <c r="D79" i="24" s="1"/>
  <c r="E68" i="1"/>
  <c r="E66" i="1"/>
  <c r="E61" i="1"/>
  <c r="D25" i="24" s="1"/>
  <c r="H9" i="25"/>
  <c r="E65" i="1"/>
  <c r="D6" i="25"/>
  <c r="L10" i="25"/>
  <c r="L9" i="25"/>
  <c r="L8" i="25"/>
  <c r="L7" i="25"/>
  <c r="L6" i="25"/>
  <c r="L5" i="25"/>
  <c r="H10" i="25"/>
  <c r="H8" i="25"/>
  <c r="E64" i="1"/>
  <c r="K52" i="10" s="1"/>
  <c r="H7" i="25"/>
  <c r="E63" i="1"/>
  <c r="H6" i="25"/>
  <c r="E62" i="1"/>
  <c r="H5" i="25"/>
  <c r="D10" i="25"/>
  <c r="D9" i="25"/>
  <c r="D8" i="25"/>
  <c r="D7" i="25"/>
  <c r="AF14" i="17"/>
  <c r="AF12" i="17"/>
  <c r="K10" i="25"/>
  <c r="G10" i="25"/>
  <c r="C10" i="25"/>
  <c r="AF15" i="17"/>
  <c r="Q22" i="10"/>
  <c r="Q21" i="10"/>
  <c r="B32" i="1"/>
  <c r="D25" i="18"/>
  <c r="L92" i="10"/>
  <c r="J92" i="10"/>
  <c r="I92" i="10"/>
  <c r="L91" i="10"/>
  <c r="J91" i="10"/>
  <c r="I91" i="10"/>
  <c r="J83" i="10"/>
  <c r="L48" i="10"/>
  <c r="L66" i="10"/>
  <c r="K66" i="10"/>
  <c r="J66" i="10"/>
  <c r="I66" i="10"/>
  <c r="L65" i="10"/>
  <c r="K65" i="10"/>
  <c r="J65" i="10"/>
  <c r="I65" i="10"/>
  <c r="L64" i="10"/>
  <c r="J64" i="10"/>
  <c r="I64" i="10"/>
  <c r="L87" i="10"/>
  <c r="J87" i="10"/>
  <c r="I87" i="10"/>
  <c r="J86" i="10"/>
  <c r="I86" i="10"/>
  <c r="L85" i="10"/>
  <c r="K85" i="10"/>
  <c r="J85" i="10"/>
  <c r="I85" i="10"/>
  <c r="L84" i="10"/>
  <c r="J84" i="10"/>
  <c r="I84" i="10"/>
  <c r="L83" i="10"/>
  <c r="I83" i="10"/>
  <c r="K82" i="10"/>
  <c r="J82" i="10"/>
  <c r="I82" i="10"/>
  <c r="K81" i="10"/>
  <c r="J81" i="10"/>
  <c r="I81" i="10"/>
  <c r="K80" i="10"/>
  <c r="J80" i="10"/>
  <c r="I80" i="10"/>
  <c r="Q23" i="10"/>
  <c r="Q20" i="10"/>
  <c r="Q19" i="10"/>
  <c r="B20" i="1"/>
  <c r="B74" i="1"/>
  <c r="B105" i="1"/>
  <c r="B151" i="1"/>
  <c r="E18" i="1"/>
  <c r="K48" i="10"/>
  <c r="J48" i="10"/>
  <c r="I48" i="10"/>
  <c r="L49" i="10"/>
  <c r="J49" i="10"/>
  <c r="I34" i="10"/>
  <c r="I33" i="10"/>
  <c r="I27" i="10"/>
  <c r="A1" i="1"/>
  <c r="D32" i="33"/>
  <c r="E148" i="1"/>
  <c r="D20" i="39"/>
  <c r="D21" i="39"/>
  <c r="E150" i="1"/>
  <c r="E149" i="1"/>
  <c r="K71" i="10" s="1"/>
  <c r="C9" i="1"/>
  <c r="C6" i="1"/>
  <c r="B28" i="18"/>
  <c r="B22" i="18" s="1"/>
  <c r="H28" i="18"/>
  <c r="H10" i="18" s="1"/>
  <c r="G28" i="18"/>
  <c r="G17" i="18" s="1"/>
  <c r="F28" i="18"/>
  <c r="F4" i="18" s="1"/>
  <c r="E28" i="18"/>
  <c r="E17" i="18" s="1"/>
  <c r="E50" i="37"/>
  <c r="E49" i="37"/>
  <c r="E48" i="37"/>
  <c r="E47" i="37"/>
  <c r="E46" i="37"/>
  <c r="E45" i="37"/>
  <c r="E44" i="37"/>
  <c r="E43" i="37"/>
  <c r="E42" i="37"/>
  <c r="E41" i="37"/>
  <c r="E40" i="37"/>
  <c r="E39" i="37"/>
  <c r="E38" i="37"/>
  <c r="E37" i="37"/>
  <c r="E36" i="37"/>
  <c r="E35" i="37"/>
  <c r="E34" i="37"/>
  <c r="E33" i="37"/>
  <c r="E51" i="37"/>
  <c r="AG109" i="17"/>
  <c r="AG108" i="17"/>
  <c r="AG107" i="17"/>
  <c r="AG106" i="17"/>
  <c r="AG105" i="17"/>
  <c r="AG104" i="17"/>
  <c r="AG103" i="17"/>
  <c r="AG102" i="17"/>
  <c r="AG101" i="17"/>
  <c r="AG100" i="17"/>
  <c r="AG99" i="17"/>
  <c r="AG98" i="17"/>
  <c r="AG97" i="17"/>
  <c r="AG96" i="17"/>
  <c r="AG95" i="17"/>
  <c r="AG94" i="17"/>
  <c r="AG93" i="17"/>
  <c r="AG92" i="17"/>
  <c r="AG91" i="17"/>
  <c r="AF109" i="17"/>
  <c r="AF108" i="17"/>
  <c r="AF107" i="17"/>
  <c r="AF106" i="17"/>
  <c r="AF105" i="17"/>
  <c r="AF104" i="17"/>
  <c r="AF103" i="17"/>
  <c r="AF102" i="17"/>
  <c r="AF101" i="17"/>
  <c r="AF100" i="17"/>
  <c r="AF99" i="17"/>
  <c r="AF98" i="17"/>
  <c r="AF97" i="17"/>
  <c r="AF96" i="17"/>
  <c r="AF95" i="17"/>
  <c r="AF94" i="17"/>
  <c r="AF93" i="17"/>
  <c r="AF92" i="17"/>
  <c r="AF91" i="17"/>
  <c r="E53" i="37"/>
  <c r="E52" i="37"/>
  <c r="D28" i="18"/>
  <c r="D80" i="29"/>
  <c r="D63" i="29"/>
  <c r="D47" i="28"/>
  <c r="D50" i="28"/>
  <c r="D40" i="28"/>
  <c r="D43" i="28"/>
  <c r="D33" i="28"/>
  <c r="D61" i="35"/>
  <c r="B61" i="35"/>
  <c r="D57" i="35"/>
  <c r="D34" i="35"/>
  <c r="B34" i="35"/>
  <c r="D41" i="26"/>
  <c r="D47" i="26"/>
  <c r="D42" i="26"/>
  <c r="D36" i="26"/>
  <c r="E79" i="1"/>
  <c r="E93" i="1"/>
  <c r="K92" i="10" s="1"/>
  <c r="E92" i="1"/>
  <c r="E91" i="1"/>
  <c r="E90" i="1"/>
  <c r="E88" i="1"/>
  <c r="E87" i="1"/>
  <c r="E86" i="1"/>
  <c r="E85" i="1"/>
  <c r="D40" i="26" s="1"/>
  <c r="E84" i="1"/>
  <c r="D95" i="26" s="1"/>
  <c r="E83" i="1"/>
  <c r="K91" i="10" s="1"/>
  <c r="E82" i="1"/>
  <c r="E81" i="1"/>
  <c r="AF46" i="17"/>
  <c r="AF45" i="17"/>
  <c r="AF44" i="17"/>
  <c r="AF43" i="17"/>
  <c r="AF37" i="17"/>
  <c r="AF36" i="17"/>
  <c r="AF35" i="17"/>
  <c r="AF34" i="17"/>
  <c r="AF31" i="17"/>
  <c r="AF30" i="17"/>
  <c r="E67" i="1"/>
  <c r="I49" i="10"/>
  <c r="D25" i="23"/>
  <c r="E50" i="18"/>
  <c r="B50" i="18"/>
  <c r="A3" i="1"/>
  <c r="E154" i="1"/>
  <c r="E153" i="1"/>
  <c r="AF121" i="17"/>
  <c r="AF120" i="17"/>
  <c r="AF117" i="17"/>
  <c r="AF116" i="17"/>
  <c r="AF115" i="17"/>
  <c r="AF114" i="17"/>
  <c r="E152" i="1"/>
  <c r="E126" i="36"/>
  <c r="C130" i="36"/>
  <c r="E125" i="36"/>
  <c r="C129" i="36"/>
  <c r="AF120" i="36"/>
  <c r="AE120" i="36"/>
  <c r="AD120" i="36"/>
  <c r="AC120" i="36"/>
  <c r="AB120" i="36"/>
  <c r="AA120" i="36"/>
  <c r="Z120" i="36"/>
  <c r="Y120" i="36"/>
  <c r="X120" i="36"/>
  <c r="W120" i="36"/>
  <c r="V120" i="36"/>
  <c r="U120" i="36"/>
  <c r="T120" i="36"/>
  <c r="S120" i="36"/>
  <c r="R120" i="36"/>
  <c r="Q120" i="36"/>
  <c r="P120" i="36"/>
  <c r="O120" i="36"/>
  <c r="N120" i="36"/>
  <c r="M120" i="36"/>
  <c r="L120" i="36"/>
  <c r="K120" i="36"/>
  <c r="J120" i="36"/>
  <c r="I120" i="36"/>
  <c r="H120" i="36"/>
  <c r="G120" i="36"/>
  <c r="F120" i="36"/>
  <c r="E120" i="36"/>
  <c r="D120" i="36"/>
  <c r="AF119" i="36"/>
  <c r="AE119" i="36"/>
  <c r="AD119" i="36"/>
  <c r="AC119" i="36"/>
  <c r="AB119" i="36"/>
  <c r="AA119" i="36"/>
  <c r="Z119" i="36"/>
  <c r="Y119" i="36"/>
  <c r="X119" i="36"/>
  <c r="W119" i="36"/>
  <c r="V119" i="36"/>
  <c r="U119" i="36"/>
  <c r="T119" i="36"/>
  <c r="S119" i="36"/>
  <c r="R119" i="36"/>
  <c r="Q119" i="36"/>
  <c r="P119" i="36"/>
  <c r="O119" i="36"/>
  <c r="N119" i="36"/>
  <c r="M119" i="36"/>
  <c r="L119" i="36"/>
  <c r="K119" i="36"/>
  <c r="J119" i="36"/>
  <c r="I119" i="36"/>
  <c r="H119" i="36"/>
  <c r="G119" i="36"/>
  <c r="F119" i="36"/>
  <c r="E119" i="36"/>
  <c r="D119" i="36"/>
  <c r="D130" i="36"/>
  <c r="E130" i="36"/>
  <c r="F130" i="36"/>
  <c r="G130" i="36"/>
  <c r="H130" i="36"/>
  <c r="I130" i="36"/>
  <c r="J130" i="36"/>
  <c r="K130" i="36"/>
  <c r="L130" i="36"/>
  <c r="M130" i="36"/>
  <c r="N130" i="36"/>
  <c r="O130" i="36"/>
  <c r="P130" i="36"/>
  <c r="Q130" i="36"/>
  <c r="R130" i="36"/>
  <c r="S130" i="36"/>
  <c r="T130" i="36"/>
  <c r="U130" i="36"/>
  <c r="V130" i="36"/>
  <c r="W130" i="36"/>
  <c r="X130" i="36"/>
  <c r="Y130" i="36"/>
  <c r="Z130" i="36"/>
  <c r="AA130" i="36"/>
  <c r="AB130" i="36"/>
  <c r="AC130" i="36"/>
  <c r="AD130" i="36"/>
  <c r="AE130" i="36"/>
  <c r="AF130" i="36"/>
  <c r="D129" i="36"/>
  <c r="E129" i="36"/>
  <c r="F129" i="36"/>
  <c r="G129" i="36"/>
  <c r="H129" i="36"/>
  <c r="I129" i="36"/>
  <c r="J129" i="36"/>
  <c r="K129" i="36"/>
  <c r="L129" i="36"/>
  <c r="M129" i="36"/>
  <c r="N129" i="36"/>
  <c r="O129" i="36"/>
  <c r="P129" i="36"/>
  <c r="Q129" i="36"/>
  <c r="R129" i="36"/>
  <c r="S129" i="36"/>
  <c r="T129" i="36"/>
  <c r="U129" i="36"/>
  <c r="V129" i="36"/>
  <c r="W129" i="36"/>
  <c r="X129" i="36"/>
  <c r="Y129" i="36"/>
  <c r="Z129" i="36"/>
  <c r="AA129" i="36"/>
  <c r="AB129" i="36"/>
  <c r="AC129" i="36"/>
  <c r="AD129" i="36"/>
  <c r="AE129" i="36"/>
  <c r="AF129" i="36"/>
  <c r="D30" i="35"/>
  <c r="D17" i="35"/>
  <c r="D16" i="35"/>
  <c r="D15" i="35"/>
  <c r="F8" i="35"/>
  <c r="G8" i="35" s="1"/>
  <c r="H8" i="35" s="1"/>
  <c r="I8" i="35" s="1"/>
  <c r="J8" i="35" s="1"/>
  <c r="K8" i="35" s="1"/>
  <c r="L8" i="35" s="1"/>
  <c r="M8" i="35" s="1"/>
  <c r="N8" i="35" s="1"/>
  <c r="O8" i="35" s="1"/>
  <c r="P8" i="35" s="1"/>
  <c r="Q8" i="35" s="1"/>
  <c r="R8" i="35" s="1"/>
  <c r="S8" i="35" s="1"/>
  <c r="T8" i="35" s="1"/>
  <c r="U8" i="35" s="1"/>
  <c r="V8" i="35" s="1"/>
  <c r="W8" i="35" s="1"/>
  <c r="X8" i="35" s="1"/>
  <c r="Y8" i="35" s="1"/>
  <c r="Z8" i="35" s="1"/>
  <c r="AA8" i="35" s="1"/>
  <c r="AB8" i="35" s="1"/>
  <c r="AC8" i="35" s="1"/>
  <c r="AD8" i="35" s="1"/>
  <c r="AE8" i="35" s="1"/>
  <c r="AF8" i="35" s="1"/>
  <c r="AG8" i="35" s="1"/>
  <c r="AH8" i="35" s="1"/>
  <c r="AI8" i="35" s="1"/>
  <c r="AJ8" i="35" s="1"/>
  <c r="AK8" i="35" s="1"/>
  <c r="AL8" i="35" s="1"/>
  <c r="AM8" i="35" s="1"/>
  <c r="AN8" i="35" s="1"/>
  <c r="AO8" i="35" s="1"/>
  <c r="AP8" i="35" s="1"/>
  <c r="AQ8" i="35" s="1"/>
  <c r="AR8" i="35" s="1"/>
  <c r="F7" i="35"/>
  <c r="F9" i="35" s="1"/>
  <c r="A4" i="35"/>
  <c r="A1" i="35"/>
  <c r="D41" i="33"/>
  <c r="D26" i="33"/>
  <c r="D25" i="33"/>
  <c r="D24" i="33"/>
  <c r="E160" i="1"/>
  <c r="D27" i="33" s="1"/>
  <c r="D17" i="33"/>
  <c r="D16" i="33"/>
  <c r="D15" i="33"/>
  <c r="F8" i="33"/>
  <c r="G8" i="33" s="1"/>
  <c r="H8" i="33" s="1"/>
  <c r="I8" i="33" s="1"/>
  <c r="J8" i="33" s="1"/>
  <c r="K8" i="33" s="1"/>
  <c r="L8" i="33" s="1"/>
  <c r="M8" i="33" s="1"/>
  <c r="N8" i="33" s="1"/>
  <c r="O8" i="33" s="1"/>
  <c r="P8" i="33" s="1"/>
  <c r="Q8" i="33" s="1"/>
  <c r="R8" i="33" s="1"/>
  <c r="S8" i="33" s="1"/>
  <c r="T8" i="33" s="1"/>
  <c r="U8" i="33" s="1"/>
  <c r="V8" i="33" s="1"/>
  <c r="W8" i="33" s="1"/>
  <c r="X8" i="33" s="1"/>
  <c r="Y8" i="33" s="1"/>
  <c r="Z8" i="33" s="1"/>
  <c r="AA8" i="33" s="1"/>
  <c r="AB8" i="33" s="1"/>
  <c r="AC8" i="33" s="1"/>
  <c r="AD8" i="33" s="1"/>
  <c r="AE8" i="33" s="1"/>
  <c r="AF8" i="33" s="1"/>
  <c r="AG8" i="33" s="1"/>
  <c r="AH8" i="33" s="1"/>
  <c r="AI8" i="33" s="1"/>
  <c r="AJ8" i="33" s="1"/>
  <c r="AK8" i="33" s="1"/>
  <c r="AL8" i="33" s="1"/>
  <c r="AM8" i="33" s="1"/>
  <c r="AN8" i="33" s="1"/>
  <c r="AO8" i="33" s="1"/>
  <c r="AP8" i="33" s="1"/>
  <c r="AQ8" i="33" s="1"/>
  <c r="AR8" i="33" s="1"/>
  <c r="F7" i="33"/>
  <c r="F9" i="33" s="1"/>
  <c r="A4" i="33"/>
  <c r="A1" i="33"/>
  <c r="D31" i="33"/>
  <c r="AF13" i="17"/>
  <c r="D48" i="29"/>
  <c r="D86" i="29"/>
  <c r="D69" i="29"/>
  <c r="D31" i="29"/>
  <c r="D85" i="29"/>
  <c r="D68" i="29"/>
  <c r="D47" i="29"/>
  <c r="D30" i="29"/>
  <c r="D17" i="29"/>
  <c r="D16" i="29"/>
  <c r="D15" i="29"/>
  <c r="F8" i="29"/>
  <c r="G8" i="29" s="1"/>
  <c r="H8" i="29" s="1"/>
  <c r="I8" i="29" s="1"/>
  <c r="J8" i="29" s="1"/>
  <c r="K8" i="29" s="1"/>
  <c r="L8" i="29" s="1"/>
  <c r="M8" i="29" s="1"/>
  <c r="N8" i="29" s="1"/>
  <c r="O8" i="29" s="1"/>
  <c r="P8" i="29" s="1"/>
  <c r="Q8" i="29" s="1"/>
  <c r="R8" i="29" s="1"/>
  <c r="S8" i="29" s="1"/>
  <c r="T8" i="29" s="1"/>
  <c r="U8" i="29" s="1"/>
  <c r="V8" i="29" s="1"/>
  <c r="W8" i="29" s="1"/>
  <c r="X8" i="29" s="1"/>
  <c r="Y8" i="29" s="1"/>
  <c r="Z8" i="29" s="1"/>
  <c r="AA8" i="29" s="1"/>
  <c r="AB8" i="29" s="1"/>
  <c r="AC8" i="29" s="1"/>
  <c r="AD8" i="29" s="1"/>
  <c r="AE8" i="29" s="1"/>
  <c r="AF8" i="29" s="1"/>
  <c r="AG8" i="29" s="1"/>
  <c r="AH8" i="29" s="1"/>
  <c r="AI8" i="29" s="1"/>
  <c r="AJ8" i="29" s="1"/>
  <c r="AK8" i="29" s="1"/>
  <c r="AL8" i="29" s="1"/>
  <c r="AM8" i="29" s="1"/>
  <c r="AN8" i="29" s="1"/>
  <c r="AO8" i="29" s="1"/>
  <c r="AP8" i="29" s="1"/>
  <c r="AQ8" i="29" s="1"/>
  <c r="AR8" i="29" s="1"/>
  <c r="F7" i="29"/>
  <c r="F90" i="29" s="1"/>
  <c r="A4" i="29"/>
  <c r="A1" i="29"/>
  <c r="P80" i="26"/>
  <c r="Q80" i="26" s="1"/>
  <c r="R80" i="26" s="1"/>
  <c r="S80" i="26" s="1"/>
  <c r="T80" i="26" s="1"/>
  <c r="U80" i="26" s="1"/>
  <c r="V80" i="26" s="1"/>
  <c r="W80" i="26" s="1"/>
  <c r="X80" i="26" s="1"/>
  <c r="Y80" i="26" s="1"/>
  <c r="Z80" i="26" s="1"/>
  <c r="AA80" i="26" s="1"/>
  <c r="AB80" i="26" s="1"/>
  <c r="AC80" i="26" s="1"/>
  <c r="AD80" i="26" s="1"/>
  <c r="AE80" i="26" s="1"/>
  <c r="AF80" i="26" s="1"/>
  <c r="AG80" i="26" s="1"/>
  <c r="AH80" i="26" s="1"/>
  <c r="D36" i="28"/>
  <c r="B29" i="28"/>
  <c r="D17" i="28"/>
  <c r="D16" i="28"/>
  <c r="D15" i="28"/>
  <c r="F8" i="28"/>
  <c r="G8" i="28" s="1"/>
  <c r="H8" i="28" s="1"/>
  <c r="I8" i="28" s="1"/>
  <c r="J8" i="28" s="1"/>
  <c r="K8" i="28" s="1"/>
  <c r="L8" i="28" s="1"/>
  <c r="M8" i="28" s="1"/>
  <c r="N8" i="28" s="1"/>
  <c r="O8" i="28" s="1"/>
  <c r="P8" i="28" s="1"/>
  <c r="Q8" i="28" s="1"/>
  <c r="R8" i="28" s="1"/>
  <c r="S8" i="28" s="1"/>
  <c r="T8" i="28" s="1"/>
  <c r="U8" i="28" s="1"/>
  <c r="V8" i="28" s="1"/>
  <c r="W8" i="28" s="1"/>
  <c r="X8" i="28" s="1"/>
  <c r="Y8" i="28" s="1"/>
  <c r="Z8" i="28" s="1"/>
  <c r="AA8" i="28" s="1"/>
  <c r="AB8" i="28" s="1"/>
  <c r="AC8" i="28" s="1"/>
  <c r="AD8" i="28" s="1"/>
  <c r="AE8" i="28" s="1"/>
  <c r="AF8" i="28" s="1"/>
  <c r="AG8" i="28" s="1"/>
  <c r="AH8" i="28" s="1"/>
  <c r="AI8" i="28" s="1"/>
  <c r="AJ8" i="28" s="1"/>
  <c r="AK8" i="28" s="1"/>
  <c r="AL8" i="28" s="1"/>
  <c r="AM8" i="28" s="1"/>
  <c r="AN8" i="28" s="1"/>
  <c r="AO8" i="28" s="1"/>
  <c r="AP8" i="28" s="1"/>
  <c r="AQ8" i="28" s="1"/>
  <c r="AR8" i="28" s="1"/>
  <c r="F7" i="28"/>
  <c r="A4" i="28"/>
  <c r="A1" i="28"/>
  <c r="D85" i="26"/>
  <c r="D97" i="26"/>
  <c r="D60" i="26"/>
  <c r="B95" i="26"/>
  <c r="B89" i="26"/>
  <c r="B51" i="26"/>
  <c r="B58" i="26"/>
  <c r="D17" i="26"/>
  <c r="D16" i="26"/>
  <c r="D15" i="26"/>
  <c r="F8" i="26"/>
  <c r="G8" i="26" s="1"/>
  <c r="H8" i="26" s="1"/>
  <c r="I8" i="26" s="1"/>
  <c r="J8" i="26" s="1"/>
  <c r="K8" i="26" s="1"/>
  <c r="L8" i="26" s="1"/>
  <c r="M8" i="26" s="1"/>
  <c r="N8" i="26" s="1"/>
  <c r="O8" i="26" s="1"/>
  <c r="P8" i="26" s="1"/>
  <c r="Q8" i="26" s="1"/>
  <c r="R8" i="26" s="1"/>
  <c r="S8" i="26" s="1"/>
  <c r="T8" i="26" s="1"/>
  <c r="U8" i="26" s="1"/>
  <c r="V8" i="26" s="1"/>
  <c r="W8" i="26" s="1"/>
  <c r="X8" i="26" s="1"/>
  <c r="Y8" i="26" s="1"/>
  <c r="Z8" i="26" s="1"/>
  <c r="AA8" i="26" s="1"/>
  <c r="AB8" i="26" s="1"/>
  <c r="AC8" i="26" s="1"/>
  <c r="AD8" i="26" s="1"/>
  <c r="AE8" i="26" s="1"/>
  <c r="AF8" i="26" s="1"/>
  <c r="AG8" i="26" s="1"/>
  <c r="AH8" i="26" s="1"/>
  <c r="AI8" i="26" s="1"/>
  <c r="AJ8" i="26" s="1"/>
  <c r="AK8" i="26" s="1"/>
  <c r="AL8" i="26" s="1"/>
  <c r="AM8" i="26" s="1"/>
  <c r="AN8" i="26" s="1"/>
  <c r="AO8" i="26" s="1"/>
  <c r="AP8" i="26" s="1"/>
  <c r="AQ8" i="26" s="1"/>
  <c r="AR8" i="26" s="1"/>
  <c r="F7" i="26"/>
  <c r="G7" i="26" s="1"/>
  <c r="A4" i="26"/>
  <c r="A1" i="26"/>
  <c r="B67" i="24"/>
  <c r="B65" i="24"/>
  <c r="B22" i="24"/>
  <c r="D17" i="24"/>
  <c r="D16" i="24"/>
  <c r="D15" i="24"/>
  <c r="F8" i="24"/>
  <c r="G8" i="24" s="1"/>
  <c r="H8" i="24" s="1"/>
  <c r="I8" i="24" s="1"/>
  <c r="J8" i="24" s="1"/>
  <c r="K8" i="24" s="1"/>
  <c r="L8" i="24" s="1"/>
  <c r="M8" i="24" s="1"/>
  <c r="N8" i="24" s="1"/>
  <c r="O8" i="24" s="1"/>
  <c r="P8" i="24" s="1"/>
  <c r="Q8" i="24" s="1"/>
  <c r="R8" i="24" s="1"/>
  <c r="S8" i="24" s="1"/>
  <c r="T8" i="24" s="1"/>
  <c r="U8" i="24" s="1"/>
  <c r="V8" i="24" s="1"/>
  <c r="W8" i="24" s="1"/>
  <c r="X8" i="24" s="1"/>
  <c r="Y8" i="24" s="1"/>
  <c r="Z8" i="24" s="1"/>
  <c r="AA8" i="24" s="1"/>
  <c r="AB8" i="24" s="1"/>
  <c r="AC8" i="24" s="1"/>
  <c r="AD8" i="24" s="1"/>
  <c r="AE8" i="24" s="1"/>
  <c r="AF8" i="24" s="1"/>
  <c r="AG8" i="24" s="1"/>
  <c r="AH8" i="24" s="1"/>
  <c r="AI8" i="24" s="1"/>
  <c r="AJ8" i="24" s="1"/>
  <c r="AK8" i="24" s="1"/>
  <c r="AL8" i="24" s="1"/>
  <c r="AM8" i="24" s="1"/>
  <c r="AN8" i="24" s="1"/>
  <c r="AO8" i="24" s="1"/>
  <c r="AP8" i="24" s="1"/>
  <c r="AQ8" i="24" s="1"/>
  <c r="AR8" i="24" s="1"/>
  <c r="F7" i="24"/>
  <c r="A4" i="24"/>
  <c r="A1" i="24"/>
  <c r="F8" i="23"/>
  <c r="G8" i="23" s="1"/>
  <c r="H8" i="23" s="1"/>
  <c r="I8" i="23" s="1"/>
  <c r="J8" i="23" s="1"/>
  <c r="K8" i="23" s="1"/>
  <c r="L8" i="23" s="1"/>
  <c r="M8" i="23" s="1"/>
  <c r="N8" i="23" s="1"/>
  <c r="O8" i="23" s="1"/>
  <c r="P8" i="23" s="1"/>
  <c r="Q8" i="23" s="1"/>
  <c r="R8" i="23" s="1"/>
  <c r="S8" i="23" s="1"/>
  <c r="T8" i="23" s="1"/>
  <c r="U8" i="23" s="1"/>
  <c r="V8" i="23" s="1"/>
  <c r="W8" i="23" s="1"/>
  <c r="X8" i="23" s="1"/>
  <c r="Y8" i="23" s="1"/>
  <c r="Z8" i="23" s="1"/>
  <c r="AA8" i="23" s="1"/>
  <c r="AB8" i="23" s="1"/>
  <c r="AC8" i="23" s="1"/>
  <c r="AD8" i="23" s="1"/>
  <c r="AE8" i="23" s="1"/>
  <c r="AF8" i="23" s="1"/>
  <c r="AG8" i="23" s="1"/>
  <c r="AH8" i="23" s="1"/>
  <c r="AI8" i="23" s="1"/>
  <c r="AJ8" i="23" s="1"/>
  <c r="AK8" i="23" s="1"/>
  <c r="AL8" i="23" s="1"/>
  <c r="AM8" i="23" s="1"/>
  <c r="AN8" i="23" s="1"/>
  <c r="AO8" i="23" s="1"/>
  <c r="AP8" i="23" s="1"/>
  <c r="AQ8" i="23" s="1"/>
  <c r="AR8" i="23" s="1"/>
  <c r="F7" i="23"/>
  <c r="D23" i="23" s="1"/>
  <c r="A4" i="23"/>
  <c r="A1" i="23"/>
  <c r="F41" i="2"/>
  <c r="G41" i="2" s="1"/>
  <c r="D26" i="21"/>
  <c r="D25" i="21"/>
  <c r="D24" i="21"/>
  <c r="D23" i="21"/>
  <c r="D17" i="22"/>
  <c r="D16" i="22"/>
  <c r="D15" i="22"/>
  <c r="F8" i="22"/>
  <c r="G8" i="22" s="1"/>
  <c r="H8" i="22" s="1"/>
  <c r="I8" i="22" s="1"/>
  <c r="J8" i="22" s="1"/>
  <c r="K8" i="22" s="1"/>
  <c r="L8" i="22" s="1"/>
  <c r="M8" i="22" s="1"/>
  <c r="N8" i="22" s="1"/>
  <c r="O8" i="22" s="1"/>
  <c r="P8" i="22" s="1"/>
  <c r="Q8" i="22" s="1"/>
  <c r="R8" i="22" s="1"/>
  <c r="S8" i="22" s="1"/>
  <c r="T8" i="22" s="1"/>
  <c r="U8" i="22" s="1"/>
  <c r="V8" i="22" s="1"/>
  <c r="W8" i="22" s="1"/>
  <c r="X8" i="22" s="1"/>
  <c r="Y8" i="22" s="1"/>
  <c r="Z8" i="22" s="1"/>
  <c r="AA8" i="22" s="1"/>
  <c r="AB8" i="22" s="1"/>
  <c r="AC8" i="22" s="1"/>
  <c r="AD8" i="22" s="1"/>
  <c r="AE8" i="22" s="1"/>
  <c r="AF8" i="22" s="1"/>
  <c r="AG8" i="22" s="1"/>
  <c r="AH8" i="22" s="1"/>
  <c r="AI8" i="22" s="1"/>
  <c r="AJ8" i="22" s="1"/>
  <c r="AK8" i="22" s="1"/>
  <c r="AL8" i="22" s="1"/>
  <c r="AM8" i="22" s="1"/>
  <c r="AN8" i="22" s="1"/>
  <c r="AO8" i="22" s="1"/>
  <c r="AP8" i="22" s="1"/>
  <c r="AQ8" i="22" s="1"/>
  <c r="AR8" i="22" s="1"/>
  <c r="F7" i="22"/>
  <c r="F9" i="22" s="1"/>
  <c r="A4" i="22"/>
  <c r="A1" i="22"/>
  <c r="D27" i="21"/>
  <c r="D17" i="21"/>
  <c r="D16" i="21"/>
  <c r="D15" i="21"/>
  <c r="F8" i="21"/>
  <c r="G8" i="21" s="1"/>
  <c r="H8" i="21" s="1"/>
  <c r="I8" i="21" s="1"/>
  <c r="J8" i="21" s="1"/>
  <c r="K8" i="21" s="1"/>
  <c r="L8" i="21" s="1"/>
  <c r="M8" i="21" s="1"/>
  <c r="N8" i="21" s="1"/>
  <c r="O8" i="21" s="1"/>
  <c r="P8" i="21" s="1"/>
  <c r="Q8" i="21" s="1"/>
  <c r="R8" i="21" s="1"/>
  <c r="S8" i="21" s="1"/>
  <c r="T8" i="21" s="1"/>
  <c r="U8" i="21" s="1"/>
  <c r="V8" i="21" s="1"/>
  <c r="W8" i="21" s="1"/>
  <c r="X8" i="21" s="1"/>
  <c r="Y8" i="21" s="1"/>
  <c r="Z8" i="21" s="1"/>
  <c r="AA8" i="21" s="1"/>
  <c r="AB8" i="21" s="1"/>
  <c r="AC8" i="21" s="1"/>
  <c r="AD8" i="21" s="1"/>
  <c r="AE8" i="21" s="1"/>
  <c r="AF8" i="21" s="1"/>
  <c r="AG8" i="21" s="1"/>
  <c r="AH8" i="21" s="1"/>
  <c r="AI8" i="21" s="1"/>
  <c r="AJ8" i="21" s="1"/>
  <c r="AK8" i="21" s="1"/>
  <c r="AL8" i="21" s="1"/>
  <c r="AM8" i="21" s="1"/>
  <c r="AN8" i="21" s="1"/>
  <c r="AO8" i="21" s="1"/>
  <c r="AP8" i="21" s="1"/>
  <c r="AQ8" i="21" s="1"/>
  <c r="AR8" i="21" s="1"/>
  <c r="F7" i="21"/>
  <c r="F9" i="21" s="1"/>
  <c r="A4" i="21"/>
  <c r="A1" i="21"/>
  <c r="F28" i="21"/>
  <c r="D28" i="21" s="1"/>
  <c r="G28" i="21"/>
  <c r="H28" i="21"/>
  <c r="I28" i="21"/>
  <c r="A3" i="2"/>
  <c r="A3" i="26" s="1"/>
  <c r="J28" i="21"/>
  <c r="K28" i="21"/>
  <c r="E16" i="1"/>
  <c r="D40" i="18" s="1"/>
  <c r="D13" i="18" s="1"/>
  <c r="I13" i="18" s="1"/>
  <c r="L28" i="21"/>
  <c r="M28" i="21"/>
  <c r="N28" i="21"/>
  <c r="O28" i="21"/>
  <c r="P28" i="21"/>
  <c r="Q28" i="21"/>
  <c r="R28" i="21"/>
  <c r="S28" i="21"/>
  <c r="T28" i="21"/>
  <c r="U28" i="21"/>
  <c r="V28" i="21"/>
  <c r="W28" i="21"/>
  <c r="X28" i="21"/>
  <c r="Y28" i="21"/>
  <c r="Z28" i="21"/>
  <c r="AA28" i="21"/>
  <c r="AB28" i="21"/>
  <c r="AC28" i="21"/>
  <c r="AD28" i="21"/>
  <c r="AE28" i="21"/>
  <c r="AF28" i="21"/>
  <c r="AG28" i="21"/>
  <c r="AH28" i="21"/>
  <c r="AI28" i="21"/>
  <c r="AJ28" i="21"/>
  <c r="AK28" i="21"/>
  <c r="AL28" i="21"/>
  <c r="AM28" i="21"/>
  <c r="AN28" i="21"/>
  <c r="AO28" i="21"/>
  <c r="AP28" i="21"/>
  <c r="AQ28" i="21"/>
  <c r="AR28" i="21"/>
  <c r="D25" i="28"/>
  <c r="D52" i="26"/>
  <c r="K64" i="10"/>
  <c r="D5" i="25"/>
  <c r="E51" i="1"/>
  <c r="D30" i="28" s="1"/>
  <c r="D90" i="26"/>
  <c r="D62" i="41"/>
  <c r="D19" i="23"/>
  <c r="D73" i="26"/>
  <c r="D21" i="23"/>
  <c r="D43" i="29"/>
  <c r="D71" i="26"/>
  <c r="D52" i="35"/>
  <c r="D64" i="29"/>
  <c r="D25" i="35"/>
  <c r="D41" i="18" l="1"/>
  <c r="D14" i="18" s="1"/>
  <c r="I14" i="18" s="1"/>
  <c r="D42" i="18"/>
  <c r="D15" i="18" s="1"/>
  <c r="I15" i="18" s="1"/>
  <c r="A43" i="18"/>
  <c r="D43" i="18" s="1"/>
  <c r="D16" i="18" s="1"/>
  <c r="I16" i="18" s="1"/>
  <c r="F67" i="35"/>
  <c r="G7" i="35"/>
  <c r="G67" i="35" s="1"/>
  <c r="F66" i="35"/>
  <c r="F52" i="29"/>
  <c r="D33" i="23"/>
  <c r="D34" i="23" s="1"/>
  <c r="F39" i="35"/>
  <c r="F40" i="35"/>
  <c r="H7" i="18"/>
  <c r="F50" i="35"/>
  <c r="F53" i="2"/>
  <c r="F62" i="2"/>
  <c r="F74" i="2" s="1"/>
  <c r="D67" i="24"/>
  <c r="H18" i="18"/>
  <c r="H11" i="18"/>
  <c r="H12" i="18"/>
  <c r="H4" i="18"/>
  <c r="H9" i="18"/>
  <c r="H5" i="18"/>
  <c r="D26" i="24"/>
  <c r="K50" i="10"/>
  <c r="F9" i="23"/>
  <c r="G5" i="18"/>
  <c r="D40" i="24"/>
  <c r="K55" i="10"/>
  <c r="D32" i="23"/>
  <c r="F34" i="23" s="1"/>
  <c r="K70" i="10"/>
  <c r="D30" i="24"/>
  <c r="F28" i="24" s="1"/>
  <c r="K54" i="10"/>
  <c r="D44" i="24"/>
  <c r="K59" i="10"/>
  <c r="D27" i="24"/>
  <c r="K51" i="10"/>
  <c r="D41" i="24"/>
  <c r="K56" i="10"/>
  <c r="G4" i="18"/>
  <c r="D34" i="28"/>
  <c r="K74" i="10"/>
  <c r="D48" i="28"/>
  <c r="K76" i="10"/>
  <c r="D42" i="24"/>
  <c r="K57" i="10"/>
  <c r="D41" i="28"/>
  <c r="K75" i="10"/>
  <c r="D43" i="24"/>
  <c r="K58" i="10"/>
  <c r="D81" i="24"/>
  <c r="D35" i="23"/>
  <c r="K72" i="10"/>
  <c r="D29" i="24"/>
  <c r="K53" i="10"/>
  <c r="G6" i="18"/>
  <c r="G23" i="35"/>
  <c r="H7" i="35"/>
  <c r="H39" i="35" s="1"/>
  <c r="F23" i="29"/>
  <c r="G39" i="35"/>
  <c r="D35" i="26"/>
  <c r="G55" i="35"/>
  <c r="F48" i="21"/>
  <c r="G50" i="35"/>
  <c r="H19" i="18"/>
  <c r="D80" i="26"/>
  <c r="G7" i="33"/>
  <c r="H7" i="33" s="1"/>
  <c r="H9" i="33" s="1"/>
  <c r="D77" i="24"/>
  <c r="D45" i="41"/>
  <c r="D58" i="26"/>
  <c r="H20" i="18"/>
  <c r="D44" i="41"/>
  <c r="D52" i="29"/>
  <c r="F12" i="18"/>
  <c r="D81" i="26"/>
  <c r="H21" i="18"/>
  <c r="E18" i="18"/>
  <c r="H8" i="18"/>
  <c r="G7" i="22"/>
  <c r="G9" i="22" s="1"/>
  <c r="D34" i="26"/>
  <c r="D90" i="29"/>
  <c r="H17" i="18"/>
  <c r="H22" i="18"/>
  <c r="A3" i="24"/>
  <c r="A3" i="41"/>
  <c r="D52" i="41"/>
  <c r="G11" i="18"/>
  <c r="F7" i="18"/>
  <c r="G10" i="18"/>
  <c r="F5" i="18"/>
  <c r="F21" i="18"/>
  <c r="K49" i="10"/>
  <c r="G22" i="18"/>
  <c r="F17" i="18"/>
  <c r="F19" i="18"/>
  <c r="G21" i="18"/>
  <c r="F49" i="21"/>
  <c r="F18" i="18"/>
  <c r="F22" i="18"/>
  <c r="G9" i="18"/>
  <c r="G20" i="18"/>
  <c r="G7" i="21"/>
  <c r="G46" i="21" s="1"/>
  <c r="F6" i="18"/>
  <c r="F20" i="18"/>
  <c r="G18" i="18"/>
  <c r="G8" i="18"/>
  <c r="F11" i="18"/>
  <c r="F47" i="21"/>
  <c r="F9" i="18"/>
  <c r="G7" i="18"/>
  <c r="D91" i="26"/>
  <c r="D92" i="26" s="1"/>
  <c r="F10" i="18"/>
  <c r="F46" i="21"/>
  <c r="G19" i="18"/>
  <c r="G12" i="18"/>
  <c r="F83" i="29"/>
  <c r="K83" i="10"/>
  <c r="F28" i="29"/>
  <c r="F35" i="29"/>
  <c r="F9" i="29"/>
  <c r="E164" i="1"/>
  <c r="F29" i="26"/>
  <c r="G7" i="29"/>
  <c r="G66" i="29" s="1"/>
  <c r="K86" i="10"/>
  <c r="D78" i="24"/>
  <c r="F24" i="26"/>
  <c r="F9" i="26"/>
  <c r="F73" i="29"/>
  <c r="E161" i="1"/>
  <c r="D28" i="33" s="1"/>
  <c r="F78" i="29"/>
  <c r="B19" i="18"/>
  <c r="B18" i="18"/>
  <c r="B8" i="18"/>
  <c r="F23" i="35"/>
  <c r="F55" i="35"/>
  <c r="B20" i="18"/>
  <c r="B4" i="18"/>
  <c r="F10" i="41"/>
  <c r="B5" i="18"/>
  <c r="B9" i="18"/>
  <c r="B11" i="18"/>
  <c r="B12" i="18"/>
  <c r="B17" i="18"/>
  <c r="B6" i="18"/>
  <c r="B21" i="18"/>
  <c r="F28" i="35"/>
  <c r="B7" i="18"/>
  <c r="F11" i="41"/>
  <c r="G7" i="41"/>
  <c r="G28" i="35"/>
  <c r="B10" i="18"/>
  <c r="F61" i="29"/>
  <c r="G24" i="26"/>
  <c r="D28" i="26"/>
  <c r="D65" i="29"/>
  <c r="D27" i="35"/>
  <c r="D44" i="29"/>
  <c r="D22" i="23"/>
  <c r="D24" i="23" s="1"/>
  <c r="F24" i="23" s="1"/>
  <c r="F27" i="23" s="1"/>
  <c r="B179" i="1"/>
  <c r="C8" i="2" s="1"/>
  <c r="F66" i="29"/>
  <c r="D27" i="29"/>
  <c r="G53" i="2"/>
  <c r="G62" i="2"/>
  <c r="H41" i="2"/>
  <c r="E7" i="18"/>
  <c r="F9" i="24"/>
  <c r="D53" i="26"/>
  <c r="D54" i="26" s="1"/>
  <c r="D28" i="24"/>
  <c r="D54" i="35"/>
  <c r="E9" i="18"/>
  <c r="E11" i="18"/>
  <c r="E21" i="18"/>
  <c r="E8" i="18"/>
  <c r="E22" i="18"/>
  <c r="D82" i="29"/>
  <c r="E4" i="18"/>
  <c r="E20" i="18"/>
  <c r="E19" i="18"/>
  <c r="E12" i="18"/>
  <c r="G29" i="26"/>
  <c r="G7" i="24"/>
  <c r="E6" i="18"/>
  <c r="E5" i="18"/>
  <c r="E10" i="18"/>
  <c r="F40" i="29"/>
  <c r="G71" i="26"/>
  <c r="D75" i="26"/>
  <c r="G76" i="26"/>
  <c r="F71" i="26"/>
  <c r="F45" i="29"/>
  <c r="F76" i="26"/>
  <c r="E17" i="1"/>
  <c r="D48" i="18"/>
  <c r="D37" i="18"/>
  <c r="D45" i="18"/>
  <c r="D35" i="18"/>
  <c r="D38" i="18"/>
  <c r="D34" i="18"/>
  <c r="D31" i="18"/>
  <c r="D39" i="18"/>
  <c r="D46" i="18"/>
  <c r="D44" i="18"/>
  <c r="G9" i="26"/>
  <c r="G40" i="35"/>
  <c r="G9" i="35"/>
  <c r="H7" i="26"/>
  <c r="G66" i="35"/>
  <c r="D36" i="18"/>
  <c r="D33" i="18"/>
  <c r="G7" i="28"/>
  <c r="F9" i="28"/>
  <c r="D32" i="18"/>
  <c r="D36" i="23"/>
  <c r="F21" i="23"/>
  <c r="G7" i="23"/>
  <c r="F19" i="23"/>
  <c r="A3" i="22"/>
  <c r="A3" i="23"/>
  <c r="A3" i="29"/>
  <c r="A3" i="28"/>
  <c r="A3" i="21"/>
  <c r="A3" i="33"/>
  <c r="A3" i="35"/>
  <c r="H7" i="22" l="1"/>
  <c r="H55" i="35"/>
  <c r="H50" i="35"/>
  <c r="H66" i="35"/>
  <c r="H67" i="35"/>
  <c r="H28" i="35"/>
  <c r="H40" i="35"/>
  <c r="F29" i="29"/>
  <c r="F32" i="29" s="1"/>
  <c r="H9" i="35"/>
  <c r="F83" i="2"/>
  <c r="F95" i="2" s="1"/>
  <c r="F29" i="24"/>
  <c r="F25" i="24"/>
  <c r="F26" i="24"/>
  <c r="G28" i="24"/>
  <c r="F27" i="24"/>
  <c r="G40" i="29"/>
  <c r="D37" i="23"/>
  <c r="F36" i="23" s="1"/>
  <c r="F37" i="23" s="1"/>
  <c r="G47" i="21"/>
  <c r="I7" i="33"/>
  <c r="F10" i="33" s="1"/>
  <c r="F16" i="33" s="1"/>
  <c r="H7" i="21"/>
  <c r="I7" i="35"/>
  <c r="I10" i="35" s="1"/>
  <c r="H23" i="35"/>
  <c r="G49" i="21"/>
  <c r="G9" i="21"/>
  <c r="G83" i="29"/>
  <c r="G9" i="29"/>
  <c r="G9" i="33"/>
  <c r="G48" i="21"/>
  <c r="G23" i="18"/>
  <c r="H7" i="29"/>
  <c r="H61" i="29" s="1"/>
  <c r="D7" i="1"/>
  <c r="F50" i="21"/>
  <c r="F29" i="35"/>
  <c r="F31" i="35" s="1"/>
  <c r="F36" i="35" s="1"/>
  <c r="F42" i="35" s="1"/>
  <c r="G78" i="29"/>
  <c r="F84" i="29"/>
  <c r="G61" i="29"/>
  <c r="G23" i="29"/>
  <c r="G52" i="29"/>
  <c r="F56" i="35"/>
  <c r="G56" i="35" s="1"/>
  <c r="G58" i="35" s="1"/>
  <c r="G90" i="29"/>
  <c r="G73" i="29"/>
  <c r="K87" i="10"/>
  <c r="D33" i="33"/>
  <c r="AI34" i="33" s="1"/>
  <c r="AI37" i="33" s="1"/>
  <c r="G28" i="29"/>
  <c r="F30" i="26"/>
  <c r="G30" i="26" s="1"/>
  <c r="G45" i="29"/>
  <c r="G35" i="29"/>
  <c r="K84" i="10"/>
  <c r="B23" i="18"/>
  <c r="G10" i="41"/>
  <c r="G11" i="41"/>
  <c r="H7" i="41"/>
  <c r="G9" i="41"/>
  <c r="F67" i="29"/>
  <c r="E23" i="18"/>
  <c r="G26" i="24"/>
  <c r="G29" i="24"/>
  <c r="G9" i="24"/>
  <c r="H7" i="24"/>
  <c r="G27" i="24"/>
  <c r="G25" i="24"/>
  <c r="H53" i="2"/>
  <c r="H62" i="2"/>
  <c r="I41" i="2"/>
  <c r="G83" i="2"/>
  <c r="G95" i="2" s="1"/>
  <c r="G74" i="2"/>
  <c r="F22" i="24"/>
  <c r="F41" i="23"/>
  <c r="F29" i="23"/>
  <c r="F28" i="23"/>
  <c r="D11" i="18"/>
  <c r="I11" i="18" s="1"/>
  <c r="I38" i="18"/>
  <c r="H9" i="22"/>
  <c r="I7" i="22"/>
  <c r="H10" i="22" s="1"/>
  <c r="D6" i="18"/>
  <c r="I44" i="18"/>
  <c r="D17" i="18"/>
  <c r="I17" i="18" s="1"/>
  <c r="I49" i="18"/>
  <c r="D22" i="18"/>
  <c r="I22" i="18" s="1"/>
  <c r="F77" i="26"/>
  <c r="G9" i="28"/>
  <c r="H7" i="28"/>
  <c r="I36" i="18"/>
  <c r="D9" i="18"/>
  <c r="I9" i="18" s="1"/>
  <c r="I46" i="18"/>
  <c r="D19" i="18"/>
  <c r="I19" i="18" s="1"/>
  <c r="I45" i="18"/>
  <c r="D18" i="18"/>
  <c r="I18" i="18" s="1"/>
  <c r="G24" i="23"/>
  <c r="G27" i="23" s="1"/>
  <c r="G21" i="23"/>
  <c r="G19" i="23"/>
  <c r="G9" i="23"/>
  <c r="G36" i="23"/>
  <c r="G34" i="23"/>
  <c r="H7" i="23"/>
  <c r="D10" i="18"/>
  <c r="I10" i="18" s="1"/>
  <c r="I37" i="18"/>
  <c r="I32" i="18"/>
  <c r="D5" i="18"/>
  <c r="I5" i="18" s="1"/>
  <c r="H9" i="26"/>
  <c r="I7" i="26"/>
  <c r="H10" i="26" s="1"/>
  <c r="H29" i="26"/>
  <c r="H76" i="26"/>
  <c r="H24" i="26"/>
  <c r="H71" i="26"/>
  <c r="D20" i="18"/>
  <c r="I20" i="18" s="1"/>
  <c r="I47" i="18"/>
  <c r="I48" i="18"/>
  <c r="D21" i="18"/>
  <c r="I21" i="18" s="1"/>
  <c r="I39" i="18"/>
  <c r="D12" i="18"/>
  <c r="I12" i="18" s="1"/>
  <c r="I31" i="18"/>
  <c r="D4" i="18"/>
  <c r="D50" i="18"/>
  <c r="E21" i="1"/>
  <c r="D7" i="18"/>
  <c r="I7" i="18" s="1"/>
  <c r="I34" i="18"/>
  <c r="F36" i="29"/>
  <c r="D8" i="18"/>
  <c r="F46" i="29"/>
  <c r="F11" i="22" l="1"/>
  <c r="F13" i="22" s="1"/>
  <c r="F33" i="22" s="1"/>
  <c r="F34" i="22" s="1"/>
  <c r="AP18" i="21"/>
  <c r="J18" i="21"/>
  <c r="AO18" i="21"/>
  <c r="AG18" i="21"/>
  <c r="Q18" i="21"/>
  <c r="AF18" i="21"/>
  <c r="P18" i="21"/>
  <c r="AM18" i="21"/>
  <c r="AE18" i="21"/>
  <c r="W18" i="21"/>
  <c r="O18" i="21"/>
  <c r="F18" i="21"/>
  <c r="AD18" i="21"/>
  <c r="V18" i="21"/>
  <c r="N18" i="21"/>
  <c r="M18" i="21"/>
  <c r="AB18" i="21"/>
  <c r="L18" i="21"/>
  <c r="AL18" i="21"/>
  <c r="H18" i="21"/>
  <c r="AK18" i="21"/>
  <c r="AC18" i="21"/>
  <c r="U18" i="21"/>
  <c r="AJ18" i="21"/>
  <c r="T18" i="21"/>
  <c r="AR18" i="21"/>
  <c r="AQ18" i="21"/>
  <c r="AI18" i="21"/>
  <c r="AA18" i="21"/>
  <c r="S18" i="21"/>
  <c r="K18" i="21"/>
  <c r="AH18" i="21"/>
  <c r="Z18" i="21"/>
  <c r="R18" i="21"/>
  <c r="Y18" i="21"/>
  <c r="I18" i="21"/>
  <c r="AN18" i="21"/>
  <c r="X18" i="21"/>
  <c r="G18" i="21"/>
  <c r="I7" i="21"/>
  <c r="H47" i="21"/>
  <c r="H49" i="21"/>
  <c r="H46" i="21"/>
  <c r="H48" i="21"/>
  <c r="H9" i="21"/>
  <c r="H10" i="33"/>
  <c r="I9" i="33"/>
  <c r="I23" i="35"/>
  <c r="I15" i="35"/>
  <c r="I17" i="35"/>
  <c r="I40" i="35"/>
  <c r="J7" i="35"/>
  <c r="J66" i="35" s="1"/>
  <c r="I10" i="33"/>
  <c r="I16" i="33" s="1"/>
  <c r="F17" i="33"/>
  <c r="I55" i="35"/>
  <c r="G10" i="33"/>
  <c r="F15" i="33"/>
  <c r="H10" i="35"/>
  <c r="H17" i="35" s="1"/>
  <c r="J7" i="33"/>
  <c r="J11" i="33" s="1"/>
  <c r="G50" i="21"/>
  <c r="I16" i="35"/>
  <c r="G29" i="29"/>
  <c r="G32" i="29" s="1"/>
  <c r="G36" i="29" s="1"/>
  <c r="I66" i="35"/>
  <c r="I9" i="35"/>
  <c r="I67" i="35"/>
  <c r="I39" i="35"/>
  <c r="I50" i="35"/>
  <c r="G10" i="35"/>
  <c r="F10" i="35"/>
  <c r="I28" i="35"/>
  <c r="G84" i="29"/>
  <c r="X34" i="33"/>
  <c r="X37" i="33" s="1"/>
  <c r="H83" i="29"/>
  <c r="R34" i="33"/>
  <c r="R37" i="33" s="1"/>
  <c r="H52" i="29"/>
  <c r="F87" i="29"/>
  <c r="F91" i="29" s="1"/>
  <c r="G29" i="35"/>
  <c r="F35" i="35"/>
  <c r="F41" i="35" s="1"/>
  <c r="F45" i="35" s="1"/>
  <c r="H78" i="29"/>
  <c r="H9" i="29"/>
  <c r="I7" i="29"/>
  <c r="I11" i="29" s="1"/>
  <c r="H45" i="29"/>
  <c r="H40" i="29"/>
  <c r="H90" i="29"/>
  <c r="H23" i="29"/>
  <c r="H73" i="29"/>
  <c r="H28" i="29"/>
  <c r="H35" i="29"/>
  <c r="H66" i="29"/>
  <c r="F58" i="35"/>
  <c r="H56" i="35"/>
  <c r="H58" i="35" s="1"/>
  <c r="F11" i="24"/>
  <c r="F13" i="24" s="1"/>
  <c r="H11" i="21"/>
  <c r="F11" i="21"/>
  <c r="F13" i="21" s="1"/>
  <c r="G37" i="26"/>
  <c r="G43" i="26"/>
  <c r="W34" i="33"/>
  <c r="W37" i="33" s="1"/>
  <c r="AK34" i="33"/>
  <c r="AK37" i="33" s="1"/>
  <c r="H34" i="33"/>
  <c r="H37" i="33" s="1"/>
  <c r="I34" i="33"/>
  <c r="I37" i="33" s="1"/>
  <c r="G34" i="33"/>
  <c r="G37" i="33" s="1"/>
  <c r="Y34" i="33"/>
  <c r="Y37" i="33" s="1"/>
  <c r="U34" i="33"/>
  <c r="U37" i="33" s="1"/>
  <c r="J34" i="33"/>
  <c r="J37" i="33" s="1"/>
  <c r="F34" i="33"/>
  <c r="AN34" i="33"/>
  <c r="AN37" i="33" s="1"/>
  <c r="AO34" i="33"/>
  <c r="AO37" i="33" s="1"/>
  <c r="AG34" i="33"/>
  <c r="AG37" i="33" s="1"/>
  <c r="AD34" i="33"/>
  <c r="AD37" i="33" s="1"/>
  <c r="S34" i="33"/>
  <c r="S37" i="33" s="1"/>
  <c r="T34" i="33"/>
  <c r="T37" i="33" s="1"/>
  <c r="K34" i="33"/>
  <c r="K37" i="33" s="1"/>
  <c r="O34" i="33"/>
  <c r="O37" i="33" s="1"/>
  <c r="L34" i="33"/>
  <c r="L37" i="33" s="1"/>
  <c r="AE34" i="33"/>
  <c r="AE37" i="33" s="1"/>
  <c r="AL34" i="33"/>
  <c r="AL37" i="33" s="1"/>
  <c r="Q34" i="33"/>
  <c r="Q37" i="33" s="1"/>
  <c r="AP34" i="33"/>
  <c r="AP37" i="33" s="1"/>
  <c r="AQ34" i="33"/>
  <c r="AQ37" i="33" s="1"/>
  <c r="AH34" i="33"/>
  <c r="AH37" i="33" s="1"/>
  <c r="P34" i="33"/>
  <c r="P37" i="33" s="1"/>
  <c r="AR34" i="33"/>
  <c r="AR37" i="33" s="1"/>
  <c r="AB34" i="33"/>
  <c r="AB37" i="33" s="1"/>
  <c r="AC34" i="33"/>
  <c r="AC37" i="33" s="1"/>
  <c r="AA34" i="33"/>
  <c r="AA37" i="33" s="1"/>
  <c r="N34" i="33"/>
  <c r="N37" i="33" s="1"/>
  <c r="AF34" i="33"/>
  <c r="AF37" i="33" s="1"/>
  <c r="Z34" i="33"/>
  <c r="Z37" i="33" s="1"/>
  <c r="AM34" i="33"/>
  <c r="AM37" i="33" s="1"/>
  <c r="V34" i="33"/>
  <c r="V37" i="33" s="1"/>
  <c r="F37" i="26"/>
  <c r="F43" i="26"/>
  <c r="AJ34" i="33"/>
  <c r="AJ37" i="33" s="1"/>
  <c r="M34" i="33"/>
  <c r="M37" i="33" s="1"/>
  <c r="H10" i="41"/>
  <c r="H11" i="41"/>
  <c r="I7" i="41"/>
  <c r="H12" i="41" s="1"/>
  <c r="H9" i="41"/>
  <c r="F11" i="35"/>
  <c r="F13" i="35" s="1"/>
  <c r="J7" i="21"/>
  <c r="J46" i="21" s="1"/>
  <c r="I47" i="21"/>
  <c r="I49" i="21"/>
  <c r="I48" i="21"/>
  <c r="I46" i="21"/>
  <c r="I9" i="21"/>
  <c r="G10" i="21"/>
  <c r="F10" i="21"/>
  <c r="H10" i="21"/>
  <c r="I10" i="21"/>
  <c r="G11" i="26"/>
  <c r="G11" i="24"/>
  <c r="F11" i="23"/>
  <c r="F13" i="23" s="1"/>
  <c r="G67" i="29"/>
  <c r="F70" i="29"/>
  <c r="F74" i="29" s="1"/>
  <c r="H83" i="2"/>
  <c r="H95" i="2" s="1"/>
  <c r="H74" i="2"/>
  <c r="I7" i="24"/>
  <c r="I11" i="24" s="1"/>
  <c r="H9" i="24"/>
  <c r="H11" i="24"/>
  <c r="H30" i="26"/>
  <c r="H43" i="26" s="1"/>
  <c r="I62" i="2"/>
  <c r="I53" i="2"/>
  <c r="J41" i="2"/>
  <c r="G29" i="23"/>
  <c r="G28" i="23"/>
  <c r="G41" i="23"/>
  <c r="G22" i="24"/>
  <c r="H15" i="26"/>
  <c r="H16" i="26"/>
  <c r="H17" i="26"/>
  <c r="F22" i="22"/>
  <c r="G11" i="35"/>
  <c r="H11" i="29"/>
  <c r="H11" i="35"/>
  <c r="G22" i="22"/>
  <c r="G23" i="22" s="1"/>
  <c r="I11" i="35"/>
  <c r="I11" i="21"/>
  <c r="G11" i="29"/>
  <c r="H11" i="22"/>
  <c r="G11" i="28"/>
  <c r="G11" i="22"/>
  <c r="G13" i="22" s="1"/>
  <c r="G33" i="22" s="1"/>
  <c r="G34" i="22" s="1"/>
  <c r="G13" i="41"/>
  <c r="F11" i="29"/>
  <c r="F13" i="29" s="1"/>
  <c r="H11" i="26"/>
  <c r="H19" i="23"/>
  <c r="H24" i="23"/>
  <c r="H27" i="23" s="1"/>
  <c r="H21" i="23"/>
  <c r="I7" i="23"/>
  <c r="H10" i="23" s="1"/>
  <c r="H36" i="23"/>
  <c r="H34" i="23"/>
  <c r="H11" i="23"/>
  <c r="H9" i="23"/>
  <c r="H11" i="28"/>
  <c r="H9" i="28"/>
  <c r="I7" i="28"/>
  <c r="F49" i="29"/>
  <c r="G46" i="29"/>
  <c r="I11" i="33"/>
  <c r="H13" i="41"/>
  <c r="G11" i="21"/>
  <c r="F89" i="26"/>
  <c r="F93" i="26" s="1"/>
  <c r="F96" i="26" s="1"/>
  <c r="F29" i="28"/>
  <c r="G37" i="23"/>
  <c r="F46" i="23"/>
  <c r="F51" i="26"/>
  <c r="F55" i="26" s="1"/>
  <c r="F59" i="26" s="1"/>
  <c r="F11" i="28"/>
  <c r="F13" i="28" s="1"/>
  <c r="G11" i="33"/>
  <c r="I10" i="26"/>
  <c r="F10" i="26"/>
  <c r="I9" i="26"/>
  <c r="I11" i="26"/>
  <c r="J7" i="26"/>
  <c r="I24" i="26"/>
  <c r="I76" i="26"/>
  <c r="I71" i="26"/>
  <c r="I29" i="26"/>
  <c r="G10" i="26"/>
  <c r="G62" i="35"/>
  <c r="G68" i="35" s="1"/>
  <c r="G63" i="35"/>
  <c r="G69" i="35" s="1"/>
  <c r="F84" i="26"/>
  <c r="G77" i="26"/>
  <c r="H22" i="22"/>
  <c r="H23" i="22" s="1"/>
  <c r="F25" i="41"/>
  <c r="F41" i="41" s="1"/>
  <c r="F42" i="23"/>
  <c r="H15" i="22"/>
  <c r="H16" i="22"/>
  <c r="H17" i="22"/>
  <c r="F26" i="41"/>
  <c r="F49" i="41" s="1"/>
  <c r="F43" i="23"/>
  <c r="H11" i="33"/>
  <c r="F11" i="26"/>
  <c r="F13" i="26" s="1"/>
  <c r="F35" i="18"/>
  <c r="H33" i="18"/>
  <c r="G11" i="23"/>
  <c r="I10" i="22"/>
  <c r="I9" i="22"/>
  <c r="I11" i="22"/>
  <c r="F10" i="22"/>
  <c r="I22" i="22"/>
  <c r="I23" i="22" s="1"/>
  <c r="J7" i="22"/>
  <c r="G10" i="22"/>
  <c r="F68" i="26"/>
  <c r="F65" i="24"/>
  <c r="F11" i="33"/>
  <c r="F13" i="33" s="1"/>
  <c r="F13" i="41"/>
  <c r="I4" i="18"/>
  <c r="D23" i="18"/>
  <c r="G36" i="21" l="1"/>
  <c r="G58" i="21"/>
  <c r="K58" i="21"/>
  <c r="K36" i="21"/>
  <c r="U36" i="21"/>
  <c r="U58" i="21"/>
  <c r="N58" i="21"/>
  <c r="N36" i="21"/>
  <c r="P58" i="21"/>
  <c r="P36" i="21"/>
  <c r="X36" i="21"/>
  <c r="X58" i="21"/>
  <c r="S36" i="21"/>
  <c r="S58" i="21"/>
  <c r="AC36" i="21"/>
  <c r="AC58" i="21"/>
  <c r="V36" i="21"/>
  <c r="V58" i="21"/>
  <c r="AF36" i="21"/>
  <c r="AF58" i="21"/>
  <c r="AD36" i="21"/>
  <c r="AD58" i="21"/>
  <c r="I36" i="21"/>
  <c r="I58" i="21"/>
  <c r="AI36" i="21"/>
  <c r="AI58" i="21"/>
  <c r="H36" i="21"/>
  <c r="H58" i="21"/>
  <c r="F36" i="21"/>
  <c r="F58" i="21"/>
  <c r="D18" i="21"/>
  <c r="AG36" i="21"/>
  <c r="AG58" i="21"/>
  <c r="AN36" i="21"/>
  <c r="AN58" i="21"/>
  <c r="AA36" i="21"/>
  <c r="AA58" i="21"/>
  <c r="AK36" i="21"/>
  <c r="AK58" i="21"/>
  <c r="Q36" i="21"/>
  <c r="Q58" i="21"/>
  <c r="Y36" i="21"/>
  <c r="Y58" i="21"/>
  <c r="AQ36" i="21"/>
  <c r="AQ58" i="21"/>
  <c r="AL36" i="21"/>
  <c r="AL58" i="21"/>
  <c r="O36" i="21"/>
  <c r="O58" i="21"/>
  <c r="AO36" i="21"/>
  <c r="AO58" i="21"/>
  <c r="R36" i="21"/>
  <c r="R58" i="21"/>
  <c r="AR58" i="21"/>
  <c r="AR36" i="21"/>
  <c r="L36" i="21"/>
  <c r="L58" i="21"/>
  <c r="W36" i="21"/>
  <c r="W58" i="21"/>
  <c r="J36" i="21"/>
  <c r="J58" i="21"/>
  <c r="Z58" i="21"/>
  <c r="Z36" i="21"/>
  <c r="T58" i="21"/>
  <c r="T36" i="21"/>
  <c r="AB58" i="21"/>
  <c r="AB36" i="21"/>
  <c r="AE36" i="21"/>
  <c r="AE58" i="21"/>
  <c r="AP36" i="21"/>
  <c r="AP58" i="21"/>
  <c r="AH58" i="21"/>
  <c r="AH36" i="21"/>
  <c r="AJ58" i="21"/>
  <c r="AJ36" i="21"/>
  <c r="M36" i="21"/>
  <c r="M58" i="21"/>
  <c r="AM58" i="21"/>
  <c r="AM36" i="21"/>
  <c r="J67" i="35"/>
  <c r="F37" i="41"/>
  <c r="F38" i="41" s="1"/>
  <c r="F42" i="41" s="1"/>
  <c r="F43" i="41" s="1"/>
  <c r="F35" i="41"/>
  <c r="F36" i="41" s="1"/>
  <c r="F50" i="41" s="1"/>
  <c r="F51" i="41" s="1"/>
  <c r="F15" i="41"/>
  <c r="G15" i="41" s="1"/>
  <c r="H15" i="41" s="1"/>
  <c r="H50" i="21"/>
  <c r="H16" i="35"/>
  <c r="J40" i="35"/>
  <c r="J11" i="35"/>
  <c r="K7" i="35"/>
  <c r="K9" i="35" s="1"/>
  <c r="J28" i="35"/>
  <c r="J50" i="35"/>
  <c r="G13" i="23"/>
  <c r="H13" i="23" s="1"/>
  <c r="F94" i="29"/>
  <c r="H15" i="35"/>
  <c r="H15" i="33"/>
  <c r="H45" i="33" s="1"/>
  <c r="H48" i="2" s="1"/>
  <c r="H17" i="33"/>
  <c r="H47" i="33" s="1"/>
  <c r="H90" i="2" s="1"/>
  <c r="H16" i="33"/>
  <c r="H46" i="33" s="1"/>
  <c r="H69" i="2" s="1"/>
  <c r="G16" i="33"/>
  <c r="G46" i="33" s="1"/>
  <c r="G69" i="2" s="1"/>
  <c r="G17" i="33"/>
  <c r="G47" i="33" s="1"/>
  <c r="G90" i="2" s="1"/>
  <c r="I56" i="35"/>
  <c r="I58" i="35" s="1"/>
  <c r="J39" i="35"/>
  <c r="J23" i="35"/>
  <c r="J55" i="35"/>
  <c r="I15" i="33"/>
  <c r="I45" i="33" s="1"/>
  <c r="I48" i="2" s="1"/>
  <c r="I17" i="33"/>
  <c r="I47" i="33" s="1"/>
  <c r="I90" i="2" s="1"/>
  <c r="H84" i="29"/>
  <c r="H87" i="29" s="1"/>
  <c r="H91" i="29" s="1"/>
  <c r="J9" i="33"/>
  <c r="J10" i="33"/>
  <c r="K7" i="33"/>
  <c r="G15" i="33"/>
  <c r="G45" i="33" s="1"/>
  <c r="G48" i="2" s="1"/>
  <c r="J10" i="35"/>
  <c r="J9" i="35"/>
  <c r="K67" i="35"/>
  <c r="G87" i="29"/>
  <c r="G91" i="29" s="1"/>
  <c r="G15" i="35"/>
  <c r="G16" i="35"/>
  <c r="G17" i="35"/>
  <c r="F15" i="35"/>
  <c r="F16" i="35"/>
  <c r="F17" i="35"/>
  <c r="K40" i="35"/>
  <c r="K50" i="35"/>
  <c r="G46" i="26"/>
  <c r="G48" i="26" s="1"/>
  <c r="H29" i="29"/>
  <c r="H32" i="29" s="1"/>
  <c r="H36" i="29" s="1"/>
  <c r="I13" i="41"/>
  <c r="H10" i="29"/>
  <c r="I73" i="29"/>
  <c r="I83" i="29"/>
  <c r="I35" i="29"/>
  <c r="I61" i="29"/>
  <c r="I45" i="29"/>
  <c r="I90" i="29"/>
  <c r="G10" i="29"/>
  <c r="I40" i="29"/>
  <c r="J7" i="29"/>
  <c r="I78" i="29"/>
  <c r="F10" i="29"/>
  <c r="I28" i="29"/>
  <c r="I52" i="29"/>
  <c r="I23" i="29"/>
  <c r="I9" i="29"/>
  <c r="I10" i="29"/>
  <c r="I66" i="29"/>
  <c r="J11" i="21"/>
  <c r="F46" i="26"/>
  <c r="F48" i="26" s="1"/>
  <c r="H29" i="35"/>
  <c r="G31" i="35"/>
  <c r="G13" i="21"/>
  <c r="H13" i="21" s="1"/>
  <c r="I13" i="21" s="1"/>
  <c r="F63" i="35"/>
  <c r="F69" i="35" s="1"/>
  <c r="F62" i="35"/>
  <c r="F68" i="35" s="1"/>
  <c r="G13" i="35"/>
  <c r="H13" i="35" s="1"/>
  <c r="I13" i="35" s="1"/>
  <c r="G13" i="26"/>
  <c r="H13" i="26" s="1"/>
  <c r="I13" i="26" s="1"/>
  <c r="F37" i="33"/>
  <c r="D37" i="33" s="1"/>
  <c r="D34" i="33"/>
  <c r="H37" i="26"/>
  <c r="H46" i="26" s="1"/>
  <c r="H48" i="26" s="1"/>
  <c r="H19" i="41"/>
  <c r="H17" i="41"/>
  <c r="H18" i="41"/>
  <c r="I11" i="41"/>
  <c r="I9" i="41"/>
  <c r="F12" i="41"/>
  <c r="I12" i="41"/>
  <c r="G12" i="41"/>
  <c r="J7" i="41"/>
  <c r="I10" i="41"/>
  <c r="G13" i="24"/>
  <c r="H13" i="24" s="1"/>
  <c r="I13" i="24" s="1"/>
  <c r="I50" i="21"/>
  <c r="H67" i="29"/>
  <c r="G70" i="29"/>
  <c r="G74" i="29" s="1"/>
  <c r="G94" i="29" s="1"/>
  <c r="I15" i="21"/>
  <c r="I17" i="21"/>
  <c r="I16" i="21"/>
  <c r="H17" i="21"/>
  <c r="H16" i="21"/>
  <c r="H15" i="21"/>
  <c r="F17" i="21"/>
  <c r="F15" i="21"/>
  <c r="F16" i="21"/>
  <c r="K7" i="21"/>
  <c r="J49" i="21"/>
  <c r="J9" i="21"/>
  <c r="J48" i="21"/>
  <c r="J47" i="21"/>
  <c r="J10" i="21"/>
  <c r="G15" i="21"/>
  <c r="G16" i="21"/>
  <c r="G17" i="21"/>
  <c r="I74" i="2"/>
  <c r="I83" i="2"/>
  <c r="I95" i="2" s="1"/>
  <c r="I28" i="24"/>
  <c r="I10" i="24"/>
  <c r="J7" i="24"/>
  <c r="I9" i="24"/>
  <c r="I29" i="24"/>
  <c r="I25" i="24"/>
  <c r="I27" i="24"/>
  <c r="I26" i="24"/>
  <c r="F10" i="24"/>
  <c r="G10" i="24"/>
  <c r="H13" i="22"/>
  <c r="H33" i="22" s="1"/>
  <c r="H34" i="22" s="1"/>
  <c r="H39" i="22" s="1"/>
  <c r="H50" i="22" s="1"/>
  <c r="G13" i="28"/>
  <c r="H13" i="28" s="1"/>
  <c r="I30" i="26"/>
  <c r="I43" i="26" s="1"/>
  <c r="K41" i="2"/>
  <c r="J62" i="2"/>
  <c r="J53" i="2"/>
  <c r="H10" i="24"/>
  <c r="H22" i="24"/>
  <c r="H41" i="23"/>
  <c r="H28" i="23"/>
  <c r="H29" i="23"/>
  <c r="J9" i="26"/>
  <c r="J10" i="26"/>
  <c r="J11" i="26"/>
  <c r="K7" i="26"/>
  <c r="J29" i="26"/>
  <c r="J76" i="26"/>
  <c r="J71" i="26"/>
  <c r="J24" i="26"/>
  <c r="F98" i="26"/>
  <c r="F23" i="22"/>
  <c r="G13" i="29"/>
  <c r="H13" i="29" s="1"/>
  <c r="I13" i="29" s="1"/>
  <c r="G65" i="24"/>
  <c r="G68" i="26"/>
  <c r="I17" i="22"/>
  <c r="I28" i="22" s="1"/>
  <c r="I46" i="22" s="1"/>
  <c r="I16" i="22"/>
  <c r="I27" i="22" s="1"/>
  <c r="I45" i="22" s="1"/>
  <c r="I15" i="22"/>
  <c r="H77" i="26"/>
  <c r="G84" i="26"/>
  <c r="G86" i="26" s="1"/>
  <c r="F53" i="29"/>
  <c r="G25" i="41"/>
  <c r="G42" i="23"/>
  <c r="H46" i="29"/>
  <c r="G49" i="29"/>
  <c r="G53" i="29" s="1"/>
  <c r="H50" i="18"/>
  <c r="H6" i="18"/>
  <c r="I33" i="18"/>
  <c r="F86" i="26"/>
  <c r="G16" i="26"/>
  <c r="G15" i="26"/>
  <c r="G17" i="26"/>
  <c r="F16" i="26"/>
  <c r="F17" i="26"/>
  <c r="F15" i="26"/>
  <c r="G26" i="41"/>
  <c r="G49" i="41" s="1"/>
  <c r="G35" i="41" s="1"/>
  <c r="G43" i="23"/>
  <c r="G17" i="22"/>
  <c r="G40" i="22" s="1"/>
  <c r="G51" i="22" s="1"/>
  <c r="G15" i="22"/>
  <c r="G38" i="22" s="1"/>
  <c r="G49" i="22" s="1"/>
  <c r="G16" i="22"/>
  <c r="G39" i="22" s="1"/>
  <c r="G50" i="22" s="1"/>
  <c r="F8" i="18"/>
  <c r="F50" i="18"/>
  <c r="I35" i="18"/>
  <c r="H26" i="22"/>
  <c r="H44" i="22" s="1"/>
  <c r="H28" i="22"/>
  <c r="H46" i="22" s="1"/>
  <c r="H27" i="22"/>
  <c r="H45" i="22" s="1"/>
  <c r="I16" i="26"/>
  <c r="I15" i="26"/>
  <c r="I17" i="26"/>
  <c r="F61" i="26"/>
  <c r="I46" i="33"/>
  <c r="I69" i="2" s="1"/>
  <c r="J11" i="22"/>
  <c r="J9" i="22"/>
  <c r="K7" i="22"/>
  <c r="J10" i="22"/>
  <c r="J22" i="22"/>
  <c r="J23" i="22" s="1"/>
  <c r="I10" i="28"/>
  <c r="I11" i="28"/>
  <c r="F10" i="28"/>
  <c r="I9" i="28"/>
  <c r="J7" i="28"/>
  <c r="G10" i="28"/>
  <c r="H37" i="23"/>
  <c r="G51" i="26"/>
  <c r="G55" i="26" s="1"/>
  <c r="G59" i="26" s="1"/>
  <c r="G61" i="26" s="1"/>
  <c r="G46" i="23"/>
  <c r="G89" i="26"/>
  <c r="G93" i="26" s="1"/>
  <c r="G96" i="26" s="1"/>
  <c r="G98" i="26" s="1"/>
  <c r="G29" i="28"/>
  <c r="H10" i="28"/>
  <c r="I19" i="23"/>
  <c r="I24" i="23"/>
  <c r="I27" i="23" s="1"/>
  <c r="I21" i="23"/>
  <c r="I36" i="23"/>
  <c r="I9" i="23"/>
  <c r="I11" i="23"/>
  <c r="F10" i="23"/>
  <c r="J7" i="23"/>
  <c r="I34" i="23"/>
  <c r="I10" i="23"/>
  <c r="G10" i="23"/>
  <c r="G13" i="33"/>
  <c r="H13" i="33" s="1"/>
  <c r="I13" i="33" s="1"/>
  <c r="J13" i="33" s="1"/>
  <c r="F16" i="22"/>
  <c r="F39" i="22" s="1"/>
  <c r="F15" i="22"/>
  <c r="F38" i="22" s="1"/>
  <c r="F17" i="22"/>
  <c r="F40" i="22" s="1"/>
  <c r="G72" i="35"/>
  <c r="H62" i="35"/>
  <c r="H63" i="35"/>
  <c r="F49" i="28"/>
  <c r="F31" i="28"/>
  <c r="F35" i="28" s="1"/>
  <c r="F42" i="28"/>
  <c r="I63" i="21" l="1"/>
  <c r="I61" i="21"/>
  <c r="K66" i="35"/>
  <c r="J13" i="35"/>
  <c r="G41" i="41"/>
  <c r="G36" i="41"/>
  <c r="G50" i="41" s="1"/>
  <c r="G51" i="41" s="1"/>
  <c r="G54" i="41" s="1"/>
  <c r="J56" i="35"/>
  <c r="J58" i="35" s="1"/>
  <c r="K11" i="35"/>
  <c r="K55" i="35"/>
  <c r="K28" i="35"/>
  <c r="L7" i="35"/>
  <c r="L10" i="35" s="1"/>
  <c r="F45" i="33"/>
  <c r="F48" i="2" s="1"/>
  <c r="M7" i="35"/>
  <c r="M10" i="35" s="1"/>
  <c r="M17" i="35" s="1"/>
  <c r="I84" i="29"/>
  <c r="I87" i="29" s="1"/>
  <c r="I91" i="29" s="1"/>
  <c r="K10" i="35"/>
  <c r="K23" i="35"/>
  <c r="F47" i="33"/>
  <c r="F90" i="2" s="1"/>
  <c r="I15" i="41"/>
  <c r="K39" i="35"/>
  <c r="J16" i="35"/>
  <c r="J15" i="35"/>
  <c r="J17" i="35"/>
  <c r="L7" i="33"/>
  <c r="K11" i="33"/>
  <c r="K13" i="33" s="1"/>
  <c r="K10" i="33"/>
  <c r="K9" i="33"/>
  <c r="J17" i="33"/>
  <c r="J47" i="33" s="1"/>
  <c r="J90" i="2" s="1"/>
  <c r="J16" i="33"/>
  <c r="J46" i="33" s="1"/>
  <c r="J69" i="2" s="1"/>
  <c r="J15" i="33"/>
  <c r="J45" i="33" s="1"/>
  <c r="J48" i="2" s="1"/>
  <c r="F72" i="35"/>
  <c r="F77" i="35" s="1"/>
  <c r="F66" i="2" s="1"/>
  <c r="H40" i="22"/>
  <c r="H51" i="22" s="1"/>
  <c r="H56" i="22" s="1"/>
  <c r="H91" i="2" s="1"/>
  <c r="J13" i="21"/>
  <c r="F46" i="33"/>
  <c r="F69" i="2" s="1"/>
  <c r="I29" i="29"/>
  <c r="I32" i="29" s="1"/>
  <c r="I36" i="29" s="1"/>
  <c r="G36" i="35"/>
  <c r="G42" i="35" s="1"/>
  <c r="G35" i="35"/>
  <c r="G41" i="35" s="1"/>
  <c r="I29" i="35"/>
  <c r="H31" i="35"/>
  <c r="F15" i="29"/>
  <c r="F17" i="29"/>
  <c r="F16" i="29"/>
  <c r="J52" i="29"/>
  <c r="J35" i="29"/>
  <c r="J28" i="29"/>
  <c r="J90" i="29"/>
  <c r="J61" i="29"/>
  <c r="J40" i="29"/>
  <c r="J73" i="29"/>
  <c r="J45" i="29"/>
  <c r="J10" i="29"/>
  <c r="J78" i="29"/>
  <c r="J9" i="29"/>
  <c r="J11" i="29"/>
  <c r="J13" i="29" s="1"/>
  <c r="J83" i="29"/>
  <c r="K7" i="29"/>
  <c r="J66" i="29"/>
  <c r="J23" i="29"/>
  <c r="I15" i="29"/>
  <c r="I17" i="29"/>
  <c r="I16" i="29"/>
  <c r="H15" i="29"/>
  <c r="H17" i="29"/>
  <c r="H16" i="29"/>
  <c r="G15" i="29"/>
  <c r="G16" i="29"/>
  <c r="G17" i="29"/>
  <c r="I13" i="23"/>
  <c r="I13" i="28"/>
  <c r="G28" i="22"/>
  <c r="G46" i="22" s="1"/>
  <c r="G56" i="22" s="1"/>
  <c r="G91" i="2" s="1"/>
  <c r="M66" i="35"/>
  <c r="I13" i="22"/>
  <c r="I33" i="22" s="1"/>
  <c r="I34" i="22" s="1"/>
  <c r="I40" i="22" s="1"/>
  <c r="I51" i="22" s="1"/>
  <c r="I56" i="22" s="1"/>
  <c r="I91" i="2" s="1"/>
  <c r="I50" i="18"/>
  <c r="I37" i="26"/>
  <c r="I46" i="26" s="1"/>
  <c r="I48" i="26" s="1"/>
  <c r="I18" i="41"/>
  <c r="I17" i="41"/>
  <c r="I19" i="41"/>
  <c r="G17" i="41"/>
  <c r="G19" i="41"/>
  <c r="G18" i="41"/>
  <c r="F18" i="41"/>
  <c r="F17" i="41"/>
  <c r="F19" i="41"/>
  <c r="G27" i="22"/>
  <c r="G45" i="22" s="1"/>
  <c r="G55" i="22" s="1"/>
  <c r="G70" i="2" s="1"/>
  <c r="G26" i="22"/>
  <c r="G44" i="22" s="1"/>
  <c r="G54" i="22" s="1"/>
  <c r="G49" i="2" s="1"/>
  <c r="J50" i="21"/>
  <c r="J10" i="41"/>
  <c r="J11" i="41"/>
  <c r="J12" i="41"/>
  <c r="J9" i="41"/>
  <c r="K7" i="41"/>
  <c r="J13" i="41"/>
  <c r="I54" i="21"/>
  <c r="I68" i="21" s="1"/>
  <c r="I32" i="21"/>
  <c r="H63" i="21"/>
  <c r="H55" i="21"/>
  <c r="H69" i="21" s="1"/>
  <c r="H33" i="21"/>
  <c r="H37" i="21" s="1"/>
  <c r="F62" i="21"/>
  <c r="F54" i="21"/>
  <c r="F68" i="21" s="1"/>
  <c r="F32" i="21"/>
  <c r="I31" i="21"/>
  <c r="I53" i="21"/>
  <c r="I67" i="21" s="1"/>
  <c r="I62" i="21"/>
  <c r="F61" i="21"/>
  <c r="F31" i="21"/>
  <c r="F53" i="21"/>
  <c r="F67" i="21" s="1"/>
  <c r="I33" i="21"/>
  <c r="I37" i="21" s="1"/>
  <c r="I55" i="21"/>
  <c r="I69" i="21" s="1"/>
  <c r="G63" i="21"/>
  <c r="G33" i="21"/>
  <c r="G37" i="21" s="1"/>
  <c r="G55" i="21"/>
  <c r="G69" i="21" s="1"/>
  <c r="J16" i="21"/>
  <c r="J32" i="21" s="1"/>
  <c r="J17" i="21"/>
  <c r="J15" i="21"/>
  <c r="J31" i="21" s="1"/>
  <c r="F63" i="21"/>
  <c r="F33" i="21"/>
  <c r="F37" i="21" s="1"/>
  <c r="F40" i="21" s="1"/>
  <c r="F55" i="21"/>
  <c r="F69" i="21" s="1"/>
  <c r="I67" i="29"/>
  <c r="H70" i="29"/>
  <c r="H74" i="29" s="1"/>
  <c r="H94" i="29" s="1"/>
  <c r="K49" i="21"/>
  <c r="K47" i="21"/>
  <c r="K10" i="21"/>
  <c r="L7" i="21"/>
  <c r="L49" i="21" s="1"/>
  <c r="K9" i="21"/>
  <c r="K48" i="21"/>
  <c r="K46" i="21"/>
  <c r="K11" i="21"/>
  <c r="G54" i="21"/>
  <c r="G68" i="21" s="1"/>
  <c r="G62" i="21"/>
  <c r="G32" i="21"/>
  <c r="H53" i="21"/>
  <c r="H67" i="21" s="1"/>
  <c r="H31" i="21"/>
  <c r="H61" i="21"/>
  <c r="G31" i="21"/>
  <c r="G61" i="21"/>
  <c r="G53" i="21"/>
  <c r="G67" i="21" s="1"/>
  <c r="H32" i="21"/>
  <c r="H62" i="21"/>
  <c r="H54" i="21"/>
  <c r="H68" i="21" s="1"/>
  <c r="H17" i="24"/>
  <c r="H15" i="24"/>
  <c r="H16" i="24"/>
  <c r="J27" i="24"/>
  <c r="K7" i="24"/>
  <c r="J25" i="24"/>
  <c r="J10" i="24"/>
  <c r="J26" i="24"/>
  <c r="J28" i="24"/>
  <c r="J9" i="24"/>
  <c r="J29" i="24"/>
  <c r="J11" i="24"/>
  <c r="J13" i="24" s="1"/>
  <c r="H55" i="22"/>
  <c r="H70" i="2" s="1"/>
  <c r="J74" i="2"/>
  <c r="J83" i="2"/>
  <c r="J95" i="2" s="1"/>
  <c r="G17" i="24"/>
  <c r="G16" i="24"/>
  <c r="G15" i="24"/>
  <c r="I17" i="24"/>
  <c r="I15" i="24"/>
  <c r="I16" i="24"/>
  <c r="J30" i="26"/>
  <c r="J43" i="26" s="1"/>
  <c r="K62" i="2"/>
  <c r="L41" i="2"/>
  <c r="K53" i="2"/>
  <c r="F17" i="24"/>
  <c r="F15" i="24"/>
  <c r="F16" i="24"/>
  <c r="H38" i="22"/>
  <c r="H49" i="22" s="1"/>
  <c r="H54" i="22" s="1"/>
  <c r="H49" i="2" s="1"/>
  <c r="I22" i="24"/>
  <c r="I28" i="23"/>
  <c r="I29" i="23"/>
  <c r="I41" i="23"/>
  <c r="G64" i="26"/>
  <c r="H69" i="35"/>
  <c r="F51" i="22"/>
  <c r="G110" i="26"/>
  <c r="G44" i="2" s="1"/>
  <c r="G112" i="26"/>
  <c r="G86" i="2" s="1"/>
  <c r="G111" i="26"/>
  <c r="G65" i="2" s="1"/>
  <c r="K10" i="22"/>
  <c r="L7" i="22"/>
  <c r="K9" i="22"/>
  <c r="K11" i="22"/>
  <c r="K22" i="22"/>
  <c r="K23" i="22" s="1"/>
  <c r="H29" i="24"/>
  <c r="H27" i="24"/>
  <c r="H28" i="24"/>
  <c r="H25" i="24"/>
  <c r="H26" i="24"/>
  <c r="F101" i="26"/>
  <c r="F49" i="22"/>
  <c r="H89" i="26"/>
  <c r="H93" i="26" s="1"/>
  <c r="H96" i="26" s="1"/>
  <c r="I37" i="23"/>
  <c r="H29" i="28"/>
  <c r="H51" i="26"/>
  <c r="H55" i="26" s="1"/>
  <c r="H59" i="26" s="1"/>
  <c r="H61" i="26" s="1"/>
  <c r="H46" i="23"/>
  <c r="F50" i="22"/>
  <c r="K56" i="35"/>
  <c r="F110" i="26"/>
  <c r="F111" i="26"/>
  <c r="F112" i="26"/>
  <c r="F64" i="26"/>
  <c r="F23" i="18"/>
  <c r="I8" i="18"/>
  <c r="F56" i="29"/>
  <c r="J19" i="23"/>
  <c r="J24" i="23"/>
  <c r="J27" i="23" s="1"/>
  <c r="J21" i="23"/>
  <c r="K7" i="23"/>
  <c r="J11" i="23"/>
  <c r="J10" i="23"/>
  <c r="J9" i="23"/>
  <c r="J36" i="23"/>
  <c r="J34" i="23"/>
  <c r="H17" i="28"/>
  <c r="H16" i="28"/>
  <c r="H15" i="28"/>
  <c r="I63" i="35"/>
  <c r="I69" i="35" s="1"/>
  <c r="I62" i="35"/>
  <c r="I68" i="35" s="1"/>
  <c r="F46" i="41"/>
  <c r="F54" i="41"/>
  <c r="I26" i="22"/>
  <c r="I44" i="22" s="1"/>
  <c r="G15" i="28"/>
  <c r="G16" i="28"/>
  <c r="G17" i="28"/>
  <c r="G56" i="29"/>
  <c r="G101" i="26"/>
  <c r="F27" i="22"/>
  <c r="F28" i="22"/>
  <c r="F26" i="22"/>
  <c r="H26" i="41"/>
  <c r="H49" i="41" s="1"/>
  <c r="H35" i="41" s="1"/>
  <c r="H43" i="23"/>
  <c r="J10" i="28"/>
  <c r="K7" i="28"/>
  <c r="J11" i="28"/>
  <c r="J9" i="28"/>
  <c r="K11" i="26"/>
  <c r="K10" i="26"/>
  <c r="L7" i="26"/>
  <c r="K9" i="26"/>
  <c r="K24" i="26"/>
  <c r="K29" i="26"/>
  <c r="K71" i="26"/>
  <c r="K76" i="26"/>
  <c r="H68" i="35"/>
  <c r="I17" i="28"/>
  <c r="I16" i="28"/>
  <c r="I15" i="28"/>
  <c r="I46" i="29"/>
  <c r="H49" i="29"/>
  <c r="I77" i="26"/>
  <c r="H84" i="26"/>
  <c r="F37" i="28"/>
  <c r="H23" i="18"/>
  <c r="I6" i="18"/>
  <c r="J13" i="26"/>
  <c r="H68" i="26"/>
  <c r="H65" i="24"/>
  <c r="F44" i="28"/>
  <c r="G31" i="28"/>
  <c r="G35" i="28" s="1"/>
  <c r="G37" i="28" s="1"/>
  <c r="G49" i="28"/>
  <c r="G51" i="28" s="1"/>
  <c r="G42" i="28"/>
  <c r="G44" i="28" s="1"/>
  <c r="H25" i="41"/>
  <c r="H41" i="41" s="1"/>
  <c r="H42" i="23"/>
  <c r="F51" i="28"/>
  <c r="F15" i="28"/>
  <c r="F16" i="28"/>
  <c r="F17" i="28"/>
  <c r="J15" i="22"/>
  <c r="J26" i="22" s="1"/>
  <c r="J44" i="22" s="1"/>
  <c r="J16" i="22"/>
  <c r="J17" i="22"/>
  <c r="J15" i="26"/>
  <c r="J17" i="26"/>
  <c r="J16" i="26"/>
  <c r="K13" i="21" l="1"/>
  <c r="F72" i="21"/>
  <c r="F77" i="21" s="1"/>
  <c r="L55" i="35"/>
  <c r="K13" i="35"/>
  <c r="G37" i="41"/>
  <c r="G38" i="41" s="1"/>
  <c r="G42" i="41" s="1"/>
  <c r="G43" i="41" s="1"/>
  <c r="G46" i="41" s="1"/>
  <c r="G58" i="41" s="1"/>
  <c r="H37" i="41"/>
  <c r="H38" i="41" s="1"/>
  <c r="H42" i="41" s="1"/>
  <c r="H43" i="41" s="1"/>
  <c r="H36" i="41"/>
  <c r="H50" i="41" s="1"/>
  <c r="H51" i="41" s="1"/>
  <c r="H54" i="41" s="1"/>
  <c r="L50" i="35"/>
  <c r="N7" i="35"/>
  <c r="O7" i="35" s="1"/>
  <c r="O11" i="35" s="1"/>
  <c r="L39" i="35"/>
  <c r="M28" i="35"/>
  <c r="L15" i="35"/>
  <c r="L16" i="35"/>
  <c r="L17" i="35"/>
  <c r="J15" i="41"/>
  <c r="M39" i="35"/>
  <c r="F76" i="35"/>
  <c r="F45" i="2" s="1"/>
  <c r="L67" i="35"/>
  <c r="L9" i="35"/>
  <c r="L23" i="35"/>
  <c r="L11" i="35"/>
  <c r="L40" i="35"/>
  <c r="L66" i="35"/>
  <c r="L28" i="35"/>
  <c r="M23" i="35"/>
  <c r="M15" i="35"/>
  <c r="M16" i="35"/>
  <c r="M67" i="35"/>
  <c r="M50" i="35"/>
  <c r="M9" i="35"/>
  <c r="M11" i="35"/>
  <c r="M55" i="35"/>
  <c r="M40" i="35"/>
  <c r="G100" i="29"/>
  <c r="G88" i="2" s="1"/>
  <c r="K15" i="35"/>
  <c r="K16" i="35"/>
  <c r="K17" i="35"/>
  <c r="I23" i="18"/>
  <c r="L10" i="33"/>
  <c r="L11" i="33"/>
  <c r="L13" i="33" s="1"/>
  <c r="M7" i="33"/>
  <c r="L9" i="33"/>
  <c r="K15" i="33"/>
  <c r="K45" i="33" s="1"/>
  <c r="K48" i="2" s="1"/>
  <c r="K16" i="33"/>
  <c r="K46" i="33" s="1"/>
  <c r="K69" i="2" s="1"/>
  <c r="K17" i="33"/>
  <c r="K47" i="33" s="1"/>
  <c r="K90" i="2" s="1"/>
  <c r="F78" i="35"/>
  <c r="F87" i="2" s="1"/>
  <c r="J84" i="29"/>
  <c r="J87" i="29" s="1"/>
  <c r="J91" i="29" s="1"/>
  <c r="G45" i="35"/>
  <c r="G78" i="35" s="1"/>
  <c r="N9" i="35"/>
  <c r="J53" i="21"/>
  <c r="J67" i="21" s="1"/>
  <c r="F100" i="29"/>
  <c r="F88" i="2" s="1"/>
  <c r="J55" i="21"/>
  <c r="J69" i="21" s="1"/>
  <c r="G96" i="2"/>
  <c r="J29" i="29"/>
  <c r="J32" i="29" s="1"/>
  <c r="J36" i="29" s="1"/>
  <c r="I96" i="2"/>
  <c r="K10" i="29"/>
  <c r="K61" i="29"/>
  <c r="K52" i="29"/>
  <c r="K78" i="29"/>
  <c r="K35" i="29"/>
  <c r="K23" i="29"/>
  <c r="K9" i="29"/>
  <c r="K66" i="29"/>
  <c r="K28" i="29"/>
  <c r="K11" i="29"/>
  <c r="K13" i="29" s="1"/>
  <c r="K83" i="29"/>
  <c r="K90" i="29"/>
  <c r="K45" i="29"/>
  <c r="L7" i="29"/>
  <c r="K73" i="29"/>
  <c r="K40" i="29"/>
  <c r="N55" i="35"/>
  <c r="N39" i="35"/>
  <c r="H35" i="35"/>
  <c r="H41" i="35" s="1"/>
  <c r="H36" i="35"/>
  <c r="H42" i="35" s="1"/>
  <c r="I31" i="35"/>
  <c r="J29" i="35"/>
  <c r="N10" i="35"/>
  <c r="N16" i="35" s="1"/>
  <c r="J17" i="29"/>
  <c r="J16" i="29"/>
  <c r="J15" i="29"/>
  <c r="J13" i="23"/>
  <c r="H75" i="2"/>
  <c r="J13" i="28"/>
  <c r="J54" i="21"/>
  <c r="J68" i="21" s="1"/>
  <c r="I39" i="22"/>
  <c r="I50" i="22" s="1"/>
  <c r="I55" i="22" s="1"/>
  <c r="I70" i="2" s="1"/>
  <c r="I38" i="22"/>
  <c r="I49" i="22" s="1"/>
  <c r="I54" i="22" s="1"/>
  <c r="I49" i="2" s="1"/>
  <c r="J13" i="22"/>
  <c r="J33" i="22" s="1"/>
  <c r="J34" i="22" s="1"/>
  <c r="J39" i="22" s="1"/>
  <c r="J50" i="22" s="1"/>
  <c r="G54" i="2"/>
  <c r="F96" i="2"/>
  <c r="J18" i="41"/>
  <c r="J19" i="41"/>
  <c r="J17" i="41"/>
  <c r="F42" i="21"/>
  <c r="F74" i="21" s="1"/>
  <c r="F79" i="21" s="1"/>
  <c r="F41" i="21"/>
  <c r="F73" i="21" s="1"/>
  <c r="F78" i="21" s="1"/>
  <c r="J62" i="21"/>
  <c r="K10" i="41"/>
  <c r="K12" i="41"/>
  <c r="K11" i="41"/>
  <c r="K9" i="41"/>
  <c r="L7" i="41"/>
  <c r="K13" i="41"/>
  <c r="J61" i="21"/>
  <c r="K50" i="21"/>
  <c r="J37" i="26"/>
  <c r="J46" i="26" s="1"/>
  <c r="I70" i="29"/>
  <c r="I74" i="29" s="1"/>
  <c r="I94" i="29" s="1"/>
  <c r="J67" i="29"/>
  <c r="G41" i="21"/>
  <c r="G40" i="21"/>
  <c r="G72" i="21" s="1"/>
  <c r="G77" i="21" s="1"/>
  <c r="G42" i="21"/>
  <c r="G74" i="21" s="1"/>
  <c r="G79" i="21" s="1"/>
  <c r="H41" i="21"/>
  <c r="H73" i="21" s="1"/>
  <c r="H78" i="21" s="1"/>
  <c r="H40" i="21"/>
  <c r="H42" i="21"/>
  <c r="M7" i="21"/>
  <c r="L48" i="21"/>
  <c r="L10" i="21"/>
  <c r="L46" i="21"/>
  <c r="L11" i="21"/>
  <c r="L47" i="21"/>
  <c r="L9" i="21"/>
  <c r="K17" i="21"/>
  <c r="K16" i="21"/>
  <c r="K15" i="21"/>
  <c r="I40" i="21"/>
  <c r="I41" i="21"/>
  <c r="I42" i="21"/>
  <c r="I74" i="21" s="1"/>
  <c r="I79" i="21" s="1"/>
  <c r="K13" i="26"/>
  <c r="J63" i="21"/>
  <c r="J33" i="21"/>
  <c r="J37" i="21" s="1"/>
  <c r="F54" i="2"/>
  <c r="F75" i="2"/>
  <c r="L62" i="2"/>
  <c r="L53" i="2"/>
  <c r="M41" i="2"/>
  <c r="K74" i="2"/>
  <c r="K83" i="2"/>
  <c r="K95" i="2" s="1"/>
  <c r="J27" i="22"/>
  <c r="J45" i="22" s="1"/>
  <c r="J15" i="24"/>
  <c r="J17" i="24"/>
  <c r="J16" i="24"/>
  <c r="K30" i="26"/>
  <c r="K37" i="26" s="1"/>
  <c r="G53" i="28"/>
  <c r="G59" i="28" s="1"/>
  <c r="G68" i="2" s="1"/>
  <c r="K9" i="24"/>
  <c r="K27" i="24"/>
  <c r="K28" i="24"/>
  <c r="L7" i="24"/>
  <c r="K25" i="24"/>
  <c r="K29" i="24"/>
  <c r="K11" i="24"/>
  <c r="K13" i="24" s="1"/>
  <c r="K26" i="24"/>
  <c r="K10" i="24"/>
  <c r="J77" i="26"/>
  <c r="I84" i="26"/>
  <c r="I86" i="26" s="1"/>
  <c r="F46" i="22"/>
  <c r="F56" i="22" s="1"/>
  <c r="G99" i="29"/>
  <c r="G67" i="2" s="1"/>
  <c r="G98" i="29"/>
  <c r="G46" i="2" s="1"/>
  <c r="J28" i="23"/>
  <c r="J41" i="23"/>
  <c r="J29" i="23"/>
  <c r="J22" i="24"/>
  <c r="H53" i="29"/>
  <c r="I43" i="23"/>
  <c r="I26" i="41"/>
  <c r="J28" i="22"/>
  <c r="J46" i="22" s="1"/>
  <c r="I49" i="29"/>
  <c r="I53" i="29" s="1"/>
  <c r="J46" i="29"/>
  <c r="L10" i="26"/>
  <c r="M7" i="26"/>
  <c r="L11" i="26"/>
  <c r="L9" i="26"/>
  <c r="L71" i="26"/>
  <c r="L76" i="26"/>
  <c r="L29" i="26"/>
  <c r="L24" i="26"/>
  <c r="F65" i="2"/>
  <c r="L56" i="35"/>
  <c r="K58" i="35"/>
  <c r="H49" i="28"/>
  <c r="H51" i="28" s="1"/>
  <c r="H31" i="28"/>
  <c r="H35" i="28" s="1"/>
  <c r="H42" i="28"/>
  <c r="G106" i="26"/>
  <c r="G116" i="26" s="1"/>
  <c r="G64" i="2" s="1"/>
  <c r="G107" i="26"/>
  <c r="G117" i="26" s="1"/>
  <c r="G85" i="2" s="1"/>
  <c r="G105" i="26"/>
  <c r="G115" i="26" s="1"/>
  <c r="G43" i="2" s="1"/>
  <c r="I42" i="23"/>
  <c r="I25" i="41"/>
  <c r="I41" i="41" s="1"/>
  <c r="H72" i="35"/>
  <c r="F45" i="22"/>
  <c r="F86" i="2"/>
  <c r="K15" i="26"/>
  <c r="K16" i="26"/>
  <c r="K17" i="26"/>
  <c r="I72" i="35"/>
  <c r="F99" i="29"/>
  <c r="F98" i="29"/>
  <c r="F44" i="2"/>
  <c r="J63" i="35"/>
  <c r="J69" i="35" s="1"/>
  <c r="J62" i="35"/>
  <c r="I89" i="26"/>
  <c r="I93" i="26" s="1"/>
  <c r="I96" i="26" s="1"/>
  <c r="I98" i="26" s="1"/>
  <c r="I29" i="28"/>
  <c r="J37" i="23"/>
  <c r="I51" i="26"/>
  <c r="I55" i="26" s="1"/>
  <c r="I59" i="26" s="1"/>
  <c r="I61" i="26" s="1"/>
  <c r="I64" i="26" s="1"/>
  <c r="I46" i="23"/>
  <c r="F60" i="28"/>
  <c r="F53" i="28"/>
  <c r="F59" i="28"/>
  <c r="F58" i="28"/>
  <c r="K19" i="23"/>
  <c r="K24" i="23"/>
  <c r="K27" i="23" s="1"/>
  <c r="K21" i="23"/>
  <c r="K36" i="23"/>
  <c r="K9" i="23"/>
  <c r="L7" i="23"/>
  <c r="K11" i="23"/>
  <c r="K10" i="23"/>
  <c r="K34" i="23"/>
  <c r="K11" i="28"/>
  <c r="L7" i="28"/>
  <c r="K10" i="28"/>
  <c r="K9" i="28"/>
  <c r="L10" i="22"/>
  <c r="L11" i="22"/>
  <c r="L22" i="22"/>
  <c r="L9" i="22"/>
  <c r="M7" i="22"/>
  <c r="H98" i="26"/>
  <c r="H112" i="26" s="1"/>
  <c r="H64" i="26"/>
  <c r="H86" i="26"/>
  <c r="J16" i="28"/>
  <c r="J17" i="28"/>
  <c r="J15" i="28"/>
  <c r="F44" i="22"/>
  <c r="F54" i="22" s="1"/>
  <c r="F58" i="41"/>
  <c r="F107" i="26"/>
  <c r="F105" i="26"/>
  <c r="F106" i="26"/>
  <c r="K16" i="22"/>
  <c r="K15" i="22"/>
  <c r="K17" i="22"/>
  <c r="I68" i="26"/>
  <c r="I65" i="24"/>
  <c r="L13" i="21" l="1"/>
  <c r="H74" i="21"/>
  <c r="H79" i="21" s="1"/>
  <c r="H72" i="21"/>
  <c r="H77" i="21" s="1"/>
  <c r="I72" i="21"/>
  <c r="I77" i="21" s="1"/>
  <c r="I73" i="21"/>
  <c r="I78" i="21" s="1"/>
  <c r="G73" i="21"/>
  <c r="G78" i="21" s="1"/>
  <c r="N28" i="35"/>
  <c r="N11" i="35"/>
  <c r="N40" i="35"/>
  <c r="N50" i="35"/>
  <c r="N67" i="35"/>
  <c r="I49" i="41"/>
  <c r="L13" i="35"/>
  <c r="M13" i="35" s="1"/>
  <c r="G66" i="41"/>
  <c r="G50" i="2" s="1"/>
  <c r="G68" i="41"/>
  <c r="G92" i="2" s="1"/>
  <c r="G67" i="41"/>
  <c r="G71" i="2" s="1"/>
  <c r="I37" i="41"/>
  <c r="I38" i="41" s="1"/>
  <c r="I42" i="41" s="1"/>
  <c r="I43" i="41" s="1"/>
  <c r="I46" i="41" s="1"/>
  <c r="N66" i="35"/>
  <c r="N23" i="35"/>
  <c r="K15" i="41"/>
  <c r="G77" i="35"/>
  <c r="G66" i="2" s="1"/>
  <c r="G76" i="35"/>
  <c r="G45" i="2" s="1"/>
  <c r="O10" i="35"/>
  <c r="O17" i="35" s="1"/>
  <c r="O23" i="35"/>
  <c r="O66" i="35"/>
  <c r="O55" i="35"/>
  <c r="O50" i="35"/>
  <c r="O28" i="35"/>
  <c r="M10" i="33"/>
  <c r="N7" i="33"/>
  <c r="M11" i="33"/>
  <c r="M13" i="33" s="1"/>
  <c r="M9" i="33"/>
  <c r="P7" i="35"/>
  <c r="P10" i="35" s="1"/>
  <c r="L17" i="33"/>
  <c r="L47" i="33" s="1"/>
  <c r="L90" i="2" s="1"/>
  <c r="L15" i="33"/>
  <c r="L45" i="33" s="1"/>
  <c r="L48" i="2" s="1"/>
  <c r="L16" i="33"/>
  <c r="L46" i="33" s="1"/>
  <c r="L69" i="2" s="1"/>
  <c r="O40" i="35"/>
  <c r="O67" i="35"/>
  <c r="K13" i="23"/>
  <c r="O9" i="35"/>
  <c r="G58" i="28"/>
  <c r="G47" i="2" s="1"/>
  <c r="O39" i="35"/>
  <c r="N15" i="35"/>
  <c r="N17" i="35"/>
  <c r="K13" i="28"/>
  <c r="K84" i="29"/>
  <c r="K87" i="29" s="1"/>
  <c r="K91" i="29" s="1"/>
  <c r="K29" i="29"/>
  <c r="K32" i="29" s="1"/>
  <c r="K36" i="29" s="1"/>
  <c r="I36" i="35"/>
  <c r="I42" i="35" s="1"/>
  <c r="I35" i="35"/>
  <c r="I41" i="35" s="1"/>
  <c r="J31" i="35"/>
  <c r="K29" i="35"/>
  <c r="J38" i="22"/>
  <c r="J49" i="22" s="1"/>
  <c r="H45" i="35"/>
  <c r="H77" i="35" s="1"/>
  <c r="H66" i="2" s="1"/>
  <c r="L50" i="21"/>
  <c r="K15" i="29"/>
  <c r="K17" i="29"/>
  <c r="K16" i="29"/>
  <c r="L13" i="26"/>
  <c r="L52" i="29"/>
  <c r="L23" i="29"/>
  <c r="L11" i="29"/>
  <c r="L13" i="29" s="1"/>
  <c r="L66" i="29"/>
  <c r="L73" i="29"/>
  <c r="L83" i="29"/>
  <c r="L40" i="29"/>
  <c r="L45" i="29"/>
  <c r="L10" i="29"/>
  <c r="L35" i="29"/>
  <c r="L9" i="29"/>
  <c r="L78" i="29"/>
  <c r="L90" i="29"/>
  <c r="L28" i="29"/>
  <c r="M7" i="29"/>
  <c r="L61" i="29"/>
  <c r="J40" i="22"/>
  <c r="J51" i="22" s="1"/>
  <c r="J56" i="22" s="1"/>
  <c r="J91" i="2" s="1"/>
  <c r="J96" i="2"/>
  <c r="J55" i="22"/>
  <c r="J70" i="2" s="1"/>
  <c r="K13" i="22"/>
  <c r="K33" i="22" s="1"/>
  <c r="K34" i="22" s="1"/>
  <c r="K38" i="22" s="1"/>
  <c r="K49" i="22" s="1"/>
  <c r="I100" i="29"/>
  <c r="I88" i="2" s="1"/>
  <c r="G60" i="28"/>
  <c r="G89" i="2" s="1"/>
  <c r="L10" i="41"/>
  <c r="L12" i="41"/>
  <c r="M7" i="41"/>
  <c r="L11" i="41"/>
  <c r="L9" i="41"/>
  <c r="L13" i="41"/>
  <c r="K18" i="41"/>
  <c r="K17" i="41"/>
  <c r="K19" i="41"/>
  <c r="I97" i="2"/>
  <c r="I98" i="2" s="1"/>
  <c r="L17" i="21"/>
  <c r="L16" i="21"/>
  <c r="L15" i="21"/>
  <c r="L31" i="21" s="1"/>
  <c r="G97" i="2"/>
  <c r="G98" i="2" s="1"/>
  <c r="I75" i="2"/>
  <c r="H96" i="2"/>
  <c r="H76" i="2"/>
  <c r="H77" i="2" s="1"/>
  <c r="H54" i="2"/>
  <c r="I54" i="2"/>
  <c r="M47" i="21"/>
  <c r="M48" i="21"/>
  <c r="N7" i="21"/>
  <c r="M49" i="21"/>
  <c r="M9" i="21"/>
  <c r="M46" i="21"/>
  <c r="M10" i="21"/>
  <c r="M11" i="21"/>
  <c r="J40" i="21"/>
  <c r="J41" i="21"/>
  <c r="J42" i="21"/>
  <c r="K61" i="21"/>
  <c r="K31" i="21"/>
  <c r="K53" i="21"/>
  <c r="K67" i="21" s="1"/>
  <c r="K62" i="21"/>
  <c r="K32" i="21"/>
  <c r="K54" i="21"/>
  <c r="K68" i="21" s="1"/>
  <c r="G55" i="2"/>
  <c r="G56" i="2" s="1"/>
  <c r="K63" i="21"/>
  <c r="K55" i="21"/>
  <c r="K69" i="21" s="1"/>
  <c r="K33" i="21"/>
  <c r="K37" i="21" s="1"/>
  <c r="G75" i="2"/>
  <c r="K67" i="29"/>
  <c r="J70" i="29"/>
  <c r="J74" i="29" s="1"/>
  <c r="J94" i="29" s="1"/>
  <c r="K28" i="22"/>
  <c r="K46" i="22" s="1"/>
  <c r="K43" i="26"/>
  <c r="K46" i="26" s="1"/>
  <c r="K48" i="26" s="1"/>
  <c r="M62" i="2"/>
  <c r="M53" i="2"/>
  <c r="N41" i="2"/>
  <c r="L74" i="2"/>
  <c r="L83" i="2"/>
  <c r="L95" i="2" s="1"/>
  <c r="L28" i="24"/>
  <c r="L29" i="24"/>
  <c r="L11" i="24"/>
  <c r="L13" i="24" s="1"/>
  <c r="M7" i="24"/>
  <c r="L25" i="24"/>
  <c r="L10" i="24"/>
  <c r="L26" i="24"/>
  <c r="L27" i="24"/>
  <c r="L9" i="24"/>
  <c r="L30" i="26"/>
  <c r="L37" i="26" s="1"/>
  <c r="I101" i="26"/>
  <c r="I105" i="26" s="1"/>
  <c r="K17" i="24"/>
  <c r="K15" i="24"/>
  <c r="K16" i="24"/>
  <c r="H86" i="2"/>
  <c r="K41" i="23"/>
  <c r="K29" i="23"/>
  <c r="K22" i="24"/>
  <c r="K28" i="23"/>
  <c r="F91" i="2"/>
  <c r="H46" i="41"/>
  <c r="L11" i="28"/>
  <c r="L9" i="28"/>
  <c r="L10" i="28"/>
  <c r="M7" i="28"/>
  <c r="J29" i="28"/>
  <c r="J46" i="23"/>
  <c r="J51" i="26"/>
  <c r="J55" i="26" s="1"/>
  <c r="J59" i="26" s="1"/>
  <c r="K37" i="23"/>
  <c r="J89" i="26"/>
  <c r="J93" i="26" s="1"/>
  <c r="J96" i="26" s="1"/>
  <c r="H111" i="26"/>
  <c r="J49" i="29"/>
  <c r="J53" i="29" s="1"/>
  <c r="K46" i="29"/>
  <c r="J26" i="41"/>
  <c r="J49" i="41" s="1"/>
  <c r="J35" i="41" s="1"/>
  <c r="J43" i="23"/>
  <c r="I56" i="29"/>
  <c r="F66" i="41"/>
  <c r="F67" i="41"/>
  <c r="F68" i="41"/>
  <c r="F115" i="26"/>
  <c r="L16" i="22"/>
  <c r="L15" i="22"/>
  <c r="L17" i="22"/>
  <c r="I42" i="28"/>
  <c r="I44" i="28" s="1"/>
  <c r="I49" i="28"/>
  <c r="I31" i="28"/>
  <c r="I35" i="28" s="1"/>
  <c r="I37" i="28" s="1"/>
  <c r="F46" i="2"/>
  <c r="F55" i="2"/>
  <c r="H110" i="26"/>
  <c r="F55" i="22"/>
  <c r="H100" i="29"/>
  <c r="H56" i="29"/>
  <c r="J65" i="24"/>
  <c r="J68" i="26"/>
  <c r="F116" i="26"/>
  <c r="H101" i="26"/>
  <c r="H107" i="26" s="1"/>
  <c r="F117" i="26"/>
  <c r="J48" i="26"/>
  <c r="L19" i="23"/>
  <c r="L24" i="23"/>
  <c r="L27" i="23" s="1"/>
  <c r="L21" i="23"/>
  <c r="L34" i="23"/>
  <c r="L9" i="23"/>
  <c r="L11" i="23"/>
  <c r="M7" i="23"/>
  <c r="L36" i="23"/>
  <c r="L10" i="23"/>
  <c r="F47" i="2"/>
  <c r="K27" i="22"/>
  <c r="F67" i="2"/>
  <c r="K62" i="35"/>
  <c r="K68" i="35" s="1"/>
  <c r="K63" i="35"/>
  <c r="K69" i="35" s="1"/>
  <c r="F76" i="2"/>
  <c r="J25" i="41"/>
  <c r="J41" i="41" s="1"/>
  <c r="J42" i="23"/>
  <c r="F49" i="2"/>
  <c r="F89" i="2"/>
  <c r="P50" i="35"/>
  <c r="F68" i="2"/>
  <c r="K26" i="22"/>
  <c r="J68" i="35"/>
  <c r="M56" i="35"/>
  <c r="L58" i="35"/>
  <c r="J54" i="2"/>
  <c r="H44" i="28"/>
  <c r="F97" i="2"/>
  <c r="H37" i="28"/>
  <c r="M10" i="26"/>
  <c r="M11" i="26"/>
  <c r="M9" i="26"/>
  <c r="N7" i="26"/>
  <c r="M76" i="26"/>
  <c r="M24" i="26"/>
  <c r="M29" i="26"/>
  <c r="M71" i="26"/>
  <c r="K77" i="26"/>
  <c r="J84" i="26"/>
  <c r="G87" i="2"/>
  <c r="M9" i="22"/>
  <c r="N7" i="22"/>
  <c r="M10" i="22"/>
  <c r="M11" i="22"/>
  <c r="M22" i="22"/>
  <c r="M23" i="22" s="1"/>
  <c r="J75" i="2"/>
  <c r="L23" i="22"/>
  <c r="K16" i="28"/>
  <c r="K15" i="28"/>
  <c r="K17" i="28"/>
  <c r="I111" i="26"/>
  <c r="I65" i="2" s="1"/>
  <c r="I110" i="26"/>
  <c r="I44" i="2" s="1"/>
  <c r="I112" i="26"/>
  <c r="I86" i="2" s="1"/>
  <c r="L15" i="26"/>
  <c r="L17" i="26"/>
  <c r="L16" i="26"/>
  <c r="N13" i="35" l="1"/>
  <c r="O13" i="35" s="1"/>
  <c r="M13" i="21"/>
  <c r="H55" i="2"/>
  <c r="H56" i="2" s="1"/>
  <c r="I76" i="2"/>
  <c r="I77" i="2" s="1"/>
  <c r="I55" i="2"/>
  <c r="I56" i="2" s="1"/>
  <c r="J73" i="21"/>
  <c r="J78" i="21" s="1"/>
  <c r="J74" i="21"/>
  <c r="J79" i="21" s="1"/>
  <c r="J72" i="21"/>
  <c r="J77" i="21" s="1"/>
  <c r="G76" i="2"/>
  <c r="G77" i="2" s="1"/>
  <c r="H97" i="2"/>
  <c r="H98" i="2" s="1"/>
  <c r="M13" i="26"/>
  <c r="I35" i="41"/>
  <c r="I36" i="41" s="1"/>
  <c r="I50" i="41" s="1"/>
  <c r="I51" i="41" s="1"/>
  <c r="I54" i="41" s="1"/>
  <c r="I58" i="41" s="1"/>
  <c r="J37" i="41"/>
  <c r="J38" i="41" s="1"/>
  <c r="J42" i="41" s="1"/>
  <c r="J43" i="41" s="1"/>
  <c r="J36" i="41"/>
  <c r="J50" i="41" s="1"/>
  <c r="J51" i="41" s="1"/>
  <c r="J54" i="41" s="1"/>
  <c r="O16" i="35"/>
  <c r="O15" i="35"/>
  <c r="L15" i="41"/>
  <c r="Q7" i="35"/>
  <c r="Q40" i="35" s="1"/>
  <c r="P39" i="35"/>
  <c r="P55" i="35"/>
  <c r="L13" i="28"/>
  <c r="P11" i="35"/>
  <c r="P13" i="35" s="1"/>
  <c r="P66" i="35"/>
  <c r="P23" i="35"/>
  <c r="P67" i="35"/>
  <c r="P28" i="35"/>
  <c r="L13" i="23"/>
  <c r="P40" i="35"/>
  <c r="P9" i="35"/>
  <c r="L54" i="21"/>
  <c r="L68" i="21" s="1"/>
  <c r="L55" i="21"/>
  <c r="L69" i="21" s="1"/>
  <c r="M17" i="33"/>
  <c r="M47" i="33" s="1"/>
  <c r="M90" i="2" s="1"/>
  <c r="M15" i="33"/>
  <c r="M45" i="33" s="1"/>
  <c r="M48" i="2" s="1"/>
  <c r="M16" i="33"/>
  <c r="M46" i="33" s="1"/>
  <c r="M69" i="2" s="1"/>
  <c r="N9" i="33"/>
  <c r="N10" i="33"/>
  <c r="N11" i="33"/>
  <c r="N13" i="33" s="1"/>
  <c r="O7" i="33"/>
  <c r="H78" i="35"/>
  <c r="H87" i="2" s="1"/>
  <c r="H76" i="35"/>
  <c r="H45" i="2" s="1"/>
  <c r="L84" i="29"/>
  <c r="L87" i="29" s="1"/>
  <c r="L91" i="29" s="1"/>
  <c r="K75" i="2"/>
  <c r="L29" i="29"/>
  <c r="L32" i="29" s="1"/>
  <c r="L36" i="29" s="1"/>
  <c r="I45" i="35"/>
  <c r="L15" i="29"/>
  <c r="L16" i="29"/>
  <c r="L17" i="29"/>
  <c r="M52" i="29"/>
  <c r="M66" i="29"/>
  <c r="M28" i="29"/>
  <c r="M9" i="29"/>
  <c r="M45" i="29"/>
  <c r="N7" i="29"/>
  <c r="M78" i="29"/>
  <c r="M10" i="29"/>
  <c r="M35" i="29"/>
  <c r="M73" i="29"/>
  <c r="M23" i="29"/>
  <c r="M61" i="29"/>
  <c r="M11" i="29"/>
  <c r="M13" i="29" s="1"/>
  <c r="M90" i="29"/>
  <c r="M83" i="29"/>
  <c r="M40" i="29"/>
  <c r="K31" i="35"/>
  <c r="L29" i="35"/>
  <c r="K40" i="22"/>
  <c r="K51" i="22" s="1"/>
  <c r="K56" i="22" s="1"/>
  <c r="K91" i="2" s="1"/>
  <c r="J36" i="35"/>
  <c r="J42" i="35" s="1"/>
  <c r="J35" i="35"/>
  <c r="J41" i="35" s="1"/>
  <c r="I106" i="26"/>
  <c r="I116" i="26" s="1"/>
  <c r="I64" i="2" s="1"/>
  <c r="L13" i="22"/>
  <c r="L33" i="22" s="1"/>
  <c r="L34" i="22" s="1"/>
  <c r="L38" i="22" s="1"/>
  <c r="L49" i="22" s="1"/>
  <c r="K39" i="22"/>
  <c r="K50" i="22" s="1"/>
  <c r="K54" i="2"/>
  <c r="L53" i="21"/>
  <c r="L67" i="21" s="1"/>
  <c r="K72" i="35"/>
  <c r="L61" i="21"/>
  <c r="M12" i="41"/>
  <c r="M9" i="41"/>
  <c r="M10" i="41"/>
  <c r="M11" i="41"/>
  <c r="N7" i="41"/>
  <c r="M13" i="41"/>
  <c r="L43" i="26"/>
  <c r="L46" i="26" s="1"/>
  <c r="L48" i="26" s="1"/>
  <c r="L18" i="41"/>
  <c r="L19" i="41"/>
  <c r="L17" i="41"/>
  <c r="K70" i="29"/>
  <c r="K74" i="29" s="1"/>
  <c r="K94" i="29" s="1"/>
  <c r="L67" i="29"/>
  <c r="M30" i="26"/>
  <c r="N49" i="21"/>
  <c r="N48" i="21"/>
  <c r="N10" i="21"/>
  <c r="N47" i="21"/>
  <c r="N46" i="21"/>
  <c r="O7" i="21"/>
  <c r="N11" i="21"/>
  <c r="N13" i="21" s="1"/>
  <c r="N9" i="21"/>
  <c r="K41" i="21"/>
  <c r="K42" i="21"/>
  <c r="K40" i="21"/>
  <c r="L62" i="21"/>
  <c r="L32" i="21"/>
  <c r="M16" i="21"/>
  <c r="M62" i="21" s="1"/>
  <c r="M15" i="21"/>
  <c r="M61" i="21" s="1"/>
  <c r="M17" i="21"/>
  <c r="L63" i="21"/>
  <c r="L33" i="21"/>
  <c r="L37" i="21" s="1"/>
  <c r="M50" i="21"/>
  <c r="O41" i="2"/>
  <c r="N53" i="2"/>
  <c r="N62" i="2"/>
  <c r="L16" i="24"/>
  <c r="L15" i="24"/>
  <c r="L17" i="24"/>
  <c r="M74" i="2"/>
  <c r="M83" i="2"/>
  <c r="M95" i="2" s="1"/>
  <c r="M28" i="24"/>
  <c r="M29" i="24"/>
  <c r="M27" i="24"/>
  <c r="M11" i="24"/>
  <c r="M13" i="24" s="1"/>
  <c r="M25" i="24"/>
  <c r="M10" i="24"/>
  <c r="M26" i="24"/>
  <c r="N7" i="24"/>
  <c r="M9" i="24"/>
  <c r="I107" i="26"/>
  <c r="I117" i="26" s="1"/>
  <c r="I85" i="2" s="1"/>
  <c r="L41" i="23"/>
  <c r="L22" i="24"/>
  <c r="L28" i="23"/>
  <c r="L29" i="23"/>
  <c r="H117" i="26"/>
  <c r="H85" i="2" s="1"/>
  <c r="J72" i="35"/>
  <c r="F43" i="2"/>
  <c r="M9" i="28"/>
  <c r="M11" i="28"/>
  <c r="N7" i="28"/>
  <c r="M10" i="28"/>
  <c r="K42" i="23"/>
  <c r="K25" i="41"/>
  <c r="K41" i="41" s="1"/>
  <c r="J86" i="26"/>
  <c r="N10" i="26"/>
  <c r="N9" i="26"/>
  <c r="O7" i="26"/>
  <c r="N11" i="26"/>
  <c r="N13" i="26" s="1"/>
  <c r="N29" i="26"/>
  <c r="N71" i="26"/>
  <c r="N76" i="26"/>
  <c r="N24" i="26"/>
  <c r="F98" i="2"/>
  <c r="K44" i="22"/>
  <c r="J98" i="26"/>
  <c r="L17" i="28"/>
  <c r="L16" i="28"/>
  <c r="L15" i="28"/>
  <c r="Q10" i="35"/>
  <c r="Q39" i="35"/>
  <c r="M15" i="22"/>
  <c r="M17" i="22"/>
  <c r="M16" i="22"/>
  <c r="L77" i="26"/>
  <c r="K84" i="26"/>
  <c r="K86" i="26" s="1"/>
  <c r="H105" i="26"/>
  <c r="L63" i="35"/>
  <c r="L69" i="35" s="1"/>
  <c r="L62" i="35"/>
  <c r="L68" i="35" s="1"/>
  <c r="P16" i="35"/>
  <c r="P17" i="35"/>
  <c r="P15" i="35"/>
  <c r="F85" i="2"/>
  <c r="H99" i="29"/>
  <c r="H98" i="29"/>
  <c r="F92" i="2"/>
  <c r="K89" i="26"/>
  <c r="K93" i="26" s="1"/>
  <c r="K96" i="26" s="1"/>
  <c r="K98" i="26" s="1"/>
  <c r="K46" i="23"/>
  <c r="K29" i="28"/>
  <c r="K51" i="26"/>
  <c r="K55" i="26" s="1"/>
  <c r="K59" i="26" s="1"/>
  <c r="K61" i="26" s="1"/>
  <c r="K64" i="26" s="1"/>
  <c r="L37" i="23"/>
  <c r="O7" i="22"/>
  <c r="N22" i="22"/>
  <c r="N23" i="22" s="1"/>
  <c r="N11" i="22"/>
  <c r="N9" i="22"/>
  <c r="N10" i="22"/>
  <c r="H106" i="26"/>
  <c r="M58" i="35"/>
  <c r="N56" i="35"/>
  <c r="H88" i="2"/>
  <c r="F56" i="2"/>
  <c r="F71" i="2"/>
  <c r="K49" i="29"/>
  <c r="K53" i="29" s="1"/>
  <c r="L46" i="29"/>
  <c r="J61" i="26"/>
  <c r="J64" i="26" s="1"/>
  <c r="I115" i="26"/>
  <c r="I43" i="2" s="1"/>
  <c r="K43" i="23"/>
  <c r="K26" i="41"/>
  <c r="K49" i="41" s="1"/>
  <c r="K35" i="41" s="1"/>
  <c r="F50" i="2"/>
  <c r="J100" i="29"/>
  <c r="J88" i="2" s="1"/>
  <c r="J56" i="29"/>
  <c r="K65" i="24"/>
  <c r="K68" i="26"/>
  <c r="I99" i="29"/>
  <c r="I67" i="2" s="1"/>
  <c r="I98" i="29"/>
  <c r="I46" i="2" s="1"/>
  <c r="J42" i="28"/>
  <c r="J49" i="28"/>
  <c r="J51" i="28" s="1"/>
  <c r="J31" i="28"/>
  <c r="J35" i="28" s="1"/>
  <c r="H53" i="28"/>
  <c r="F77" i="2"/>
  <c r="K45" i="22"/>
  <c r="M19" i="23"/>
  <c r="M24" i="23"/>
  <c r="M27" i="23" s="1"/>
  <c r="M21" i="23"/>
  <c r="N7" i="23"/>
  <c r="M10" i="23"/>
  <c r="M9" i="23"/>
  <c r="M36" i="23"/>
  <c r="M34" i="23"/>
  <c r="M11" i="23"/>
  <c r="F70" i="2"/>
  <c r="M15" i="26"/>
  <c r="M17" i="26"/>
  <c r="M16" i="26"/>
  <c r="J54" i="22"/>
  <c r="H58" i="41"/>
  <c r="L26" i="22"/>
  <c r="L44" i="22" s="1"/>
  <c r="L28" i="22"/>
  <c r="L27" i="22"/>
  <c r="L45" i="22" s="1"/>
  <c r="F64" i="2"/>
  <c r="H44" i="2"/>
  <c r="I51" i="28"/>
  <c r="I53" i="28" s="1"/>
  <c r="H65" i="2"/>
  <c r="J55" i="2" l="1"/>
  <c r="J56" i="2" s="1"/>
  <c r="J76" i="2"/>
  <c r="J77" i="2" s="1"/>
  <c r="K74" i="21"/>
  <c r="K79" i="21" s="1"/>
  <c r="K73" i="21"/>
  <c r="K78" i="21" s="1"/>
  <c r="J97" i="2"/>
  <c r="J98" i="2" s="1"/>
  <c r="K72" i="21"/>
  <c r="K77" i="21" s="1"/>
  <c r="Q23" i="35"/>
  <c r="Q11" i="35"/>
  <c r="Q13" i="35" s="1"/>
  <c r="Q55" i="35"/>
  <c r="Q28" i="35"/>
  <c r="Q67" i="35"/>
  <c r="Q9" i="35"/>
  <c r="R7" i="35"/>
  <c r="R10" i="35" s="1"/>
  <c r="Q66" i="35"/>
  <c r="M13" i="28"/>
  <c r="M13" i="23"/>
  <c r="K37" i="41"/>
  <c r="K38" i="41" s="1"/>
  <c r="K42" i="41" s="1"/>
  <c r="K43" i="41" s="1"/>
  <c r="K46" i="41" s="1"/>
  <c r="Q50" i="35"/>
  <c r="M15" i="41"/>
  <c r="L75" i="2"/>
  <c r="N15" i="33"/>
  <c r="N45" i="33" s="1"/>
  <c r="N48" i="2" s="1"/>
  <c r="N16" i="33"/>
  <c r="N46" i="33" s="1"/>
  <c r="N69" i="2" s="1"/>
  <c r="N17" i="33"/>
  <c r="N47" i="33" s="1"/>
  <c r="N90" i="2" s="1"/>
  <c r="P7" i="33"/>
  <c r="O11" i="33"/>
  <c r="O13" i="33" s="1"/>
  <c r="O9" i="33"/>
  <c r="O10" i="33"/>
  <c r="M29" i="29"/>
  <c r="M32" i="29" s="1"/>
  <c r="M36" i="29" s="1"/>
  <c r="M84" i="29"/>
  <c r="M87" i="29" s="1"/>
  <c r="M91" i="29" s="1"/>
  <c r="J45" i="35"/>
  <c r="J76" i="35" s="1"/>
  <c r="I76" i="35"/>
  <c r="I45" i="2" s="1"/>
  <c r="I78" i="35"/>
  <c r="I87" i="2" s="1"/>
  <c r="I77" i="35"/>
  <c r="I66" i="2" s="1"/>
  <c r="M13" i="22"/>
  <c r="M33" i="22" s="1"/>
  <c r="M34" i="22" s="1"/>
  <c r="M39" i="22" s="1"/>
  <c r="M50" i="22" s="1"/>
  <c r="M29" i="35"/>
  <c r="L31" i="35"/>
  <c r="K35" i="35"/>
  <c r="K41" i="35" s="1"/>
  <c r="K36" i="35"/>
  <c r="K42" i="35" s="1"/>
  <c r="M17" i="29"/>
  <c r="M16" i="29"/>
  <c r="M15" i="29"/>
  <c r="N10" i="29"/>
  <c r="N45" i="29"/>
  <c r="N52" i="29"/>
  <c r="N28" i="29"/>
  <c r="N35" i="29"/>
  <c r="N40" i="29"/>
  <c r="N73" i="29"/>
  <c r="N11" i="29"/>
  <c r="N13" i="29" s="1"/>
  <c r="N61" i="29"/>
  <c r="N83" i="29"/>
  <c r="O7" i="29"/>
  <c r="N66" i="29"/>
  <c r="N9" i="29"/>
  <c r="N23" i="29"/>
  <c r="N90" i="29"/>
  <c r="N78" i="29"/>
  <c r="L40" i="22"/>
  <c r="L51" i="22" s="1"/>
  <c r="L54" i="22"/>
  <c r="L49" i="2" s="1"/>
  <c r="L39" i="22"/>
  <c r="L50" i="22" s="1"/>
  <c r="L55" i="22" s="1"/>
  <c r="L70" i="2" s="1"/>
  <c r="N50" i="21"/>
  <c r="N11" i="41"/>
  <c r="O7" i="41"/>
  <c r="N9" i="41"/>
  <c r="N10" i="41"/>
  <c r="N12" i="41"/>
  <c r="N13" i="41"/>
  <c r="M19" i="41"/>
  <c r="M18" i="41"/>
  <c r="M17" i="41"/>
  <c r="N30" i="26"/>
  <c r="N37" i="26" s="1"/>
  <c r="K96" i="2"/>
  <c r="M37" i="26"/>
  <c r="L41" i="21"/>
  <c r="L42" i="21"/>
  <c r="L40" i="21"/>
  <c r="M43" i="26"/>
  <c r="O49" i="21"/>
  <c r="P7" i="21"/>
  <c r="O48" i="21"/>
  <c r="O46" i="21"/>
  <c r="O9" i="21"/>
  <c r="O10" i="21"/>
  <c r="O11" i="21"/>
  <c r="O13" i="21" s="1"/>
  <c r="O47" i="21"/>
  <c r="M63" i="21"/>
  <c r="M55" i="21"/>
  <c r="M69" i="21" s="1"/>
  <c r="M33" i="21"/>
  <c r="M37" i="21" s="1"/>
  <c r="M31" i="21"/>
  <c r="M53" i="21"/>
  <c r="M67" i="21" s="1"/>
  <c r="M54" i="21"/>
  <c r="M68" i="21" s="1"/>
  <c r="M32" i="21"/>
  <c r="N16" i="21"/>
  <c r="N17" i="21"/>
  <c r="N15" i="21"/>
  <c r="M67" i="29"/>
  <c r="L70" i="29"/>
  <c r="L74" i="29" s="1"/>
  <c r="L94" i="29" s="1"/>
  <c r="N28" i="24"/>
  <c r="N29" i="24"/>
  <c r="N25" i="24"/>
  <c r="N26" i="24"/>
  <c r="O7" i="24"/>
  <c r="N10" i="24"/>
  <c r="N27" i="24"/>
  <c r="N11" i="24"/>
  <c r="N13" i="24" s="1"/>
  <c r="N9" i="24"/>
  <c r="M16" i="24"/>
  <c r="M15" i="24"/>
  <c r="M17" i="24"/>
  <c r="N83" i="2"/>
  <c r="N95" i="2" s="1"/>
  <c r="N74" i="2"/>
  <c r="O62" i="2"/>
  <c r="P41" i="2"/>
  <c r="O53" i="2"/>
  <c r="L72" i="35"/>
  <c r="M41" i="23"/>
  <c r="M28" i="23"/>
  <c r="M22" i="24"/>
  <c r="M29" i="23"/>
  <c r="J46" i="41"/>
  <c r="N16" i="22"/>
  <c r="N17" i="22"/>
  <c r="N15" i="22"/>
  <c r="N26" i="22" s="1"/>
  <c r="N44" i="22" s="1"/>
  <c r="K101" i="26"/>
  <c r="K107" i="26" s="1"/>
  <c r="R9" i="35"/>
  <c r="R39" i="35"/>
  <c r="R28" i="35"/>
  <c r="M16" i="28"/>
  <c r="M15" i="28"/>
  <c r="M17" i="28"/>
  <c r="L54" i="2"/>
  <c r="M28" i="22"/>
  <c r="M46" i="22" s="1"/>
  <c r="N16" i="26"/>
  <c r="N17" i="26"/>
  <c r="N15" i="26"/>
  <c r="L42" i="23"/>
  <c r="L25" i="41"/>
  <c r="L41" i="41" s="1"/>
  <c r="H67" i="41"/>
  <c r="H66" i="41"/>
  <c r="H68" i="41"/>
  <c r="M77" i="26"/>
  <c r="L84" i="26"/>
  <c r="L86" i="26" s="1"/>
  <c r="J101" i="26"/>
  <c r="N9" i="28"/>
  <c r="O7" i="28"/>
  <c r="N10" i="28"/>
  <c r="N11" i="28"/>
  <c r="M27" i="22"/>
  <c r="M45" i="22" s="1"/>
  <c r="L68" i="26"/>
  <c r="L65" i="24"/>
  <c r="N19" i="23"/>
  <c r="N24" i="23"/>
  <c r="N27" i="23" s="1"/>
  <c r="N21" i="23"/>
  <c r="N10" i="23"/>
  <c r="N36" i="23"/>
  <c r="N9" i="23"/>
  <c r="N34" i="23"/>
  <c r="O7" i="23"/>
  <c r="N11" i="23"/>
  <c r="K55" i="22"/>
  <c r="J112" i="26"/>
  <c r="J111" i="26"/>
  <c r="J110" i="26"/>
  <c r="M37" i="23"/>
  <c r="L29" i="28"/>
  <c r="L51" i="26"/>
  <c r="L55" i="26" s="1"/>
  <c r="L59" i="26" s="1"/>
  <c r="L61" i="26" s="1"/>
  <c r="L46" i="23"/>
  <c r="L89" i="26"/>
  <c r="L93" i="26" s="1"/>
  <c r="L96" i="26" s="1"/>
  <c r="L98" i="26" s="1"/>
  <c r="H46" i="2"/>
  <c r="M26" i="22"/>
  <c r="M44" i="22" s="1"/>
  <c r="L49" i="29"/>
  <c r="L53" i="29" s="1"/>
  <c r="M46" i="29"/>
  <c r="K111" i="26"/>
  <c r="K65" i="2" s="1"/>
  <c r="K112" i="26"/>
  <c r="K86" i="2" s="1"/>
  <c r="K110" i="26"/>
  <c r="K44" i="2" s="1"/>
  <c r="H67" i="2"/>
  <c r="I58" i="28"/>
  <c r="I47" i="2" s="1"/>
  <c r="I60" i="28"/>
  <c r="I89" i="2" s="1"/>
  <c r="I59" i="28"/>
  <c r="I68" i="2" s="1"/>
  <c r="H58" i="28"/>
  <c r="H59" i="28"/>
  <c r="H60" i="28"/>
  <c r="K56" i="29"/>
  <c r="K100" i="29"/>
  <c r="K88" i="2" s="1"/>
  <c r="O56" i="35"/>
  <c r="N58" i="35"/>
  <c r="O9" i="22"/>
  <c r="O22" i="22"/>
  <c r="O11" i="22"/>
  <c r="P7" i="22"/>
  <c r="O10" i="22"/>
  <c r="K42" i="28"/>
  <c r="K44" i="28" s="1"/>
  <c r="K49" i="28"/>
  <c r="K31" i="28"/>
  <c r="K35" i="28" s="1"/>
  <c r="K37" i="28" s="1"/>
  <c r="K54" i="22"/>
  <c r="K49" i="2" s="1"/>
  <c r="J99" i="29"/>
  <c r="J67" i="2" s="1"/>
  <c r="J98" i="29"/>
  <c r="J46" i="2" s="1"/>
  <c r="L46" i="22"/>
  <c r="M63" i="35"/>
  <c r="M69" i="35" s="1"/>
  <c r="M62" i="35"/>
  <c r="O9" i="26"/>
  <c r="O10" i="26"/>
  <c r="P7" i="26"/>
  <c r="O11" i="26"/>
  <c r="O13" i="26" s="1"/>
  <c r="O76" i="26"/>
  <c r="O24" i="26"/>
  <c r="O29" i="26"/>
  <c r="O71" i="26"/>
  <c r="J49" i="2"/>
  <c r="J37" i="28"/>
  <c r="J44" i="28"/>
  <c r="K36" i="41"/>
  <c r="K50" i="41" s="1"/>
  <c r="K51" i="41" s="1"/>
  <c r="I66" i="41"/>
  <c r="I50" i="2" s="1"/>
  <c r="I67" i="41"/>
  <c r="I71" i="2" s="1"/>
  <c r="I68" i="41"/>
  <c r="I92" i="2" s="1"/>
  <c r="H116" i="26"/>
  <c r="H115" i="26"/>
  <c r="Q16" i="35"/>
  <c r="Q17" i="35"/>
  <c r="Q15" i="35"/>
  <c r="J78" i="35"/>
  <c r="J77" i="35"/>
  <c r="L43" i="23"/>
  <c r="L26" i="41"/>
  <c r="L49" i="41" s="1"/>
  <c r="L35" i="41" s="1"/>
  <c r="L73" i="21" l="1"/>
  <c r="L78" i="21" s="1"/>
  <c r="L72" i="21"/>
  <c r="L77" i="21" s="1"/>
  <c r="K55" i="2"/>
  <c r="K56" i="2" s="1"/>
  <c r="L74" i="21"/>
  <c r="L79" i="21" s="1"/>
  <c r="K76" i="2"/>
  <c r="K77" i="2" s="1"/>
  <c r="K97" i="2"/>
  <c r="K98" i="2" s="1"/>
  <c r="N13" i="28"/>
  <c r="R67" i="35"/>
  <c r="R50" i="35"/>
  <c r="R66" i="35"/>
  <c r="R40" i="35"/>
  <c r="R23" i="35"/>
  <c r="S7" i="35"/>
  <c r="S9" i="35" s="1"/>
  <c r="R11" i="35"/>
  <c r="R13" i="35" s="1"/>
  <c r="R55" i="35"/>
  <c r="N13" i="23"/>
  <c r="L37" i="41"/>
  <c r="L38" i="41" s="1"/>
  <c r="L42" i="41" s="1"/>
  <c r="L43" i="41" s="1"/>
  <c r="N15" i="41"/>
  <c r="L36" i="41"/>
  <c r="L50" i="41" s="1"/>
  <c r="L51" i="41" s="1"/>
  <c r="L54" i="41" s="1"/>
  <c r="M38" i="22"/>
  <c r="M49" i="22" s="1"/>
  <c r="M54" i="22" s="1"/>
  <c r="Q7" i="33"/>
  <c r="P9" i="33"/>
  <c r="P11" i="33"/>
  <c r="P13" i="33" s="1"/>
  <c r="P10" i="33"/>
  <c r="O15" i="33"/>
  <c r="O45" i="33" s="1"/>
  <c r="O48" i="2" s="1"/>
  <c r="O16" i="33"/>
  <c r="O46" i="33" s="1"/>
  <c r="O69" i="2" s="1"/>
  <c r="O17" i="33"/>
  <c r="O47" i="33" s="1"/>
  <c r="O90" i="2" s="1"/>
  <c r="N13" i="22"/>
  <c r="N33" i="22" s="1"/>
  <c r="N34" i="22" s="1"/>
  <c r="N40" i="22" s="1"/>
  <c r="N51" i="22" s="1"/>
  <c r="K45" i="35"/>
  <c r="K78" i="35" s="1"/>
  <c r="K87" i="2" s="1"/>
  <c r="N84" i="29"/>
  <c r="N87" i="29" s="1"/>
  <c r="N91" i="29" s="1"/>
  <c r="M40" i="22"/>
  <c r="M51" i="22" s="1"/>
  <c r="M56" i="22" s="1"/>
  <c r="M91" i="2" s="1"/>
  <c r="N43" i="26"/>
  <c r="N46" i="26" s="1"/>
  <c r="N48" i="26" s="1"/>
  <c r="N29" i="29"/>
  <c r="N32" i="29" s="1"/>
  <c r="N36" i="29" s="1"/>
  <c r="O52" i="29"/>
  <c r="O45" i="29"/>
  <c r="O90" i="29"/>
  <c r="O10" i="29"/>
  <c r="O28" i="29"/>
  <c r="O35" i="29"/>
  <c r="O66" i="29"/>
  <c r="O23" i="29"/>
  <c r="P7" i="29"/>
  <c r="O78" i="29"/>
  <c r="O61" i="29"/>
  <c r="O40" i="29"/>
  <c r="O11" i="29"/>
  <c r="O13" i="29" s="1"/>
  <c r="O83" i="29"/>
  <c r="O9" i="29"/>
  <c r="O73" i="29"/>
  <c r="L35" i="35"/>
  <c r="L41" i="35" s="1"/>
  <c r="L36" i="35"/>
  <c r="L42" i="35" s="1"/>
  <c r="M31" i="35"/>
  <c r="N29" i="35"/>
  <c r="N16" i="29"/>
  <c r="N17" i="29"/>
  <c r="N15" i="29"/>
  <c r="M54" i="2"/>
  <c r="M46" i="26"/>
  <c r="M48" i="26" s="1"/>
  <c r="L96" i="2"/>
  <c r="O50" i="21"/>
  <c r="M75" i="2"/>
  <c r="N18" i="41"/>
  <c r="N19" i="41"/>
  <c r="N17" i="41"/>
  <c r="N28" i="22"/>
  <c r="N46" i="22" s="1"/>
  <c r="N27" i="22"/>
  <c r="N45" i="22" s="1"/>
  <c r="P7" i="41"/>
  <c r="O9" i="41"/>
  <c r="O12" i="41"/>
  <c r="O13" i="41"/>
  <c r="O11" i="41"/>
  <c r="O10" i="41"/>
  <c r="K105" i="26"/>
  <c r="K115" i="26" s="1"/>
  <c r="K43" i="2" s="1"/>
  <c r="N67" i="29"/>
  <c r="M70" i="29"/>
  <c r="M74" i="29" s="1"/>
  <c r="M94" i="29" s="1"/>
  <c r="O15" i="21"/>
  <c r="O16" i="21"/>
  <c r="O17" i="21"/>
  <c r="N53" i="21"/>
  <c r="N67" i="21" s="1"/>
  <c r="N31" i="21"/>
  <c r="M42" i="21"/>
  <c r="M41" i="21"/>
  <c r="M40" i="21"/>
  <c r="N33" i="21"/>
  <c r="N37" i="21" s="1"/>
  <c r="N55" i="21"/>
  <c r="N69" i="21" s="1"/>
  <c r="M96" i="2"/>
  <c r="N62" i="21"/>
  <c r="N32" i="21"/>
  <c r="N54" i="21"/>
  <c r="N68" i="21" s="1"/>
  <c r="N63" i="21"/>
  <c r="P10" i="21"/>
  <c r="P9" i="21"/>
  <c r="P11" i="21"/>
  <c r="P13" i="21" s="1"/>
  <c r="P47" i="21"/>
  <c r="Q7" i="21"/>
  <c r="P49" i="21"/>
  <c r="P48" i="21"/>
  <c r="P46" i="21"/>
  <c r="N61" i="21"/>
  <c r="N15" i="24"/>
  <c r="N16" i="24"/>
  <c r="N17" i="24"/>
  <c r="P53" i="2"/>
  <c r="P62" i="2"/>
  <c r="Q41" i="2"/>
  <c r="O83" i="2"/>
  <c r="O95" i="2" s="1"/>
  <c r="O74" i="2"/>
  <c r="O30" i="26"/>
  <c r="O37" i="26" s="1"/>
  <c r="K117" i="26"/>
  <c r="K85" i="2" s="1"/>
  <c r="O25" i="24"/>
  <c r="O11" i="24"/>
  <c r="O13" i="24" s="1"/>
  <c r="O28" i="24"/>
  <c r="P7" i="24"/>
  <c r="O27" i="24"/>
  <c r="O26" i="24"/>
  <c r="O10" i="24"/>
  <c r="O29" i="24"/>
  <c r="O9" i="24"/>
  <c r="N22" i="24"/>
  <c r="N29" i="23"/>
  <c r="N41" i="23"/>
  <c r="N28" i="23"/>
  <c r="H47" i="2"/>
  <c r="L42" i="28"/>
  <c r="L49" i="28"/>
  <c r="L51" i="28" s="1"/>
  <c r="L31" i="28"/>
  <c r="L35" i="28" s="1"/>
  <c r="J45" i="2"/>
  <c r="N37" i="23"/>
  <c r="M89" i="26"/>
  <c r="M93" i="26" s="1"/>
  <c r="M96" i="26" s="1"/>
  <c r="M51" i="26"/>
  <c r="M55" i="26" s="1"/>
  <c r="M59" i="26" s="1"/>
  <c r="M61" i="26" s="1"/>
  <c r="M46" i="23"/>
  <c r="M29" i="28"/>
  <c r="K106" i="26"/>
  <c r="K116" i="26" s="1"/>
  <c r="K64" i="2" s="1"/>
  <c r="J105" i="26"/>
  <c r="M68" i="35"/>
  <c r="O23" i="22"/>
  <c r="O24" i="23"/>
  <c r="O27" i="23" s="1"/>
  <c r="O21" i="23"/>
  <c r="O19" i="23"/>
  <c r="P7" i="23"/>
  <c r="O36" i="23"/>
  <c r="O10" i="23"/>
  <c r="O34" i="23"/>
  <c r="O11" i="23"/>
  <c r="O9" i="23"/>
  <c r="M26" i="41"/>
  <c r="M49" i="41" s="1"/>
  <c r="M35" i="41" s="1"/>
  <c r="M43" i="23"/>
  <c r="K70" i="2"/>
  <c r="H71" i="2"/>
  <c r="K54" i="41"/>
  <c r="J106" i="26"/>
  <c r="P9" i="26"/>
  <c r="Q7" i="26"/>
  <c r="P10" i="26"/>
  <c r="P11" i="26"/>
  <c r="P13" i="26" s="1"/>
  <c r="P29" i="26"/>
  <c r="P76" i="26"/>
  <c r="P24" i="26"/>
  <c r="P71" i="26"/>
  <c r="K51" i="28"/>
  <c r="J44" i="2"/>
  <c r="L101" i="26"/>
  <c r="J87" i="2"/>
  <c r="H43" i="2"/>
  <c r="H64" i="2"/>
  <c r="J107" i="26"/>
  <c r="O15" i="26"/>
  <c r="O16" i="26"/>
  <c r="O81" i="26" s="1"/>
  <c r="O17" i="26"/>
  <c r="L56" i="22"/>
  <c r="N62" i="35"/>
  <c r="N68" i="35" s="1"/>
  <c r="N63" i="35"/>
  <c r="N69" i="35" s="1"/>
  <c r="J65" i="2"/>
  <c r="N16" i="28"/>
  <c r="N17" i="28"/>
  <c r="N15" i="28"/>
  <c r="N77" i="26"/>
  <c r="M84" i="26"/>
  <c r="M86" i="26" s="1"/>
  <c r="M25" i="41"/>
  <c r="M41" i="41" s="1"/>
  <c r="M42" i="23"/>
  <c r="P10" i="22"/>
  <c r="Q7" i="22"/>
  <c r="P9" i="22"/>
  <c r="P22" i="22"/>
  <c r="P23" i="22" s="1"/>
  <c r="P11" i="22"/>
  <c r="J58" i="41"/>
  <c r="O58" i="35"/>
  <c r="P56" i="35"/>
  <c r="M55" i="22"/>
  <c r="M70" i="2" s="1"/>
  <c r="N46" i="29"/>
  <c r="M49" i="29"/>
  <c r="M53" i="29" s="1"/>
  <c r="J86" i="2"/>
  <c r="O9" i="28"/>
  <c r="O10" i="28"/>
  <c r="O11" i="28"/>
  <c r="P7" i="28"/>
  <c r="M65" i="24"/>
  <c r="M68" i="26"/>
  <c r="H89" i="2"/>
  <c r="K76" i="35"/>
  <c r="K45" i="2" s="1"/>
  <c r="L100" i="29"/>
  <c r="L88" i="2" s="1"/>
  <c r="L56" i="29"/>
  <c r="H92" i="2"/>
  <c r="S66" i="35"/>
  <c r="T7" i="35"/>
  <c r="S40" i="35"/>
  <c r="S50" i="35"/>
  <c r="S28" i="35"/>
  <c r="S23" i="35"/>
  <c r="J66" i="2"/>
  <c r="J53" i="28"/>
  <c r="O15" i="22"/>
  <c r="O17" i="22"/>
  <c r="O16" i="22"/>
  <c r="K98" i="29"/>
  <c r="K46" i="2" s="1"/>
  <c r="K99" i="29"/>
  <c r="K67" i="2" s="1"/>
  <c r="H68" i="2"/>
  <c r="L110" i="26"/>
  <c r="L44" i="2" s="1"/>
  <c r="L111" i="26"/>
  <c r="L65" i="2" s="1"/>
  <c r="L112" i="26"/>
  <c r="L86" i="2" s="1"/>
  <c r="L64" i="26"/>
  <c r="H50" i="2"/>
  <c r="R16" i="35"/>
  <c r="R17" i="35"/>
  <c r="R15" i="35"/>
  <c r="M72" i="21" l="1"/>
  <c r="M77" i="21" s="1"/>
  <c r="M73" i="21"/>
  <c r="M78" i="21" s="1"/>
  <c r="L97" i="2"/>
  <c r="L98" i="2" s="1"/>
  <c r="M74" i="21"/>
  <c r="M79" i="21" s="1"/>
  <c r="L55" i="2"/>
  <c r="L56" i="2" s="1"/>
  <c r="L76" i="2"/>
  <c r="L77" i="2" s="1"/>
  <c r="O13" i="28"/>
  <c r="S39" i="35"/>
  <c r="S11" i="35"/>
  <c r="S13" i="35" s="1"/>
  <c r="S67" i="35"/>
  <c r="K77" i="35"/>
  <c r="K66" i="2" s="1"/>
  <c r="S10" i="35"/>
  <c r="S55" i="35"/>
  <c r="O13" i="23"/>
  <c r="M37" i="41"/>
  <c r="M38" i="41" s="1"/>
  <c r="M42" i="41" s="1"/>
  <c r="M43" i="41" s="1"/>
  <c r="M46" i="41" s="1"/>
  <c r="O15" i="41"/>
  <c r="M36" i="41"/>
  <c r="M50" i="41" s="1"/>
  <c r="M51" i="41" s="1"/>
  <c r="M54" i="41" s="1"/>
  <c r="N56" i="22"/>
  <c r="N91" i="2" s="1"/>
  <c r="N39" i="22"/>
  <c r="N50" i="22" s="1"/>
  <c r="N55" i="22" s="1"/>
  <c r="N70" i="2" s="1"/>
  <c r="P16" i="33"/>
  <c r="P46" i="33" s="1"/>
  <c r="P69" i="2" s="1"/>
  <c r="P15" i="33"/>
  <c r="P45" i="33" s="1"/>
  <c r="P48" i="2" s="1"/>
  <c r="P17" i="33"/>
  <c r="P47" i="33" s="1"/>
  <c r="P90" i="2" s="1"/>
  <c r="N38" i="22"/>
  <c r="N49" i="22" s="1"/>
  <c r="N54" i="22" s="1"/>
  <c r="N49" i="2" s="1"/>
  <c r="O13" i="22"/>
  <c r="O33" i="22" s="1"/>
  <c r="O34" i="22" s="1"/>
  <c r="O40" i="22" s="1"/>
  <c r="O51" i="22" s="1"/>
  <c r="Q11" i="33"/>
  <c r="Q13" i="33" s="1"/>
  <c r="Q9" i="33"/>
  <c r="Q10" i="33"/>
  <c r="R7" i="33"/>
  <c r="O29" i="29"/>
  <c r="O32" i="29" s="1"/>
  <c r="O36" i="29" s="1"/>
  <c r="O84" i="29"/>
  <c r="O87" i="29" s="1"/>
  <c r="O91" i="29" s="1"/>
  <c r="O29" i="35"/>
  <c r="N31" i="35"/>
  <c r="O15" i="29"/>
  <c r="O16" i="29"/>
  <c r="O17" i="29"/>
  <c r="M36" i="35"/>
  <c r="M42" i="35" s="1"/>
  <c r="M35" i="35"/>
  <c r="M41" i="35" s="1"/>
  <c r="L45" i="35"/>
  <c r="P73" i="29"/>
  <c r="P45" i="29"/>
  <c r="P90" i="29"/>
  <c r="P78" i="29"/>
  <c r="Q7" i="29"/>
  <c r="P83" i="29"/>
  <c r="P11" i="29"/>
  <c r="P13" i="29" s="1"/>
  <c r="P66" i="29"/>
  <c r="P35" i="29"/>
  <c r="P40" i="29"/>
  <c r="P10" i="29"/>
  <c r="P23" i="29"/>
  <c r="P52" i="29"/>
  <c r="P28" i="29"/>
  <c r="P9" i="29"/>
  <c r="P61" i="29"/>
  <c r="N96" i="2"/>
  <c r="O17" i="41"/>
  <c r="O19" i="41"/>
  <c r="O18" i="41"/>
  <c r="P13" i="41"/>
  <c r="P11" i="41"/>
  <c r="Q7" i="41"/>
  <c r="P9" i="41"/>
  <c r="P10" i="41"/>
  <c r="P12" i="41"/>
  <c r="N72" i="35"/>
  <c r="O63" i="21"/>
  <c r="O55" i="21"/>
  <c r="O69" i="21" s="1"/>
  <c r="O33" i="21"/>
  <c r="O37" i="21" s="1"/>
  <c r="O43" i="26"/>
  <c r="O46" i="26" s="1"/>
  <c r="O48" i="26" s="1"/>
  <c r="P50" i="21"/>
  <c r="O54" i="21"/>
  <c r="O68" i="21" s="1"/>
  <c r="O32" i="21"/>
  <c r="P15" i="21"/>
  <c r="P17" i="21"/>
  <c r="P16" i="21"/>
  <c r="N42" i="21"/>
  <c r="N41" i="21"/>
  <c r="N40" i="21"/>
  <c r="O61" i="21"/>
  <c r="O31" i="21"/>
  <c r="O53" i="21"/>
  <c r="O67" i="21" s="1"/>
  <c r="O62" i="21"/>
  <c r="Q10" i="21"/>
  <c r="Q9" i="21"/>
  <c r="R7" i="21"/>
  <c r="Q49" i="21"/>
  <c r="Q11" i="21"/>
  <c r="Q13" i="21" s="1"/>
  <c r="Q48" i="21"/>
  <c r="Q47" i="21"/>
  <c r="Q46" i="21"/>
  <c r="N70" i="29"/>
  <c r="N74" i="29" s="1"/>
  <c r="N94" i="29" s="1"/>
  <c r="O67" i="29"/>
  <c r="Q53" i="2"/>
  <c r="R41" i="2"/>
  <c r="Q62" i="2"/>
  <c r="P29" i="24"/>
  <c r="Q7" i="24"/>
  <c r="P11" i="24"/>
  <c r="P13" i="24" s="1"/>
  <c r="P25" i="24"/>
  <c r="P28" i="24"/>
  <c r="P26" i="24"/>
  <c r="P27" i="24"/>
  <c r="P9" i="24"/>
  <c r="P10" i="24"/>
  <c r="P74" i="2"/>
  <c r="P83" i="2"/>
  <c r="P95" i="2" s="1"/>
  <c r="O15" i="24"/>
  <c r="O17" i="24"/>
  <c r="O16" i="24"/>
  <c r="P30" i="26"/>
  <c r="P37" i="26" s="1"/>
  <c r="O28" i="23"/>
  <c r="O22" i="24"/>
  <c r="O29" i="23"/>
  <c r="O41" i="23"/>
  <c r="M56" i="29"/>
  <c r="M100" i="29"/>
  <c r="M88" i="2" s="1"/>
  <c r="J116" i="26"/>
  <c r="M42" i="28"/>
  <c r="M44" i="28" s="1"/>
  <c r="M49" i="28"/>
  <c r="M31" i="28"/>
  <c r="M35" i="28" s="1"/>
  <c r="M37" i="28" s="1"/>
  <c r="L44" i="28"/>
  <c r="T40" i="35"/>
  <c r="U7" i="35"/>
  <c r="T11" i="35"/>
  <c r="T67" i="35"/>
  <c r="T39" i="35"/>
  <c r="T66" i="35"/>
  <c r="T9" i="35"/>
  <c r="T10" i="35"/>
  <c r="T23" i="35"/>
  <c r="T55" i="35"/>
  <c r="T50" i="35"/>
  <c r="T28" i="35"/>
  <c r="O15" i="28"/>
  <c r="O17" i="28"/>
  <c r="O16" i="28"/>
  <c r="O46" i="29"/>
  <c r="N49" i="29"/>
  <c r="N53" i="29" s="1"/>
  <c r="Q9" i="22"/>
  <c r="Q11" i="22"/>
  <c r="Q22" i="22"/>
  <c r="Q23" i="22" s="1"/>
  <c r="R7" i="22"/>
  <c r="Q10" i="22"/>
  <c r="L46" i="41"/>
  <c r="J115" i="26"/>
  <c r="N26" i="41"/>
  <c r="N43" i="23"/>
  <c r="P17" i="22"/>
  <c r="P16" i="22"/>
  <c r="P27" i="22" s="1"/>
  <c r="P45" i="22" s="1"/>
  <c r="P15" i="22"/>
  <c r="P26" i="22" s="1"/>
  <c r="P44" i="22" s="1"/>
  <c r="P19" i="23"/>
  <c r="P24" i="23"/>
  <c r="P27" i="23" s="1"/>
  <c r="P21" i="23"/>
  <c r="P11" i="23"/>
  <c r="P34" i="23"/>
  <c r="P9" i="23"/>
  <c r="P10" i="23"/>
  <c r="P36" i="23"/>
  <c r="Q7" i="23"/>
  <c r="L106" i="26"/>
  <c r="L116" i="26" s="1"/>
  <c r="L64" i="2" s="1"/>
  <c r="L107" i="26"/>
  <c r="L117" i="26" s="1"/>
  <c r="L85" i="2" s="1"/>
  <c r="L105" i="26"/>
  <c r="L115" i="26" s="1"/>
  <c r="L43" i="2" s="1"/>
  <c r="P17" i="26"/>
  <c r="P15" i="26"/>
  <c r="P16" i="26"/>
  <c r="P81" i="26" s="1"/>
  <c r="O28" i="22"/>
  <c r="O27" i="22"/>
  <c r="O26" i="22"/>
  <c r="M98" i="26"/>
  <c r="M101" i="26" s="1"/>
  <c r="S15" i="35"/>
  <c r="S16" i="35"/>
  <c r="S17" i="35"/>
  <c r="J68" i="41"/>
  <c r="J66" i="41"/>
  <c r="J67" i="41"/>
  <c r="O77" i="26"/>
  <c r="N84" i="26"/>
  <c r="N86" i="26" s="1"/>
  <c r="J117" i="26"/>
  <c r="Q10" i="26"/>
  <c r="Q9" i="26"/>
  <c r="R7" i="26"/>
  <c r="Q11" i="26"/>
  <c r="Q13" i="26" s="1"/>
  <c r="Q71" i="26"/>
  <c r="Q24" i="26"/>
  <c r="Q29" i="26"/>
  <c r="Q76" i="26"/>
  <c r="K53" i="28"/>
  <c r="N51" i="26"/>
  <c r="N55" i="26" s="1"/>
  <c r="N59" i="26" s="1"/>
  <c r="N61" i="26" s="1"/>
  <c r="N29" i="28"/>
  <c r="N89" i="26"/>
  <c r="N93" i="26" s="1"/>
  <c r="N96" i="26" s="1"/>
  <c r="N98" i="26" s="1"/>
  <c r="N46" i="23"/>
  <c r="O37" i="23"/>
  <c r="L91" i="2"/>
  <c r="M49" i="2"/>
  <c r="K58" i="41"/>
  <c r="L99" i="29"/>
  <c r="L67" i="2" s="1"/>
  <c r="L98" i="29"/>
  <c r="L46" i="2" s="1"/>
  <c r="O62" i="35"/>
  <c r="O68" i="35" s="1"/>
  <c r="O63" i="35"/>
  <c r="O69" i="35" s="1"/>
  <c r="M72" i="35"/>
  <c r="M64" i="26"/>
  <c r="L37" i="28"/>
  <c r="N25" i="41"/>
  <c r="N41" i="41" s="1"/>
  <c r="N42" i="23"/>
  <c r="J58" i="28"/>
  <c r="J60" i="28"/>
  <c r="J59" i="28"/>
  <c r="Q56" i="35"/>
  <c r="P58" i="35"/>
  <c r="P9" i="28"/>
  <c r="Q7" i="28"/>
  <c r="P10" i="28"/>
  <c r="P11" i="28"/>
  <c r="P13" i="28" s="1"/>
  <c r="N65" i="24"/>
  <c r="N68" i="26"/>
  <c r="M55" i="2" l="1"/>
  <c r="M56" i="2" s="1"/>
  <c r="M97" i="2"/>
  <c r="M98" i="2" s="1"/>
  <c r="N73" i="21"/>
  <c r="N78" i="21" s="1"/>
  <c r="N74" i="21"/>
  <c r="N79" i="21" s="1"/>
  <c r="M76" i="2"/>
  <c r="M77" i="2" s="1"/>
  <c r="N72" i="21"/>
  <c r="N77" i="21" s="1"/>
  <c r="P13" i="23"/>
  <c r="N49" i="41"/>
  <c r="N35" i="41" s="1"/>
  <c r="N36" i="41" s="1"/>
  <c r="N50" i="41" s="1"/>
  <c r="N51" i="41" s="1"/>
  <c r="N54" i="41" s="1"/>
  <c r="N37" i="41"/>
  <c r="N38" i="41" s="1"/>
  <c r="N42" i="41" s="1"/>
  <c r="N43" i="41" s="1"/>
  <c r="N46" i="41" s="1"/>
  <c r="M58" i="41"/>
  <c r="M67" i="41" s="1"/>
  <c r="M71" i="2" s="1"/>
  <c r="P15" i="41"/>
  <c r="T13" i="35"/>
  <c r="Q15" i="33"/>
  <c r="Q45" i="33" s="1"/>
  <c r="Q48" i="2" s="1"/>
  <c r="Q16" i="33"/>
  <c r="Q46" i="33" s="1"/>
  <c r="Q69" i="2" s="1"/>
  <c r="Q17" i="33"/>
  <c r="Q47" i="33" s="1"/>
  <c r="Q90" i="2" s="1"/>
  <c r="O38" i="22"/>
  <c r="O49" i="22" s="1"/>
  <c r="R10" i="33"/>
  <c r="R11" i="33"/>
  <c r="R13" i="33" s="1"/>
  <c r="S7" i="33"/>
  <c r="R9" i="33"/>
  <c r="P28" i="22"/>
  <c r="P46" i="22" s="1"/>
  <c r="O39" i="22"/>
  <c r="O50" i="22" s="1"/>
  <c r="P13" i="22"/>
  <c r="P33" i="22" s="1"/>
  <c r="P34" i="22" s="1"/>
  <c r="P38" i="22" s="1"/>
  <c r="P49" i="22" s="1"/>
  <c r="P54" i="22" s="1"/>
  <c r="P49" i="2" s="1"/>
  <c r="M45" i="35"/>
  <c r="M78" i="35" s="1"/>
  <c r="M87" i="2" s="1"/>
  <c r="P84" i="29"/>
  <c r="P87" i="29" s="1"/>
  <c r="P91" i="29" s="1"/>
  <c r="L78" i="35"/>
  <c r="L87" i="2" s="1"/>
  <c r="L77" i="35"/>
  <c r="L66" i="2" s="1"/>
  <c r="L76" i="35"/>
  <c r="L45" i="2" s="1"/>
  <c r="Q11" i="29"/>
  <c r="Q13" i="29" s="1"/>
  <c r="Q9" i="29"/>
  <c r="Q83" i="29"/>
  <c r="Q90" i="29"/>
  <c r="Q45" i="29"/>
  <c r="Q73" i="29"/>
  <c r="Q28" i="29"/>
  <c r="Q52" i="29"/>
  <c r="Q40" i="29"/>
  <c r="R7" i="29"/>
  <c r="Q78" i="29"/>
  <c r="Q23" i="29"/>
  <c r="Q10" i="29"/>
  <c r="Q61" i="29"/>
  <c r="Q35" i="29"/>
  <c r="Q66" i="29"/>
  <c r="P29" i="29"/>
  <c r="P15" i="29"/>
  <c r="P16" i="29"/>
  <c r="P17" i="29"/>
  <c r="N35" i="35"/>
  <c r="N41" i="35" s="1"/>
  <c r="N36" i="35"/>
  <c r="N42" i="35" s="1"/>
  <c r="O31" i="35"/>
  <c r="P29" i="35"/>
  <c r="O54" i="2"/>
  <c r="Q9" i="41"/>
  <c r="Q12" i="41"/>
  <c r="R7" i="41"/>
  <c r="Q13" i="41"/>
  <c r="Q10" i="41"/>
  <c r="Q11" i="41"/>
  <c r="M110" i="26"/>
  <c r="M44" i="2" s="1"/>
  <c r="P18" i="41"/>
  <c r="P17" i="41"/>
  <c r="P19" i="41"/>
  <c r="P62" i="21"/>
  <c r="P32" i="21"/>
  <c r="P54" i="21"/>
  <c r="P68" i="21" s="1"/>
  <c r="M112" i="26"/>
  <c r="M86" i="2" s="1"/>
  <c r="P63" i="21"/>
  <c r="P33" i="21"/>
  <c r="P37" i="21" s="1"/>
  <c r="P55" i="21"/>
  <c r="P69" i="21" s="1"/>
  <c r="P53" i="21"/>
  <c r="P67" i="21" s="1"/>
  <c r="P31" i="21"/>
  <c r="O42" i="21"/>
  <c r="O41" i="21"/>
  <c r="O40" i="21"/>
  <c r="P61" i="21"/>
  <c r="O96" i="2"/>
  <c r="O70" i="29"/>
  <c r="O74" i="29" s="1"/>
  <c r="O94" i="29" s="1"/>
  <c r="P67" i="29"/>
  <c r="R49" i="21"/>
  <c r="R9" i="21"/>
  <c r="R11" i="21"/>
  <c r="R13" i="21" s="1"/>
  <c r="R46" i="21"/>
  <c r="S7" i="21"/>
  <c r="R10" i="21"/>
  <c r="R48" i="21"/>
  <c r="R47" i="21"/>
  <c r="O75" i="2"/>
  <c r="N54" i="2"/>
  <c r="Q50" i="21"/>
  <c r="O72" i="35"/>
  <c r="Q17" i="21"/>
  <c r="Q16" i="21"/>
  <c r="Q15" i="21"/>
  <c r="N75" i="2"/>
  <c r="P43" i="26"/>
  <c r="P46" i="26" s="1"/>
  <c r="P48" i="26" s="1"/>
  <c r="Q30" i="26"/>
  <c r="Q37" i="26" s="1"/>
  <c r="Q29" i="24"/>
  <c r="R7" i="24"/>
  <c r="Q25" i="24"/>
  <c r="Q10" i="24"/>
  <c r="Q9" i="24"/>
  <c r="Q27" i="24"/>
  <c r="Q26" i="24"/>
  <c r="Q11" i="24"/>
  <c r="Q13" i="24" s="1"/>
  <c r="Q28" i="24"/>
  <c r="P16" i="24"/>
  <c r="P17" i="24"/>
  <c r="P15" i="24"/>
  <c r="Q74" i="2"/>
  <c r="Q83" i="2"/>
  <c r="Q95" i="2" s="1"/>
  <c r="R53" i="2"/>
  <c r="S41" i="2"/>
  <c r="R62" i="2"/>
  <c r="P29" i="23"/>
  <c r="P41" i="23"/>
  <c r="P22" i="24"/>
  <c r="P28" i="23"/>
  <c r="K68" i="41"/>
  <c r="K92" i="2" s="1"/>
  <c r="K67" i="41"/>
  <c r="K71" i="2" s="1"/>
  <c r="K66" i="41"/>
  <c r="K50" i="2" s="1"/>
  <c r="L53" i="28"/>
  <c r="Q16" i="26"/>
  <c r="Q81" i="26" s="1"/>
  <c r="Q15" i="26"/>
  <c r="Q17" i="26"/>
  <c r="O45" i="22"/>
  <c r="T17" i="35"/>
  <c r="T16" i="35"/>
  <c r="T15" i="35"/>
  <c r="P15" i="28"/>
  <c r="P16" i="28"/>
  <c r="P17" i="28"/>
  <c r="N42" i="28"/>
  <c r="N49" i="28"/>
  <c r="N51" i="28" s="1"/>
  <c r="N31" i="28"/>
  <c r="N35" i="28" s="1"/>
  <c r="J68" i="2"/>
  <c r="M106" i="26"/>
  <c r="M105" i="26"/>
  <c r="M107" i="26"/>
  <c r="J71" i="2"/>
  <c r="O46" i="22"/>
  <c r="J43" i="2"/>
  <c r="O68" i="26"/>
  <c r="O65" i="24"/>
  <c r="J89" i="2"/>
  <c r="O89" i="26"/>
  <c r="O93" i="26" s="1"/>
  <c r="O96" i="26" s="1"/>
  <c r="O98" i="26" s="1"/>
  <c r="O51" i="26"/>
  <c r="O55" i="26" s="1"/>
  <c r="O59" i="26" s="1"/>
  <c r="O61" i="26" s="1"/>
  <c r="O29" i="28"/>
  <c r="O46" i="23"/>
  <c r="P37" i="23"/>
  <c r="J50" i="2"/>
  <c r="L58" i="41"/>
  <c r="J64" i="2"/>
  <c r="M98" i="29"/>
  <c r="M46" i="2" s="1"/>
  <c r="M99" i="29"/>
  <c r="O26" i="41"/>
  <c r="O49" i="41" s="1"/>
  <c r="O35" i="41" s="1"/>
  <c r="O43" i="23"/>
  <c r="J47" i="2"/>
  <c r="N101" i="26"/>
  <c r="J92" i="2"/>
  <c r="Q19" i="23"/>
  <c r="Q24" i="23"/>
  <c r="Q27" i="23" s="1"/>
  <c r="Q21" i="23"/>
  <c r="R7" i="23"/>
  <c r="Q9" i="23"/>
  <c r="Q36" i="23"/>
  <c r="Q10" i="23"/>
  <c r="Q34" i="23"/>
  <c r="Q11" i="23"/>
  <c r="Q13" i="23" s="1"/>
  <c r="Q17" i="22"/>
  <c r="Q15" i="22"/>
  <c r="Q16" i="22"/>
  <c r="N56" i="29"/>
  <c r="N100" i="29"/>
  <c r="N88" i="2" s="1"/>
  <c r="O78" i="26"/>
  <c r="O79" i="26" s="1"/>
  <c r="O84" i="26"/>
  <c r="O86" i="26" s="1"/>
  <c r="P77" i="26"/>
  <c r="R22" i="22"/>
  <c r="R23" i="22" s="1"/>
  <c r="S7" i="22"/>
  <c r="R9" i="22"/>
  <c r="R10" i="22"/>
  <c r="R11" i="22"/>
  <c r="P46" i="29"/>
  <c r="O49" i="29"/>
  <c r="O53" i="29" s="1"/>
  <c r="O42" i="23"/>
  <c r="O25" i="41"/>
  <c r="O41" i="41" s="1"/>
  <c r="M51" i="28"/>
  <c r="M53" i="28" s="1"/>
  <c r="Q10" i="28"/>
  <c r="R7" i="28"/>
  <c r="Q11" i="28"/>
  <c r="Q13" i="28" s="1"/>
  <c r="Q9" i="28"/>
  <c r="P62" i="35"/>
  <c r="P68" i="35" s="1"/>
  <c r="P63" i="35"/>
  <c r="P69" i="35" s="1"/>
  <c r="N111" i="26"/>
  <c r="N65" i="2" s="1"/>
  <c r="N110" i="26"/>
  <c r="N112" i="26"/>
  <c r="N86" i="2" s="1"/>
  <c r="N64" i="26"/>
  <c r="R9" i="26"/>
  <c r="R11" i="26"/>
  <c r="R13" i="26" s="1"/>
  <c r="S7" i="26"/>
  <c r="R10" i="26"/>
  <c r="R29" i="26"/>
  <c r="R76" i="26"/>
  <c r="R24" i="26"/>
  <c r="R71" i="26"/>
  <c r="M111" i="26"/>
  <c r="U9" i="35"/>
  <c r="U39" i="35"/>
  <c r="U11" i="35"/>
  <c r="V7" i="35"/>
  <c r="U67" i="35"/>
  <c r="U10" i="35"/>
  <c r="U66" i="35"/>
  <c r="U40" i="35"/>
  <c r="U50" i="35"/>
  <c r="U55" i="35"/>
  <c r="U23" i="35"/>
  <c r="U28" i="35"/>
  <c r="R56" i="35"/>
  <c r="Q58" i="35"/>
  <c r="K59" i="28"/>
  <c r="K68" i="2" s="1"/>
  <c r="K58" i="28"/>
  <c r="K47" i="2" s="1"/>
  <c r="K60" i="28"/>
  <c r="K89" i="2" s="1"/>
  <c r="J85" i="2"/>
  <c r="O44" i="22"/>
  <c r="N97" i="2" l="1"/>
  <c r="N98" i="2" s="1"/>
  <c r="O72" i="21"/>
  <c r="O77" i="21" s="1"/>
  <c r="O73" i="21"/>
  <c r="O78" i="21" s="1"/>
  <c r="O74" i="21"/>
  <c r="O79" i="21" s="1"/>
  <c r="N55" i="2"/>
  <c r="N56" i="2" s="1"/>
  <c r="N76" i="2"/>
  <c r="N77" i="2" s="1"/>
  <c r="O54" i="22"/>
  <c r="O49" i="2" s="1"/>
  <c r="U13" i="35"/>
  <c r="N58" i="41"/>
  <c r="N68" i="41" s="1"/>
  <c r="N92" i="2" s="1"/>
  <c r="O37" i="41"/>
  <c r="O38" i="41" s="1"/>
  <c r="O42" i="41" s="1"/>
  <c r="O43" i="41" s="1"/>
  <c r="O46" i="41" s="1"/>
  <c r="M68" i="41"/>
  <c r="M92" i="2" s="1"/>
  <c r="M66" i="41"/>
  <c r="M50" i="2" s="1"/>
  <c r="O36" i="41"/>
  <c r="O50" i="41" s="1"/>
  <c r="O51" i="41" s="1"/>
  <c r="O54" i="41" s="1"/>
  <c r="Q15" i="41"/>
  <c r="M117" i="26"/>
  <c r="M85" i="2" s="1"/>
  <c r="O55" i="22"/>
  <c r="O70" i="2" s="1"/>
  <c r="P39" i="22"/>
  <c r="P50" i="22" s="1"/>
  <c r="P55" i="22" s="1"/>
  <c r="P70" i="2" s="1"/>
  <c r="P40" i="22"/>
  <c r="P51" i="22" s="1"/>
  <c r="P56" i="22" s="1"/>
  <c r="P91" i="2" s="1"/>
  <c r="M76" i="35"/>
  <c r="M45" i="2" s="1"/>
  <c r="R16" i="33"/>
  <c r="R46" i="33" s="1"/>
  <c r="R69" i="2" s="1"/>
  <c r="R15" i="33"/>
  <c r="R45" i="33" s="1"/>
  <c r="R48" i="2" s="1"/>
  <c r="R17" i="33"/>
  <c r="R47" i="33" s="1"/>
  <c r="R90" i="2" s="1"/>
  <c r="S11" i="33"/>
  <c r="S13" i="33" s="1"/>
  <c r="S9" i="33"/>
  <c r="T7" i="33"/>
  <c r="S10" i="33"/>
  <c r="Q13" i="22"/>
  <c r="Q33" i="22" s="1"/>
  <c r="Q34" i="22" s="1"/>
  <c r="Q39" i="22" s="1"/>
  <c r="Q50" i="22" s="1"/>
  <c r="M77" i="35"/>
  <c r="M66" i="2" s="1"/>
  <c r="N45" i="35"/>
  <c r="N78" i="35" s="1"/>
  <c r="N87" i="2" s="1"/>
  <c r="Q84" i="29"/>
  <c r="Q87" i="29" s="1"/>
  <c r="Q91" i="29" s="1"/>
  <c r="Q15" i="29"/>
  <c r="Q17" i="29"/>
  <c r="Q16" i="29"/>
  <c r="R9" i="29"/>
  <c r="R78" i="29"/>
  <c r="R35" i="29"/>
  <c r="R28" i="29"/>
  <c r="R66" i="29"/>
  <c r="R10" i="29"/>
  <c r="R11" i="29"/>
  <c r="R13" i="29" s="1"/>
  <c r="R83" i="29"/>
  <c r="S7" i="29"/>
  <c r="R45" i="29"/>
  <c r="R52" i="29"/>
  <c r="R23" i="29"/>
  <c r="R40" i="29"/>
  <c r="R73" i="29"/>
  <c r="R61" i="29"/>
  <c r="R90" i="29"/>
  <c r="Q29" i="29"/>
  <c r="P32" i="29"/>
  <c r="P36" i="29" s="1"/>
  <c r="Q43" i="26"/>
  <c r="Q46" i="26" s="1"/>
  <c r="Q48" i="26" s="1"/>
  <c r="P31" i="35"/>
  <c r="Q29" i="35"/>
  <c r="O35" i="35"/>
  <c r="O41" i="35" s="1"/>
  <c r="O36" i="35"/>
  <c r="O42" i="35" s="1"/>
  <c r="P75" i="2"/>
  <c r="P54" i="2"/>
  <c r="R50" i="21"/>
  <c r="Q27" i="22"/>
  <c r="Q45" i="22" s="1"/>
  <c r="M115" i="26"/>
  <c r="M43" i="2" s="1"/>
  <c r="Q26" i="22"/>
  <c r="Q44" i="22" s="1"/>
  <c r="R9" i="41"/>
  <c r="S7" i="41"/>
  <c r="R10" i="41"/>
  <c r="R11" i="41"/>
  <c r="R13" i="41"/>
  <c r="R12" i="41"/>
  <c r="Q19" i="41"/>
  <c r="Q17" i="41"/>
  <c r="Q18" i="41"/>
  <c r="P96" i="2"/>
  <c r="R17" i="21"/>
  <c r="R63" i="21" s="1"/>
  <c r="R15" i="21"/>
  <c r="R61" i="21" s="1"/>
  <c r="R16" i="21"/>
  <c r="R62" i="21" s="1"/>
  <c r="Q67" i="29"/>
  <c r="P70" i="29"/>
  <c r="P74" i="29" s="1"/>
  <c r="P94" i="29" s="1"/>
  <c r="P41" i="21"/>
  <c r="P42" i="21"/>
  <c r="P40" i="21"/>
  <c r="Q28" i="22"/>
  <c r="Q46" i="22" s="1"/>
  <c r="S46" i="21"/>
  <c r="S11" i="21"/>
  <c r="S13" i="21" s="1"/>
  <c r="S48" i="21"/>
  <c r="S10" i="21"/>
  <c r="S49" i="21"/>
  <c r="S9" i="21"/>
  <c r="T7" i="21"/>
  <c r="S47" i="21"/>
  <c r="Q31" i="21"/>
  <c r="Q53" i="21"/>
  <c r="Q67" i="21" s="1"/>
  <c r="Q62" i="21"/>
  <c r="Q54" i="21"/>
  <c r="Q68" i="21" s="1"/>
  <c r="Q32" i="21"/>
  <c r="R30" i="26"/>
  <c r="R37" i="26" s="1"/>
  <c r="Q63" i="21"/>
  <c r="Q55" i="21"/>
  <c r="Q69" i="21" s="1"/>
  <c r="Q33" i="21"/>
  <c r="Q37" i="21" s="1"/>
  <c r="Q61" i="21"/>
  <c r="Q15" i="24"/>
  <c r="Q17" i="24"/>
  <c r="Q16" i="24"/>
  <c r="P72" i="35"/>
  <c r="R74" i="2"/>
  <c r="R83" i="2"/>
  <c r="R95" i="2" s="1"/>
  <c r="S53" i="2"/>
  <c r="S62" i="2"/>
  <c r="T41" i="2"/>
  <c r="R28" i="24"/>
  <c r="R29" i="24"/>
  <c r="R9" i="24"/>
  <c r="S7" i="24"/>
  <c r="R10" i="24"/>
  <c r="R25" i="24"/>
  <c r="R11" i="24"/>
  <c r="R13" i="24" s="1"/>
  <c r="R26" i="24"/>
  <c r="R27" i="24"/>
  <c r="O101" i="26"/>
  <c r="Q28" i="23"/>
  <c r="Q29" i="23"/>
  <c r="Q22" i="24"/>
  <c r="Q41" i="23"/>
  <c r="Q17" i="28"/>
  <c r="Q15" i="28"/>
  <c r="Q16" i="28"/>
  <c r="V9" i="35"/>
  <c r="V67" i="35"/>
  <c r="V66" i="35"/>
  <c r="V40" i="35"/>
  <c r="V39" i="35"/>
  <c r="V10" i="35"/>
  <c r="V11" i="35"/>
  <c r="W7" i="35"/>
  <c r="V23" i="35"/>
  <c r="V50" i="35"/>
  <c r="V28" i="35"/>
  <c r="V55" i="35"/>
  <c r="R15" i="22"/>
  <c r="R17" i="22"/>
  <c r="R16" i="22"/>
  <c r="L66" i="41"/>
  <c r="L50" i="2" s="1"/>
  <c r="L68" i="41"/>
  <c r="L67" i="41"/>
  <c r="L71" i="2" s="1"/>
  <c r="N44" i="2"/>
  <c r="M65" i="2"/>
  <c r="O56" i="29"/>
  <c r="O100" i="29"/>
  <c r="O88" i="2" s="1"/>
  <c r="R19" i="23"/>
  <c r="R24" i="23"/>
  <c r="R27" i="23" s="1"/>
  <c r="R21" i="23"/>
  <c r="R10" i="23"/>
  <c r="S7" i="23"/>
  <c r="R11" i="23"/>
  <c r="R13" i="23" s="1"/>
  <c r="R36" i="23"/>
  <c r="R34" i="23"/>
  <c r="R9" i="23"/>
  <c r="O56" i="22"/>
  <c r="M116" i="26"/>
  <c r="N44" i="28"/>
  <c r="P68" i="26"/>
  <c r="P65" i="24"/>
  <c r="S56" i="35"/>
  <c r="R58" i="35"/>
  <c r="N106" i="26"/>
  <c r="N105" i="26"/>
  <c r="N107" i="26"/>
  <c r="T7" i="22"/>
  <c r="S10" i="22"/>
  <c r="S22" i="22"/>
  <c r="S23" i="22" s="1"/>
  <c r="S9" i="22"/>
  <c r="S11" i="22"/>
  <c r="N99" i="29"/>
  <c r="N67" i="2" s="1"/>
  <c r="N98" i="29"/>
  <c r="N46" i="2" s="1"/>
  <c r="P43" i="23"/>
  <c r="P26" i="41"/>
  <c r="P49" i="41" s="1"/>
  <c r="P35" i="41" s="1"/>
  <c r="Q63" i="35"/>
  <c r="Q69" i="35" s="1"/>
  <c r="Q62" i="35"/>
  <c r="Q68" i="35" s="1"/>
  <c r="R9" i="28"/>
  <c r="R10" i="28"/>
  <c r="S7" i="28"/>
  <c r="R11" i="28"/>
  <c r="R13" i="28" s="1"/>
  <c r="P84" i="26"/>
  <c r="P86" i="26" s="1"/>
  <c r="P78" i="26"/>
  <c r="P79" i="26" s="1"/>
  <c r="Q77" i="26"/>
  <c r="M67" i="2"/>
  <c r="P51" i="26"/>
  <c r="P55" i="26" s="1"/>
  <c r="P59" i="26" s="1"/>
  <c r="P61" i="26" s="1"/>
  <c r="P89" i="26"/>
  <c r="P93" i="26" s="1"/>
  <c r="P96" i="26" s="1"/>
  <c r="P98" i="26" s="1"/>
  <c r="P29" i="28"/>
  <c r="P46" i="23"/>
  <c r="Q37" i="23"/>
  <c r="O31" i="28"/>
  <c r="O35" i="28" s="1"/>
  <c r="O37" i="28" s="1"/>
  <c r="O42" i="28"/>
  <c r="O44" i="28" s="1"/>
  <c r="O49" i="28"/>
  <c r="O51" i="28" s="1"/>
  <c r="U15" i="35"/>
  <c r="U16" i="35"/>
  <c r="U17" i="35"/>
  <c r="R17" i="26"/>
  <c r="R16" i="26"/>
  <c r="R81" i="26" s="1"/>
  <c r="R15" i="26"/>
  <c r="Q46" i="29"/>
  <c r="P49" i="29"/>
  <c r="P53" i="29" s="1"/>
  <c r="O111" i="26"/>
  <c r="O65" i="2" s="1"/>
  <c r="O110" i="26"/>
  <c r="O44" i="2" s="1"/>
  <c r="O112" i="26"/>
  <c r="O86" i="2" s="1"/>
  <c r="O64" i="26"/>
  <c r="L58" i="28"/>
  <c r="L59" i="28"/>
  <c r="L68" i="2" s="1"/>
  <c r="L60" i="28"/>
  <c r="L89" i="2" s="1"/>
  <c r="M59" i="28"/>
  <c r="M68" i="2" s="1"/>
  <c r="M60" i="28"/>
  <c r="M89" i="2" s="1"/>
  <c r="M58" i="28"/>
  <c r="M47" i="2" s="1"/>
  <c r="S10" i="26"/>
  <c r="T7" i="26"/>
  <c r="S11" i="26"/>
  <c r="S13" i="26" s="1"/>
  <c r="S9" i="26"/>
  <c r="S24" i="26"/>
  <c r="S76" i="26"/>
  <c r="S71" i="26"/>
  <c r="S29" i="26"/>
  <c r="N37" i="28"/>
  <c r="P25" i="41"/>
  <c r="P41" i="41" s="1"/>
  <c r="P42" i="23"/>
  <c r="O97" i="2" l="1"/>
  <c r="O98" i="2" s="1"/>
  <c r="P74" i="21"/>
  <c r="P79" i="21" s="1"/>
  <c r="O76" i="2"/>
  <c r="O77" i="2" s="1"/>
  <c r="P73" i="21"/>
  <c r="P78" i="21" s="1"/>
  <c r="P72" i="21"/>
  <c r="P77" i="21" s="1"/>
  <c r="O55" i="2"/>
  <c r="O56" i="2" s="1"/>
  <c r="N66" i="41"/>
  <c r="N50" i="2" s="1"/>
  <c r="V13" i="35"/>
  <c r="N67" i="41"/>
  <c r="N71" i="2" s="1"/>
  <c r="O58" i="41"/>
  <c r="O67" i="41" s="1"/>
  <c r="O71" i="2" s="1"/>
  <c r="P37" i="41"/>
  <c r="P38" i="41" s="1"/>
  <c r="P42" i="41" s="1"/>
  <c r="P43" i="41" s="1"/>
  <c r="P46" i="41" s="1"/>
  <c r="R15" i="41"/>
  <c r="P36" i="41"/>
  <c r="P50" i="41" s="1"/>
  <c r="P51" i="41" s="1"/>
  <c r="P54" i="41" s="1"/>
  <c r="Q55" i="22"/>
  <c r="Q70" i="2" s="1"/>
  <c r="S17" i="33"/>
  <c r="S47" i="33" s="1"/>
  <c r="S90" i="2" s="1"/>
  <c r="S15" i="33"/>
  <c r="S45" i="33" s="1"/>
  <c r="S48" i="2" s="1"/>
  <c r="S16" i="33"/>
  <c r="S46" i="33" s="1"/>
  <c r="S69" i="2" s="1"/>
  <c r="T10" i="33"/>
  <c r="T11" i="33"/>
  <c r="T13" i="33" s="1"/>
  <c r="T9" i="33"/>
  <c r="U7" i="33"/>
  <c r="Q40" i="22"/>
  <c r="Q51" i="22" s="1"/>
  <c r="Q56" i="22" s="1"/>
  <c r="Q91" i="2" s="1"/>
  <c r="Q38" i="22"/>
  <c r="Q49" i="22" s="1"/>
  <c r="Q54" i="22" s="1"/>
  <c r="R13" i="22"/>
  <c r="R33" i="22" s="1"/>
  <c r="R34" i="22" s="1"/>
  <c r="R40" i="22" s="1"/>
  <c r="R51" i="22" s="1"/>
  <c r="N76" i="35"/>
  <c r="N45" i="2" s="1"/>
  <c r="N77" i="35"/>
  <c r="N66" i="2" s="1"/>
  <c r="R84" i="29"/>
  <c r="R87" i="29" s="1"/>
  <c r="R91" i="29" s="1"/>
  <c r="R29" i="29"/>
  <c r="Q32" i="29"/>
  <c r="Q36" i="29" s="1"/>
  <c r="S11" i="29"/>
  <c r="S13" i="29" s="1"/>
  <c r="S61" i="29"/>
  <c r="S28" i="29"/>
  <c r="S9" i="29"/>
  <c r="S78" i="29"/>
  <c r="S90" i="29"/>
  <c r="S45" i="29"/>
  <c r="S83" i="29"/>
  <c r="S10" i="29"/>
  <c r="S40" i="29"/>
  <c r="S73" i="29"/>
  <c r="T7" i="29"/>
  <c r="S35" i="29"/>
  <c r="S66" i="29"/>
  <c r="S52" i="29"/>
  <c r="S23" i="29"/>
  <c r="O45" i="35"/>
  <c r="R16" i="29"/>
  <c r="R15" i="29"/>
  <c r="R17" i="29"/>
  <c r="R29" i="35"/>
  <c r="Q31" i="35"/>
  <c r="P35" i="35"/>
  <c r="P41" i="35" s="1"/>
  <c r="P36" i="35"/>
  <c r="P42" i="35" s="1"/>
  <c r="R26" i="22"/>
  <c r="R44" i="22" s="1"/>
  <c r="R43" i="26"/>
  <c r="R46" i="26" s="1"/>
  <c r="R48" i="26" s="1"/>
  <c r="R27" i="22"/>
  <c r="R45" i="22" s="1"/>
  <c r="R17" i="41"/>
  <c r="R19" i="41"/>
  <c r="R18" i="41"/>
  <c r="S11" i="41"/>
  <c r="S13" i="41"/>
  <c r="S10" i="41"/>
  <c r="S12" i="41"/>
  <c r="T7" i="41"/>
  <c r="S9" i="41"/>
  <c r="Q75" i="2"/>
  <c r="T48" i="21"/>
  <c r="T49" i="21"/>
  <c r="T9" i="21"/>
  <c r="U7" i="21"/>
  <c r="T11" i="21"/>
  <c r="T13" i="21" s="1"/>
  <c r="T47" i="21"/>
  <c r="T46" i="21"/>
  <c r="T10" i="21"/>
  <c r="S50" i="21"/>
  <c r="Q41" i="21"/>
  <c r="Q40" i="21"/>
  <c r="Q42" i="21"/>
  <c r="Q96" i="2"/>
  <c r="R67" i="29"/>
  <c r="Q70" i="29"/>
  <c r="Q74" i="29" s="1"/>
  <c r="Q94" i="29" s="1"/>
  <c r="O53" i="28"/>
  <c r="O58" i="28" s="1"/>
  <c r="O47" i="2" s="1"/>
  <c r="S17" i="21"/>
  <c r="S16" i="21"/>
  <c r="S15" i="21"/>
  <c r="R32" i="21"/>
  <c r="R54" i="21"/>
  <c r="R68" i="21" s="1"/>
  <c r="R31" i="21"/>
  <c r="R53" i="21"/>
  <c r="R67" i="21" s="1"/>
  <c r="Q54" i="2"/>
  <c r="R55" i="21"/>
  <c r="R69" i="21" s="1"/>
  <c r="R33" i="21"/>
  <c r="R37" i="21" s="1"/>
  <c r="R16" i="24"/>
  <c r="R17" i="24"/>
  <c r="R15" i="24"/>
  <c r="S29" i="24"/>
  <c r="S10" i="24"/>
  <c r="S25" i="24"/>
  <c r="S26" i="24"/>
  <c r="T7" i="24"/>
  <c r="S11" i="24"/>
  <c r="S13" i="24" s="1"/>
  <c r="S9" i="24"/>
  <c r="S27" i="24"/>
  <c r="S28" i="24"/>
  <c r="R28" i="22"/>
  <c r="R46" i="22" s="1"/>
  <c r="U41" i="2"/>
  <c r="T62" i="2"/>
  <c r="T53" i="2"/>
  <c r="S30" i="26"/>
  <c r="S37" i="26" s="1"/>
  <c r="S74" i="2"/>
  <c r="S83" i="2"/>
  <c r="S95" i="2" s="1"/>
  <c r="R28" i="23"/>
  <c r="R41" i="23"/>
  <c r="R29" i="23"/>
  <c r="R22" i="24"/>
  <c r="T7" i="28"/>
  <c r="S9" i="28"/>
  <c r="S10" i="28"/>
  <c r="S11" i="28"/>
  <c r="S13" i="28" s="1"/>
  <c r="S58" i="35"/>
  <c r="T56" i="35"/>
  <c r="N53" i="28"/>
  <c r="P110" i="26"/>
  <c r="P44" i="2" s="1"/>
  <c r="P111" i="26"/>
  <c r="P65" i="2" s="1"/>
  <c r="P112" i="26"/>
  <c r="P86" i="2" s="1"/>
  <c r="P101" i="26"/>
  <c r="R16" i="28"/>
  <c r="R17" i="28"/>
  <c r="R15" i="28"/>
  <c r="M64" i="2"/>
  <c r="S19" i="23"/>
  <c r="S24" i="23"/>
  <c r="S27" i="23" s="1"/>
  <c r="S21" i="23"/>
  <c r="S10" i="23"/>
  <c r="S9" i="23"/>
  <c r="S34" i="23"/>
  <c r="S11" i="23"/>
  <c r="S13" i="23" s="1"/>
  <c r="S36" i="23"/>
  <c r="T7" i="23"/>
  <c r="Q26" i="41"/>
  <c r="Q49" i="41" s="1"/>
  <c r="Q35" i="41" s="1"/>
  <c r="Q43" i="23"/>
  <c r="S17" i="26"/>
  <c r="S15" i="26"/>
  <c r="S16" i="26"/>
  <c r="S81" i="26" s="1"/>
  <c r="Q42" i="23"/>
  <c r="Q25" i="41"/>
  <c r="Q41" i="41" s="1"/>
  <c r="T10" i="26"/>
  <c r="T9" i="26"/>
  <c r="U7" i="26"/>
  <c r="T11" i="26"/>
  <c r="T13" i="26" s="1"/>
  <c r="T24" i="26"/>
  <c r="T76" i="26"/>
  <c r="T29" i="26"/>
  <c r="T71" i="26"/>
  <c r="O107" i="26"/>
  <c r="O117" i="26" s="1"/>
  <c r="O85" i="2" s="1"/>
  <c r="O105" i="26"/>
  <c r="O115" i="26" s="1"/>
  <c r="O43" i="2" s="1"/>
  <c r="O106" i="26"/>
  <c r="O116" i="26" s="1"/>
  <c r="O64" i="2" s="1"/>
  <c r="Q72" i="35"/>
  <c r="O91" i="2"/>
  <c r="N117" i="26"/>
  <c r="Q51" i="26"/>
  <c r="Q55" i="26" s="1"/>
  <c r="Q59" i="26" s="1"/>
  <c r="Q61" i="26" s="1"/>
  <c r="R37" i="23"/>
  <c r="Q29" i="28"/>
  <c r="Q46" i="23"/>
  <c r="Q89" i="26"/>
  <c r="Q93" i="26" s="1"/>
  <c r="Q96" i="26" s="1"/>
  <c r="Q98" i="26" s="1"/>
  <c r="S17" i="22"/>
  <c r="S15" i="22"/>
  <c r="S16" i="22"/>
  <c r="N115" i="26"/>
  <c r="W67" i="35"/>
  <c r="W40" i="35"/>
  <c r="W66" i="35"/>
  <c r="W9" i="35"/>
  <c r="X7" i="35"/>
  <c r="W39" i="35"/>
  <c r="W11" i="35"/>
  <c r="W10" i="35"/>
  <c r="W23" i="35"/>
  <c r="W28" i="35"/>
  <c r="W55" i="35"/>
  <c r="W50" i="35"/>
  <c r="P56" i="29"/>
  <c r="P100" i="29"/>
  <c r="P88" i="2" s="1"/>
  <c r="T9" i="22"/>
  <c r="T22" i="22"/>
  <c r="T23" i="22" s="1"/>
  <c r="U7" i="22"/>
  <c r="T10" i="22"/>
  <c r="T11" i="22"/>
  <c r="N116" i="26"/>
  <c r="N64" i="2" s="1"/>
  <c r="L92" i="2"/>
  <c r="P64" i="26"/>
  <c r="L47" i="2"/>
  <c r="Q49" i="29"/>
  <c r="Q53" i="29" s="1"/>
  <c r="R46" i="29"/>
  <c r="P31" i="28"/>
  <c r="P35" i="28" s="1"/>
  <c r="P37" i="28" s="1"/>
  <c r="P42" i="28"/>
  <c r="P44" i="28" s="1"/>
  <c r="P49" i="28"/>
  <c r="P51" i="28" s="1"/>
  <c r="Q78" i="26"/>
  <c r="Q79" i="26" s="1"/>
  <c r="Q84" i="26"/>
  <c r="Q86" i="26" s="1"/>
  <c r="R77" i="26"/>
  <c r="R63" i="35"/>
  <c r="R69" i="35" s="1"/>
  <c r="R62" i="35"/>
  <c r="R68" i="35" s="1"/>
  <c r="O98" i="29"/>
  <c r="O46" i="2" s="1"/>
  <c r="O99" i="29"/>
  <c r="O67" i="2" s="1"/>
  <c r="V16" i="35"/>
  <c r="V17" i="35"/>
  <c r="V15" i="35"/>
  <c r="Q65" i="24"/>
  <c r="Q68" i="26"/>
  <c r="W13" i="35" l="1"/>
  <c r="P76" i="2"/>
  <c r="P77" i="2" s="1"/>
  <c r="P55" i="2"/>
  <c r="P56" i="2" s="1"/>
  <c r="Q74" i="21"/>
  <c r="Q79" i="21" s="1"/>
  <c r="Q73" i="21"/>
  <c r="Q78" i="21" s="1"/>
  <c r="Q72" i="21"/>
  <c r="Q77" i="21" s="1"/>
  <c r="P97" i="2"/>
  <c r="P98" i="2" s="1"/>
  <c r="O68" i="41"/>
  <c r="O92" i="2" s="1"/>
  <c r="O66" i="41"/>
  <c r="O50" i="2" s="1"/>
  <c r="P58" i="41"/>
  <c r="P66" i="41" s="1"/>
  <c r="P50" i="2" s="1"/>
  <c r="Q37" i="41"/>
  <c r="S15" i="41"/>
  <c r="Q36" i="41"/>
  <c r="Q50" i="41" s="1"/>
  <c r="Q51" i="41" s="1"/>
  <c r="Q54" i="41" s="1"/>
  <c r="U10" i="33"/>
  <c r="U9" i="33"/>
  <c r="U11" i="33"/>
  <c r="U13" i="33" s="1"/>
  <c r="V7" i="33"/>
  <c r="T15" i="33"/>
  <c r="T45" i="33" s="1"/>
  <c r="T48" i="2" s="1"/>
  <c r="T16" i="33"/>
  <c r="T46" i="33" s="1"/>
  <c r="T69" i="2" s="1"/>
  <c r="T17" i="33"/>
  <c r="T47" i="33" s="1"/>
  <c r="T90" i="2" s="1"/>
  <c r="R39" i="22"/>
  <c r="R50" i="22" s="1"/>
  <c r="R55" i="22" s="1"/>
  <c r="R70" i="2" s="1"/>
  <c r="S13" i="22"/>
  <c r="S33" i="22" s="1"/>
  <c r="S34" i="22" s="1"/>
  <c r="S40" i="22" s="1"/>
  <c r="S51" i="22" s="1"/>
  <c r="R38" i="22"/>
  <c r="R49" i="22" s="1"/>
  <c r="R54" i="22" s="1"/>
  <c r="R49" i="2" s="1"/>
  <c r="P45" i="35"/>
  <c r="P77" i="35" s="1"/>
  <c r="P66" i="2" s="1"/>
  <c r="O59" i="28"/>
  <c r="O68" i="2" s="1"/>
  <c r="R54" i="2"/>
  <c r="S84" i="29"/>
  <c r="S87" i="29" s="1"/>
  <c r="S91" i="29" s="1"/>
  <c r="T10" i="29"/>
  <c r="T61" i="29"/>
  <c r="T73" i="29"/>
  <c r="T11" i="29"/>
  <c r="T13" i="29" s="1"/>
  <c r="T78" i="29"/>
  <c r="T52" i="29"/>
  <c r="T40" i="29"/>
  <c r="T45" i="29"/>
  <c r="U7" i="29"/>
  <c r="T35" i="29"/>
  <c r="T90" i="29"/>
  <c r="T28" i="29"/>
  <c r="T23" i="29"/>
  <c r="T9" i="29"/>
  <c r="T83" i="29"/>
  <c r="T66" i="29"/>
  <c r="O77" i="35"/>
  <c r="O66" i="2" s="1"/>
  <c r="O78" i="35"/>
  <c r="O87" i="2" s="1"/>
  <c r="O76" i="35"/>
  <c r="O45" i="2" s="1"/>
  <c r="S17" i="29"/>
  <c r="S15" i="29"/>
  <c r="S16" i="29"/>
  <c r="S29" i="29"/>
  <c r="R32" i="29"/>
  <c r="R36" i="29" s="1"/>
  <c r="O60" i="28"/>
  <c r="O89" i="2" s="1"/>
  <c r="Q36" i="35"/>
  <c r="Q42" i="35" s="1"/>
  <c r="Q35" i="35"/>
  <c r="Q41" i="35" s="1"/>
  <c r="S29" i="35"/>
  <c r="R31" i="35"/>
  <c r="R72" i="35"/>
  <c r="S28" i="22"/>
  <c r="S46" i="22" s="1"/>
  <c r="S43" i="26"/>
  <c r="S46" i="26" s="1"/>
  <c r="S48" i="26" s="1"/>
  <c r="R96" i="2"/>
  <c r="S19" i="41"/>
  <c r="S17" i="41"/>
  <c r="S18" i="41"/>
  <c r="T9" i="41"/>
  <c r="T11" i="41"/>
  <c r="U7" i="41"/>
  <c r="T10" i="41"/>
  <c r="T13" i="41"/>
  <c r="T12" i="41"/>
  <c r="R40" i="21"/>
  <c r="R41" i="21"/>
  <c r="R42" i="21"/>
  <c r="S61" i="21"/>
  <c r="S31" i="21"/>
  <c r="S53" i="21"/>
  <c r="S67" i="21" s="1"/>
  <c r="S32" i="21"/>
  <c r="S54" i="21"/>
  <c r="S68" i="21" s="1"/>
  <c r="U47" i="21"/>
  <c r="U46" i="21"/>
  <c r="U49" i="21"/>
  <c r="U9" i="21"/>
  <c r="V7" i="21"/>
  <c r="U11" i="21"/>
  <c r="U13" i="21" s="1"/>
  <c r="U48" i="21"/>
  <c r="U10" i="21"/>
  <c r="S63" i="21"/>
  <c r="S55" i="21"/>
  <c r="S69" i="21" s="1"/>
  <c r="S33" i="21"/>
  <c r="S37" i="21" s="1"/>
  <c r="Q101" i="26"/>
  <c r="T17" i="21"/>
  <c r="T16" i="21"/>
  <c r="T15" i="21"/>
  <c r="T61" i="21" s="1"/>
  <c r="S62" i="21"/>
  <c r="S67" i="29"/>
  <c r="R70" i="29"/>
  <c r="R74" i="29" s="1"/>
  <c r="R94" i="29" s="1"/>
  <c r="T50" i="21"/>
  <c r="U7" i="24"/>
  <c r="T9" i="24"/>
  <c r="T11" i="24"/>
  <c r="T13" i="24" s="1"/>
  <c r="T26" i="24"/>
  <c r="T10" i="24"/>
  <c r="T28" i="24"/>
  <c r="T27" i="24"/>
  <c r="T25" i="24"/>
  <c r="T29" i="24"/>
  <c r="T83" i="2"/>
  <c r="T95" i="2" s="1"/>
  <c r="T74" i="2"/>
  <c r="S17" i="24"/>
  <c r="S16" i="24"/>
  <c r="S15" i="24"/>
  <c r="U53" i="2"/>
  <c r="U62" i="2"/>
  <c r="V41" i="2"/>
  <c r="T30" i="26"/>
  <c r="T43" i="26" s="1"/>
  <c r="S41" i="23"/>
  <c r="S29" i="23"/>
  <c r="S22" i="24"/>
  <c r="S28" i="23"/>
  <c r="P99" i="29"/>
  <c r="P67" i="2" s="1"/>
  <c r="P98" i="29"/>
  <c r="P46" i="2" s="1"/>
  <c r="Q42" i="28"/>
  <c r="Q44" i="28" s="1"/>
  <c r="Q49" i="28"/>
  <c r="Q51" i="28" s="1"/>
  <c r="Q31" i="28"/>
  <c r="Q35" i="28" s="1"/>
  <c r="Q37" i="28" s="1"/>
  <c r="U11" i="26"/>
  <c r="U13" i="26" s="1"/>
  <c r="V7" i="26"/>
  <c r="U10" i="26"/>
  <c r="U9" i="26"/>
  <c r="U71" i="26"/>
  <c r="U24" i="26"/>
  <c r="U29" i="26"/>
  <c r="U76" i="26"/>
  <c r="U10" i="22"/>
  <c r="U9" i="22"/>
  <c r="U22" i="22"/>
  <c r="U23" i="22" s="1"/>
  <c r="U11" i="22"/>
  <c r="V7" i="22"/>
  <c r="X11" i="35"/>
  <c r="X13" i="35" s="1"/>
  <c r="X66" i="35"/>
  <c r="X9" i="35"/>
  <c r="X39" i="35"/>
  <c r="X10" i="35"/>
  <c r="Y7" i="35"/>
  <c r="X67" i="35"/>
  <c r="X40" i="35"/>
  <c r="X23" i="35"/>
  <c r="X50" i="35"/>
  <c r="X28" i="35"/>
  <c r="X55" i="35"/>
  <c r="P106" i="26"/>
  <c r="P116" i="26" s="1"/>
  <c r="P64" i="2" s="1"/>
  <c r="P105" i="26"/>
  <c r="P115" i="26" s="1"/>
  <c r="P43" i="2" s="1"/>
  <c r="P107" i="26"/>
  <c r="P117" i="26" s="1"/>
  <c r="P85" i="2" s="1"/>
  <c r="W15" i="35"/>
  <c r="W16" i="35"/>
  <c r="W17" i="35"/>
  <c r="R51" i="26"/>
  <c r="R55" i="26" s="1"/>
  <c r="R59" i="26" s="1"/>
  <c r="R61" i="26" s="1"/>
  <c r="R29" i="28"/>
  <c r="R89" i="26"/>
  <c r="R93" i="26" s="1"/>
  <c r="R96" i="26" s="1"/>
  <c r="R98" i="26" s="1"/>
  <c r="S37" i="23"/>
  <c r="R46" i="23"/>
  <c r="S27" i="22"/>
  <c r="S45" i="22" s="1"/>
  <c r="R26" i="41"/>
  <c r="R49" i="41" s="1"/>
  <c r="R35" i="41" s="1"/>
  <c r="R43" i="23"/>
  <c r="Q110" i="26"/>
  <c r="Q44" i="2" s="1"/>
  <c r="Q111" i="26"/>
  <c r="Q65" i="2" s="1"/>
  <c r="Q112" i="26"/>
  <c r="Q86" i="2" s="1"/>
  <c r="Q64" i="26"/>
  <c r="T15" i="26"/>
  <c r="T16" i="26"/>
  <c r="T81" i="26" s="1"/>
  <c r="T17" i="26"/>
  <c r="T19" i="23"/>
  <c r="T24" i="23"/>
  <c r="T27" i="23" s="1"/>
  <c r="T21" i="23"/>
  <c r="T36" i="23"/>
  <c r="T9" i="23"/>
  <c r="T11" i="23"/>
  <c r="T13" i="23" s="1"/>
  <c r="U7" i="23"/>
  <c r="T10" i="23"/>
  <c r="T34" i="23"/>
  <c r="R65" i="24"/>
  <c r="R68" i="26"/>
  <c r="P53" i="28"/>
  <c r="T15" i="22"/>
  <c r="T16" i="22"/>
  <c r="T17" i="22"/>
  <c r="N59" i="28"/>
  <c r="N68" i="2" s="1"/>
  <c r="N60" i="28"/>
  <c r="N89" i="2" s="1"/>
  <c r="N58" i="28"/>
  <c r="S16" i="28"/>
  <c r="S17" i="28"/>
  <c r="S15" i="28"/>
  <c r="R42" i="23"/>
  <c r="R25" i="41"/>
  <c r="R41" i="41" s="1"/>
  <c r="U56" i="35"/>
  <c r="T58" i="35"/>
  <c r="R49" i="29"/>
  <c r="R53" i="29" s="1"/>
  <c r="S46" i="29"/>
  <c r="N43" i="2"/>
  <c r="Q56" i="29"/>
  <c r="Q100" i="29"/>
  <c r="Q88" i="2" s="1"/>
  <c r="R84" i="26"/>
  <c r="R86" i="26" s="1"/>
  <c r="S77" i="26"/>
  <c r="R78" i="26"/>
  <c r="R79" i="26" s="1"/>
  <c r="N85" i="2"/>
  <c r="R56" i="22"/>
  <c r="S62" i="35"/>
  <c r="S68" i="35" s="1"/>
  <c r="S63" i="35"/>
  <c r="S69" i="35" s="1"/>
  <c r="T11" i="28"/>
  <c r="T13" i="28" s="1"/>
  <c r="U7" i="28"/>
  <c r="T9" i="28"/>
  <c r="T10" i="28"/>
  <c r="Q49" i="2"/>
  <c r="S26" i="22"/>
  <c r="S44" i="22" s="1"/>
  <c r="Q55" i="2" l="1"/>
  <c r="Q56" i="2" s="1"/>
  <c r="Q76" i="2"/>
  <c r="Q77" i="2" s="1"/>
  <c r="R72" i="21"/>
  <c r="R77" i="21" s="1"/>
  <c r="R74" i="21"/>
  <c r="R79" i="21" s="1"/>
  <c r="R73" i="21"/>
  <c r="R78" i="21" s="1"/>
  <c r="Q97" i="2"/>
  <c r="Q98" i="2" s="1"/>
  <c r="S39" i="22"/>
  <c r="S50" i="22" s="1"/>
  <c r="S55" i="22" s="1"/>
  <c r="S70" i="2" s="1"/>
  <c r="T13" i="22"/>
  <c r="T33" i="22" s="1"/>
  <c r="T34" i="22" s="1"/>
  <c r="T38" i="22" s="1"/>
  <c r="T49" i="22" s="1"/>
  <c r="S38" i="22"/>
  <c r="S49" i="22" s="1"/>
  <c r="S54" i="22" s="1"/>
  <c r="S49" i="2" s="1"/>
  <c r="P67" i="41"/>
  <c r="P71" i="2" s="1"/>
  <c r="P68" i="41"/>
  <c r="P92" i="2" s="1"/>
  <c r="R37" i="41"/>
  <c r="R38" i="41" s="1"/>
  <c r="R42" i="41" s="1"/>
  <c r="R43" i="41" s="1"/>
  <c r="R46" i="41" s="1"/>
  <c r="T15" i="41"/>
  <c r="R36" i="41"/>
  <c r="R50" i="41" s="1"/>
  <c r="R51" i="41" s="1"/>
  <c r="R54" i="41" s="1"/>
  <c r="S56" i="22"/>
  <c r="S91" i="2" s="1"/>
  <c r="V11" i="33"/>
  <c r="V13" i="33" s="1"/>
  <c r="W7" i="33"/>
  <c r="V9" i="33"/>
  <c r="V10" i="33"/>
  <c r="U17" i="33"/>
  <c r="U47" i="33" s="1"/>
  <c r="U90" i="2" s="1"/>
  <c r="U15" i="33"/>
  <c r="U45" i="33" s="1"/>
  <c r="U48" i="2" s="1"/>
  <c r="U16" i="33"/>
  <c r="U46" i="33" s="1"/>
  <c r="U69" i="2" s="1"/>
  <c r="T84" i="29"/>
  <c r="T87" i="29" s="1"/>
  <c r="T91" i="29" s="1"/>
  <c r="Q45" i="35"/>
  <c r="Q78" i="35" s="1"/>
  <c r="Q87" i="2" s="1"/>
  <c r="P76" i="35"/>
  <c r="P45" i="2" s="1"/>
  <c r="P78" i="35"/>
  <c r="P87" i="2" s="1"/>
  <c r="R36" i="35"/>
  <c r="R42" i="35" s="1"/>
  <c r="R35" i="35"/>
  <c r="R41" i="35" s="1"/>
  <c r="T37" i="26"/>
  <c r="T46" i="26" s="1"/>
  <c r="T48" i="26" s="1"/>
  <c r="S31" i="35"/>
  <c r="T29" i="35"/>
  <c r="U10" i="29"/>
  <c r="U23" i="29"/>
  <c r="U52" i="29"/>
  <c r="U61" i="29"/>
  <c r="U35" i="29"/>
  <c r="U40" i="29"/>
  <c r="U11" i="29"/>
  <c r="U13" i="29" s="1"/>
  <c r="U45" i="29"/>
  <c r="U83" i="29"/>
  <c r="V7" i="29"/>
  <c r="U66" i="29"/>
  <c r="U73" i="29"/>
  <c r="U90" i="29"/>
  <c r="U78" i="29"/>
  <c r="U9" i="29"/>
  <c r="U28" i="29"/>
  <c r="T17" i="29"/>
  <c r="T16" i="29"/>
  <c r="T15" i="29"/>
  <c r="S32" i="29"/>
  <c r="S36" i="29" s="1"/>
  <c r="T29" i="29"/>
  <c r="U10" i="41"/>
  <c r="V7" i="41"/>
  <c r="U11" i="41"/>
  <c r="U9" i="41"/>
  <c r="U12" i="41"/>
  <c r="U13" i="41"/>
  <c r="U30" i="26"/>
  <c r="U43" i="26" s="1"/>
  <c r="S96" i="2"/>
  <c r="T18" i="41"/>
  <c r="T19" i="41"/>
  <c r="T17" i="41"/>
  <c r="R101" i="26"/>
  <c r="V49" i="21"/>
  <c r="V9" i="21"/>
  <c r="V11" i="21"/>
  <c r="V13" i="21" s="1"/>
  <c r="V48" i="21"/>
  <c r="V47" i="21"/>
  <c r="V10" i="21"/>
  <c r="W7" i="21"/>
  <c r="V46" i="21"/>
  <c r="T31" i="21"/>
  <c r="T53" i="21"/>
  <c r="T67" i="21" s="1"/>
  <c r="T54" i="21"/>
  <c r="T68" i="21" s="1"/>
  <c r="T32" i="21"/>
  <c r="U50" i="21"/>
  <c r="T67" i="29"/>
  <c r="S70" i="29"/>
  <c r="S74" i="29" s="1"/>
  <c r="S94" i="29" s="1"/>
  <c r="T55" i="21"/>
  <c r="T69" i="21" s="1"/>
  <c r="T33" i="21"/>
  <c r="T37" i="21" s="1"/>
  <c r="U17" i="21"/>
  <c r="U15" i="21"/>
  <c r="U16" i="21"/>
  <c r="U62" i="21" s="1"/>
  <c r="T28" i="22"/>
  <c r="T46" i="22" s="1"/>
  <c r="R75" i="2"/>
  <c r="T63" i="21"/>
  <c r="S40" i="21"/>
  <c r="S41" i="21"/>
  <c r="S42" i="21"/>
  <c r="T62" i="21"/>
  <c r="V62" i="2"/>
  <c r="W41" i="2"/>
  <c r="V53" i="2"/>
  <c r="T17" i="24"/>
  <c r="T15" i="24"/>
  <c r="T16" i="24"/>
  <c r="T26" i="22"/>
  <c r="T44" i="22" s="1"/>
  <c r="U83" i="2"/>
  <c r="U95" i="2" s="1"/>
  <c r="U74" i="2"/>
  <c r="U29" i="24"/>
  <c r="U10" i="24"/>
  <c r="U11" i="24"/>
  <c r="U13" i="24" s="1"/>
  <c r="U25" i="24"/>
  <c r="V7" i="24"/>
  <c r="U26" i="24"/>
  <c r="U27" i="24"/>
  <c r="U9" i="24"/>
  <c r="U28" i="24"/>
  <c r="T22" i="24"/>
  <c r="T29" i="23"/>
  <c r="T41" i="23"/>
  <c r="T28" i="23"/>
  <c r="T17" i="28"/>
  <c r="T16" i="28"/>
  <c r="T15" i="28"/>
  <c r="Q98" i="29"/>
  <c r="Q46" i="2" s="1"/>
  <c r="Q99" i="29"/>
  <c r="Q67" i="2" s="1"/>
  <c r="V9" i="22"/>
  <c r="V10" i="22"/>
  <c r="V22" i="22"/>
  <c r="V23" i="22" s="1"/>
  <c r="V11" i="22"/>
  <c r="W7" i="22"/>
  <c r="U17" i="26"/>
  <c r="U16" i="26"/>
  <c r="U81" i="26" s="1"/>
  <c r="U15" i="26"/>
  <c r="U58" i="35"/>
  <c r="V56" i="35"/>
  <c r="S42" i="23"/>
  <c r="S25" i="41"/>
  <c r="S41" i="41" s="1"/>
  <c r="T77" i="26"/>
  <c r="S78" i="26"/>
  <c r="S79" i="26" s="1"/>
  <c r="S84" i="26"/>
  <c r="S86" i="26" s="1"/>
  <c r="W7" i="26"/>
  <c r="V9" i="26"/>
  <c r="V10" i="26"/>
  <c r="V11" i="26"/>
  <c r="V13" i="26" s="1"/>
  <c r="V29" i="26"/>
  <c r="V71" i="26"/>
  <c r="V76" i="26"/>
  <c r="V24" i="26"/>
  <c r="S43" i="23"/>
  <c r="S26" i="41"/>
  <c r="S49" i="41" s="1"/>
  <c r="S35" i="41" s="1"/>
  <c r="R91" i="2"/>
  <c r="S51" i="26"/>
  <c r="S55" i="26" s="1"/>
  <c r="S59" i="26" s="1"/>
  <c r="S61" i="26" s="1"/>
  <c r="S46" i="23"/>
  <c r="T37" i="23"/>
  <c r="S29" i="28"/>
  <c r="S89" i="26"/>
  <c r="S93" i="26" s="1"/>
  <c r="S96" i="26" s="1"/>
  <c r="S98" i="26" s="1"/>
  <c r="Y10" i="35"/>
  <c r="Y67" i="35"/>
  <c r="Y39" i="35"/>
  <c r="Y66" i="35"/>
  <c r="Y40" i="35"/>
  <c r="Z7" i="35"/>
  <c r="Y9" i="35"/>
  <c r="Y11" i="35"/>
  <c r="Y13" i="35" s="1"/>
  <c r="Y23" i="35"/>
  <c r="Y28" i="35"/>
  <c r="Y55" i="35"/>
  <c r="Y50" i="35"/>
  <c r="S68" i="26"/>
  <c r="S65" i="24"/>
  <c r="S49" i="29"/>
  <c r="S53" i="29" s="1"/>
  <c r="T46" i="29"/>
  <c r="X15" i="35"/>
  <c r="X16" i="35"/>
  <c r="X17" i="35"/>
  <c r="U10" i="28"/>
  <c r="U11" i="28"/>
  <c r="U13" i="28" s="1"/>
  <c r="V7" i="28"/>
  <c r="U9" i="28"/>
  <c r="S72" i="35"/>
  <c r="T27" i="22"/>
  <c r="T45" i="22" s="1"/>
  <c r="R56" i="29"/>
  <c r="R100" i="29"/>
  <c r="R88" i="2" s="1"/>
  <c r="N47" i="2"/>
  <c r="P59" i="28"/>
  <c r="P68" i="2" s="1"/>
  <c r="P60" i="28"/>
  <c r="P89" i="2" s="1"/>
  <c r="P58" i="28"/>
  <c r="P47" i="2" s="1"/>
  <c r="U19" i="23"/>
  <c r="U24" i="23"/>
  <c r="U27" i="23" s="1"/>
  <c r="U21" i="23"/>
  <c r="U9" i="23"/>
  <c r="U34" i="23"/>
  <c r="U36" i="23"/>
  <c r="V7" i="23"/>
  <c r="U10" i="23"/>
  <c r="U11" i="23"/>
  <c r="U13" i="23" s="1"/>
  <c r="R42" i="28"/>
  <c r="R44" i="28" s="1"/>
  <c r="R49" i="28"/>
  <c r="R51" i="28" s="1"/>
  <c r="R31" i="28"/>
  <c r="R35" i="28" s="1"/>
  <c r="R37" i="28" s="1"/>
  <c r="U15" i="22"/>
  <c r="U16" i="22"/>
  <c r="U17" i="22"/>
  <c r="Q53" i="28"/>
  <c r="T62" i="35"/>
  <c r="T68" i="35" s="1"/>
  <c r="T63" i="35"/>
  <c r="T69" i="35" s="1"/>
  <c r="Q106" i="26"/>
  <c r="Q116" i="26" s="1"/>
  <c r="Q64" i="2" s="1"/>
  <c r="Q105" i="26"/>
  <c r="Q115" i="26" s="1"/>
  <c r="Q107" i="26"/>
  <c r="Q117" i="26" s="1"/>
  <c r="R112" i="26"/>
  <c r="R86" i="2" s="1"/>
  <c r="R111" i="26"/>
  <c r="R65" i="2" s="1"/>
  <c r="R110" i="26"/>
  <c r="R44" i="2" s="1"/>
  <c r="R64" i="26"/>
  <c r="R55" i="2" l="1"/>
  <c r="R56" i="2" s="1"/>
  <c r="S74" i="21"/>
  <c r="S79" i="21" s="1"/>
  <c r="S73" i="21"/>
  <c r="S78" i="21" s="1"/>
  <c r="R76" i="2"/>
  <c r="R77" i="2" s="1"/>
  <c r="S72" i="21"/>
  <c r="S77" i="21" s="1"/>
  <c r="R97" i="2"/>
  <c r="R98" i="2" s="1"/>
  <c r="U37" i="26"/>
  <c r="T39" i="22"/>
  <c r="T50" i="22" s="1"/>
  <c r="T55" i="22" s="1"/>
  <c r="T70" i="2" s="1"/>
  <c r="U13" i="22"/>
  <c r="U33" i="22" s="1"/>
  <c r="U34" i="22" s="1"/>
  <c r="U39" i="22" s="1"/>
  <c r="U50" i="22" s="1"/>
  <c r="T40" i="22"/>
  <c r="T51" i="22" s="1"/>
  <c r="T56" i="22" s="1"/>
  <c r="T91" i="2" s="1"/>
  <c r="T54" i="22"/>
  <c r="T49" i="2" s="1"/>
  <c r="R58" i="41"/>
  <c r="R66" i="41" s="1"/>
  <c r="R50" i="2" s="1"/>
  <c r="S37" i="41"/>
  <c r="S38" i="41" s="1"/>
  <c r="S42" i="41" s="1"/>
  <c r="S43" i="41" s="1"/>
  <c r="S46" i="41" s="1"/>
  <c r="S36" i="41"/>
  <c r="S50" i="41" s="1"/>
  <c r="S51" i="41" s="1"/>
  <c r="S54" i="41" s="1"/>
  <c r="U15" i="41"/>
  <c r="V16" i="33"/>
  <c r="V46" i="33" s="1"/>
  <c r="V69" i="2" s="1"/>
  <c r="V15" i="33"/>
  <c r="V45" i="33" s="1"/>
  <c r="V48" i="2" s="1"/>
  <c r="V17" i="33"/>
  <c r="V47" i="33" s="1"/>
  <c r="V90" i="2" s="1"/>
  <c r="W9" i="33"/>
  <c r="W11" i="33"/>
  <c r="W13" i="33" s="1"/>
  <c r="W10" i="33"/>
  <c r="X7" i="33"/>
  <c r="R45" i="35"/>
  <c r="Q77" i="35"/>
  <c r="Q66" i="2" s="1"/>
  <c r="Q76" i="35"/>
  <c r="Q45" i="2" s="1"/>
  <c r="V52" i="29"/>
  <c r="V73" i="29"/>
  <c r="V61" i="29"/>
  <c r="V10" i="29"/>
  <c r="V23" i="29"/>
  <c r="V35" i="29"/>
  <c r="V66" i="29"/>
  <c r="V28" i="29"/>
  <c r="V11" i="29"/>
  <c r="V13" i="29" s="1"/>
  <c r="V90" i="29"/>
  <c r="V40" i="29"/>
  <c r="W7" i="29"/>
  <c r="V78" i="29"/>
  <c r="V45" i="29"/>
  <c r="V9" i="29"/>
  <c r="V83" i="29"/>
  <c r="U15" i="29"/>
  <c r="U17" i="29"/>
  <c r="U16" i="29"/>
  <c r="U84" i="29"/>
  <c r="U29" i="35"/>
  <c r="T31" i="35"/>
  <c r="T32" i="29"/>
  <c r="T36" i="29" s="1"/>
  <c r="U29" i="29"/>
  <c r="S36" i="35"/>
  <c r="S42" i="35" s="1"/>
  <c r="S35" i="35"/>
  <c r="S41" i="35" s="1"/>
  <c r="U18" i="41"/>
  <c r="U19" i="41"/>
  <c r="U17" i="41"/>
  <c r="V10" i="41"/>
  <c r="W7" i="41"/>
  <c r="V9" i="41"/>
  <c r="V13" i="41"/>
  <c r="V12" i="41"/>
  <c r="V11" i="41"/>
  <c r="T54" i="2"/>
  <c r="S101" i="26"/>
  <c r="S75" i="2"/>
  <c r="W49" i="21"/>
  <c r="W48" i="21"/>
  <c r="W11" i="21"/>
  <c r="W13" i="21" s="1"/>
  <c r="W10" i="21"/>
  <c r="W9" i="21"/>
  <c r="W46" i="21"/>
  <c r="X7" i="21"/>
  <c r="W47" i="21"/>
  <c r="U53" i="21"/>
  <c r="U67" i="21" s="1"/>
  <c r="U31" i="21"/>
  <c r="U61" i="21"/>
  <c r="U55" i="21"/>
  <c r="U69" i="21" s="1"/>
  <c r="U33" i="21"/>
  <c r="U37" i="21" s="1"/>
  <c r="U63" i="21"/>
  <c r="T42" i="21"/>
  <c r="T41" i="21"/>
  <c r="T40" i="21"/>
  <c r="S54" i="2"/>
  <c r="U32" i="21"/>
  <c r="U54" i="21"/>
  <c r="U68" i="21" s="1"/>
  <c r="V15" i="21"/>
  <c r="V17" i="21"/>
  <c r="V16" i="21"/>
  <c r="U67" i="29"/>
  <c r="T70" i="29"/>
  <c r="T74" i="29" s="1"/>
  <c r="T94" i="29" s="1"/>
  <c r="V50" i="21"/>
  <c r="V30" i="26"/>
  <c r="V43" i="26" s="1"/>
  <c r="U15" i="24"/>
  <c r="U17" i="24"/>
  <c r="U16" i="24"/>
  <c r="V25" i="24"/>
  <c r="V9" i="24"/>
  <c r="W7" i="24"/>
  <c r="V26" i="24"/>
  <c r="V10" i="24"/>
  <c r="V11" i="24"/>
  <c r="V13" i="24" s="1"/>
  <c r="V27" i="24"/>
  <c r="V29" i="24"/>
  <c r="V28" i="24"/>
  <c r="W62" i="2"/>
  <c r="X41" i="2"/>
  <c r="W53" i="2"/>
  <c r="U28" i="22"/>
  <c r="U46" i="22" s="1"/>
  <c r="U46" i="26"/>
  <c r="U48" i="26" s="1"/>
  <c r="V74" i="2"/>
  <c r="V83" i="2"/>
  <c r="V95" i="2" s="1"/>
  <c r="U28" i="23"/>
  <c r="U41" i="23"/>
  <c r="U29" i="23"/>
  <c r="U22" i="24"/>
  <c r="R98" i="29"/>
  <c r="R46" i="2" s="1"/>
  <c r="R99" i="29"/>
  <c r="R67" i="2" s="1"/>
  <c r="V15" i="26"/>
  <c r="V17" i="26"/>
  <c r="V16" i="26"/>
  <c r="V81" i="26" s="1"/>
  <c r="Q85" i="2"/>
  <c r="T78" i="26"/>
  <c r="T79" i="26" s="1"/>
  <c r="T84" i="26"/>
  <c r="T86" i="26" s="1"/>
  <c r="U77" i="26"/>
  <c r="T42" i="23"/>
  <c r="T25" i="41"/>
  <c r="T41" i="41" s="1"/>
  <c r="R106" i="26"/>
  <c r="R116" i="26" s="1"/>
  <c r="R64" i="2" s="1"/>
  <c r="R105" i="26"/>
  <c r="R115" i="26" s="1"/>
  <c r="R43" i="2" s="1"/>
  <c r="R107" i="26"/>
  <c r="R117" i="26" s="1"/>
  <c r="R85" i="2" s="1"/>
  <c r="Q43" i="2"/>
  <c r="T72" i="35"/>
  <c r="R53" i="28"/>
  <c r="T49" i="29"/>
  <c r="T53" i="29" s="1"/>
  <c r="U46" i="29"/>
  <c r="Y16" i="35"/>
  <c r="Y17" i="35"/>
  <c r="Y15" i="35"/>
  <c r="X7" i="26"/>
  <c r="W9" i="26"/>
  <c r="W10" i="26"/>
  <c r="W11" i="26"/>
  <c r="W13" i="26" s="1"/>
  <c r="W76" i="26"/>
  <c r="W71" i="26"/>
  <c r="W24" i="26"/>
  <c r="W29" i="26"/>
  <c r="T68" i="26"/>
  <c r="T65" i="24"/>
  <c r="V16" i="22"/>
  <c r="V17" i="22"/>
  <c r="V15" i="22"/>
  <c r="S56" i="29"/>
  <c r="S100" i="29"/>
  <c r="S88" i="2" s="1"/>
  <c r="W56" i="35"/>
  <c r="V58" i="35"/>
  <c r="T43" i="23"/>
  <c r="T26" i="41"/>
  <c r="T49" i="41" s="1"/>
  <c r="T35" i="41" s="1"/>
  <c r="V19" i="23"/>
  <c r="V24" i="23"/>
  <c r="V27" i="23" s="1"/>
  <c r="V21" i="23"/>
  <c r="V10" i="23"/>
  <c r="V36" i="23"/>
  <c r="V9" i="23"/>
  <c r="W7" i="23"/>
  <c r="V11" i="23"/>
  <c r="V13" i="23" s="1"/>
  <c r="V34" i="23"/>
  <c r="S111" i="26"/>
  <c r="S65" i="2" s="1"/>
  <c r="S110" i="26"/>
  <c r="S44" i="2" s="1"/>
  <c r="S112" i="26"/>
  <c r="S86" i="2" s="1"/>
  <c r="S64" i="26"/>
  <c r="Q59" i="28"/>
  <c r="Q68" i="2" s="1"/>
  <c r="Q60" i="28"/>
  <c r="Q89" i="2" s="1"/>
  <c r="Q58" i="28"/>
  <c r="Q47" i="2" s="1"/>
  <c r="U27" i="22"/>
  <c r="U45" i="22" s="1"/>
  <c r="S31" i="28"/>
  <c r="S35" i="28" s="1"/>
  <c r="S37" i="28" s="1"/>
  <c r="S42" i="28"/>
  <c r="S44" i="28" s="1"/>
  <c r="S49" i="28"/>
  <c r="S51" i="28" s="1"/>
  <c r="U63" i="35"/>
  <c r="U69" i="35" s="1"/>
  <c r="U62" i="35"/>
  <c r="U68" i="35" s="1"/>
  <c r="W9" i="22"/>
  <c r="X7" i="22"/>
  <c r="W10" i="22"/>
  <c r="W11" i="22"/>
  <c r="W22" i="22"/>
  <c r="W23" i="22" s="1"/>
  <c r="V11" i="28"/>
  <c r="V13" i="28" s="1"/>
  <c r="W7" i="28"/>
  <c r="V9" i="28"/>
  <c r="V10" i="28"/>
  <c r="U17" i="28"/>
  <c r="U16" i="28"/>
  <c r="U15" i="28"/>
  <c r="U26" i="22"/>
  <c r="U44" i="22" s="1"/>
  <c r="AA7" i="35"/>
  <c r="Z39" i="35"/>
  <c r="Z10" i="35"/>
  <c r="Z67" i="35"/>
  <c r="Z11" i="35"/>
  <c r="Z13" i="35" s="1"/>
  <c r="Z40" i="35"/>
  <c r="Z9" i="35"/>
  <c r="Z66" i="35"/>
  <c r="Z28" i="35"/>
  <c r="Z23" i="35"/>
  <c r="Z50" i="35"/>
  <c r="Z55" i="35"/>
  <c r="T46" i="23"/>
  <c r="T89" i="26"/>
  <c r="T93" i="26" s="1"/>
  <c r="T96" i="26" s="1"/>
  <c r="T98" i="26" s="1"/>
  <c r="T51" i="26"/>
  <c r="T55" i="26" s="1"/>
  <c r="T59" i="26" s="1"/>
  <c r="T61" i="26" s="1"/>
  <c r="T64" i="26" s="1"/>
  <c r="T29" i="28"/>
  <c r="U37" i="23"/>
  <c r="S55" i="2" l="1"/>
  <c r="S56" i="2" s="1"/>
  <c r="T74" i="21"/>
  <c r="T79" i="21" s="1"/>
  <c r="S97" i="2"/>
  <c r="S98" i="2" s="1"/>
  <c r="T72" i="21"/>
  <c r="T77" i="21" s="1"/>
  <c r="T73" i="21"/>
  <c r="T78" i="21" s="1"/>
  <c r="S76" i="2"/>
  <c r="S77" i="2" s="1"/>
  <c r="R68" i="41"/>
  <c r="R92" i="2" s="1"/>
  <c r="R67" i="41"/>
  <c r="R71" i="2" s="1"/>
  <c r="U40" i="22"/>
  <c r="U51" i="22" s="1"/>
  <c r="U56" i="22" s="1"/>
  <c r="U91" i="2" s="1"/>
  <c r="U55" i="22"/>
  <c r="U70" i="2" s="1"/>
  <c r="U38" i="22"/>
  <c r="U49" i="22" s="1"/>
  <c r="U54" i="22" s="1"/>
  <c r="U49" i="2" s="1"/>
  <c r="V13" i="22"/>
  <c r="V33" i="22" s="1"/>
  <c r="V34" i="22" s="1"/>
  <c r="V38" i="22" s="1"/>
  <c r="V49" i="22" s="1"/>
  <c r="S58" i="41"/>
  <c r="S66" i="41" s="1"/>
  <c r="S50" i="2" s="1"/>
  <c r="T37" i="41"/>
  <c r="T38" i="41" s="1"/>
  <c r="T42" i="41" s="1"/>
  <c r="T43" i="41" s="1"/>
  <c r="T46" i="41" s="1"/>
  <c r="T36" i="41"/>
  <c r="T50" i="41" s="1"/>
  <c r="T51" i="41" s="1"/>
  <c r="T54" i="41" s="1"/>
  <c r="V15" i="41"/>
  <c r="X11" i="33"/>
  <c r="X13" i="33" s="1"/>
  <c r="X9" i="33"/>
  <c r="Y7" i="33"/>
  <c r="X10" i="33"/>
  <c r="W16" i="33"/>
  <c r="W46" i="33" s="1"/>
  <c r="W69" i="2" s="1"/>
  <c r="W15" i="33"/>
  <c r="W45" i="33" s="1"/>
  <c r="W48" i="2" s="1"/>
  <c r="W17" i="33"/>
  <c r="W47" i="33" s="1"/>
  <c r="W90" i="2" s="1"/>
  <c r="V37" i="26"/>
  <c r="V46" i="26" s="1"/>
  <c r="V48" i="26" s="1"/>
  <c r="R76" i="35"/>
  <c r="R45" i="2" s="1"/>
  <c r="R77" i="35"/>
  <c r="R66" i="2" s="1"/>
  <c r="R78" i="35"/>
  <c r="R87" i="2" s="1"/>
  <c r="S45" i="35"/>
  <c r="S76" i="35" s="1"/>
  <c r="S45" i="2" s="1"/>
  <c r="V29" i="29"/>
  <c r="U32" i="29"/>
  <c r="U36" i="29" s="1"/>
  <c r="T35" i="35"/>
  <c r="T41" i="35" s="1"/>
  <c r="T36" i="35"/>
  <c r="T42" i="35" s="1"/>
  <c r="U31" i="35"/>
  <c r="V29" i="35"/>
  <c r="U72" i="35"/>
  <c r="U87" i="29"/>
  <c r="U91" i="29" s="1"/>
  <c r="V84" i="29"/>
  <c r="W11" i="29"/>
  <c r="W13" i="29" s="1"/>
  <c r="W35" i="29"/>
  <c r="W83" i="29"/>
  <c r="W28" i="29"/>
  <c r="X7" i="29"/>
  <c r="W45" i="29"/>
  <c r="W9" i="29"/>
  <c r="W61" i="29"/>
  <c r="W23" i="29"/>
  <c r="W78" i="29"/>
  <c r="W73" i="29"/>
  <c r="W52" i="29"/>
  <c r="W66" i="29"/>
  <c r="W10" i="29"/>
  <c r="W40" i="29"/>
  <c r="W90" i="29"/>
  <c r="V16" i="29"/>
  <c r="V17" i="29"/>
  <c r="V15" i="29"/>
  <c r="V26" i="22"/>
  <c r="V44" i="22" s="1"/>
  <c r="V19" i="41"/>
  <c r="V17" i="41"/>
  <c r="V18" i="41"/>
  <c r="W9" i="41"/>
  <c r="X7" i="41"/>
  <c r="W10" i="41"/>
  <c r="W13" i="41"/>
  <c r="W11" i="41"/>
  <c r="W12" i="41"/>
  <c r="U70" i="29"/>
  <c r="U74" i="29" s="1"/>
  <c r="V67" i="29"/>
  <c r="V62" i="21"/>
  <c r="V32" i="21"/>
  <c r="V54" i="21"/>
  <c r="V68" i="21" s="1"/>
  <c r="T96" i="2"/>
  <c r="Y7" i="21"/>
  <c r="X48" i="21"/>
  <c r="X10" i="21"/>
  <c r="X47" i="21"/>
  <c r="X46" i="21"/>
  <c r="X9" i="21"/>
  <c r="X11" i="21"/>
  <c r="X13" i="21" s="1"/>
  <c r="X49" i="21"/>
  <c r="W30" i="26"/>
  <c r="W43" i="26" s="1"/>
  <c r="V63" i="21"/>
  <c r="V33" i="21"/>
  <c r="V37" i="21" s="1"/>
  <c r="V55" i="21"/>
  <c r="V69" i="21" s="1"/>
  <c r="U41" i="21"/>
  <c r="U40" i="21"/>
  <c r="U42" i="21"/>
  <c r="W50" i="21"/>
  <c r="V61" i="21"/>
  <c r="V53" i="21"/>
  <c r="V67" i="21" s="1"/>
  <c r="V31" i="21"/>
  <c r="W16" i="21"/>
  <c r="W15" i="21"/>
  <c r="W17" i="21"/>
  <c r="T75" i="2"/>
  <c r="V16" i="24"/>
  <c r="V15" i="24"/>
  <c r="V17" i="24"/>
  <c r="X62" i="2"/>
  <c r="Y41" i="2"/>
  <c r="X53" i="2"/>
  <c r="W27" i="24"/>
  <c r="W29" i="24"/>
  <c r="W28" i="24"/>
  <c r="W25" i="24"/>
  <c r="X7" i="24"/>
  <c r="W26" i="24"/>
  <c r="W10" i="24"/>
  <c r="W11" i="24"/>
  <c r="W13" i="24" s="1"/>
  <c r="W9" i="24"/>
  <c r="W74" i="2"/>
  <c r="W83" i="2"/>
  <c r="W95" i="2" s="1"/>
  <c r="V28" i="23"/>
  <c r="V22" i="24"/>
  <c r="V41" i="23"/>
  <c r="V29" i="23"/>
  <c r="W58" i="35"/>
  <c r="X56" i="35"/>
  <c r="V27" i="22"/>
  <c r="V45" i="22" s="1"/>
  <c r="U84" i="26"/>
  <c r="U86" i="26" s="1"/>
  <c r="V77" i="26"/>
  <c r="U78" i="26"/>
  <c r="U79" i="26" s="1"/>
  <c r="U68" i="26"/>
  <c r="U65" i="24"/>
  <c r="W17" i="26"/>
  <c r="W16" i="26"/>
  <c r="W81" i="26" s="1"/>
  <c r="W15" i="26"/>
  <c r="U26" i="41"/>
  <c r="U49" i="41" s="1"/>
  <c r="U35" i="41" s="1"/>
  <c r="U43" i="23"/>
  <c r="W24" i="23"/>
  <c r="W27" i="23" s="1"/>
  <c r="W21" i="23"/>
  <c r="W19" i="23"/>
  <c r="W11" i="23"/>
  <c r="W13" i="23" s="1"/>
  <c r="W34" i="23"/>
  <c r="W36" i="23"/>
  <c r="W9" i="23"/>
  <c r="W10" i="23"/>
  <c r="X7" i="23"/>
  <c r="Y7" i="26"/>
  <c r="X10" i="26"/>
  <c r="X9" i="26"/>
  <c r="X11" i="26"/>
  <c r="X13" i="26" s="1"/>
  <c r="X76" i="26"/>
  <c r="X24" i="26"/>
  <c r="X71" i="26"/>
  <c r="X29" i="26"/>
  <c r="R59" i="28"/>
  <c r="R68" i="2" s="1"/>
  <c r="R60" i="28"/>
  <c r="R89" i="2" s="1"/>
  <c r="R58" i="28"/>
  <c r="R47" i="2" s="1"/>
  <c r="T101" i="26"/>
  <c r="T107" i="26" s="1"/>
  <c r="U25" i="41"/>
  <c r="U41" i="41" s="1"/>
  <c r="U42" i="23"/>
  <c r="V46" i="29"/>
  <c r="U49" i="29"/>
  <c r="U53" i="29" s="1"/>
  <c r="T42" i="28"/>
  <c r="T44" i="28" s="1"/>
  <c r="T49" i="28"/>
  <c r="T51" i="28" s="1"/>
  <c r="T31" i="28"/>
  <c r="T35" i="28" s="1"/>
  <c r="T37" i="28" s="1"/>
  <c r="S98" i="29"/>
  <c r="S46" i="2" s="1"/>
  <c r="S99" i="29"/>
  <c r="S67" i="2" s="1"/>
  <c r="T100" i="29"/>
  <c r="T88" i="2" s="1"/>
  <c r="T56" i="29"/>
  <c r="Z16" i="35"/>
  <c r="Z15" i="35"/>
  <c r="Z17" i="35"/>
  <c r="S53" i="28"/>
  <c r="T112" i="26"/>
  <c r="T86" i="2" s="1"/>
  <c r="T110" i="26"/>
  <c r="T44" i="2" s="1"/>
  <c r="T111" i="26"/>
  <c r="T65" i="2" s="1"/>
  <c r="S105" i="26"/>
  <c r="S115" i="26" s="1"/>
  <c r="S43" i="2" s="1"/>
  <c r="S107" i="26"/>
  <c r="S117" i="26" s="1"/>
  <c r="S85" i="2" s="1"/>
  <c r="S106" i="26"/>
  <c r="S116" i="26" s="1"/>
  <c r="S64" i="2" s="1"/>
  <c r="V16" i="28"/>
  <c r="V15" i="28"/>
  <c r="V17" i="28"/>
  <c r="W17" i="22"/>
  <c r="W15" i="22"/>
  <c r="W16" i="22"/>
  <c r="U89" i="26"/>
  <c r="U93" i="26" s="1"/>
  <c r="U96" i="26" s="1"/>
  <c r="U98" i="26" s="1"/>
  <c r="U29" i="28"/>
  <c r="V37" i="23"/>
  <c r="U51" i="26"/>
  <c r="U55" i="26" s="1"/>
  <c r="U59" i="26" s="1"/>
  <c r="U61" i="26" s="1"/>
  <c r="U46" i="23"/>
  <c r="AB7" i="35"/>
  <c r="AA40" i="35"/>
  <c r="AA10" i="35"/>
  <c r="AA66" i="35"/>
  <c r="AA9" i="35"/>
  <c r="AA39" i="35"/>
  <c r="AA67" i="35"/>
  <c r="AA11" i="35"/>
  <c r="AA13" i="35" s="1"/>
  <c r="AA23" i="35"/>
  <c r="AA55" i="35"/>
  <c r="AA28" i="35"/>
  <c r="AA50" i="35"/>
  <c r="W11" i="28"/>
  <c r="W13" i="28" s="1"/>
  <c r="W10" i="28"/>
  <c r="X7" i="28"/>
  <c r="W9" i="28"/>
  <c r="X9" i="22"/>
  <c r="X10" i="22"/>
  <c r="Y7" i="22"/>
  <c r="X22" i="22"/>
  <c r="X23" i="22" s="1"/>
  <c r="X11" i="22"/>
  <c r="V63" i="35"/>
  <c r="V69" i="35" s="1"/>
  <c r="V62" i="35"/>
  <c r="V68" i="35" s="1"/>
  <c r="V28" i="22"/>
  <c r="V46" i="22" s="1"/>
  <c r="T55" i="2" l="1"/>
  <c r="T56" i="2" s="1"/>
  <c r="T97" i="2"/>
  <c r="T98" i="2" s="1"/>
  <c r="T76" i="2"/>
  <c r="T77" i="2" s="1"/>
  <c r="U72" i="21"/>
  <c r="U77" i="21" s="1"/>
  <c r="U74" i="21"/>
  <c r="U79" i="21" s="1"/>
  <c r="U73" i="21"/>
  <c r="U78" i="21" s="1"/>
  <c r="S67" i="41"/>
  <c r="S71" i="2" s="1"/>
  <c r="W13" i="22"/>
  <c r="W33" i="22" s="1"/>
  <c r="W34" i="22" s="1"/>
  <c r="W39" i="22" s="1"/>
  <c r="W50" i="22" s="1"/>
  <c r="S68" i="41"/>
  <c r="S92" i="2" s="1"/>
  <c r="V40" i="22"/>
  <c r="V51" i="22" s="1"/>
  <c r="V56" i="22" s="1"/>
  <c r="V91" i="2" s="1"/>
  <c r="V54" i="22"/>
  <c r="V49" i="2" s="1"/>
  <c r="V39" i="22"/>
  <c r="V50" i="22" s="1"/>
  <c r="V55" i="22" s="1"/>
  <c r="V70" i="2" s="1"/>
  <c r="U37" i="41"/>
  <c r="U38" i="41" s="1"/>
  <c r="U42" i="41" s="1"/>
  <c r="U43" i="41" s="1"/>
  <c r="U46" i="41" s="1"/>
  <c r="T58" i="41"/>
  <c r="T66" i="41" s="1"/>
  <c r="T50" i="2" s="1"/>
  <c r="W15" i="41"/>
  <c r="X15" i="33"/>
  <c r="X45" i="33" s="1"/>
  <c r="X48" i="2" s="1"/>
  <c r="X17" i="33"/>
  <c r="X47" i="33" s="1"/>
  <c r="X90" i="2" s="1"/>
  <c r="X16" i="33"/>
  <c r="X46" i="33" s="1"/>
  <c r="X69" i="2" s="1"/>
  <c r="Y9" i="33"/>
  <c r="Y10" i="33"/>
  <c r="Z7" i="33"/>
  <c r="Y11" i="33"/>
  <c r="Y13" i="33" s="1"/>
  <c r="U94" i="29"/>
  <c r="T45" i="35"/>
  <c r="S78" i="35"/>
  <c r="S87" i="2" s="1"/>
  <c r="S77" i="35"/>
  <c r="S66" i="2" s="1"/>
  <c r="V31" i="35"/>
  <c r="W29" i="35"/>
  <c r="X11" i="29"/>
  <c r="X13" i="29" s="1"/>
  <c r="X83" i="29"/>
  <c r="Y7" i="29"/>
  <c r="X45" i="29"/>
  <c r="X90" i="29"/>
  <c r="X28" i="29"/>
  <c r="X10" i="29"/>
  <c r="X23" i="29"/>
  <c r="X9" i="29"/>
  <c r="X40" i="29"/>
  <c r="X66" i="29"/>
  <c r="X52" i="29"/>
  <c r="X78" i="29"/>
  <c r="X35" i="29"/>
  <c r="X73" i="29"/>
  <c r="X61" i="29"/>
  <c r="U35" i="35"/>
  <c r="U41" i="35" s="1"/>
  <c r="U36" i="35"/>
  <c r="U42" i="35" s="1"/>
  <c r="X50" i="21"/>
  <c r="V87" i="29"/>
  <c r="V91" i="29" s="1"/>
  <c r="W84" i="29"/>
  <c r="W15" i="29"/>
  <c r="W16" i="29"/>
  <c r="W17" i="29"/>
  <c r="W29" i="29"/>
  <c r="V32" i="29"/>
  <c r="V36" i="29" s="1"/>
  <c r="V75" i="2"/>
  <c r="W37" i="26"/>
  <c r="W46" i="26" s="1"/>
  <c r="W48" i="26" s="1"/>
  <c r="X9" i="41"/>
  <c r="X12" i="41"/>
  <c r="X10" i="41"/>
  <c r="X13" i="41"/>
  <c r="X11" i="41"/>
  <c r="Y7" i="41"/>
  <c r="X30" i="26"/>
  <c r="X43" i="26" s="1"/>
  <c r="W19" i="41"/>
  <c r="W17" i="41"/>
  <c r="W18" i="41"/>
  <c r="W31" i="21"/>
  <c r="W53" i="21"/>
  <c r="W67" i="21" s="1"/>
  <c r="W32" i="21"/>
  <c r="W54" i="21"/>
  <c r="W68" i="21" s="1"/>
  <c r="W61" i="21"/>
  <c r="U96" i="2"/>
  <c r="W62" i="21"/>
  <c r="V40" i="21"/>
  <c r="V42" i="21"/>
  <c r="V41" i="21"/>
  <c r="X17" i="21"/>
  <c r="X16" i="21"/>
  <c r="X15" i="21"/>
  <c r="W67" i="29"/>
  <c r="V70" i="29"/>
  <c r="V74" i="29" s="1"/>
  <c r="U75" i="2"/>
  <c r="T53" i="28"/>
  <c r="T60" i="28" s="1"/>
  <c r="T89" i="2" s="1"/>
  <c r="W63" i="21"/>
  <c r="W55" i="21"/>
  <c r="W69" i="21" s="1"/>
  <c r="W33" i="21"/>
  <c r="W37" i="21" s="1"/>
  <c r="Y47" i="21"/>
  <c r="Y49" i="21"/>
  <c r="Y11" i="21"/>
  <c r="Y13" i="21" s="1"/>
  <c r="Y10" i="21"/>
  <c r="Z7" i="21"/>
  <c r="Y46" i="21"/>
  <c r="Y48" i="21"/>
  <c r="Y9" i="21"/>
  <c r="U54" i="2"/>
  <c r="T117" i="26"/>
  <c r="T85" i="2" s="1"/>
  <c r="W17" i="24"/>
  <c r="W16" i="24"/>
  <c r="W15" i="24"/>
  <c r="Y62" i="2"/>
  <c r="Z41" i="2"/>
  <c r="Y53" i="2"/>
  <c r="X83" i="2"/>
  <c r="X95" i="2" s="1"/>
  <c r="X74" i="2"/>
  <c r="X28" i="24"/>
  <c r="X29" i="24"/>
  <c r="X25" i="24"/>
  <c r="X26" i="24"/>
  <c r="X10" i="24"/>
  <c r="X9" i="24"/>
  <c r="X27" i="24"/>
  <c r="Y7" i="24"/>
  <c r="X11" i="24"/>
  <c r="X13" i="24" s="1"/>
  <c r="W41" i="23"/>
  <c r="W22" i="24"/>
  <c r="W28" i="23"/>
  <c r="W29" i="23"/>
  <c r="T99" i="29"/>
  <c r="T67" i="2" s="1"/>
  <c r="T98" i="29"/>
  <c r="T46" i="2" s="1"/>
  <c r="V84" i="26"/>
  <c r="V86" i="26" s="1"/>
  <c r="V78" i="26"/>
  <c r="V79" i="26" s="1"/>
  <c r="W77" i="26"/>
  <c r="W63" i="35"/>
  <c r="W69" i="35" s="1"/>
  <c r="W62" i="35"/>
  <c r="W68" i="35" s="1"/>
  <c r="U111" i="26"/>
  <c r="U65" i="2" s="1"/>
  <c r="U110" i="26"/>
  <c r="U44" i="2" s="1"/>
  <c r="U112" i="26"/>
  <c r="U86" i="2" s="1"/>
  <c r="U64" i="26"/>
  <c r="X19" i="23"/>
  <c r="X24" i="23"/>
  <c r="X27" i="23" s="1"/>
  <c r="X21" i="23"/>
  <c r="X9" i="23"/>
  <c r="X34" i="23"/>
  <c r="X10" i="23"/>
  <c r="Y7" i="23"/>
  <c r="X36" i="23"/>
  <c r="X11" i="23"/>
  <c r="X13" i="23" s="1"/>
  <c r="U101" i="26"/>
  <c r="V42" i="23"/>
  <c r="V25" i="41"/>
  <c r="V41" i="41" s="1"/>
  <c r="U56" i="29"/>
  <c r="U100" i="29"/>
  <c r="U88" i="2" s="1"/>
  <c r="V89" i="26"/>
  <c r="V93" i="26" s="1"/>
  <c r="V96" i="26" s="1"/>
  <c r="V98" i="26" s="1"/>
  <c r="V46" i="23"/>
  <c r="V29" i="28"/>
  <c r="V51" i="26"/>
  <c r="V55" i="26" s="1"/>
  <c r="V59" i="26" s="1"/>
  <c r="V61" i="26" s="1"/>
  <c r="V64" i="26" s="1"/>
  <c r="W37" i="23"/>
  <c r="U31" i="28"/>
  <c r="U35" i="28" s="1"/>
  <c r="U37" i="28" s="1"/>
  <c r="U42" i="28"/>
  <c r="U44" i="28" s="1"/>
  <c r="U49" i="28"/>
  <c r="U51" i="28" s="1"/>
  <c r="W46" i="29"/>
  <c r="V49" i="29"/>
  <c r="V53" i="29" s="1"/>
  <c r="X17" i="26"/>
  <c r="X16" i="26"/>
  <c r="X81" i="26" s="1"/>
  <c r="X15" i="26"/>
  <c r="T106" i="26"/>
  <c r="T116" i="26" s="1"/>
  <c r="T64" i="2" s="1"/>
  <c r="S58" i="28"/>
  <c r="S47" i="2" s="1"/>
  <c r="S60" i="28"/>
  <c r="S89" i="2" s="1"/>
  <c r="S59" i="28"/>
  <c r="S68" i="2" s="1"/>
  <c r="Y9" i="26"/>
  <c r="Y10" i="26"/>
  <c r="Y11" i="26"/>
  <c r="Y13" i="26" s="1"/>
  <c r="Z7" i="26"/>
  <c r="Y71" i="26"/>
  <c r="Y29" i="26"/>
  <c r="Y24" i="26"/>
  <c r="Y76" i="26"/>
  <c r="T105" i="26"/>
  <c r="T115" i="26" s="1"/>
  <c r="T43" i="2" s="1"/>
  <c r="Y9" i="22"/>
  <c r="Z7" i="22"/>
  <c r="Y10" i="22"/>
  <c r="Y22" i="22"/>
  <c r="Y23" i="22" s="1"/>
  <c r="Y11" i="22"/>
  <c r="AA15" i="35"/>
  <c r="AA17" i="35"/>
  <c r="AA16" i="35"/>
  <c r="W27" i="22"/>
  <c r="W45" i="22" s="1"/>
  <c r="W15" i="28"/>
  <c r="W16" i="28"/>
  <c r="W17" i="28"/>
  <c r="X15" i="22"/>
  <c r="X16" i="22"/>
  <c r="X17" i="22"/>
  <c r="W26" i="22"/>
  <c r="W44" i="22" s="1"/>
  <c r="V43" i="23"/>
  <c r="V26" i="41"/>
  <c r="V49" i="41" s="1"/>
  <c r="V35" i="41" s="1"/>
  <c r="X10" i="28"/>
  <c r="X11" i="28"/>
  <c r="X13" i="28" s="1"/>
  <c r="Y7" i="28"/>
  <c r="X9" i="28"/>
  <c r="V72" i="35"/>
  <c r="AB10" i="35"/>
  <c r="AB39" i="35"/>
  <c r="AB67" i="35"/>
  <c r="AB11" i="35"/>
  <c r="AB13" i="35" s="1"/>
  <c r="AB40" i="35"/>
  <c r="AB9" i="35"/>
  <c r="AC7" i="35"/>
  <c r="AB66" i="35"/>
  <c r="AB28" i="35"/>
  <c r="AB50" i="35"/>
  <c r="AB23" i="35"/>
  <c r="AB55" i="35"/>
  <c r="W28" i="22"/>
  <c r="W46" i="22" s="1"/>
  <c r="Y56" i="35"/>
  <c r="X58" i="35"/>
  <c r="V68" i="26"/>
  <c r="V65" i="24"/>
  <c r="V73" i="21" l="1"/>
  <c r="V78" i="21" s="1"/>
  <c r="V74" i="21"/>
  <c r="V79" i="21" s="1"/>
  <c r="V72" i="21"/>
  <c r="V77" i="21" s="1"/>
  <c r="U76" i="2"/>
  <c r="U77" i="2" s="1"/>
  <c r="U97" i="2"/>
  <c r="U98" i="2" s="1"/>
  <c r="U55" i="2"/>
  <c r="U56" i="2" s="1"/>
  <c r="W40" i="22"/>
  <c r="W51" i="22" s="1"/>
  <c r="W56" i="22" s="1"/>
  <c r="W91" i="2" s="1"/>
  <c r="X13" i="22"/>
  <c r="X33" i="22" s="1"/>
  <c r="X34" i="22" s="1"/>
  <c r="X40" i="22" s="1"/>
  <c r="X51" i="22" s="1"/>
  <c r="W38" i="22"/>
  <c r="W49" i="22" s="1"/>
  <c r="W54" i="22" s="1"/>
  <c r="W49" i="2" s="1"/>
  <c r="W55" i="22"/>
  <c r="W70" i="2" s="1"/>
  <c r="T67" i="41"/>
  <c r="T71" i="2" s="1"/>
  <c r="V37" i="41"/>
  <c r="V38" i="41" s="1"/>
  <c r="V42" i="41" s="1"/>
  <c r="V43" i="41" s="1"/>
  <c r="V46" i="41" s="1"/>
  <c r="T68" i="41"/>
  <c r="T92" i="2" s="1"/>
  <c r="V36" i="41"/>
  <c r="V50" i="41" s="1"/>
  <c r="V51" i="41" s="1"/>
  <c r="V54" i="41" s="1"/>
  <c r="X15" i="41"/>
  <c r="Y17" i="33"/>
  <c r="Y47" i="33" s="1"/>
  <c r="Y90" i="2" s="1"/>
  <c r="Y16" i="33"/>
  <c r="Y46" i="33" s="1"/>
  <c r="Y69" i="2" s="1"/>
  <c r="Y15" i="33"/>
  <c r="Y45" i="33" s="1"/>
  <c r="Y48" i="2" s="1"/>
  <c r="Z11" i="33"/>
  <c r="Z13" i="33" s="1"/>
  <c r="Z10" i="33"/>
  <c r="AA7" i="33"/>
  <c r="Z9" i="33"/>
  <c r="U45" i="35"/>
  <c r="U78" i="35" s="1"/>
  <c r="U87" i="2" s="1"/>
  <c r="X37" i="26"/>
  <c r="X46" i="26" s="1"/>
  <c r="X48" i="26" s="1"/>
  <c r="T78" i="35"/>
  <c r="T87" i="2" s="1"/>
  <c r="T76" i="35"/>
  <c r="T45" i="2" s="1"/>
  <c r="T77" i="35"/>
  <c r="T66" i="2" s="1"/>
  <c r="Y52" i="29"/>
  <c r="Y61" i="29"/>
  <c r="Z7" i="29"/>
  <c r="Y73" i="29"/>
  <c r="Y28" i="29"/>
  <c r="Y10" i="29"/>
  <c r="Y40" i="29"/>
  <c r="Y11" i="29"/>
  <c r="Y13" i="29" s="1"/>
  <c r="Y78" i="29"/>
  <c r="Y35" i="29"/>
  <c r="Y23" i="29"/>
  <c r="Y83" i="29"/>
  <c r="Y90" i="29"/>
  <c r="Y66" i="29"/>
  <c r="Y45" i="29"/>
  <c r="Y9" i="29"/>
  <c r="W87" i="29"/>
  <c r="W91" i="29" s="1"/>
  <c r="X84" i="29"/>
  <c r="V94" i="29"/>
  <c r="X29" i="29"/>
  <c r="W32" i="29"/>
  <c r="W36" i="29" s="1"/>
  <c r="X29" i="35"/>
  <c r="W31" i="35"/>
  <c r="X16" i="29"/>
  <c r="X15" i="29"/>
  <c r="X17" i="29"/>
  <c r="V36" i="35"/>
  <c r="V42" i="35" s="1"/>
  <c r="V35" i="35"/>
  <c r="V41" i="35" s="1"/>
  <c r="Y30" i="26"/>
  <c r="Y37" i="26" s="1"/>
  <c r="W54" i="2"/>
  <c r="W75" i="2"/>
  <c r="Y9" i="41"/>
  <c r="Y12" i="41"/>
  <c r="Y13" i="41"/>
  <c r="Y11" i="41"/>
  <c r="Z7" i="41"/>
  <c r="Y10" i="41"/>
  <c r="W96" i="2"/>
  <c r="X17" i="41"/>
  <c r="X19" i="41"/>
  <c r="X18" i="41"/>
  <c r="Z9" i="21"/>
  <c r="Z48" i="21"/>
  <c r="Z49" i="21"/>
  <c r="Z11" i="21"/>
  <c r="Z13" i="21" s="1"/>
  <c r="Z10" i="21"/>
  <c r="Z47" i="21"/>
  <c r="AA7" i="21"/>
  <c r="Z46" i="21"/>
  <c r="X63" i="21"/>
  <c r="X55" i="21"/>
  <c r="X69" i="21" s="1"/>
  <c r="X33" i="21"/>
  <c r="X37" i="21" s="1"/>
  <c r="V96" i="2"/>
  <c r="T59" i="28"/>
  <c r="T68" i="2" s="1"/>
  <c r="T58" i="28"/>
  <c r="T47" i="2" s="1"/>
  <c r="Y16" i="21"/>
  <c r="Y15" i="21"/>
  <c r="Y17" i="21"/>
  <c r="Y63" i="21" s="1"/>
  <c r="W70" i="29"/>
  <c r="W74" i="29" s="1"/>
  <c r="X67" i="29"/>
  <c r="V54" i="2"/>
  <c r="W41" i="21"/>
  <c r="W42" i="21"/>
  <c r="W40" i="21"/>
  <c r="X61" i="21"/>
  <c r="X53" i="21"/>
  <c r="X67" i="21" s="1"/>
  <c r="X31" i="21"/>
  <c r="Y50" i="21"/>
  <c r="X62" i="21"/>
  <c r="X54" i="21"/>
  <c r="X68" i="21" s="1"/>
  <c r="X32" i="21"/>
  <c r="Y10" i="24"/>
  <c r="Y11" i="24"/>
  <c r="Y13" i="24" s="1"/>
  <c r="Y27" i="24"/>
  <c r="Y29" i="24"/>
  <c r="Z7" i="24"/>
  <c r="Y25" i="24"/>
  <c r="Y26" i="24"/>
  <c r="Y9" i="24"/>
  <c r="Y28" i="24"/>
  <c r="AA41" i="2"/>
  <c r="Z62" i="2"/>
  <c r="Z53" i="2"/>
  <c r="X17" i="24"/>
  <c r="X16" i="24"/>
  <c r="X15" i="24"/>
  <c r="Y83" i="2"/>
  <c r="Y95" i="2" s="1"/>
  <c r="Y74" i="2"/>
  <c r="X22" i="24"/>
  <c r="X41" i="23"/>
  <c r="X28" i="23"/>
  <c r="X29" i="23"/>
  <c r="W42" i="23"/>
  <c r="W25" i="41"/>
  <c r="W41" i="41" s="1"/>
  <c r="Y17" i="22"/>
  <c r="Y16" i="22"/>
  <c r="Y15" i="22"/>
  <c r="W84" i="26"/>
  <c r="W86" i="26" s="1"/>
  <c r="X77" i="26"/>
  <c r="W78" i="26"/>
  <c r="W79" i="26" s="1"/>
  <c r="Z56" i="35"/>
  <c r="Y58" i="35"/>
  <c r="Z22" i="22"/>
  <c r="Z23" i="22" s="1"/>
  <c r="AA7" i="22"/>
  <c r="Z10" i="22"/>
  <c r="Z9" i="22"/>
  <c r="Z11" i="22"/>
  <c r="AA7" i="26"/>
  <c r="Z10" i="26"/>
  <c r="Z9" i="26"/>
  <c r="Z11" i="26"/>
  <c r="Z13" i="26" s="1"/>
  <c r="Z76" i="26"/>
  <c r="Z71" i="26"/>
  <c r="Z29" i="26"/>
  <c r="Z24" i="26"/>
  <c r="W65" i="24"/>
  <c r="W68" i="26"/>
  <c r="X63" i="35"/>
  <c r="X69" i="35" s="1"/>
  <c r="X62" i="35"/>
  <c r="X68" i="35" s="1"/>
  <c r="Y10" i="28"/>
  <c r="Y9" i="28"/>
  <c r="Y11" i="28"/>
  <c r="Y13" i="28" s="1"/>
  <c r="Z7" i="28"/>
  <c r="X15" i="28"/>
  <c r="X17" i="28"/>
  <c r="X16" i="28"/>
  <c r="U105" i="26"/>
  <c r="U115" i="26" s="1"/>
  <c r="U43" i="2" s="1"/>
  <c r="U107" i="26"/>
  <c r="U117" i="26" s="1"/>
  <c r="U85" i="2" s="1"/>
  <c r="U106" i="26"/>
  <c r="U116" i="26" s="1"/>
  <c r="U64" i="2" s="1"/>
  <c r="V101" i="26"/>
  <c r="V105" i="26" s="1"/>
  <c r="X28" i="22"/>
  <c r="X46" i="22" s="1"/>
  <c r="Y16" i="26"/>
  <c r="Y81" i="26" s="1"/>
  <c r="Y17" i="26"/>
  <c r="Y15" i="26"/>
  <c r="U53" i="28"/>
  <c r="U98" i="29"/>
  <c r="U46" i="2" s="1"/>
  <c r="U99" i="29"/>
  <c r="U67" i="2" s="1"/>
  <c r="AB16" i="35"/>
  <c r="AB15" i="35"/>
  <c r="AB17" i="35"/>
  <c r="X27" i="22"/>
  <c r="X45" i="22" s="1"/>
  <c r="W46" i="23"/>
  <c r="W89" i="26"/>
  <c r="W93" i="26" s="1"/>
  <c r="W96" i="26" s="1"/>
  <c r="W98" i="26" s="1"/>
  <c r="X37" i="23"/>
  <c r="W51" i="26"/>
  <c r="W55" i="26" s="1"/>
  <c r="W59" i="26" s="1"/>
  <c r="W61" i="26" s="1"/>
  <c r="W29" i="28"/>
  <c r="Y19" i="23"/>
  <c r="Y24" i="23"/>
  <c r="Y27" i="23" s="1"/>
  <c r="Y21" i="23"/>
  <c r="Y9" i="23"/>
  <c r="Z7" i="23"/>
  <c r="Y11" i="23"/>
  <c r="Y13" i="23" s="1"/>
  <c r="Y10" i="23"/>
  <c r="Y34" i="23"/>
  <c r="Y36" i="23"/>
  <c r="X26" i="22"/>
  <c r="X44" i="22" s="1"/>
  <c r="V56" i="29"/>
  <c r="V100" i="29"/>
  <c r="V88" i="2" s="1"/>
  <c r="V112" i="26"/>
  <c r="V86" i="2" s="1"/>
  <c r="V111" i="26"/>
  <c r="V65" i="2" s="1"/>
  <c r="V110" i="26"/>
  <c r="V44" i="2" s="1"/>
  <c r="AC10" i="35"/>
  <c r="AD7" i="35"/>
  <c r="AC66" i="35"/>
  <c r="AC11" i="35"/>
  <c r="AC13" i="35" s="1"/>
  <c r="AC40" i="35"/>
  <c r="AC67" i="35"/>
  <c r="AC9" i="35"/>
  <c r="AC39" i="35"/>
  <c r="AC55" i="35"/>
  <c r="AC28" i="35"/>
  <c r="AC23" i="35"/>
  <c r="AC50" i="35"/>
  <c r="X46" i="29"/>
  <c r="W49" i="29"/>
  <c r="W53" i="29" s="1"/>
  <c r="V49" i="28"/>
  <c r="V51" i="28" s="1"/>
  <c r="V31" i="28"/>
  <c r="V35" i="28" s="1"/>
  <c r="V37" i="28" s="1"/>
  <c r="V42" i="28"/>
  <c r="V44" i="28" s="1"/>
  <c r="W72" i="35"/>
  <c r="W43" i="23"/>
  <c r="W26" i="41"/>
  <c r="W49" i="41" s="1"/>
  <c r="W35" i="41" s="1"/>
  <c r="W72" i="21" l="1"/>
  <c r="W77" i="21" s="1"/>
  <c r="V76" i="2"/>
  <c r="V77" i="2" s="1"/>
  <c r="W74" i="21"/>
  <c r="W79" i="21" s="1"/>
  <c r="W73" i="21"/>
  <c r="W78" i="21" s="1"/>
  <c r="V55" i="2"/>
  <c r="V56" i="2" s="1"/>
  <c r="V97" i="2"/>
  <c r="V98" i="2" s="1"/>
  <c r="Y13" i="22"/>
  <c r="Y33" i="22" s="1"/>
  <c r="Y34" i="22" s="1"/>
  <c r="Y40" i="22" s="1"/>
  <c r="Y51" i="22" s="1"/>
  <c r="X38" i="22"/>
  <c r="X49" i="22" s="1"/>
  <c r="X54" i="22" s="1"/>
  <c r="X49" i="2" s="1"/>
  <c r="X39" i="22"/>
  <c r="X50" i="22" s="1"/>
  <c r="X55" i="22" s="1"/>
  <c r="X70" i="2" s="1"/>
  <c r="X56" i="22"/>
  <c r="X91" i="2" s="1"/>
  <c r="V58" i="41"/>
  <c r="V67" i="41" s="1"/>
  <c r="V71" i="2" s="1"/>
  <c r="W37" i="41"/>
  <c r="W38" i="41" s="1"/>
  <c r="W42" i="41" s="1"/>
  <c r="W43" i="41" s="1"/>
  <c r="W46" i="41" s="1"/>
  <c r="Y15" i="41"/>
  <c r="W36" i="41"/>
  <c r="W50" i="41" s="1"/>
  <c r="W51" i="41" s="1"/>
  <c r="W54" i="41" s="1"/>
  <c r="U76" i="35"/>
  <c r="U45" i="2" s="1"/>
  <c r="V45" i="35"/>
  <c r="V78" i="35" s="1"/>
  <c r="V87" i="2" s="1"/>
  <c r="Z15" i="33"/>
  <c r="Z45" i="33" s="1"/>
  <c r="Z48" i="2" s="1"/>
  <c r="Z17" i="33"/>
  <c r="Z47" i="33" s="1"/>
  <c r="Z90" i="2" s="1"/>
  <c r="Z16" i="33"/>
  <c r="Z46" i="33" s="1"/>
  <c r="Z69" i="2" s="1"/>
  <c r="AA9" i="33"/>
  <c r="AB7" i="33"/>
  <c r="AA11" i="33"/>
  <c r="AA13" i="33" s="1"/>
  <c r="AA10" i="33"/>
  <c r="U77" i="35"/>
  <c r="U66" i="2" s="1"/>
  <c r="Y43" i="26"/>
  <c r="Y46" i="26" s="1"/>
  <c r="Y48" i="26" s="1"/>
  <c r="W94" i="29"/>
  <c r="V106" i="26"/>
  <c r="V116" i="26" s="1"/>
  <c r="V64" i="2" s="1"/>
  <c r="V107" i="26"/>
  <c r="V117" i="26" s="1"/>
  <c r="V85" i="2" s="1"/>
  <c r="W35" i="35"/>
  <c r="W41" i="35" s="1"/>
  <c r="W36" i="35"/>
  <c r="W42" i="35" s="1"/>
  <c r="Y29" i="35"/>
  <c r="X31" i="35"/>
  <c r="Y17" i="29"/>
  <c r="Y15" i="29"/>
  <c r="Y16" i="29"/>
  <c r="Y29" i="29"/>
  <c r="X32" i="29"/>
  <c r="X36" i="29" s="1"/>
  <c r="Z52" i="29"/>
  <c r="Z61" i="29"/>
  <c r="Z35" i="29"/>
  <c r="AA7" i="29"/>
  <c r="Z45" i="29"/>
  <c r="Z23" i="29"/>
  <c r="Z10" i="29"/>
  <c r="Z28" i="29"/>
  <c r="Z66" i="29"/>
  <c r="Z9" i="29"/>
  <c r="Z83" i="29"/>
  <c r="Z73" i="29"/>
  <c r="Z11" i="29"/>
  <c r="Z13" i="29" s="1"/>
  <c r="Z40" i="29"/>
  <c r="Z90" i="29"/>
  <c r="Z78" i="29"/>
  <c r="X87" i="29"/>
  <c r="X91" i="29" s="1"/>
  <c r="Y84" i="29"/>
  <c r="X72" i="35"/>
  <c r="Z30" i="26"/>
  <c r="Z37" i="26" s="1"/>
  <c r="X54" i="2"/>
  <c r="X96" i="2"/>
  <c r="Z13" i="41"/>
  <c r="AA7" i="41"/>
  <c r="Z9" i="41"/>
  <c r="Z12" i="41"/>
  <c r="Z10" i="41"/>
  <c r="Z11" i="41"/>
  <c r="Y17" i="41"/>
  <c r="Y19" i="41"/>
  <c r="Y18" i="41"/>
  <c r="Y53" i="21"/>
  <c r="Y67" i="21" s="1"/>
  <c r="Y31" i="21"/>
  <c r="AA49" i="21"/>
  <c r="AA10" i="21"/>
  <c r="AA48" i="21"/>
  <c r="AA47" i="21"/>
  <c r="AA46" i="21"/>
  <c r="AA11" i="21"/>
  <c r="AA13" i="21" s="1"/>
  <c r="AB7" i="21"/>
  <c r="AA9" i="21"/>
  <c r="Y32" i="21"/>
  <c r="Y54" i="21"/>
  <c r="Y68" i="21" s="1"/>
  <c r="V115" i="26"/>
  <c r="V43" i="2" s="1"/>
  <c r="X40" i="21"/>
  <c r="X41" i="21"/>
  <c r="X42" i="21"/>
  <c r="Z17" i="21"/>
  <c r="Z63" i="21" s="1"/>
  <c r="Z16" i="21"/>
  <c r="Z62" i="21" s="1"/>
  <c r="Z15" i="21"/>
  <c r="Z61" i="21" s="1"/>
  <c r="Y27" i="22"/>
  <c r="Y45" i="22" s="1"/>
  <c r="Y67" i="29"/>
  <c r="X70" i="29"/>
  <c r="X74" i="29" s="1"/>
  <c r="Y62" i="21"/>
  <c r="Y26" i="22"/>
  <c r="Y44" i="22" s="1"/>
  <c r="Y61" i="21"/>
  <c r="Z50" i="21"/>
  <c r="Y55" i="21"/>
  <c r="Y69" i="21" s="1"/>
  <c r="Y33" i="21"/>
  <c r="Y37" i="21" s="1"/>
  <c r="Y28" i="22"/>
  <c r="Y46" i="22" s="1"/>
  <c r="Z27" i="24"/>
  <c r="Z28" i="24"/>
  <c r="Z29" i="24"/>
  <c r="AA7" i="24"/>
  <c r="Z10" i="24"/>
  <c r="Z9" i="24"/>
  <c r="Z25" i="24"/>
  <c r="Z11" i="24"/>
  <c r="Z13" i="24" s="1"/>
  <c r="Z26" i="24"/>
  <c r="Z83" i="2"/>
  <c r="Z95" i="2" s="1"/>
  <c r="Z74" i="2"/>
  <c r="AA53" i="2"/>
  <c r="AB41" i="2"/>
  <c r="AA62" i="2"/>
  <c r="Y16" i="24"/>
  <c r="Y17" i="24"/>
  <c r="Y15" i="24"/>
  <c r="Z43" i="26"/>
  <c r="Y22" i="24"/>
  <c r="Y29" i="23"/>
  <c r="Y41" i="23"/>
  <c r="Y28" i="23"/>
  <c r="Z19" i="23"/>
  <c r="Z24" i="23"/>
  <c r="Z27" i="23" s="1"/>
  <c r="Z21" i="23"/>
  <c r="Z34" i="23"/>
  <c r="AA7" i="23"/>
  <c r="Z10" i="23"/>
  <c r="Z11" i="23"/>
  <c r="Z13" i="23" s="1"/>
  <c r="Z9" i="23"/>
  <c r="Z36" i="23"/>
  <c r="Z9" i="28"/>
  <c r="AA7" i="28"/>
  <c r="Z11" i="28"/>
  <c r="Z13" i="28" s="1"/>
  <c r="Z10" i="28"/>
  <c r="U58" i="28"/>
  <c r="U47" i="2" s="1"/>
  <c r="U59" i="28"/>
  <c r="U68" i="2" s="1"/>
  <c r="U60" i="28"/>
  <c r="U89" i="2" s="1"/>
  <c r="X78" i="26"/>
  <c r="X79" i="26" s="1"/>
  <c r="Y77" i="26"/>
  <c r="X84" i="26"/>
  <c r="X86" i="26" s="1"/>
  <c r="Z17" i="22"/>
  <c r="Z16" i="22"/>
  <c r="Z15" i="22"/>
  <c r="W101" i="26"/>
  <c r="V98" i="29"/>
  <c r="V46" i="2" s="1"/>
  <c r="V99" i="29"/>
  <c r="V67" i="2" s="1"/>
  <c r="Y15" i="28"/>
  <c r="Y17" i="28"/>
  <c r="Y16" i="28"/>
  <c r="AA9" i="22"/>
  <c r="AB7" i="22"/>
  <c r="AA11" i="22"/>
  <c r="AA22" i="22"/>
  <c r="AA23" i="22" s="1"/>
  <c r="AA10" i="22"/>
  <c r="W42" i="28"/>
  <c r="W44" i="28" s="1"/>
  <c r="W49" i="28"/>
  <c r="W51" i="28" s="1"/>
  <c r="W31" i="28"/>
  <c r="W35" i="28" s="1"/>
  <c r="W37" i="28" s="1"/>
  <c r="X43" i="23"/>
  <c r="X26" i="41"/>
  <c r="X49" i="41" s="1"/>
  <c r="X35" i="41" s="1"/>
  <c r="AE7" i="35"/>
  <c r="AD40" i="35"/>
  <c r="AD67" i="35"/>
  <c r="AD66" i="35"/>
  <c r="AD10" i="35"/>
  <c r="AD11" i="35"/>
  <c r="AD13" i="35" s="1"/>
  <c r="AD9" i="35"/>
  <c r="AD39" i="35"/>
  <c r="AD23" i="35"/>
  <c r="AD28" i="35"/>
  <c r="AD50" i="35"/>
  <c r="AD55" i="35"/>
  <c r="W110" i="26"/>
  <c r="W44" i="2" s="1"/>
  <c r="W112" i="26"/>
  <c r="W86" i="2" s="1"/>
  <c r="W111" i="26"/>
  <c r="W65" i="2" s="1"/>
  <c r="W64" i="26"/>
  <c r="Z17" i="26"/>
  <c r="Z15" i="26"/>
  <c r="Z16" i="26"/>
  <c r="Z81" i="26" s="1"/>
  <c r="Y63" i="35"/>
  <c r="Y69" i="35" s="1"/>
  <c r="Y62" i="35"/>
  <c r="Y68" i="35" s="1"/>
  <c r="X25" i="41"/>
  <c r="X41" i="41" s="1"/>
  <c r="X42" i="23"/>
  <c r="V53" i="28"/>
  <c r="W100" i="29"/>
  <c r="W88" i="2" s="1"/>
  <c r="W56" i="29"/>
  <c r="X49" i="29"/>
  <c r="X53" i="29" s="1"/>
  <c r="Y46" i="29"/>
  <c r="AC17" i="35"/>
  <c r="AC16" i="35"/>
  <c r="AC15" i="35"/>
  <c r="X51" i="26"/>
  <c r="X55" i="26" s="1"/>
  <c r="X59" i="26" s="1"/>
  <c r="X61" i="26" s="1"/>
  <c r="Y37" i="23"/>
  <c r="X29" i="28"/>
  <c r="X46" i="23"/>
  <c r="X89" i="26"/>
  <c r="X93" i="26" s="1"/>
  <c r="X96" i="26" s="1"/>
  <c r="X98" i="26" s="1"/>
  <c r="AB7" i="26"/>
  <c r="AA9" i="26"/>
  <c r="AA11" i="26"/>
  <c r="AA13" i="26" s="1"/>
  <c r="AA10" i="26"/>
  <c r="AA29" i="26"/>
  <c r="AA76" i="26"/>
  <c r="AA71" i="26"/>
  <c r="AA24" i="26"/>
  <c r="AA56" i="35"/>
  <c r="Z58" i="35"/>
  <c r="X68" i="26"/>
  <c r="X65" i="24"/>
  <c r="W76" i="2" l="1"/>
  <c r="W77" i="2" s="1"/>
  <c r="W55" i="2"/>
  <c r="W56" i="2" s="1"/>
  <c r="W97" i="2"/>
  <c r="W98" i="2" s="1"/>
  <c r="X74" i="21"/>
  <c r="X79" i="21" s="1"/>
  <c r="X73" i="21"/>
  <c r="X78" i="21" s="1"/>
  <c r="X72" i="21"/>
  <c r="X77" i="21" s="1"/>
  <c r="Z13" i="22"/>
  <c r="Z33" i="22" s="1"/>
  <c r="Z34" i="22" s="1"/>
  <c r="Z40" i="22" s="1"/>
  <c r="Z51" i="22" s="1"/>
  <c r="Y39" i="22"/>
  <c r="Y50" i="22" s="1"/>
  <c r="Y55" i="22" s="1"/>
  <c r="Y70" i="2" s="1"/>
  <c r="Y38" i="22"/>
  <c r="Y49" i="22" s="1"/>
  <c r="Y54" i="22" s="1"/>
  <c r="Y49" i="2" s="1"/>
  <c r="Y56" i="22"/>
  <c r="Y91" i="2" s="1"/>
  <c r="V66" i="41"/>
  <c r="V50" i="2" s="1"/>
  <c r="V68" i="41"/>
  <c r="V92" i="2" s="1"/>
  <c r="W58" i="41"/>
  <c r="W68" i="41" s="1"/>
  <c r="W92" i="2" s="1"/>
  <c r="X37" i="41"/>
  <c r="X38" i="41" s="1"/>
  <c r="X42" i="41" s="1"/>
  <c r="X43" i="41" s="1"/>
  <c r="X46" i="41" s="1"/>
  <c r="Z15" i="41"/>
  <c r="X36" i="41"/>
  <c r="X50" i="41" s="1"/>
  <c r="X51" i="41" s="1"/>
  <c r="X54" i="41" s="1"/>
  <c r="V76" i="35"/>
  <c r="V45" i="2" s="1"/>
  <c r="V77" i="35"/>
  <c r="V66" i="2" s="1"/>
  <c r="AA16" i="33"/>
  <c r="AA46" i="33" s="1"/>
  <c r="AA69" i="2" s="1"/>
  <c r="AA17" i="33"/>
  <c r="AA47" i="33" s="1"/>
  <c r="AA90" i="2" s="1"/>
  <c r="AA15" i="33"/>
  <c r="AA45" i="33" s="1"/>
  <c r="AA48" i="2" s="1"/>
  <c r="AB10" i="33"/>
  <c r="AC7" i="33"/>
  <c r="AB9" i="33"/>
  <c r="AB11" i="33"/>
  <c r="AB13" i="33" s="1"/>
  <c r="W45" i="35"/>
  <c r="W76" i="35" s="1"/>
  <c r="W45" i="2" s="1"/>
  <c r="X94" i="29"/>
  <c r="Z15" i="29"/>
  <c r="Z16" i="29"/>
  <c r="Z17" i="29"/>
  <c r="Y32" i="29"/>
  <c r="Y36" i="29" s="1"/>
  <c r="Z29" i="29"/>
  <c r="AA52" i="29"/>
  <c r="AA28" i="29"/>
  <c r="AB7" i="29"/>
  <c r="AA45" i="29"/>
  <c r="AA9" i="29"/>
  <c r="AA23" i="29"/>
  <c r="AA35" i="29"/>
  <c r="AA61" i="29"/>
  <c r="AA73" i="29"/>
  <c r="AA83" i="29"/>
  <c r="AA11" i="29"/>
  <c r="AA13" i="29" s="1"/>
  <c r="AA78" i="29"/>
  <c r="AA10" i="29"/>
  <c r="AA66" i="29"/>
  <c r="AA90" i="29"/>
  <c r="AA40" i="29"/>
  <c r="X35" i="35"/>
  <c r="X41" i="35" s="1"/>
  <c r="X36" i="35"/>
  <c r="X42" i="35" s="1"/>
  <c r="Y87" i="29"/>
  <c r="Y91" i="29" s="1"/>
  <c r="Z84" i="29"/>
  <c r="Y31" i="35"/>
  <c r="Z29" i="35"/>
  <c r="Y75" i="2"/>
  <c r="Z17" i="41"/>
  <c r="Z19" i="41"/>
  <c r="Z18" i="41"/>
  <c r="Y54" i="2"/>
  <c r="AB7" i="41"/>
  <c r="AA10" i="41"/>
  <c r="AA13" i="41"/>
  <c r="AA11" i="41"/>
  <c r="AA9" i="41"/>
  <c r="AA12" i="41"/>
  <c r="Z67" i="29"/>
  <c r="Y70" i="29"/>
  <c r="Y74" i="29" s="1"/>
  <c r="X75" i="2"/>
  <c r="AA16" i="21"/>
  <c r="AA62" i="21" s="1"/>
  <c r="AA17" i="21"/>
  <c r="AA63" i="21" s="1"/>
  <c r="AA15" i="21"/>
  <c r="Z27" i="22"/>
  <c r="Z45" i="22" s="1"/>
  <c r="AB11" i="21"/>
  <c r="AB13" i="21" s="1"/>
  <c r="AB47" i="21"/>
  <c r="AB48" i="21"/>
  <c r="AB10" i="21"/>
  <c r="AB49" i="21"/>
  <c r="AB9" i="21"/>
  <c r="AC7" i="21"/>
  <c r="AB46" i="21"/>
  <c r="Z31" i="21"/>
  <c r="Z53" i="21"/>
  <c r="Z67" i="21" s="1"/>
  <c r="Y42" i="21"/>
  <c r="Y40" i="21"/>
  <c r="Y41" i="21"/>
  <c r="Z32" i="21"/>
  <c r="Z54" i="21"/>
  <c r="Z68" i="21" s="1"/>
  <c r="AA50" i="21"/>
  <c r="Z33" i="21"/>
  <c r="Z37" i="21" s="1"/>
  <c r="Z55" i="21"/>
  <c r="Z69" i="21" s="1"/>
  <c r="AB53" i="2"/>
  <c r="AC41" i="2"/>
  <c r="AB62" i="2"/>
  <c r="Z15" i="24"/>
  <c r="Z17" i="24"/>
  <c r="Z16" i="24"/>
  <c r="AA26" i="24"/>
  <c r="AA11" i="24"/>
  <c r="AA13" i="24" s="1"/>
  <c r="AA29" i="24"/>
  <c r="AA10" i="24"/>
  <c r="AA25" i="24"/>
  <c r="AA9" i="24"/>
  <c r="AB7" i="24"/>
  <c r="AA27" i="24"/>
  <c r="AA28" i="24"/>
  <c r="AA30" i="26"/>
  <c r="AA37" i="26" s="1"/>
  <c r="Z28" i="22"/>
  <c r="Z46" i="22" s="1"/>
  <c r="Y72" i="35"/>
  <c r="Z26" i="22"/>
  <c r="Z44" i="22" s="1"/>
  <c r="AA83" i="2"/>
  <c r="AA95" i="2" s="1"/>
  <c r="AA74" i="2"/>
  <c r="AA9" i="28"/>
  <c r="AA10" i="28"/>
  <c r="AA11" i="28"/>
  <c r="AA13" i="28" s="1"/>
  <c r="AB7" i="28"/>
  <c r="AA19" i="23"/>
  <c r="AA24" i="23"/>
  <c r="AA27" i="23" s="1"/>
  <c r="AA21" i="23"/>
  <c r="AA10" i="23"/>
  <c r="AA36" i="23"/>
  <c r="AA9" i="23"/>
  <c r="AA11" i="23"/>
  <c r="AA13" i="23" s="1"/>
  <c r="AA34" i="23"/>
  <c r="AB7" i="23"/>
  <c r="Y43" i="23"/>
  <c r="Y26" i="41"/>
  <c r="Y49" i="41" s="1"/>
  <c r="Y35" i="41" s="1"/>
  <c r="AA15" i="22"/>
  <c r="AA16" i="22"/>
  <c r="AA17" i="22"/>
  <c r="AE9" i="35"/>
  <c r="AE10" i="35"/>
  <c r="AE66" i="35"/>
  <c r="AE67" i="35"/>
  <c r="AF7" i="35"/>
  <c r="AE40" i="35"/>
  <c r="AE39" i="35"/>
  <c r="AE55" i="35"/>
  <c r="AE28" i="35"/>
  <c r="AE11" i="35"/>
  <c r="AE13" i="35" s="1"/>
  <c r="AE50" i="35"/>
  <c r="AE23" i="35"/>
  <c r="Z28" i="23"/>
  <c r="Z41" i="23"/>
  <c r="Z22" i="24"/>
  <c r="Z29" i="23"/>
  <c r="X101" i="26"/>
  <c r="Y49" i="29"/>
  <c r="Y53" i="29" s="1"/>
  <c r="Z46" i="29"/>
  <c r="V59" i="28"/>
  <c r="V68" i="2" s="1"/>
  <c r="V60" i="28"/>
  <c r="V89" i="2" s="1"/>
  <c r="V58" i="28"/>
  <c r="V47" i="2" s="1"/>
  <c r="AB9" i="22"/>
  <c r="AC7" i="22"/>
  <c r="AB11" i="22"/>
  <c r="AB22" i="22"/>
  <c r="AB23" i="22" s="1"/>
  <c r="AB10" i="22"/>
  <c r="Y78" i="26"/>
  <c r="Y79" i="26" s="1"/>
  <c r="Y84" i="26"/>
  <c r="Y86" i="26" s="1"/>
  <c r="Z77" i="26"/>
  <c r="Z46" i="26"/>
  <c r="Z48" i="26" s="1"/>
  <c r="X112" i="26"/>
  <c r="X86" i="2" s="1"/>
  <c r="X111" i="26"/>
  <c r="X65" i="2" s="1"/>
  <c r="X110" i="26"/>
  <c r="X44" i="2" s="1"/>
  <c r="X64" i="26"/>
  <c r="AA15" i="26"/>
  <c r="AA17" i="26"/>
  <c r="AA16" i="26"/>
  <c r="AA81" i="26" s="1"/>
  <c r="X56" i="29"/>
  <c r="X100" i="29"/>
  <c r="X88" i="2" s="1"/>
  <c r="X42" i="28"/>
  <c r="X44" i="28" s="1"/>
  <c r="X49" i="28"/>
  <c r="X51" i="28" s="1"/>
  <c r="X31" i="28"/>
  <c r="X35" i="28" s="1"/>
  <c r="X37" i="28" s="1"/>
  <c r="Y46" i="23"/>
  <c r="Y51" i="26"/>
  <c r="Y55" i="26" s="1"/>
  <c r="Y59" i="26" s="1"/>
  <c r="Y61" i="26" s="1"/>
  <c r="Y89" i="26"/>
  <c r="Y93" i="26" s="1"/>
  <c r="Y96" i="26" s="1"/>
  <c r="Y98" i="26" s="1"/>
  <c r="Z37" i="23"/>
  <c r="Y29" i="28"/>
  <c r="Z62" i="35"/>
  <c r="Z68" i="35" s="1"/>
  <c r="Z63" i="35"/>
  <c r="Z69" i="35" s="1"/>
  <c r="AD15" i="35"/>
  <c r="AD17" i="35"/>
  <c r="AD16" i="35"/>
  <c r="Z16" i="28"/>
  <c r="Z15" i="28"/>
  <c r="Z17" i="28"/>
  <c r="Y25" i="41"/>
  <c r="Y41" i="41" s="1"/>
  <c r="Y42" i="23"/>
  <c r="AA58" i="35"/>
  <c r="AB56" i="35"/>
  <c r="AB10" i="26"/>
  <c r="AC7" i="26"/>
  <c r="AB11" i="26"/>
  <c r="AB13" i="26" s="1"/>
  <c r="AB9" i="26"/>
  <c r="AB24" i="26"/>
  <c r="AB29" i="26"/>
  <c r="AB71" i="26"/>
  <c r="AB76" i="26"/>
  <c r="W98" i="29"/>
  <c r="W46" i="2" s="1"/>
  <c r="W99" i="29"/>
  <c r="W67" i="2" s="1"/>
  <c r="W107" i="26"/>
  <c r="W117" i="26" s="1"/>
  <c r="W85" i="2" s="1"/>
  <c r="W105" i="26"/>
  <c r="W115" i="26" s="1"/>
  <c r="W43" i="2" s="1"/>
  <c r="W106" i="26"/>
  <c r="W116" i="26" s="1"/>
  <c r="W64" i="2" s="1"/>
  <c r="W53" i="28"/>
  <c r="Y65" i="24"/>
  <c r="Y68" i="26"/>
  <c r="Y74" i="21" l="1"/>
  <c r="Y79" i="21" s="1"/>
  <c r="X55" i="2"/>
  <c r="X56" i="2" s="1"/>
  <c r="Y73" i="21"/>
  <c r="Y78" i="21" s="1"/>
  <c r="Y72" i="21"/>
  <c r="Y77" i="21" s="1"/>
  <c r="X76" i="2"/>
  <c r="X77" i="2" s="1"/>
  <c r="X97" i="2"/>
  <c r="X98" i="2" s="1"/>
  <c r="Z39" i="22"/>
  <c r="Z50" i="22" s="1"/>
  <c r="AA13" i="22"/>
  <c r="AA33" i="22" s="1"/>
  <c r="AA34" i="22" s="1"/>
  <c r="AA38" i="22" s="1"/>
  <c r="AA49" i="22" s="1"/>
  <c r="Z38" i="22"/>
  <c r="Z49" i="22" s="1"/>
  <c r="Z54" i="22" s="1"/>
  <c r="Z49" i="2" s="1"/>
  <c r="Z56" i="22"/>
  <c r="Z91" i="2" s="1"/>
  <c r="Z55" i="22"/>
  <c r="Z70" i="2" s="1"/>
  <c r="W66" i="41"/>
  <c r="W50" i="2" s="1"/>
  <c r="W67" i="41"/>
  <c r="W71" i="2" s="1"/>
  <c r="Y37" i="41"/>
  <c r="Y38" i="41" s="1"/>
  <c r="Y42" i="41" s="1"/>
  <c r="Y43" i="41" s="1"/>
  <c r="Y46" i="41" s="1"/>
  <c r="X58" i="41"/>
  <c r="X66" i="41" s="1"/>
  <c r="X50" i="2" s="1"/>
  <c r="AA15" i="41"/>
  <c r="Y36" i="41"/>
  <c r="Y50" i="41" s="1"/>
  <c r="Y51" i="41" s="1"/>
  <c r="Y54" i="41" s="1"/>
  <c r="AB17" i="33"/>
  <c r="AB47" i="33" s="1"/>
  <c r="AB90" i="2" s="1"/>
  <c r="AB16" i="33"/>
  <c r="AB46" i="33" s="1"/>
  <c r="AB69" i="2" s="1"/>
  <c r="AB15" i="33"/>
  <c r="AB45" i="33" s="1"/>
  <c r="AB48" i="2" s="1"/>
  <c r="AC9" i="33"/>
  <c r="AC11" i="33"/>
  <c r="AD7" i="33"/>
  <c r="AC10" i="33"/>
  <c r="X45" i="35"/>
  <c r="W78" i="35"/>
  <c r="W87" i="2" s="1"/>
  <c r="W77" i="35"/>
  <c r="W66" i="2" s="1"/>
  <c r="AB11" i="29"/>
  <c r="AB13" i="29" s="1"/>
  <c r="AB40" i="29"/>
  <c r="AB90" i="29"/>
  <c r="AB23" i="29"/>
  <c r="AB52" i="29"/>
  <c r="AB45" i="29"/>
  <c r="AB10" i="29"/>
  <c r="AB66" i="29"/>
  <c r="AB35" i="29"/>
  <c r="AB9" i="29"/>
  <c r="AB83" i="29"/>
  <c r="AB28" i="29"/>
  <c r="AB73" i="29"/>
  <c r="AB78" i="29"/>
  <c r="AC7" i="29"/>
  <c r="AB61" i="29"/>
  <c r="AA29" i="29"/>
  <c r="Z32" i="29"/>
  <c r="Z36" i="29" s="1"/>
  <c r="Z31" i="35"/>
  <c r="AA29" i="35"/>
  <c r="Y94" i="29"/>
  <c r="Y36" i="35"/>
  <c r="Y42" i="35" s="1"/>
  <c r="Y35" i="35"/>
  <c r="Y41" i="35" s="1"/>
  <c r="AA15" i="29"/>
  <c r="AA17" i="29"/>
  <c r="AA16" i="29"/>
  <c r="Z87" i="29"/>
  <c r="Z91" i="29" s="1"/>
  <c r="AA84" i="29"/>
  <c r="AA43" i="26"/>
  <c r="AA46" i="26" s="1"/>
  <c r="AA48" i="26" s="1"/>
  <c r="Z96" i="2"/>
  <c r="AA18" i="41"/>
  <c r="AA17" i="41"/>
  <c r="AA19" i="41"/>
  <c r="AB9" i="41"/>
  <c r="AB10" i="41"/>
  <c r="AB13" i="41"/>
  <c r="AC7" i="41"/>
  <c r="AB12" i="41"/>
  <c r="AB11" i="41"/>
  <c r="AC10" i="21"/>
  <c r="AC48" i="21"/>
  <c r="AC9" i="21"/>
  <c r="AC49" i="21"/>
  <c r="AD7" i="21"/>
  <c r="AC11" i="21"/>
  <c r="AC13" i="21" s="1"/>
  <c r="AC46" i="21"/>
  <c r="AC47" i="21"/>
  <c r="Z40" i="21"/>
  <c r="Z42" i="21"/>
  <c r="Z41" i="21"/>
  <c r="Y96" i="2"/>
  <c r="AB16" i="21"/>
  <c r="AB17" i="21"/>
  <c r="AB63" i="21" s="1"/>
  <c r="AB15" i="21"/>
  <c r="AB61" i="21" s="1"/>
  <c r="AA31" i="21"/>
  <c r="AA53" i="21"/>
  <c r="AA67" i="21" s="1"/>
  <c r="AA61" i="21"/>
  <c r="AA33" i="21"/>
  <c r="AA37" i="21" s="1"/>
  <c r="AA55" i="21"/>
  <c r="AA69" i="21" s="1"/>
  <c r="AA54" i="21"/>
  <c r="AA68" i="21" s="1"/>
  <c r="AA32" i="21"/>
  <c r="AB50" i="21"/>
  <c r="AA67" i="29"/>
  <c r="Z70" i="29"/>
  <c r="Z74" i="29" s="1"/>
  <c r="AA27" i="22"/>
  <c r="AA45" i="22" s="1"/>
  <c r="AB26" i="24"/>
  <c r="AB10" i="24"/>
  <c r="AB29" i="24"/>
  <c r="AB27" i="24"/>
  <c r="AC7" i="24"/>
  <c r="AB28" i="24"/>
  <c r="AB11" i="24"/>
  <c r="AB13" i="24" s="1"/>
  <c r="AB25" i="24"/>
  <c r="AB9" i="24"/>
  <c r="AB30" i="26"/>
  <c r="AB43" i="26" s="1"/>
  <c r="AB83" i="2"/>
  <c r="AB95" i="2" s="1"/>
  <c r="AB74" i="2"/>
  <c r="AA17" i="24"/>
  <c r="AA16" i="24"/>
  <c r="AA15" i="24"/>
  <c r="AC62" i="2"/>
  <c r="AC53" i="2"/>
  <c r="AD41" i="2"/>
  <c r="Y31" i="28"/>
  <c r="Y35" i="28" s="1"/>
  <c r="Y37" i="28" s="1"/>
  <c r="Y42" i="28"/>
  <c r="Y44" i="28" s="1"/>
  <c r="Y49" i="28"/>
  <c r="Y51" i="28" s="1"/>
  <c r="X53" i="28"/>
  <c r="AC10" i="22"/>
  <c r="AC22" i="22"/>
  <c r="AC23" i="22" s="1"/>
  <c r="AC11" i="22"/>
  <c r="AD7" i="22"/>
  <c r="AC9" i="22"/>
  <c r="Z49" i="29"/>
  <c r="Z53" i="29" s="1"/>
  <c r="AA46" i="29"/>
  <c r="AA37" i="23"/>
  <c r="Z46" i="23"/>
  <c r="Z51" i="26"/>
  <c r="Z55" i="26" s="1"/>
  <c r="Z59" i="26" s="1"/>
  <c r="Z61" i="26" s="1"/>
  <c r="Z64" i="26" s="1"/>
  <c r="Z29" i="28"/>
  <c r="Z89" i="26"/>
  <c r="Z93" i="26" s="1"/>
  <c r="Z96" i="26" s="1"/>
  <c r="Z98" i="26" s="1"/>
  <c r="X99" i="29"/>
  <c r="X67" i="2" s="1"/>
  <c r="X98" i="29"/>
  <c r="X46" i="2" s="1"/>
  <c r="Y56" i="29"/>
  <c r="Y100" i="29"/>
  <c r="Y88" i="2" s="1"/>
  <c r="AB15" i="26"/>
  <c r="AB17" i="26"/>
  <c r="AB16" i="26"/>
  <c r="AB81" i="26" s="1"/>
  <c r="AA22" i="24"/>
  <c r="AA29" i="23"/>
  <c r="AA28" i="23"/>
  <c r="AA41" i="23"/>
  <c r="AE16" i="35"/>
  <c r="AE17" i="35"/>
  <c r="AE15" i="35"/>
  <c r="Y110" i="26"/>
  <c r="Y44" i="2" s="1"/>
  <c r="Y111" i="26"/>
  <c r="Y65" i="2" s="1"/>
  <c r="Y112" i="26"/>
  <c r="Y86" i="2" s="1"/>
  <c r="Y64" i="26"/>
  <c r="Z43" i="23"/>
  <c r="Z26" i="41"/>
  <c r="Z49" i="41" s="1"/>
  <c r="Z35" i="41" s="1"/>
  <c r="AB19" i="23"/>
  <c r="AB24" i="23"/>
  <c r="AB27" i="23" s="1"/>
  <c r="AB21" i="23"/>
  <c r="AC7" i="23"/>
  <c r="AB36" i="23"/>
  <c r="AB10" i="23"/>
  <c r="AB11" i="23"/>
  <c r="AB13" i="23" s="1"/>
  <c r="AB34" i="23"/>
  <c r="AB9" i="23"/>
  <c r="AC9" i="26"/>
  <c r="AC11" i="26"/>
  <c r="AC13" i="26" s="1"/>
  <c r="AD7" i="26"/>
  <c r="AC10" i="26"/>
  <c r="AC24" i="26"/>
  <c r="AC71" i="26"/>
  <c r="AC76" i="26"/>
  <c r="AC29" i="26"/>
  <c r="W59" i="28"/>
  <c r="W68" i="2" s="1"/>
  <c r="W58" i="28"/>
  <c r="W47" i="2" s="1"/>
  <c r="W60" i="28"/>
  <c r="W89" i="2" s="1"/>
  <c r="AB10" i="28"/>
  <c r="AB9" i="28"/>
  <c r="AC7" i="28"/>
  <c r="AB11" i="28"/>
  <c r="AB13" i="28" s="1"/>
  <c r="AB15" i="22"/>
  <c r="AB17" i="22"/>
  <c r="AB16" i="22"/>
  <c r="Z65" i="24"/>
  <c r="Z68" i="26"/>
  <c r="AA28" i="22"/>
  <c r="AA46" i="22" s="1"/>
  <c r="AB58" i="35"/>
  <c r="AC56" i="35"/>
  <c r="AA62" i="35"/>
  <c r="AA68" i="35" s="1"/>
  <c r="AA63" i="35"/>
  <c r="AA69" i="35" s="1"/>
  <c r="X107" i="26"/>
  <c r="X117" i="26" s="1"/>
  <c r="X85" i="2" s="1"/>
  <c r="X105" i="26"/>
  <c r="X115" i="26" s="1"/>
  <c r="X43" i="2" s="1"/>
  <c r="X106" i="26"/>
  <c r="X116" i="26" s="1"/>
  <c r="X64" i="2" s="1"/>
  <c r="AA77" i="26"/>
  <c r="Z78" i="26"/>
  <c r="Z79" i="26" s="1"/>
  <c r="Z84" i="26"/>
  <c r="Z86" i="26" s="1"/>
  <c r="Z25" i="41"/>
  <c r="Z41" i="41" s="1"/>
  <c r="Z42" i="23"/>
  <c r="AA15" i="28"/>
  <c r="AA17" i="28"/>
  <c r="AA16" i="28"/>
  <c r="Z72" i="35"/>
  <c r="Y101" i="26"/>
  <c r="AA26" i="22"/>
  <c r="AA44" i="22" s="1"/>
  <c r="AF67" i="35"/>
  <c r="AF39" i="35"/>
  <c r="AF10" i="35"/>
  <c r="AF11" i="35"/>
  <c r="AF13" i="35" s="1"/>
  <c r="AF9" i="35"/>
  <c r="AF66" i="35"/>
  <c r="AF40" i="35"/>
  <c r="AF28" i="35"/>
  <c r="AF50" i="35"/>
  <c r="AG7" i="35"/>
  <c r="AF55" i="35"/>
  <c r="AF23" i="35"/>
  <c r="Z72" i="21" l="1"/>
  <c r="Z77" i="21" s="1"/>
  <c r="Y55" i="2"/>
  <c r="Y56" i="2" s="1"/>
  <c r="Y97" i="2"/>
  <c r="Y98" i="2" s="1"/>
  <c r="Y76" i="2"/>
  <c r="Y77" i="2" s="1"/>
  <c r="Z74" i="21"/>
  <c r="Z79" i="21" s="1"/>
  <c r="Z73" i="21"/>
  <c r="Z78" i="21" s="1"/>
  <c r="AA40" i="22"/>
  <c r="AA51" i="22" s="1"/>
  <c r="AA56" i="22" s="1"/>
  <c r="AA91" i="2" s="1"/>
  <c r="AA39" i="22"/>
  <c r="AA50" i="22" s="1"/>
  <c r="AA55" i="22" s="1"/>
  <c r="AA70" i="2" s="1"/>
  <c r="AA54" i="22"/>
  <c r="AA49" i="2" s="1"/>
  <c r="AB13" i="22"/>
  <c r="AB33" i="22" s="1"/>
  <c r="AB34" i="22" s="1"/>
  <c r="AB38" i="22" s="1"/>
  <c r="AB49" i="22" s="1"/>
  <c r="X68" i="41"/>
  <c r="X92" i="2" s="1"/>
  <c r="Y58" i="41"/>
  <c r="Y66" i="41" s="1"/>
  <c r="Y50" i="2" s="1"/>
  <c r="Z37" i="41"/>
  <c r="Z38" i="41" s="1"/>
  <c r="Z42" i="41" s="1"/>
  <c r="Z43" i="41" s="1"/>
  <c r="Z46" i="41" s="1"/>
  <c r="X67" i="41"/>
  <c r="X71" i="2" s="1"/>
  <c r="AB15" i="41"/>
  <c r="Z36" i="41"/>
  <c r="Z50" i="41" s="1"/>
  <c r="Z51" i="41" s="1"/>
  <c r="Z54" i="41" s="1"/>
  <c r="Z94" i="29"/>
  <c r="AC16" i="33"/>
  <c r="AC46" i="33" s="1"/>
  <c r="AC69" i="2" s="1"/>
  <c r="AC17" i="33"/>
  <c r="AC47" i="33" s="1"/>
  <c r="AC90" i="2" s="1"/>
  <c r="AC15" i="33"/>
  <c r="AC45" i="33" s="1"/>
  <c r="AC48" i="2" s="1"/>
  <c r="AD9" i="33"/>
  <c r="AD11" i="33"/>
  <c r="AD10" i="33"/>
  <c r="AE7" i="33"/>
  <c r="AC13" i="33"/>
  <c r="X77" i="35"/>
  <c r="X66" i="2" s="1"/>
  <c r="X78" i="35"/>
  <c r="X87" i="2" s="1"/>
  <c r="X76" i="35"/>
  <c r="X45" i="2" s="1"/>
  <c r="Y45" i="35"/>
  <c r="Z101" i="26"/>
  <c r="Z106" i="26" s="1"/>
  <c r="AC90" i="29"/>
  <c r="AC28" i="29"/>
  <c r="AC10" i="29"/>
  <c r="AC23" i="29"/>
  <c r="AC73" i="29"/>
  <c r="AC78" i="29"/>
  <c r="AC35" i="29"/>
  <c r="AC40" i="29"/>
  <c r="AC83" i="29"/>
  <c r="AC52" i="29"/>
  <c r="AC61" i="29"/>
  <c r="AC9" i="29"/>
  <c r="AC11" i="29"/>
  <c r="AC13" i="29" s="1"/>
  <c r="AC66" i="29"/>
  <c r="AD7" i="29"/>
  <c r="AC45" i="29"/>
  <c r="AB17" i="29"/>
  <c r="AB15" i="29"/>
  <c r="AB16" i="29"/>
  <c r="AA87" i="29"/>
  <c r="AA91" i="29" s="1"/>
  <c r="AB84" i="29"/>
  <c r="AB29" i="35"/>
  <c r="AA31" i="35"/>
  <c r="Z36" i="35"/>
  <c r="Z42" i="35" s="1"/>
  <c r="Z35" i="35"/>
  <c r="Z41" i="35" s="1"/>
  <c r="AA32" i="29"/>
  <c r="AA36" i="29" s="1"/>
  <c r="AB29" i="29"/>
  <c r="AB37" i="26"/>
  <c r="AB46" i="26" s="1"/>
  <c r="AB48" i="26" s="1"/>
  <c r="AA96" i="2"/>
  <c r="AD7" i="41"/>
  <c r="AC9" i="41"/>
  <c r="AC13" i="41"/>
  <c r="AC10" i="41"/>
  <c r="AC12" i="41"/>
  <c r="AC11" i="41"/>
  <c r="AC50" i="21"/>
  <c r="AB17" i="41"/>
  <c r="AB18" i="41"/>
  <c r="AB19" i="41"/>
  <c r="AB67" i="29"/>
  <c r="AA70" i="29"/>
  <c r="AA74" i="29" s="1"/>
  <c r="AB33" i="21"/>
  <c r="AB37" i="21" s="1"/>
  <c r="AB55" i="21"/>
  <c r="AB69" i="21" s="1"/>
  <c r="AA41" i="21"/>
  <c r="AA40" i="21"/>
  <c r="AA42" i="21"/>
  <c r="Z54" i="2"/>
  <c r="AD11" i="21"/>
  <c r="AD13" i="21" s="1"/>
  <c r="AD49" i="21"/>
  <c r="AD9" i="21"/>
  <c r="AD47" i="21"/>
  <c r="AD48" i="21"/>
  <c r="AD10" i="21"/>
  <c r="AE7" i="21"/>
  <c r="AD46" i="21"/>
  <c r="Z75" i="2"/>
  <c r="AB54" i="21"/>
  <c r="AB68" i="21" s="1"/>
  <c r="AB32" i="21"/>
  <c r="AB62" i="21"/>
  <c r="AB31" i="21"/>
  <c r="AB53" i="21"/>
  <c r="AB67" i="21" s="1"/>
  <c r="AC17" i="21"/>
  <c r="AC15" i="21"/>
  <c r="AC16" i="21"/>
  <c r="AD53" i="2"/>
  <c r="AE41" i="2"/>
  <c r="AD62" i="2"/>
  <c r="AC9" i="24"/>
  <c r="AC25" i="24"/>
  <c r="AC11" i="24"/>
  <c r="AC13" i="24" s="1"/>
  <c r="AC27" i="24"/>
  <c r="AC28" i="24"/>
  <c r="AC26" i="24"/>
  <c r="AC29" i="24"/>
  <c r="AD7" i="24"/>
  <c r="AC10" i="24"/>
  <c r="AC74" i="2"/>
  <c r="AC83" i="2"/>
  <c r="AC95" i="2" s="1"/>
  <c r="AC30" i="26"/>
  <c r="AC43" i="26" s="1"/>
  <c r="AB15" i="24"/>
  <c r="AB17" i="24"/>
  <c r="AB16" i="24"/>
  <c r="AB28" i="22"/>
  <c r="AB46" i="22" s="1"/>
  <c r="AC9" i="28"/>
  <c r="AD7" i="28"/>
  <c r="AC11" i="28"/>
  <c r="AC13" i="28" s="1"/>
  <c r="AC10" i="28"/>
  <c r="AD11" i="26"/>
  <c r="AD13" i="26" s="1"/>
  <c r="AE7" i="26"/>
  <c r="AD10" i="26"/>
  <c r="AD9" i="26"/>
  <c r="AD29" i="26"/>
  <c r="AD71" i="26"/>
  <c r="AD24" i="26"/>
  <c r="AD76" i="26"/>
  <c r="AA43" i="23"/>
  <c r="AA26" i="41"/>
  <c r="AA49" i="41" s="1"/>
  <c r="AA35" i="41" s="1"/>
  <c r="Z56" i="29"/>
  <c r="Z100" i="29"/>
  <c r="Z88" i="2" s="1"/>
  <c r="AB27" i="22"/>
  <c r="AB45" i="22" s="1"/>
  <c r="AC17" i="26"/>
  <c r="AC16" i="26"/>
  <c r="AC81" i="26" s="1"/>
  <c r="AC15" i="26"/>
  <c r="AB41" i="23"/>
  <c r="AB29" i="23"/>
  <c r="AB28" i="23"/>
  <c r="AB22" i="24"/>
  <c r="AB16" i="28"/>
  <c r="AB15" i="28"/>
  <c r="AB17" i="28"/>
  <c r="AD10" i="22"/>
  <c r="AD9" i="22"/>
  <c r="AD22" i="22"/>
  <c r="AD23" i="22" s="1"/>
  <c r="AE7" i="22"/>
  <c r="AD11" i="22"/>
  <c r="X58" i="28"/>
  <c r="X47" i="2" s="1"/>
  <c r="X60" i="28"/>
  <c r="X89" i="2" s="1"/>
  <c r="X59" i="28"/>
  <c r="X68" i="2" s="1"/>
  <c r="AA49" i="29"/>
  <c r="AA53" i="29" s="1"/>
  <c r="AB46" i="29"/>
  <c r="AF17" i="35"/>
  <c r="AF16" i="35"/>
  <c r="AF15" i="35"/>
  <c r="AG67" i="35"/>
  <c r="AG39" i="35"/>
  <c r="AG40" i="35"/>
  <c r="AG10" i="35"/>
  <c r="AG11" i="35"/>
  <c r="AG13" i="35" s="1"/>
  <c r="AH7" i="35"/>
  <c r="AG9" i="35"/>
  <c r="AG66" i="35"/>
  <c r="AG55" i="35"/>
  <c r="AG50" i="35"/>
  <c r="AG23" i="35"/>
  <c r="AG28" i="35"/>
  <c r="AA84" i="26"/>
  <c r="AA86" i="26" s="1"/>
  <c r="AA78" i="26"/>
  <c r="AA79" i="26" s="1"/>
  <c r="AB77" i="26"/>
  <c r="AD56" i="35"/>
  <c r="AC58" i="35"/>
  <c r="Z31" i="28"/>
  <c r="Z35" i="28" s="1"/>
  <c r="Z37" i="28" s="1"/>
  <c r="Z42" i="28"/>
  <c r="Z44" i="28" s="1"/>
  <c r="Z49" i="28"/>
  <c r="Z51" i="28" s="1"/>
  <c r="AA72" i="35"/>
  <c r="AB62" i="35"/>
  <c r="AB68" i="35" s="1"/>
  <c r="AB63" i="35"/>
  <c r="AB69" i="35" s="1"/>
  <c r="AC19" i="23"/>
  <c r="AC24" i="23"/>
  <c r="AC27" i="23" s="1"/>
  <c r="AC21" i="23"/>
  <c r="AC34" i="23"/>
  <c r="AC9" i="23"/>
  <c r="AC36" i="23"/>
  <c r="AC11" i="23"/>
  <c r="AC13" i="23" s="1"/>
  <c r="AD7" i="23"/>
  <c r="AC10" i="23"/>
  <c r="Y105" i="26"/>
  <c r="Y115" i="26" s="1"/>
  <c r="Y43" i="2" s="1"/>
  <c r="Y107" i="26"/>
  <c r="Y117" i="26" s="1"/>
  <c r="Y85" i="2" s="1"/>
  <c r="Y106" i="26"/>
  <c r="Y116" i="26" s="1"/>
  <c r="Y64" i="2" s="1"/>
  <c r="Z111" i="26"/>
  <c r="Z65" i="2" s="1"/>
  <c r="Z112" i="26"/>
  <c r="Z86" i="2" s="1"/>
  <c r="Z110" i="26"/>
  <c r="Z44" i="2" s="1"/>
  <c r="Y98" i="29"/>
  <c r="Y46" i="2" s="1"/>
  <c r="Y99" i="29"/>
  <c r="Y67" i="2" s="1"/>
  <c r="AA68" i="26"/>
  <c r="AA65" i="24"/>
  <c r="AC17" i="22"/>
  <c r="AC15" i="22"/>
  <c r="AC16" i="22"/>
  <c r="Y53" i="28"/>
  <c r="AB26" i="22"/>
  <c r="AB44" i="22" s="1"/>
  <c r="AA42" i="23"/>
  <c r="AA25" i="41"/>
  <c r="AA41" i="41" s="1"/>
  <c r="AA29" i="28"/>
  <c r="AA89" i="26"/>
  <c r="AA93" i="26" s="1"/>
  <c r="AA96" i="26" s="1"/>
  <c r="AA98" i="26" s="1"/>
  <c r="AB37" i="23"/>
  <c r="AA51" i="26"/>
  <c r="AA55" i="26" s="1"/>
  <c r="AA59" i="26" s="1"/>
  <c r="AA61" i="26" s="1"/>
  <c r="AA46" i="23"/>
  <c r="Z76" i="2" l="1"/>
  <c r="Z77" i="2" s="1"/>
  <c r="AA74" i="21"/>
  <c r="AA79" i="21" s="1"/>
  <c r="AA72" i="21"/>
  <c r="AA77" i="21" s="1"/>
  <c r="Z97" i="2"/>
  <c r="Z98" i="2" s="1"/>
  <c r="Z55" i="2"/>
  <c r="Z56" i="2" s="1"/>
  <c r="AA73" i="21"/>
  <c r="AA78" i="21" s="1"/>
  <c r="AB39" i="22"/>
  <c r="AB50" i="22" s="1"/>
  <c r="AB55" i="22" s="1"/>
  <c r="AB70" i="2" s="1"/>
  <c r="AC13" i="22"/>
  <c r="AC33" i="22" s="1"/>
  <c r="AC34" i="22" s="1"/>
  <c r="AC40" i="22" s="1"/>
  <c r="AC51" i="22" s="1"/>
  <c r="AB40" i="22"/>
  <c r="AB51" i="22" s="1"/>
  <c r="AB56" i="22" s="1"/>
  <c r="AB91" i="2" s="1"/>
  <c r="AB54" i="22"/>
  <c r="AB49" i="2" s="1"/>
  <c r="Y67" i="41"/>
  <c r="Y71" i="2" s="1"/>
  <c r="Y68" i="41"/>
  <c r="Y92" i="2" s="1"/>
  <c r="Z58" i="41"/>
  <c r="Z66" i="41" s="1"/>
  <c r="Z50" i="2" s="1"/>
  <c r="AA37" i="41"/>
  <c r="AA38" i="41" s="1"/>
  <c r="AA42" i="41" s="1"/>
  <c r="AA43" i="41" s="1"/>
  <c r="AA46" i="41" s="1"/>
  <c r="AC15" i="41"/>
  <c r="AA36" i="41"/>
  <c r="AA50" i="41" s="1"/>
  <c r="AA51" i="41" s="1"/>
  <c r="AA54" i="41" s="1"/>
  <c r="AE11" i="33"/>
  <c r="AF7" i="33"/>
  <c r="AE9" i="33"/>
  <c r="AE10" i="33"/>
  <c r="AD17" i="33"/>
  <c r="AD47" i="33" s="1"/>
  <c r="AD90" i="2" s="1"/>
  <c r="AD15" i="33"/>
  <c r="AD45" i="33" s="1"/>
  <c r="AD48" i="2" s="1"/>
  <c r="AD16" i="33"/>
  <c r="AD46" i="33" s="1"/>
  <c r="AD69" i="2" s="1"/>
  <c r="AD13" i="33"/>
  <c r="Z107" i="26"/>
  <c r="Z117" i="26" s="1"/>
  <c r="Z85" i="2" s="1"/>
  <c r="Z105" i="26"/>
  <c r="Z115" i="26" s="1"/>
  <c r="Z43" i="2" s="1"/>
  <c r="AB31" i="35"/>
  <c r="AC29" i="35"/>
  <c r="AB87" i="29"/>
  <c r="AB91" i="29" s="1"/>
  <c r="AC84" i="29"/>
  <c r="AC29" i="29"/>
  <c r="AB32" i="29"/>
  <c r="AB36" i="29" s="1"/>
  <c r="AC15" i="29"/>
  <c r="AC16" i="29"/>
  <c r="AC17" i="29"/>
  <c r="AA94" i="29"/>
  <c r="Z45" i="35"/>
  <c r="AA36" i="35"/>
  <c r="AA42" i="35" s="1"/>
  <c r="AA35" i="35"/>
  <c r="AA41" i="35" s="1"/>
  <c r="AD35" i="29"/>
  <c r="AD45" i="29"/>
  <c r="AD9" i="29"/>
  <c r="AD61" i="29"/>
  <c r="AD10" i="29"/>
  <c r="AD90" i="29"/>
  <c r="AD23" i="29"/>
  <c r="AD78" i="29"/>
  <c r="AD11" i="29"/>
  <c r="AD13" i="29" s="1"/>
  <c r="AD40" i="29"/>
  <c r="AE7" i="29"/>
  <c r="AD28" i="29"/>
  <c r="AD66" i="29"/>
  <c r="AD52" i="29"/>
  <c r="AD83" i="29"/>
  <c r="AD73" i="29"/>
  <c r="Y76" i="35"/>
  <c r="Y45" i="2" s="1"/>
  <c r="Y78" i="35"/>
  <c r="Y87" i="2" s="1"/>
  <c r="Y77" i="35"/>
  <c r="Y66" i="2" s="1"/>
  <c r="AC18" i="41"/>
  <c r="AC19" i="41"/>
  <c r="AC17" i="41"/>
  <c r="AC37" i="26"/>
  <c r="AC46" i="26" s="1"/>
  <c r="AC48" i="26" s="1"/>
  <c r="AB75" i="2"/>
  <c r="AD10" i="41"/>
  <c r="AD11" i="41"/>
  <c r="AD9" i="41"/>
  <c r="AD12" i="41"/>
  <c r="AE7" i="41"/>
  <c r="AD13" i="41"/>
  <c r="AA54" i="2"/>
  <c r="AA75" i="2"/>
  <c r="AC62" i="21"/>
  <c r="AC32" i="21"/>
  <c r="AC54" i="21"/>
  <c r="AC68" i="21" s="1"/>
  <c r="AD50" i="21"/>
  <c r="AC61" i="21"/>
  <c r="AC53" i="21"/>
  <c r="AC67" i="21" s="1"/>
  <c r="AC31" i="21"/>
  <c r="AE48" i="21"/>
  <c r="AE9" i="21"/>
  <c r="AE11" i="21"/>
  <c r="AE13" i="21" s="1"/>
  <c r="AF7" i="21"/>
  <c r="AE10" i="21"/>
  <c r="AE46" i="21"/>
  <c r="AE49" i="21"/>
  <c r="AE47" i="21"/>
  <c r="AC33" i="21"/>
  <c r="AC37" i="21" s="1"/>
  <c r="AC55" i="21"/>
  <c r="AC69" i="21" s="1"/>
  <c r="AD15" i="21"/>
  <c r="AD61" i="21" s="1"/>
  <c r="AD17" i="21"/>
  <c r="AD16" i="21"/>
  <c r="AB40" i="21"/>
  <c r="AB42" i="21"/>
  <c r="AB41" i="21"/>
  <c r="AC63" i="21"/>
  <c r="AB70" i="29"/>
  <c r="AB74" i="29" s="1"/>
  <c r="AC67" i="29"/>
  <c r="AC28" i="22"/>
  <c r="AC46" i="22" s="1"/>
  <c r="AD30" i="26"/>
  <c r="AD43" i="26" s="1"/>
  <c r="AC16" i="24"/>
  <c r="AC17" i="24"/>
  <c r="AC15" i="24"/>
  <c r="AD11" i="24"/>
  <c r="AD13" i="24" s="1"/>
  <c r="AD27" i="24"/>
  <c r="AE7" i="24"/>
  <c r="AD26" i="24"/>
  <c r="AD10" i="24"/>
  <c r="AD28" i="24"/>
  <c r="AD9" i="24"/>
  <c r="AD29" i="24"/>
  <c r="AD25" i="24"/>
  <c r="AD74" i="2"/>
  <c r="AD83" i="2"/>
  <c r="AD95" i="2" s="1"/>
  <c r="AE62" i="2"/>
  <c r="AF41" i="2"/>
  <c r="AE53" i="2"/>
  <c r="AC29" i="23"/>
  <c r="AC41" i="23"/>
  <c r="AC28" i="23"/>
  <c r="AC22" i="24"/>
  <c r="AC77" i="26"/>
  <c r="AB78" i="26"/>
  <c r="AB79" i="26" s="1"/>
  <c r="AB84" i="26"/>
  <c r="AB86" i="26" s="1"/>
  <c r="AE11" i="22"/>
  <c r="AE9" i="22"/>
  <c r="AE10" i="22"/>
  <c r="AE22" i="22"/>
  <c r="AE23" i="22" s="1"/>
  <c r="AF7" i="22"/>
  <c r="AB68" i="26"/>
  <c r="AB65" i="24"/>
  <c r="AA101" i="26"/>
  <c r="Z116" i="26"/>
  <c r="Z64" i="2" s="1"/>
  <c r="AD16" i="26"/>
  <c r="AD81" i="26" s="1"/>
  <c r="AD15" i="26"/>
  <c r="AD17" i="26"/>
  <c r="AA31" i="28"/>
  <c r="AA35" i="28" s="1"/>
  <c r="AA37" i="28" s="1"/>
  <c r="AA49" i="28"/>
  <c r="AA51" i="28" s="1"/>
  <c r="AA42" i="28"/>
  <c r="AA44" i="28" s="1"/>
  <c r="AD19" i="23"/>
  <c r="AD24" i="23"/>
  <c r="AD27" i="23" s="1"/>
  <c r="AD21" i="23"/>
  <c r="AD9" i="23"/>
  <c r="AD34" i="23"/>
  <c r="AD10" i="23"/>
  <c r="AD11" i="23"/>
  <c r="AD13" i="23" s="1"/>
  <c r="AE7" i="23"/>
  <c r="AD36" i="23"/>
  <c r="AB72" i="35"/>
  <c r="AC46" i="29"/>
  <c r="AB49" i="29"/>
  <c r="AB53" i="29" s="1"/>
  <c r="AF7" i="26"/>
  <c r="AE10" i="26"/>
  <c r="AE11" i="26"/>
  <c r="AE13" i="26" s="1"/>
  <c r="AE9" i="26"/>
  <c r="AE24" i="26"/>
  <c r="AE76" i="26"/>
  <c r="AE29" i="26"/>
  <c r="AE71" i="26"/>
  <c r="AH11" i="35"/>
  <c r="AH13" i="35" s="1"/>
  <c r="AH66" i="35"/>
  <c r="AH40" i="35"/>
  <c r="AI7" i="35"/>
  <c r="AH67" i="35"/>
  <c r="AH39" i="35"/>
  <c r="AH9" i="35"/>
  <c r="AH55" i="35"/>
  <c r="AH10" i="35"/>
  <c r="AH28" i="35"/>
  <c r="AH23" i="35"/>
  <c r="AH50" i="35"/>
  <c r="AA56" i="29"/>
  <c r="AA100" i="29"/>
  <c r="AA88" i="2" s="1"/>
  <c r="AD17" i="22"/>
  <c r="AD16" i="22"/>
  <c r="AD15" i="22"/>
  <c r="AC27" i="22"/>
  <c r="AC45" i="22" s="1"/>
  <c r="Z99" i="29"/>
  <c r="Z67" i="2" s="1"/>
  <c r="Z98" i="29"/>
  <c r="Z46" i="2" s="1"/>
  <c r="AC17" i="28"/>
  <c r="AC15" i="28"/>
  <c r="AC16" i="28"/>
  <c r="AC37" i="23"/>
  <c r="AB51" i="26"/>
  <c r="AB55" i="26" s="1"/>
  <c r="AB59" i="26" s="1"/>
  <c r="AB61" i="26" s="1"/>
  <c r="AB64" i="26" s="1"/>
  <c r="AB29" i="28"/>
  <c r="AB46" i="23"/>
  <c r="AB89" i="26"/>
  <c r="AB93" i="26" s="1"/>
  <c r="AB96" i="26" s="1"/>
  <c r="AB98" i="26" s="1"/>
  <c r="Y58" i="28"/>
  <c r="Y47" i="2" s="1"/>
  <c r="Y60" i="28"/>
  <c r="Y89" i="2" s="1"/>
  <c r="Y59" i="28"/>
  <c r="Y68" i="2" s="1"/>
  <c r="AC26" i="22"/>
  <c r="AC44" i="22" s="1"/>
  <c r="AC62" i="35"/>
  <c r="AC68" i="35" s="1"/>
  <c r="AC63" i="35"/>
  <c r="AC69" i="35" s="1"/>
  <c r="AG17" i="35"/>
  <c r="AG15" i="35"/>
  <c r="AG16" i="35"/>
  <c r="AB25" i="41"/>
  <c r="AB41" i="41" s="1"/>
  <c r="AB42" i="23"/>
  <c r="AA111" i="26"/>
  <c r="AA65" i="2" s="1"/>
  <c r="AA110" i="26"/>
  <c r="AA44" i="2" s="1"/>
  <c r="AA112" i="26"/>
  <c r="AA86" i="2" s="1"/>
  <c r="AA64" i="26"/>
  <c r="Z53" i="28"/>
  <c r="AE56" i="35"/>
  <c r="AD58" i="35"/>
  <c r="AB43" i="23"/>
  <c r="AB26" i="41"/>
  <c r="AB49" i="41" s="1"/>
  <c r="AB35" i="41" s="1"/>
  <c r="AD11" i="28"/>
  <c r="AD13" i="28" s="1"/>
  <c r="AD9" i="28"/>
  <c r="AD10" i="28"/>
  <c r="AE7" i="28"/>
  <c r="AC38" i="22" l="1"/>
  <c r="AC49" i="22" s="1"/>
  <c r="AC54" i="22" s="1"/>
  <c r="AC49" i="2" s="1"/>
  <c r="AC39" i="22"/>
  <c r="AC50" i="22" s="1"/>
  <c r="AA97" i="2"/>
  <c r="AA98" i="2" s="1"/>
  <c r="AB74" i="21"/>
  <c r="AB79" i="21" s="1"/>
  <c r="AA55" i="2"/>
  <c r="AA56" i="2" s="1"/>
  <c r="AB72" i="21"/>
  <c r="AB77" i="21" s="1"/>
  <c r="AA76" i="2"/>
  <c r="AA77" i="2" s="1"/>
  <c r="AB73" i="21"/>
  <c r="AB78" i="21" s="1"/>
  <c r="AD13" i="22"/>
  <c r="AD33" i="22" s="1"/>
  <c r="AD34" i="22" s="1"/>
  <c r="AD39" i="22" s="1"/>
  <c r="AD50" i="22" s="1"/>
  <c r="AC56" i="22"/>
  <c r="AC91" i="2" s="1"/>
  <c r="AC55" i="22"/>
  <c r="AC70" i="2" s="1"/>
  <c r="Z67" i="41"/>
  <c r="Z71" i="2" s="1"/>
  <c r="Z68" i="41"/>
  <c r="Z92" i="2" s="1"/>
  <c r="AB37" i="41"/>
  <c r="AB38" i="41" s="1"/>
  <c r="AB42" i="41" s="1"/>
  <c r="AB43" i="41" s="1"/>
  <c r="AB46" i="41" s="1"/>
  <c r="AA58" i="41"/>
  <c r="AA68" i="41" s="1"/>
  <c r="AA92" i="2" s="1"/>
  <c r="AD15" i="41"/>
  <c r="AB36" i="41"/>
  <c r="AB50" i="41" s="1"/>
  <c r="AB51" i="41" s="1"/>
  <c r="AB54" i="41" s="1"/>
  <c r="AE17" i="33"/>
  <c r="AE47" i="33" s="1"/>
  <c r="AE90" i="2" s="1"/>
  <c r="AE15" i="33"/>
  <c r="AE45" i="33" s="1"/>
  <c r="AE48" i="2" s="1"/>
  <c r="AE16" i="33"/>
  <c r="AE46" i="33" s="1"/>
  <c r="AE69" i="2" s="1"/>
  <c r="AG7" i="33"/>
  <c r="AF9" i="33"/>
  <c r="AF10" i="33"/>
  <c r="AF11" i="33"/>
  <c r="AE13" i="33"/>
  <c r="AD37" i="26"/>
  <c r="AD46" i="26" s="1"/>
  <c r="AD48" i="26" s="1"/>
  <c r="AE10" i="29"/>
  <c r="AE40" i="29"/>
  <c r="AE11" i="29"/>
  <c r="AE13" i="29" s="1"/>
  <c r="AE78" i="29"/>
  <c r="AE73" i="29"/>
  <c r="AE66" i="29"/>
  <c r="AF7" i="29"/>
  <c r="AE23" i="29"/>
  <c r="AE45" i="29"/>
  <c r="AE52" i="29"/>
  <c r="AE28" i="29"/>
  <c r="AE9" i="29"/>
  <c r="AE90" i="29"/>
  <c r="AE61" i="29"/>
  <c r="AE35" i="29"/>
  <c r="AE83" i="29"/>
  <c r="AA45" i="35"/>
  <c r="AC32" i="29"/>
  <c r="AC36" i="29" s="1"/>
  <c r="AD29" i="29"/>
  <c r="AC87" i="29"/>
  <c r="AC91" i="29" s="1"/>
  <c r="AD84" i="29"/>
  <c r="Z78" i="35"/>
  <c r="Z87" i="2" s="1"/>
  <c r="Z76" i="35"/>
  <c r="Z45" i="2" s="1"/>
  <c r="Z77" i="35"/>
  <c r="Z66" i="2" s="1"/>
  <c r="AD15" i="29"/>
  <c r="AD17" i="29"/>
  <c r="AD16" i="29"/>
  <c r="AD29" i="35"/>
  <c r="AC31" i="35"/>
  <c r="AB94" i="29"/>
  <c r="AB36" i="35"/>
  <c r="AB42" i="35" s="1"/>
  <c r="AB35" i="35"/>
  <c r="AB41" i="35" s="1"/>
  <c r="AC75" i="2"/>
  <c r="AE30" i="26"/>
  <c r="AE37" i="26" s="1"/>
  <c r="AE11" i="41"/>
  <c r="AE10" i="41"/>
  <c r="AF7" i="41"/>
  <c r="AE12" i="41"/>
  <c r="AE13" i="41"/>
  <c r="AE9" i="41"/>
  <c r="AD17" i="41"/>
  <c r="AD19" i="41"/>
  <c r="AD18" i="41"/>
  <c r="AB96" i="2"/>
  <c r="AF11" i="21"/>
  <c r="AF13" i="21" s="1"/>
  <c r="AG7" i="21"/>
  <c r="AF48" i="21"/>
  <c r="AF47" i="21"/>
  <c r="AF10" i="21"/>
  <c r="AF46" i="21"/>
  <c r="AF9" i="21"/>
  <c r="AF49" i="21"/>
  <c r="AC70" i="29"/>
  <c r="AC74" i="29" s="1"/>
  <c r="AC94" i="29" s="1"/>
  <c r="AD67" i="29"/>
  <c r="AD62" i="21"/>
  <c r="AD54" i="21"/>
  <c r="AD68" i="21" s="1"/>
  <c r="AD32" i="21"/>
  <c r="AD63" i="21"/>
  <c r="AD55" i="21"/>
  <c r="AD69" i="21" s="1"/>
  <c r="AD33" i="21"/>
  <c r="AD37" i="21" s="1"/>
  <c r="AE50" i="21"/>
  <c r="AD31" i="21"/>
  <c r="AD53" i="21"/>
  <c r="AD67" i="21" s="1"/>
  <c r="AE15" i="21"/>
  <c r="AE17" i="21"/>
  <c r="AE16" i="21"/>
  <c r="AB54" i="2"/>
  <c r="AC42" i="21"/>
  <c r="AC41" i="21"/>
  <c r="AC40" i="21"/>
  <c r="AF62" i="2"/>
  <c r="AG41" i="2"/>
  <c r="AF53" i="2"/>
  <c r="AD16" i="24"/>
  <c r="AD17" i="24"/>
  <c r="AD15" i="24"/>
  <c r="AE83" i="2"/>
  <c r="AE95" i="2" s="1"/>
  <c r="AE74" i="2"/>
  <c r="AE27" i="24"/>
  <c r="AF7" i="24"/>
  <c r="AE25" i="24"/>
  <c r="AE29" i="24"/>
  <c r="AE28" i="24"/>
  <c r="AE11" i="24"/>
  <c r="AE13" i="24" s="1"/>
  <c r="AE26" i="24"/>
  <c r="AE10" i="24"/>
  <c r="AE9" i="24"/>
  <c r="AE43" i="26"/>
  <c r="AD22" i="24"/>
  <c r="AD29" i="23"/>
  <c r="AD28" i="23"/>
  <c r="AD41" i="23"/>
  <c r="AE58" i="35"/>
  <c r="AF56" i="35"/>
  <c r="AC29" i="28"/>
  <c r="AD37" i="23"/>
  <c r="AC51" i="26"/>
  <c r="AC55" i="26" s="1"/>
  <c r="AC59" i="26" s="1"/>
  <c r="AC61" i="26" s="1"/>
  <c r="AC64" i="26" s="1"/>
  <c r="AC46" i="23"/>
  <c r="AC89" i="26"/>
  <c r="AC93" i="26" s="1"/>
  <c r="AC96" i="26" s="1"/>
  <c r="AC98" i="26" s="1"/>
  <c r="AE17" i="26"/>
  <c r="AE16" i="26"/>
  <c r="AE81" i="26" s="1"/>
  <c r="AE15" i="26"/>
  <c r="AB101" i="26"/>
  <c r="AB106" i="26" s="1"/>
  <c r="AC43" i="23"/>
  <c r="AC26" i="41"/>
  <c r="AC49" i="41" s="1"/>
  <c r="AC35" i="41" s="1"/>
  <c r="Z60" i="28"/>
  <c r="Z89" i="2" s="1"/>
  <c r="Z59" i="28"/>
  <c r="Z68" i="2" s="1"/>
  <c r="Z58" i="28"/>
  <c r="Z47" i="2" s="1"/>
  <c r="AI40" i="35"/>
  <c r="AI9" i="35"/>
  <c r="AI39" i="35"/>
  <c r="AI66" i="35"/>
  <c r="AI11" i="35"/>
  <c r="AI13" i="35" s="1"/>
  <c r="AI10" i="35"/>
  <c r="AI67" i="35"/>
  <c r="AJ7" i="35"/>
  <c r="AI55" i="35"/>
  <c r="AI28" i="35"/>
  <c r="AI23" i="35"/>
  <c r="AI50" i="35"/>
  <c r="AF9" i="26"/>
  <c r="AF10" i="26"/>
  <c r="AG7" i="26"/>
  <c r="AF11" i="26"/>
  <c r="AF13" i="26" s="1"/>
  <c r="AF71" i="26"/>
  <c r="AF29" i="26"/>
  <c r="AF24" i="26"/>
  <c r="AF76" i="26"/>
  <c r="AD15" i="28"/>
  <c r="AD17" i="28"/>
  <c r="AD16" i="28"/>
  <c r="AE24" i="23"/>
  <c r="AE27" i="23" s="1"/>
  <c r="AE21" i="23"/>
  <c r="AE19" i="23"/>
  <c r="AE10" i="23"/>
  <c r="AE36" i="23"/>
  <c r="AF7" i="23"/>
  <c r="AE34" i="23"/>
  <c r="AE9" i="23"/>
  <c r="AE11" i="23"/>
  <c r="AE13" i="23" s="1"/>
  <c r="AD26" i="22"/>
  <c r="AD44" i="22" s="1"/>
  <c r="AF22" i="22"/>
  <c r="AF23" i="22" s="1"/>
  <c r="AF11" i="22"/>
  <c r="AF10" i="22"/>
  <c r="AF9" i="22"/>
  <c r="AG7" i="22"/>
  <c r="AC84" i="26"/>
  <c r="AC86" i="26" s="1"/>
  <c r="AD77" i="26"/>
  <c r="AC78" i="26"/>
  <c r="AC79" i="26" s="1"/>
  <c r="AD28" i="22"/>
  <c r="AD46" i="22" s="1"/>
  <c r="AH17" i="35"/>
  <c r="AH15" i="35"/>
  <c r="AH16" i="35"/>
  <c r="AD27" i="22"/>
  <c r="AD45" i="22" s="1"/>
  <c r="AE15" i="22"/>
  <c r="AE16" i="22"/>
  <c r="AE17" i="22"/>
  <c r="AA107" i="26"/>
  <c r="AA117" i="26" s="1"/>
  <c r="AA85" i="2" s="1"/>
  <c r="AA106" i="26"/>
  <c r="AA116" i="26" s="1"/>
  <c r="AA64" i="2" s="1"/>
  <c r="AA105" i="26"/>
  <c r="AA115" i="26" s="1"/>
  <c r="AA43" i="2" s="1"/>
  <c r="AA98" i="29"/>
  <c r="AA46" i="2" s="1"/>
  <c r="AA99" i="29"/>
  <c r="AA67" i="2" s="1"/>
  <c r="AC42" i="23"/>
  <c r="AC25" i="41"/>
  <c r="AC41" i="41" s="1"/>
  <c r="AB42" i="28"/>
  <c r="AB44" i="28" s="1"/>
  <c r="AB49" i="28"/>
  <c r="AB51" i="28" s="1"/>
  <c r="AB31" i="28"/>
  <c r="AB35" i="28" s="1"/>
  <c r="AB37" i="28" s="1"/>
  <c r="AB56" i="29"/>
  <c r="AB100" i="29"/>
  <c r="AB88" i="2" s="1"/>
  <c r="AC65" i="24"/>
  <c r="AC68" i="26"/>
  <c r="AE11" i="28"/>
  <c r="AE13" i="28" s="1"/>
  <c r="AE9" i="28"/>
  <c r="AF7" i="28"/>
  <c r="AE10" i="28"/>
  <c r="AC72" i="35"/>
  <c r="AD62" i="35"/>
  <c r="AD68" i="35" s="1"/>
  <c r="AD63" i="35"/>
  <c r="AD69" i="35" s="1"/>
  <c r="AB112" i="26"/>
  <c r="AB86" i="2" s="1"/>
  <c r="AB110" i="26"/>
  <c r="AB44" i="2" s="1"/>
  <c r="AB111" i="26"/>
  <c r="AB65" i="2" s="1"/>
  <c r="AD46" i="29"/>
  <c r="AC49" i="29"/>
  <c r="AC53" i="29" s="1"/>
  <c r="AA53" i="28"/>
  <c r="AB55" i="2" l="1"/>
  <c r="AB56" i="2" s="1"/>
  <c r="AC72" i="21"/>
  <c r="AC77" i="21" s="1"/>
  <c r="AC73" i="21"/>
  <c r="AC78" i="21" s="1"/>
  <c r="AC74" i="21"/>
  <c r="AC79" i="21" s="1"/>
  <c r="AB76" i="2"/>
  <c r="AB77" i="2" s="1"/>
  <c r="AB97" i="2"/>
  <c r="AB98" i="2" s="1"/>
  <c r="AD38" i="22"/>
  <c r="AD49" i="22" s="1"/>
  <c r="AD54" i="22"/>
  <c r="AD49" i="2" s="1"/>
  <c r="AE13" i="22"/>
  <c r="AE33" i="22" s="1"/>
  <c r="AE34" i="22" s="1"/>
  <c r="AE40" i="22" s="1"/>
  <c r="AE51" i="22" s="1"/>
  <c r="AF13" i="22"/>
  <c r="AF33" i="22" s="1"/>
  <c r="AF34" i="22" s="1"/>
  <c r="AD40" i="22"/>
  <c r="AD51" i="22" s="1"/>
  <c r="AD56" i="22" s="1"/>
  <c r="AD91" i="2" s="1"/>
  <c r="AD55" i="22"/>
  <c r="AD70" i="2" s="1"/>
  <c r="AB105" i="26"/>
  <c r="AB115" i="26" s="1"/>
  <c r="AB43" i="2" s="1"/>
  <c r="AA67" i="41"/>
  <c r="AA71" i="2" s="1"/>
  <c r="AA66" i="41"/>
  <c r="AA50" i="2" s="1"/>
  <c r="AC37" i="41"/>
  <c r="AC38" i="41" s="1"/>
  <c r="AC42" i="41" s="1"/>
  <c r="AC43" i="41" s="1"/>
  <c r="AC46" i="41" s="1"/>
  <c r="AB58" i="41"/>
  <c r="AB67" i="41" s="1"/>
  <c r="AB71" i="2" s="1"/>
  <c r="AC36" i="41"/>
  <c r="AC50" i="41" s="1"/>
  <c r="AC51" i="41" s="1"/>
  <c r="AC54" i="41" s="1"/>
  <c r="AE15" i="41"/>
  <c r="AF13" i="33"/>
  <c r="AF15" i="33"/>
  <c r="AF45" i="33" s="1"/>
  <c r="AF48" i="2" s="1"/>
  <c r="AF17" i="33"/>
  <c r="AF47" i="33" s="1"/>
  <c r="AF90" i="2" s="1"/>
  <c r="AF16" i="33"/>
  <c r="AF46" i="33" s="1"/>
  <c r="AF69" i="2" s="1"/>
  <c r="AG9" i="33"/>
  <c r="AH7" i="33"/>
  <c r="AG11" i="33"/>
  <c r="AG10" i="33"/>
  <c r="AB107" i="26"/>
  <c r="AB117" i="26" s="1"/>
  <c r="AB85" i="2" s="1"/>
  <c r="AB45" i="35"/>
  <c r="AC35" i="35"/>
  <c r="AC41" i="35" s="1"/>
  <c r="AC36" i="35"/>
  <c r="AC42" i="35" s="1"/>
  <c r="AD87" i="29"/>
  <c r="AD91" i="29" s="1"/>
  <c r="AE84" i="29"/>
  <c r="AE29" i="35"/>
  <c r="AD31" i="35"/>
  <c r="AD32" i="29"/>
  <c r="AD36" i="29" s="1"/>
  <c r="AE29" i="29"/>
  <c r="AF9" i="29"/>
  <c r="AF23" i="29"/>
  <c r="AF73" i="29"/>
  <c r="AF78" i="29"/>
  <c r="AF40" i="29"/>
  <c r="AF35" i="29"/>
  <c r="AF11" i="29"/>
  <c r="AF13" i="29" s="1"/>
  <c r="AF45" i="29"/>
  <c r="AF10" i="29"/>
  <c r="AF28" i="29"/>
  <c r="AG7" i="29"/>
  <c r="AF66" i="29"/>
  <c r="AF90" i="29"/>
  <c r="AF83" i="29"/>
  <c r="AF52" i="29"/>
  <c r="AF61" i="29"/>
  <c r="AA76" i="35"/>
  <c r="AA45" i="2" s="1"/>
  <c r="AA78" i="35"/>
  <c r="AA87" i="2" s="1"/>
  <c r="AA77" i="35"/>
  <c r="AA66" i="2" s="1"/>
  <c r="AE17" i="29"/>
  <c r="AE16" i="29"/>
  <c r="AE15" i="29"/>
  <c r="AC101" i="26"/>
  <c r="AC106" i="26" s="1"/>
  <c r="AD54" i="2"/>
  <c r="AD75" i="2"/>
  <c r="AE18" i="41"/>
  <c r="AE17" i="41"/>
  <c r="AE19" i="41"/>
  <c r="AF12" i="41"/>
  <c r="AG7" i="41"/>
  <c r="AF13" i="41"/>
  <c r="AF10" i="41"/>
  <c r="AF11" i="41"/>
  <c r="AF9" i="41"/>
  <c r="AE33" i="21"/>
  <c r="AE37" i="21" s="1"/>
  <c r="AE55" i="21"/>
  <c r="AE69" i="21" s="1"/>
  <c r="AE67" i="29"/>
  <c r="AD70" i="29"/>
  <c r="AD74" i="29" s="1"/>
  <c r="AE61" i="21"/>
  <c r="AE31" i="21"/>
  <c r="AE53" i="21"/>
  <c r="AE67" i="21" s="1"/>
  <c r="AC96" i="2"/>
  <c r="AD40" i="21"/>
  <c r="AD41" i="21"/>
  <c r="AD42" i="21"/>
  <c r="AC54" i="2"/>
  <c r="AG48" i="21"/>
  <c r="AG47" i="21"/>
  <c r="AG9" i="21"/>
  <c r="AG46" i="21"/>
  <c r="AG11" i="21"/>
  <c r="AG13" i="21" s="1"/>
  <c r="AG49" i="21"/>
  <c r="AH7" i="21"/>
  <c r="AG10" i="21"/>
  <c r="AE63" i="21"/>
  <c r="AF50" i="21"/>
  <c r="AE62" i="21"/>
  <c r="AE54" i="21"/>
  <c r="AE68" i="21" s="1"/>
  <c r="AE32" i="21"/>
  <c r="AF16" i="21"/>
  <c r="AF15" i="21"/>
  <c r="AF17" i="21"/>
  <c r="AF30" i="26"/>
  <c r="AF43" i="26" s="1"/>
  <c r="AF29" i="24"/>
  <c r="AF27" i="24"/>
  <c r="AF11" i="24"/>
  <c r="AF13" i="24" s="1"/>
  <c r="AF25" i="24"/>
  <c r="AG7" i="24"/>
  <c r="AF28" i="24"/>
  <c r="AF26" i="24"/>
  <c r="AF10" i="24"/>
  <c r="AF9" i="24"/>
  <c r="AG53" i="2"/>
  <c r="AG62" i="2"/>
  <c r="AH41" i="2"/>
  <c r="AD72" i="35"/>
  <c r="AF74" i="2"/>
  <c r="AF83" i="2"/>
  <c r="AF95" i="2" s="1"/>
  <c r="AE17" i="24"/>
  <c r="AE16" i="24"/>
  <c r="AE15" i="24"/>
  <c r="AB53" i="28"/>
  <c r="AB59" i="28" s="1"/>
  <c r="AB68" i="2" s="1"/>
  <c r="AE41" i="23"/>
  <c r="AE28" i="23"/>
  <c r="AE29" i="23"/>
  <c r="AE22" i="24"/>
  <c r="AF37" i="26"/>
  <c r="AE16" i="28"/>
  <c r="AE15" i="28"/>
  <c r="AE17" i="28"/>
  <c r="AH7" i="22"/>
  <c r="AG10" i="22"/>
  <c r="AG11" i="22"/>
  <c r="AG13" i="22" s="1"/>
  <c r="AG33" i="22" s="1"/>
  <c r="AG34" i="22" s="1"/>
  <c r="AG22" i="22"/>
  <c r="AG23" i="22" s="1"/>
  <c r="AG9" i="22"/>
  <c r="AJ11" i="35"/>
  <c r="AJ13" i="35" s="1"/>
  <c r="AJ66" i="35"/>
  <c r="AJ40" i="35"/>
  <c r="AK7" i="35"/>
  <c r="AJ10" i="35"/>
  <c r="AJ39" i="35"/>
  <c r="AJ9" i="35"/>
  <c r="AJ67" i="35"/>
  <c r="AJ50" i="35"/>
  <c r="AJ28" i="35"/>
  <c r="AJ23" i="35"/>
  <c r="AJ55" i="35"/>
  <c r="AF58" i="35"/>
  <c r="AG56" i="35"/>
  <c r="AE63" i="35"/>
  <c r="AE69" i="35" s="1"/>
  <c r="AE62" i="35"/>
  <c r="AE68" i="35" s="1"/>
  <c r="AE46" i="26"/>
  <c r="AE48" i="26" s="1"/>
  <c r="AF17" i="22"/>
  <c r="AF15" i="22"/>
  <c r="AF16" i="22"/>
  <c r="AF19" i="23"/>
  <c r="AF24" i="23"/>
  <c r="AF27" i="23" s="1"/>
  <c r="AF21" i="23"/>
  <c r="AF36" i="23"/>
  <c r="AF10" i="23"/>
  <c r="AG7" i="23"/>
  <c r="AF34" i="23"/>
  <c r="AF11" i="23"/>
  <c r="AF13" i="23" s="1"/>
  <c r="AF9" i="23"/>
  <c r="AI15" i="35"/>
  <c r="AI17" i="35"/>
  <c r="AI16" i="35"/>
  <c r="AD65" i="24"/>
  <c r="AD68" i="26"/>
  <c r="AD25" i="41"/>
  <c r="AD41" i="41" s="1"/>
  <c r="AD42" i="23"/>
  <c r="AE28" i="22"/>
  <c r="AE46" i="22" s="1"/>
  <c r="AG11" i="26"/>
  <c r="AG13" i="26" s="1"/>
  <c r="AG9" i="26"/>
  <c r="AG10" i="26"/>
  <c r="AH7" i="26"/>
  <c r="AG71" i="26"/>
  <c r="AG76" i="26"/>
  <c r="AG24" i="26"/>
  <c r="AG29" i="26"/>
  <c r="AD43" i="23"/>
  <c r="AD26" i="41"/>
  <c r="AD49" i="41" s="1"/>
  <c r="AD35" i="41" s="1"/>
  <c r="AB116" i="26"/>
  <c r="AB64" i="2" s="1"/>
  <c r="AE27" i="22"/>
  <c r="AE45" i="22" s="1"/>
  <c r="AF15" i="26"/>
  <c r="AF17" i="26"/>
  <c r="AF16" i="26"/>
  <c r="AF81" i="26" s="1"/>
  <c r="AC112" i="26"/>
  <c r="AC86" i="2" s="1"/>
  <c r="AC111" i="26"/>
  <c r="AC65" i="2" s="1"/>
  <c r="AC110" i="26"/>
  <c r="AC44" i="2" s="1"/>
  <c r="AG7" i="28"/>
  <c r="AF10" i="28"/>
  <c r="AF11" i="28"/>
  <c r="AF13" i="28" s="1"/>
  <c r="AF9" i="28"/>
  <c r="AA60" i="28"/>
  <c r="AA89" i="2" s="1"/>
  <c r="AA59" i="28"/>
  <c r="AA68" i="2" s="1"/>
  <c r="AA58" i="28"/>
  <c r="AA47" i="2" s="1"/>
  <c r="AC100" i="29"/>
  <c r="AC88" i="2" s="1"/>
  <c r="AC56" i="29"/>
  <c r="AB99" i="29"/>
  <c r="AB67" i="2" s="1"/>
  <c r="AB98" i="29"/>
  <c r="AB46" i="2" s="1"/>
  <c r="AE26" i="22"/>
  <c r="AE44" i="22" s="1"/>
  <c r="AD78" i="26"/>
  <c r="AD79" i="26" s="1"/>
  <c r="AE77" i="26"/>
  <c r="AD84" i="26"/>
  <c r="AD86" i="26" s="1"/>
  <c r="AD46" i="23"/>
  <c r="AD89" i="26"/>
  <c r="AD93" i="26" s="1"/>
  <c r="AD96" i="26" s="1"/>
  <c r="AD98" i="26" s="1"/>
  <c r="AD29" i="28"/>
  <c r="AE37" i="23"/>
  <c r="AD51" i="26"/>
  <c r="AD55" i="26" s="1"/>
  <c r="AD59" i="26" s="1"/>
  <c r="AD61" i="26" s="1"/>
  <c r="AD64" i="26" s="1"/>
  <c r="AE46" i="29"/>
  <c r="AD49" i="29"/>
  <c r="AD53" i="29" s="1"/>
  <c r="AC42" i="28"/>
  <c r="AC44" i="28" s="1"/>
  <c r="AC49" i="28"/>
  <c r="AC51" i="28" s="1"/>
  <c r="AC31" i="28"/>
  <c r="AC35" i="28" s="1"/>
  <c r="AC37" i="28" s="1"/>
  <c r="AD73" i="21" l="1"/>
  <c r="AD78" i="21" s="1"/>
  <c r="AD74" i="21"/>
  <c r="AD79" i="21" s="1"/>
  <c r="AC76" i="2"/>
  <c r="AC77" i="2" s="1"/>
  <c r="AC97" i="2"/>
  <c r="AC98" i="2" s="1"/>
  <c r="AD72" i="21"/>
  <c r="AD77" i="21" s="1"/>
  <c r="AC55" i="2"/>
  <c r="AC56" i="2" s="1"/>
  <c r="AE38" i="22"/>
  <c r="AE49" i="22" s="1"/>
  <c r="AE54" i="22" s="1"/>
  <c r="AE49" i="2" s="1"/>
  <c r="AE56" i="22"/>
  <c r="AE91" i="2" s="1"/>
  <c r="AF39" i="22"/>
  <c r="AF50" i="22" s="1"/>
  <c r="AE39" i="22"/>
  <c r="AE50" i="22" s="1"/>
  <c r="AE55" i="22" s="1"/>
  <c r="AE70" i="2" s="1"/>
  <c r="AF38" i="22"/>
  <c r="AF49" i="22" s="1"/>
  <c r="AF40" i="22"/>
  <c r="AF51" i="22" s="1"/>
  <c r="AC105" i="26"/>
  <c r="AC115" i="26" s="1"/>
  <c r="AC43" i="2" s="1"/>
  <c r="AC107" i="26"/>
  <c r="AC117" i="26" s="1"/>
  <c r="AC85" i="2" s="1"/>
  <c r="AG13" i="33"/>
  <c r="AD37" i="41"/>
  <c r="AD38" i="41" s="1"/>
  <c r="AD42" i="41" s="1"/>
  <c r="AD43" i="41" s="1"/>
  <c r="AD46" i="41" s="1"/>
  <c r="AB68" i="41"/>
  <c r="AB92" i="2" s="1"/>
  <c r="AB66" i="41"/>
  <c r="AB50" i="2" s="1"/>
  <c r="AC58" i="41"/>
  <c r="AC68" i="41" s="1"/>
  <c r="AC92" i="2" s="1"/>
  <c r="AF15" i="41"/>
  <c r="AD36" i="41"/>
  <c r="AD50" i="41" s="1"/>
  <c r="AD51" i="41" s="1"/>
  <c r="AD54" i="41" s="1"/>
  <c r="AG17" i="33"/>
  <c r="AG47" i="33" s="1"/>
  <c r="AG90" i="2" s="1"/>
  <c r="AG15" i="33"/>
  <c r="AG45" i="33" s="1"/>
  <c r="AG48" i="2" s="1"/>
  <c r="AG16" i="33"/>
  <c r="AG46" i="33" s="1"/>
  <c r="AG69" i="2" s="1"/>
  <c r="AH11" i="33"/>
  <c r="AH10" i="33"/>
  <c r="AH9" i="33"/>
  <c r="AI7" i="33"/>
  <c r="AE31" i="35"/>
  <c r="AF29" i="35"/>
  <c r="AE87" i="29"/>
  <c r="AE91" i="29" s="1"/>
  <c r="AF84" i="29"/>
  <c r="AG52" i="29"/>
  <c r="AG83" i="29"/>
  <c r="AG45" i="29"/>
  <c r="AG90" i="29"/>
  <c r="AG28" i="29"/>
  <c r="AG11" i="29"/>
  <c r="AG13" i="29" s="1"/>
  <c r="AG35" i="29"/>
  <c r="AG61" i="29"/>
  <c r="AG73" i="29"/>
  <c r="AG9" i="29"/>
  <c r="AG23" i="29"/>
  <c r="AG10" i="29"/>
  <c r="AG40" i="29"/>
  <c r="AG78" i="29"/>
  <c r="AH7" i="29"/>
  <c r="AG66" i="29"/>
  <c r="AF17" i="29"/>
  <c r="AF15" i="29"/>
  <c r="AF16" i="29"/>
  <c r="AC45" i="35"/>
  <c r="AD94" i="29"/>
  <c r="AF29" i="29"/>
  <c r="AE32" i="29"/>
  <c r="AE36" i="29" s="1"/>
  <c r="AB76" i="35"/>
  <c r="AB45" i="2" s="1"/>
  <c r="AB77" i="35"/>
  <c r="AB66" i="2" s="1"/>
  <c r="AB78" i="35"/>
  <c r="AB87" i="2" s="1"/>
  <c r="AD36" i="35"/>
  <c r="AD42" i="35" s="1"/>
  <c r="AD35" i="35"/>
  <c r="AD41" i="35" s="1"/>
  <c r="AB58" i="28"/>
  <c r="AB47" i="2" s="1"/>
  <c r="AB60" i="28"/>
  <c r="AB89" i="2" s="1"/>
  <c r="AE54" i="2"/>
  <c r="AG11" i="41"/>
  <c r="AH7" i="41"/>
  <c r="AG12" i="41"/>
  <c r="AG10" i="41"/>
  <c r="AG9" i="41"/>
  <c r="AG13" i="41"/>
  <c r="AF19" i="41"/>
  <c r="AF18" i="41"/>
  <c r="AF17" i="41"/>
  <c r="AH49" i="21"/>
  <c r="AH10" i="21"/>
  <c r="AH11" i="21"/>
  <c r="AH13" i="21" s="1"/>
  <c r="AH9" i="21"/>
  <c r="AH47" i="21"/>
  <c r="AH48" i="21"/>
  <c r="AI7" i="21"/>
  <c r="AH46" i="21"/>
  <c r="AF63" i="21"/>
  <c r="AF55" i="21"/>
  <c r="AF69" i="21" s="1"/>
  <c r="AF33" i="21"/>
  <c r="AF37" i="21" s="1"/>
  <c r="AF61" i="21"/>
  <c r="AF53" i="21"/>
  <c r="AF67" i="21" s="1"/>
  <c r="AF31" i="21"/>
  <c r="AF62" i="21"/>
  <c r="AF54" i="21"/>
  <c r="AF68" i="21" s="1"/>
  <c r="AF32" i="21"/>
  <c r="AD96" i="2"/>
  <c r="AG50" i="21"/>
  <c r="AF67" i="29"/>
  <c r="AE70" i="29"/>
  <c r="AE74" i="29" s="1"/>
  <c r="AE72" i="35"/>
  <c r="AG17" i="21"/>
  <c r="AG16" i="21"/>
  <c r="AG62" i="21" s="1"/>
  <c r="AG15" i="21"/>
  <c r="AE41" i="21"/>
  <c r="AE42" i="21"/>
  <c r="AE40" i="21"/>
  <c r="AF17" i="24"/>
  <c r="AF15" i="24"/>
  <c r="AF16" i="24"/>
  <c r="AG30" i="26"/>
  <c r="AG43" i="26" s="1"/>
  <c r="AG11" i="24"/>
  <c r="AG13" i="24" s="1"/>
  <c r="AG25" i="24"/>
  <c r="AG26" i="24"/>
  <c r="AG28" i="24"/>
  <c r="AG27" i="24"/>
  <c r="AH7" i="24"/>
  <c r="AG9" i="24"/>
  <c r="AG29" i="24"/>
  <c r="AG10" i="24"/>
  <c r="AI41" i="2"/>
  <c r="AH62" i="2"/>
  <c r="AH53" i="2"/>
  <c r="AG83" i="2"/>
  <c r="AG95" i="2" s="1"/>
  <c r="AG74" i="2"/>
  <c r="AF29" i="23"/>
  <c r="AF22" i="24"/>
  <c r="AF28" i="23"/>
  <c r="AF41" i="23"/>
  <c r="AE51" i="26"/>
  <c r="AE55" i="26" s="1"/>
  <c r="AE59" i="26" s="1"/>
  <c r="AE61" i="26" s="1"/>
  <c r="AE64" i="26" s="1"/>
  <c r="AE89" i="26"/>
  <c r="AE93" i="26" s="1"/>
  <c r="AE96" i="26" s="1"/>
  <c r="AE98" i="26" s="1"/>
  <c r="AF37" i="23"/>
  <c r="AE29" i="28"/>
  <c r="AE46" i="23"/>
  <c r="AG17" i="22"/>
  <c r="AG40" i="22" s="1"/>
  <c r="AG51" i="22" s="1"/>
  <c r="AG15" i="22"/>
  <c r="AG38" i="22" s="1"/>
  <c r="AG49" i="22" s="1"/>
  <c r="AG16" i="22"/>
  <c r="AG39" i="22" s="1"/>
  <c r="AG50" i="22" s="1"/>
  <c r="AH9" i="22"/>
  <c r="AH10" i="22"/>
  <c r="AI7" i="22"/>
  <c r="AH22" i="22"/>
  <c r="AH23" i="22" s="1"/>
  <c r="AH11" i="22"/>
  <c r="AH13" i="22" s="1"/>
  <c r="AH33" i="22" s="1"/>
  <c r="AH34" i="22" s="1"/>
  <c r="AE26" i="41"/>
  <c r="AE49" i="41" s="1"/>
  <c r="AE35" i="41" s="1"/>
  <c r="AE43" i="23"/>
  <c r="AD42" i="28"/>
  <c r="AD44" i="28" s="1"/>
  <c r="AD49" i="28"/>
  <c r="AD51" i="28" s="1"/>
  <c r="AD31" i="28"/>
  <c r="AD35" i="28" s="1"/>
  <c r="AD37" i="28" s="1"/>
  <c r="AE25" i="41"/>
  <c r="AE41" i="41" s="1"/>
  <c r="AE42" i="23"/>
  <c r="AD110" i="26"/>
  <c r="AD44" i="2" s="1"/>
  <c r="AD111" i="26"/>
  <c r="AD65" i="2" s="1"/>
  <c r="AD112" i="26"/>
  <c r="AD86" i="2" s="1"/>
  <c r="AD100" i="29"/>
  <c r="AD88" i="2" s="1"/>
  <c r="AD56" i="29"/>
  <c r="AC98" i="29"/>
  <c r="AC46" i="2" s="1"/>
  <c r="AC99" i="29"/>
  <c r="AC67" i="2" s="1"/>
  <c r="AF27" i="22"/>
  <c r="AF45" i="22" s="1"/>
  <c r="AG19" i="23"/>
  <c r="AG24" i="23"/>
  <c r="AG27" i="23" s="1"/>
  <c r="AG21" i="23"/>
  <c r="AG9" i="23"/>
  <c r="AG36" i="23"/>
  <c r="AH7" i="23"/>
  <c r="AG10" i="23"/>
  <c r="AG34" i="23"/>
  <c r="AG11" i="23"/>
  <c r="AG13" i="23" s="1"/>
  <c r="AE68" i="26"/>
  <c r="AE65" i="24"/>
  <c r="AF46" i="29"/>
  <c r="AE49" i="29"/>
  <c r="AE53" i="29" s="1"/>
  <c r="AF16" i="28"/>
  <c r="AF15" i="28"/>
  <c r="AF17" i="28"/>
  <c r="AD101" i="26"/>
  <c r="AD106" i="26" s="1"/>
  <c r="AH10" i="26"/>
  <c r="AI7" i="26"/>
  <c r="AH9" i="26"/>
  <c r="AH11" i="26"/>
  <c r="AH13" i="26" s="1"/>
  <c r="AH24" i="26"/>
  <c r="AH76" i="26"/>
  <c r="AH29" i="26"/>
  <c r="AH71" i="26"/>
  <c r="AF26" i="22"/>
  <c r="AF44" i="22" s="1"/>
  <c r="AH56" i="35"/>
  <c r="AG58" i="35"/>
  <c r="AF77" i="26"/>
  <c r="AE84" i="26"/>
  <c r="AE86" i="26" s="1"/>
  <c r="AE78" i="26"/>
  <c r="AE79" i="26" s="1"/>
  <c r="AG17" i="26"/>
  <c r="AG16" i="26"/>
  <c r="AG81" i="26" s="1"/>
  <c r="AG15" i="26"/>
  <c r="AF28" i="22"/>
  <c r="AF46" i="22" s="1"/>
  <c r="AC116" i="26"/>
  <c r="AC64" i="2" s="1"/>
  <c r="AF62" i="35"/>
  <c r="AF68" i="35" s="1"/>
  <c r="AF63" i="35"/>
  <c r="AF69" i="35" s="1"/>
  <c r="AJ15" i="35"/>
  <c r="AJ17" i="35"/>
  <c r="AJ16" i="35"/>
  <c r="AH7" i="28"/>
  <c r="AG10" i="28"/>
  <c r="AG11" i="28"/>
  <c r="AG13" i="28" s="1"/>
  <c r="AG9" i="28"/>
  <c r="AC53" i="28"/>
  <c r="AK67" i="35"/>
  <c r="AK66" i="35"/>
  <c r="AK9" i="35"/>
  <c r="AL7" i="35"/>
  <c r="AK40" i="35"/>
  <c r="AK39" i="35"/>
  <c r="AK10" i="35"/>
  <c r="AK11" i="35"/>
  <c r="AK13" i="35" s="1"/>
  <c r="AK55" i="35"/>
  <c r="AK28" i="35"/>
  <c r="AK23" i="35"/>
  <c r="AK50" i="35"/>
  <c r="AF46" i="26"/>
  <c r="AF48" i="26" s="1"/>
  <c r="AF55" i="22" l="1"/>
  <c r="AF70" i="2" s="1"/>
  <c r="AD76" i="2"/>
  <c r="AD77" i="2" s="1"/>
  <c r="AD55" i="2"/>
  <c r="AD56" i="2" s="1"/>
  <c r="AE72" i="21"/>
  <c r="AE77" i="21" s="1"/>
  <c r="AE74" i="21"/>
  <c r="AE79" i="21" s="1"/>
  <c r="AE73" i="21"/>
  <c r="AE78" i="21" s="1"/>
  <c r="AD97" i="2"/>
  <c r="AD98" i="2" s="1"/>
  <c r="AF56" i="22"/>
  <c r="AF91" i="2" s="1"/>
  <c r="AF54" i="22"/>
  <c r="AF49" i="2" s="1"/>
  <c r="AD116" i="26"/>
  <c r="AD64" i="2" s="1"/>
  <c r="AE94" i="29"/>
  <c r="AC66" i="41"/>
  <c r="AC50" i="2" s="1"/>
  <c r="AC67" i="41"/>
  <c r="AC71" i="2" s="1"/>
  <c r="AH13" i="33"/>
  <c r="AE37" i="41"/>
  <c r="AE38" i="41" s="1"/>
  <c r="AE42" i="41" s="1"/>
  <c r="AE43" i="41" s="1"/>
  <c r="AE46" i="41" s="1"/>
  <c r="AD58" i="41"/>
  <c r="AD67" i="41" s="1"/>
  <c r="AD71" i="2" s="1"/>
  <c r="AG15" i="41"/>
  <c r="AE36" i="41"/>
  <c r="AE50" i="41" s="1"/>
  <c r="AE51" i="41" s="1"/>
  <c r="AE54" i="41" s="1"/>
  <c r="AI10" i="33"/>
  <c r="AJ7" i="33"/>
  <c r="AI11" i="33"/>
  <c r="AI9" i="33"/>
  <c r="AH16" i="33"/>
  <c r="AH46" i="33" s="1"/>
  <c r="AH69" i="2" s="1"/>
  <c r="AH15" i="33"/>
  <c r="AH45" i="33" s="1"/>
  <c r="AH48" i="2" s="1"/>
  <c r="AH17" i="33"/>
  <c r="AH47" i="33" s="1"/>
  <c r="AH90" i="2" s="1"/>
  <c r="AG28" i="22"/>
  <c r="AG46" i="22" s="1"/>
  <c r="AG56" i="22" s="1"/>
  <c r="AG91" i="2" s="1"/>
  <c r="AD45" i="35"/>
  <c r="AC78" i="35"/>
  <c r="AC87" i="2" s="1"/>
  <c r="AC77" i="35"/>
  <c r="AC66" i="2" s="1"/>
  <c r="AC76" i="35"/>
  <c r="AC45" i="2" s="1"/>
  <c r="AG15" i="29"/>
  <c r="AG16" i="29"/>
  <c r="AG17" i="29"/>
  <c r="AE101" i="26"/>
  <c r="AE105" i="26" s="1"/>
  <c r="AF87" i="29"/>
  <c r="AF91" i="29" s="1"/>
  <c r="AG84" i="29"/>
  <c r="AH90" i="29"/>
  <c r="AH78" i="29"/>
  <c r="AH9" i="29"/>
  <c r="AH83" i="29"/>
  <c r="AH73" i="29"/>
  <c r="AH45" i="29"/>
  <c r="AH23" i="29"/>
  <c r="AH10" i="29"/>
  <c r="AH40" i="29"/>
  <c r="AH11" i="29"/>
  <c r="AH13" i="29" s="1"/>
  <c r="AH35" i="29"/>
  <c r="AH28" i="29"/>
  <c r="AI7" i="29"/>
  <c r="AH66" i="29"/>
  <c r="AH52" i="29"/>
  <c r="AH61" i="29"/>
  <c r="AG29" i="29"/>
  <c r="AF32" i="29"/>
  <c r="AF36" i="29" s="1"/>
  <c r="AG29" i="35"/>
  <c r="AF31" i="35"/>
  <c r="AE35" i="35"/>
  <c r="AE41" i="35" s="1"/>
  <c r="AE36" i="35"/>
  <c r="AE42" i="35" s="1"/>
  <c r="AG27" i="22"/>
  <c r="AG45" i="22" s="1"/>
  <c r="AG55" i="22" s="1"/>
  <c r="AG70" i="2" s="1"/>
  <c r="AG26" i="22"/>
  <c r="AG44" i="22" s="1"/>
  <c r="AG54" i="22" s="1"/>
  <c r="AG49" i="2" s="1"/>
  <c r="AG37" i="26"/>
  <c r="AG46" i="26" s="1"/>
  <c r="AG48" i="26" s="1"/>
  <c r="AG17" i="41"/>
  <c r="AG18" i="41"/>
  <c r="AG19" i="41"/>
  <c r="AH11" i="41"/>
  <c r="AH9" i="41"/>
  <c r="AH13" i="41"/>
  <c r="AI7" i="41"/>
  <c r="AH10" i="41"/>
  <c r="AH12" i="41"/>
  <c r="AF96" i="2"/>
  <c r="AG33" i="21"/>
  <c r="AG37" i="21" s="1"/>
  <c r="AG55" i="21"/>
  <c r="AG69" i="21" s="1"/>
  <c r="AI9" i="21"/>
  <c r="AI10" i="21"/>
  <c r="AI46" i="21"/>
  <c r="AJ7" i="21"/>
  <c r="AI47" i="21"/>
  <c r="AI11" i="21"/>
  <c r="AI13" i="21" s="1"/>
  <c r="AI48" i="21"/>
  <c r="AI49" i="21"/>
  <c r="AE96" i="2"/>
  <c r="AG63" i="21"/>
  <c r="AF40" i="21"/>
  <c r="AF41" i="21"/>
  <c r="AF42" i="21"/>
  <c r="AF70" i="29"/>
  <c r="AF74" i="29" s="1"/>
  <c r="AF94" i="29" s="1"/>
  <c r="AG67" i="29"/>
  <c r="AH30" i="26"/>
  <c r="AH43" i="26" s="1"/>
  <c r="AE75" i="2"/>
  <c r="AG61" i="21"/>
  <c r="AG53" i="21"/>
  <c r="AG67" i="21" s="1"/>
  <c r="AG31" i="21"/>
  <c r="AH50" i="21"/>
  <c r="AH16" i="21"/>
  <c r="AH17" i="21"/>
  <c r="AH15" i="21"/>
  <c r="AH61" i="21" s="1"/>
  <c r="AG54" i="21"/>
  <c r="AG68" i="21" s="1"/>
  <c r="AG32" i="21"/>
  <c r="AH11" i="24"/>
  <c r="AH13" i="24" s="1"/>
  <c r="AH26" i="24"/>
  <c r="AI7" i="24"/>
  <c r="AH25" i="24"/>
  <c r="AH27" i="24"/>
  <c r="AH9" i="24"/>
  <c r="AH28" i="24"/>
  <c r="AH29" i="24"/>
  <c r="AH10" i="24"/>
  <c r="AH83" i="2"/>
  <c r="AH95" i="2" s="1"/>
  <c r="AH74" i="2"/>
  <c r="AJ41" i="2"/>
  <c r="AI53" i="2"/>
  <c r="AI62" i="2"/>
  <c r="AG15" i="24"/>
  <c r="AG17" i="24"/>
  <c r="AG16" i="24"/>
  <c r="AD53" i="28"/>
  <c r="AD60" i="28" s="1"/>
  <c r="AD89" i="2" s="1"/>
  <c r="AG22" i="24"/>
  <c r="AG29" i="23"/>
  <c r="AG41" i="23"/>
  <c r="AG28" i="23"/>
  <c r="AI22" i="22"/>
  <c r="AI23" i="22" s="1"/>
  <c r="AI9" i="22"/>
  <c r="AI10" i="22"/>
  <c r="AI11" i="22"/>
  <c r="AI13" i="22" s="1"/>
  <c r="AI33" i="22" s="1"/>
  <c r="AI34" i="22" s="1"/>
  <c r="AJ7" i="22"/>
  <c r="AG63" i="35"/>
  <c r="AG69" i="35" s="1"/>
  <c r="AG62" i="35"/>
  <c r="AG68" i="35" s="1"/>
  <c r="AE100" i="29"/>
  <c r="AE88" i="2" s="1"/>
  <c r="AE56" i="29"/>
  <c r="AH19" i="23"/>
  <c r="AH24" i="23"/>
  <c r="AH27" i="23" s="1"/>
  <c r="AH21" i="23"/>
  <c r="AH10" i="23"/>
  <c r="AH9" i="23"/>
  <c r="AH36" i="23"/>
  <c r="AH34" i="23"/>
  <c r="AI7" i="23"/>
  <c r="AH11" i="23"/>
  <c r="AH13" i="23" s="1"/>
  <c r="AD98" i="29"/>
  <c r="AD46" i="2" s="1"/>
  <c r="AD99" i="29"/>
  <c r="AD67" i="2" s="1"/>
  <c r="AH15" i="22"/>
  <c r="AH38" i="22" s="1"/>
  <c r="AH49" i="22" s="1"/>
  <c r="AH17" i="22"/>
  <c r="AH40" i="22" s="1"/>
  <c r="AH51" i="22" s="1"/>
  <c r="AH16" i="22"/>
  <c r="AH39" i="22" s="1"/>
  <c r="AH50" i="22" s="1"/>
  <c r="AD107" i="26"/>
  <c r="AD117" i="26" s="1"/>
  <c r="AD85" i="2" s="1"/>
  <c r="AF26" i="41"/>
  <c r="AF49" i="41" s="1"/>
  <c r="AF35" i="41" s="1"/>
  <c r="AF43" i="23"/>
  <c r="AG46" i="29"/>
  <c r="AF49" i="29"/>
  <c r="AF53" i="29" s="1"/>
  <c r="AD105" i="26"/>
  <c r="AD115" i="26" s="1"/>
  <c r="AD43" i="2" s="1"/>
  <c r="AG77" i="26"/>
  <c r="AF84" i="26"/>
  <c r="AF86" i="26" s="1"/>
  <c r="AF78" i="26"/>
  <c r="AF79" i="26" s="1"/>
  <c r="AK16" i="35"/>
  <c r="AK17" i="35"/>
  <c r="AK15" i="35"/>
  <c r="AJ7" i="26"/>
  <c r="AI10" i="26"/>
  <c r="AI9" i="26"/>
  <c r="AI11" i="26"/>
  <c r="AI13" i="26" s="1"/>
  <c r="AI71" i="26"/>
  <c r="AI24" i="26"/>
  <c r="AI29" i="26"/>
  <c r="AI76" i="26"/>
  <c r="AI56" i="35"/>
  <c r="AH58" i="35"/>
  <c r="AH9" i="28"/>
  <c r="AH10" i="28"/>
  <c r="AH11" i="28"/>
  <c r="AH13" i="28" s="1"/>
  <c r="AI7" i="28"/>
  <c r="AH16" i="26"/>
  <c r="AH81" i="26" s="1"/>
  <c r="AH15" i="26"/>
  <c r="AH17" i="26"/>
  <c r="AE31" i="28"/>
  <c r="AE35" i="28" s="1"/>
  <c r="AE37" i="28" s="1"/>
  <c r="AE42" i="28"/>
  <c r="AE44" i="28" s="1"/>
  <c r="AE49" i="28"/>
  <c r="AE51" i="28" s="1"/>
  <c r="AF72" i="35"/>
  <c r="AF51" i="26"/>
  <c r="AF55" i="26" s="1"/>
  <c r="AF59" i="26" s="1"/>
  <c r="AF61" i="26" s="1"/>
  <c r="AG37" i="23"/>
  <c r="AF46" i="23"/>
  <c r="AF29" i="28"/>
  <c r="AF89" i="26"/>
  <c r="AF93" i="26" s="1"/>
  <c r="AF96" i="26" s="1"/>
  <c r="AF98" i="26" s="1"/>
  <c r="AF65" i="24"/>
  <c r="AF68" i="26"/>
  <c r="AG17" i="28"/>
  <c r="AG15" i="28"/>
  <c r="AG16" i="28"/>
  <c r="AF42" i="23"/>
  <c r="AF25" i="41"/>
  <c r="AF41" i="41" s="1"/>
  <c r="AM7" i="35"/>
  <c r="AL66" i="35"/>
  <c r="AL39" i="35"/>
  <c r="AL40" i="35"/>
  <c r="AL67" i="35"/>
  <c r="AL10" i="35"/>
  <c r="AL9" i="35"/>
  <c r="AL11" i="35"/>
  <c r="AL13" i="35" s="1"/>
  <c r="AL55" i="35"/>
  <c r="AL50" i="35"/>
  <c r="AL28" i="35"/>
  <c r="AL23" i="35"/>
  <c r="AC59" i="28"/>
  <c r="AC68" i="2" s="1"/>
  <c r="AC60" i="28"/>
  <c r="AC89" i="2" s="1"/>
  <c r="AC58" i="28"/>
  <c r="AC47" i="2" s="1"/>
  <c r="AE112" i="26"/>
  <c r="AE86" i="2" s="1"/>
  <c r="AE110" i="26"/>
  <c r="AE44" i="2" s="1"/>
  <c r="AE111" i="26"/>
  <c r="AE65" i="2" s="1"/>
  <c r="AE76" i="2" l="1"/>
  <c r="AE77" i="2" s="1"/>
  <c r="AF72" i="21"/>
  <c r="AF77" i="21" s="1"/>
  <c r="AE97" i="2"/>
  <c r="AE98" i="2" s="1"/>
  <c r="AF74" i="21"/>
  <c r="AF79" i="21" s="1"/>
  <c r="AE55" i="2"/>
  <c r="AE56" i="2" s="1"/>
  <c r="AF73" i="21"/>
  <c r="AF78" i="21" s="1"/>
  <c r="AI13" i="33"/>
  <c r="AD68" i="41"/>
  <c r="AD92" i="2" s="1"/>
  <c r="AD66" i="41"/>
  <c r="AD50" i="2" s="1"/>
  <c r="AF37" i="41"/>
  <c r="AF38" i="41" s="1"/>
  <c r="AF42" i="41" s="1"/>
  <c r="AF43" i="41" s="1"/>
  <c r="AF46" i="41" s="1"/>
  <c r="AE58" i="41"/>
  <c r="AE67" i="41" s="1"/>
  <c r="AE71" i="2" s="1"/>
  <c r="AF36" i="41"/>
  <c r="AF50" i="41" s="1"/>
  <c r="AF51" i="41" s="1"/>
  <c r="AF54" i="41" s="1"/>
  <c r="AH15" i="41"/>
  <c r="AE106" i="26"/>
  <c r="AE116" i="26" s="1"/>
  <c r="AE64" i="2" s="1"/>
  <c r="AH26" i="22"/>
  <c r="AH44" i="22" s="1"/>
  <c r="AH54" i="22" s="1"/>
  <c r="AH49" i="2" s="1"/>
  <c r="AE107" i="26"/>
  <c r="AE117" i="26" s="1"/>
  <c r="AE85" i="2" s="1"/>
  <c r="AE45" i="35"/>
  <c r="AE78" i="35" s="1"/>
  <c r="AE87" i="2" s="1"/>
  <c r="AJ10" i="33"/>
  <c r="AJ11" i="33"/>
  <c r="AJ9" i="33"/>
  <c r="AK7" i="33"/>
  <c r="AI15" i="33"/>
  <c r="AI45" i="33" s="1"/>
  <c r="AI48" i="2" s="1"/>
  <c r="AI17" i="33"/>
  <c r="AI47" i="33" s="1"/>
  <c r="AI90" i="2" s="1"/>
  <c r="AI16" i="33"/>
  <c r="AI46" i="33" s="1"/>
  <c r="AI69" i="2" s="1"/>
  <c r="AH37" i="26"/>
  <c r="AI9" i="29"/>
  <c r="AI23" i="29"/>
  <c r="AI52" i="29"/>
  <c r="AI28" i="29"/>
  <c r="AI11" i="29"/>
  <c r="AI13" i="29" s="1"/>
  <c r="AI83" i="29"/>
  <c r="AI10" i="29"/>
  <c r="AI61" i="29"/>
  <c r="AI90" i="29"/>
  <c r="AI73" i="29"/>
  <c r="AI66" i="29"/>
  <c r="AI35" i="29"/>
  <c r="AI40" i="29"/>
  <c r="AI78" i="29"/>
  <c r="AJ7" i="29"/>
  <c r="AI45" i="29"/>
  <c r="AF36" i="35"/>
  <c r="AF42" i="35" s="1"/>
  <c r="AF35" i="35"/>
  <c r="AF41" i="35" s="1"/>
  <c r="AH29" i="35"/>
  <c r="AG31" i="35"/>
  <c r="AG32" i="29"/>
  <c r="AG36" i="29" s="1"/>
  <c r="AH29" i="29"/>
  <c r="AH17" i="29"/>
  <c r="AH15" i="29"/>
  <c r="AH16" i="29"/>
  <c r="AG87" i="29"/>
  <c r="AG91" i="29" s="1"/>
  <c r="AH84" i="29"/>
  <c r="AD77" i="35"/>
  <c r="AD66" i="2" s="1"/>
  <c r="AD76" i="35"/>
  <c r="AD45" i="2" s="1"/>
  <c r="AD78" i="35"/>
  <c r="AD87" i="2" s="1"/>
  <c r="AH27" i="22"/>
  <c r="AH45" i="22" s="1"/>
  <c r="AH55" i="22" s="1"/>
  <c r="AH70" i="2" s="1"/>
  <c r="AG96" i="2"/>
  <c r="AD59" i="28"/>
  <c r="AD68" i="2" s="1"/>
  <c r="AH17" i="41"/>
  <c r="AH18" i="41"/>
  <c r="AH19" i="41"/>
  <c r="AD58" i="28"/>
  <c r="AD47" i="2" s="1"/>
  <c r="AI50" i="21"/>
  <c r="AG54" i="2"/>
  <c r="AI9" i="41"/>
  <c r="AI11" i="41"/>
  <c r="AI13" i="41"/>
  <c r="AJ7" i="41"/>
  <c r="AI10" i="41"/>
  <c r="AI12" i="41"/>
  <c r="AH67" i="29"/>
  <c r="AG70" i="29"/>
  <c r="AG74" i="29" s="1"/>
  <c r="AF54" i="2"/>
  <c r="AF75" i="2"/>
  <c r="AH31" i="21"/>
  <c r="AH53" i="21"/>
  <c r="AH67" i="21" s="1"/>
  <c r="AI16" i="21"/>
  <c r="AI62" i="21" s="1"/>
  <c r="AI17" i="21"/>
  <c r="AI63" i="21" s="1"/>
  <c r="AI15" i="21"/>
  <c r="AI61" i="21" s="1"/>
  <c r="AJ47" i="21"/>
  <c r="AJ9" i="21"/>
  <c r="AK7" i="21"/>
  <c r="AJ46" i="21"/>
  <c r="AJ49" i="21"/>
  <c r="AJ10" i="21"/>
  <c r="AJ48" i="21"/>
  <c r="AJ11" i="21"/>
  <c r="AJ13" i="21" s="1"/>
  <c r="AH33" i="21"/>
  <c r="AH37" i="21" s="1"/>
  <c r="AH55" i="21"/>
  <c r="AH69" i="21" s="1"/>
  <c r="AH54" i="21"/>
  <c r="AH68" i="21" s="1"/>
  <c r="AH32" i="21"/>
  <c r="AH63" i="21"/>
  <c r="AH28" i="22"/>
  <c r="AH46" i="22" s="1"/>
  <c r="AH56" i="22" s="1"/>
  <c r="AH91" i="2" s="1"/>
  <c r="AH62" i="21"/>
  <c r="AG41" i="21"/>
  <c r="AG42" i="21"/>
  <c r="AG74" i="21" s="1"/>
  <c r="AG79" i="21" s="1"/>
  <c r="AG40" i="21"/>
  <c r="AH15" i="24"/>
  <c r="AH17" i="24"/>
  <c r="AH16" i="24"/>
  <c r="AI83" i="2"/>
  <c r="AI95" i="2" s="1"/>
  <c r="AI74" i="2"/>
  <c r="AJ53" i="2"/>
  <c r="AJ62" i="2"/>
  <c r="AK41" i="2"/>
  <c r="AI30" i="26"/>
  <c r="AI37" i="26" s="1"/>
  <c r="AG72" i="35"/>
  <c r="AI27" i="24"/>
  <c r="AI28" i="24"/>
  <c r="AI10" i="24"/>
  <c r="AJ7" i="24"/>
  <c r="AI29" i="24"/>
  <c r="AI9" i="24"/>
  <c r="AI25" i="24"/>
  <c r="AI11" i="24"/>
  <c r="AI13" i="24" s="1"/>
  <c r="AI26" i="24"/>
  <c r="AH28" i="23"/>
  <c r="AH22" i="24"/>
  <c r="AH41" i="23"/>
  <c r="AH29" i="23"/>
  <c r="AL16" i="35"/>
  <c r="AL15" i="35"/>
  <c r="AL17" i="35"/>
  <c r="AH77" i="26"/>
  <c r="AG78" i="26"/>
  <c r="AG79" i="26" s="1"/>
  <c r="AG84" i="26"/>
  <c r="AG86" i="26" s="1"/>
  <c r="AF56" i="29"/>
  <c r="AF100" i="29"/>
  <c r="AF88" i="2" s="1"/>
  <c r="AG25" i="41"/>
  <c r="AG41" i="41" s="1"/>
  <c r="AG42" i="23"/>
  <c r="AE53" i="28"/>
  <c r="AH63" i="35"/>
  <c r="AH69" i="35" s="1"/>
  <c r="AH62" i="35"/>
  <c r="AH68" i="35" s="1"/>
  <c r="AH46" i="29"/>
  <c r="AG49" i="29"/>
  <c r="AG53" i="29" s="1"/>
  <c r="AI17" i="22"/>
  <c r="AI40" i="22" s="1"/>
  <c r="AI51" i="22" s="1"/>
  <c r="AI16" i="22"/>
  <c r="AI39" i="22" s="1"/>
  <c r="AI50" i="22" s="1"/>
  <c r="AI15" i="22"/>
  <c r="AI38" i="22" s="1"/>
  <c r="AI49" i="22" s="1"/>
  <c r="AG65" i="24"/>
  <c r="AG68" i="26"/>
  <c r="AF49" i="28"/>
  <c r="AF51" i="28" s="1"/>
  <c r="AF31" i="28"/>
  <c r="AF35" i="28" s="1"/>
  <c r="AF37" i="28" s="1"/>
  <c r="AF42" i="28"/>
  <c r="AF44" i="28" s="1"/>
  <c r="AI58" i="35"/>
  <c r="AJ56" i="35"/>
  <c r="AG43" i="23"/>
  <c r="AG26" i="41"/>
  <c r="AG49" i="41" s="1"/>
  <c r="AG35" i="41" s="1"/>
  <c r="AE115" i="26"/>
  <c r="AE43" i="2" s="1"/>
  <c r="AH37" i="23"/>
  <c r="AG51" i="26"/>
  <c r="AG55" i="26" s="1"/>
  <c r="AG59" i="26" s="1"/>
  <c r="AG61" i="26" s="1"/>
  <c r="AG29" i="28"/>
  <c r="AG89" i="26"/>
  <c r="AG93" i="26" s="1"/>
  <c r="AG96" i="26" s="1"/>
  <c r="AG98" i="26" s="1"/>
  <c r="AG46" i="23"/>
  <c r="AN7" i="35"/>
  <c r="AM11" i="35"/>
  <c r="AM13" i="35" s="1"/>
  <c r="AM67" i="35"/>
  <c r="AM9" i="35"/>
  <c r="AM10" i="35"/>
  <c r="AM40" i="35"/>
  <c r="AM66" i="35"/>
  <c r="AM28" i="35"/>
  <c r="AM39" i="35"/>
  <c r="AM50" i="35"/>
  <c r="AM23" i="35"/>
  <c r="AM55" i="35"/>
  <c r="AF112" i="26"/>
  <c r="AF86" i="2" s="1"/>
  <c r="AF111" i="26"/>
  <c r="AF65" i="2" s="1"/>
  <c r="AF110" i="26"/>
  <c r="AF44" i="2" s="1"/>
  <c r="AI10" i="28"/>
  <c r="AI9" i="28"/>
  <c r="AI11" i="28"/>
  <c r="AI13" i="28" s="1"/>
  <c r="AJ7" i="28"/>
  <c r="AF64" i="26"/>
  <c r="AI17" i="26"/>
  <c r="AI16" i="26"/>
  <c r="AI15" i="26"/>
  <c r="AI19" i="23"/>
  <c r="AI24" i="23"/>
  <c r="AI27" i="23" s="1"/>
  <c r="AI21" i="23"/>
  <c r="AI9" i="23"/>
  <c r="AI10" i="23"/>
  <c r="AI34" i="23"/>
  <c r="AJ7" i="23"/>
  <c r="AI11" i="23"/>
  <c r="AI13" i="23" s="1"/>
  <c r="AI36" i="23"/>
  <c r="AE98" i="29"/>
  <c r="AE46" i="2" s="1"/>
  <c r="AE99" i="29"/>
  <c r="AE67" i="2" s="1"/>
  <c r="AH15" i="28"/>
  <c r="AH16" i="28"/>
  <c r="AH17" i="28"/>
  <c r="AJ11" i="26"/>
  <c r="AJ13" i="26" s="1"/>
  <c r="AJ10" i="26"/>
  <c r="AJ9" i="26"/>
  <c r="AK7" i="26"/>
  <c r="AJ24" i="26"/>
  <c r="AJ71" i="26"/>
  <c r="AJ76" i="26"/>
  <c r="AJ29" i="26"/>
  <c r="AF101" i="26"/>
  <c r="AJ10" i="22"/>
  <c r="AJ9" i="22"/>
  <c r="AJ11" i="22"/>
  <c r="AJ13" i="22" s="1"/>
  <c r="AJ33" i="22" s="1"/>
  <c r="AJ34" i="22" s="1"/>
  <c r="AJ22" i="22"/>
  <c r="AJ23" i="22" s="1"/>
  <c r="AK7" i="22"/>
  <c r="AH46" i="26"/>
  <c r="AH48" i="26" s="1"/>
  <c r="AF55" i="2" l="1"/>
  <c r="AF56" i="2" s="1"/>
  <c r="AF97" i="2"/>
  <c r="AF98" i="2" s="1"/>
  <c r="AF76" i="2"/>
  <c r="AF77" i="2" s="1"/>
  <c r="AG72" i="21"/>
  <c r="AG77" i="21" s="1"/>
  <c r="AG73" i="21"/>
  <c r="AG78" i="21" s="1"/>
  <c r="AE66" i="41"/>
  <c r="AE50" i="2" s="1"/>
  <c r="AE68" i="41"/>
  <c r="AE92" i="2" s="1"/>
  <c r="AF58" i="41"/>
  <c r="AF68" i="41" s="1"/>
  <c r="AF92" i="2" s="1"/>
  <c r="AG37" i="41"/>
  <c r="AG38" i="41" s="1"/>
  <c r="AG42" i="41" s="1"/>
  <c r="AG43" i="41" s="1"/>
  <c r="AG46" i="41" s="1"/>
  <c r="AG36" i="41"/>
  <c r="AG50" i="41" s="1"/>
  <c r="AG51" i="41" s="1"/>
  <c r="AG54" i="41" s="1"/>
  <c r="AI15" i="41"/>
  <c r="AE77" i="35"/>
  <c r="AE66" i="2" s="1"/>
  <c r="AE76" i="35"/>
  <c r="AE45" i="2" s="1"/>
  <c r="AK10" i="33"/>
  <c r="AK11" i="33"/>
  <c r="AK9" i="33"/>
  <c r="AL7" i="33"/>
  <c r="AJ13" i="33"/>
  <c r="AJ16" i="33"/>
  <c r="AJ46" i="33" s="1"/>
  <c r="AJ69" i="2" s="1"/>
  <c r="AJ17" i="33"/>
  <c r="AJ47" i="33" s="1"/>
  <c r="AJ90" i="2" s="1"/>
  <c r="AJ15" i="33"/>
  <c r="AJ45" i="33" s="1"/>
  <c r="AJ48" i="2" s="1"/>
  <c r="AG94" i="29"/>
  <c r="AJ10" i="29"/>
  <c r="AJ83" i="29"/>
  <c r="AJ61" i="29"/>
  <c r="AJ78" i="29"/>
  <c r="AJ73" i="29"/>
  <c r="AJ40" i="29"/>
  <c r="AJ45" i="29"/>
  <c r="AK7" i="29"/>
  <c r="AJ28" i="29"/>
  <c r="AJ11" i="29"/>
  <c r="AJ13" i="29" s="1"/>
  <c r="AJ90" i="29"/>
  <c r="AJ23" i="29"/>
  <c r="AJ9" i="29"/>
  <c r="AJ35" i="29"/>
  <c r="AJ52" i="29"/>
  <c r="AJ66" i="29"/>
  <c r="AI15" i="29"/>
  <c r="AI17" i="29"/>
  <c r="AI16" i="29"/>
  <c r="AH32" i="29"/>
  <c r="AH36" i="29" s="1"/>
  <c r="AI29" i="29"/>
  <c r="AG35" i="35"/>
  <c r="AG41" i="35" s="1"/>
  <c r="AG36" i="35"/>
  <c r="AG42" i="35" s="1"/>
  <c r="AH87" i="29"/>
  <c r="AH91" i="29" s="1"/>
  <c r="AI84" i="29"/>
  <c r="AH31" i="35"/>
  <c r="AI29" i="35"/>
  <c r="AF45" i="35"/>
  <c r="AH72" i="35"/>
  <c r="AH54" i="2"/>
  <c r="AH75" i="2"/>
  <c r="AI26" i="22"/>
  <c r="AI44" i="22" s="1"/>
  <c r="AI54" i="22" s="1"/>
  <c r="AI49" i="2" s="1"/>
  <c r="AI28" i="22"/>
  <c r="AI46" i="22" s="1"/>
  <c r="AI56" i="22" s="1"/>
  <c r="AI91" i="2" s="1"/>
  <c r="AI18" i="41"/>
  <c r="AI19" i="41"/>
  <c r="AI17" i="41"/>
  <c r="AJ10" i="41"/>
  <c r="AJ13" i="41"/>
  <c r="AK7" i="41"/>
  <c r="AJ12" i="41"/>
  <c r="AJ9" i="41"/>
  <c r="AJ11" i="41"/>
  <c r="AG97" i="2"/>
  <c r="AG98" i="2" s="1"/>
  <c r="AI33" i="21"/>
  <c r="AI37" i="21" s="1"/>
  <c r="AI55" i="21"/>
  <c r="AI69" i="21" s="1"/>
  <c r="AG75" i="2"/>
  <c r="AI32" i="21"/>
  <c r="AI54" i="21"/>
  <c r="AI68" i="21" s="1"/>
  <c r="AJ17" i="21"/>
  <c r="AJ16" i="21"/>
  <c r="AJ15" i="21"/>
  <c r="AJ50" i="21"/>
  <c r="AK47" i="21"/>
  <c r="AK9" i="21"/>
  <c r="AK48" i="21"/>
  <c r="AK10" i="21"/>
  <c r="AK46" i="21"/>
  <c r="AK11" i="21"/>
  <c r="AK13" i="21" s="1"/>
  <c r="AK49" i="21"/>
  <c r="AL7" i="21"/>
  <c r="AI67" i="29"/>
  <c r="AH70" i="29"/>
  <c r="AH74" i="29" s="1"/>
  <c r="AH94" i="29" s="1"/>
  <c r="AI53" i="21"/>
  <c r="AI67" i="21" s="1"/>
  <c r="AI31" i="21"/>
  <c r="AH41" i="21"/>
  <c r="AH42" i="21"/>
  <c r="AH40" i="21"/>
  <c r="AJ9" i="24"/>
  <c r="AJ27" i="24"/>
  <c r="AJ28" i="24"/>
  <c r="AJ26" i="24"/>
  <c r="AJ29" i="24"/>
  <c r="AJ25" i="24"/>
  <c r="AJ11" i="24"/>
  <c r="AJ13" i="24" s="1"/>
  <c r="AK7" i="24"/>
  <c r="AJ10" i="24"/>
  <c r="AI17" i="24"/>
  <c r="AI16" i="24"/>
  <c r="AI15" i="24"/>
  <c r="AK62" i="2"/>
  <c r="AL41" i="2"/>
  <c r="AK53" i="2"/>
  <c r="AI43" i="26"/>
  <c r="AI46" i="26" s="1"/>
  <c r="AI48" i="26" s="1"/>
  <c r="AJ74" i="2"/>
  <c r="AJ83" i="2"/>
  <c r="AJ95" i="2" s="1"/>
  <c r="AJ30" i="26"/>
  <c r="AJ37" i="26" s="1"/>
  <c r="AI28" i="23"/>
  <c r="AI41" i="23"/>
  <c r="AI29" i="23"/>
  <c r="AI22" i="24"/>
  <c r="AJ16" i="26"/>
  <c r="AJ15" i="26"/>
  <c r="AJ17" i="26"/>
  <c r="AN67" i="35"/>
  <c r="AN9" i="35"/>
  <c r="AO7" i="35"/>
  <c r="AN40" i="35"/>
  <c r="AN10" i="35"/>
  <c r="AN39" i="35"/>
  <c r="AN66" i="35"/>
  <c r="AN50" i="35"/>
  <c r="AN23" i="35"/>
  <c r="AN28" i="35"/>
  <c r="AN11" i="35"/>
  <c r="AN13" i="35" s="1"/>
  <c r="AN55" i="35"/>
  <c r="AE60" i="28"/>
  <c r="AE89" i="2" s="1"/>
  <c r="AE58" i="28"/>
  <c r="AE47" i="2" s="1"/>
  <c r="AE59" i="28"/>
  <c r="AE68" i="2" s="1"/>
  <c r="AG42" i="28"/>
  <c r="AG44" i="28" s="1"/>
  <c r="AG49" i="28"/>
  <c r="AG51" i="28" s="1"/>
  <c r="AG31" i="28"/>
  <c r="AG35" i="28" s="1"/>
  <c r="AG37" i="28" s="1"/>
  <c r="AH43" i="23"/>
  <c r="AH26" i="41"/>
  <c r="AH49" i="41" s="1"/>
  <c r="AH35" i="41" s="1"/>
  <c r="AJ17" i="22"/>
  <c r="AJ40" i="22" s="1"/>
  <c r="AJ51" i="22" s="1"/>
  <c r="AJ16" i="22"/>
  <c r="AJ39" i="22" s="1"/>
  <c r="AJ50" i="22" s="1"/>
  <c r="AJ15" i="22"/>
  <c r="AJ38" i="22" s="1"/>
  <c r="AJ49" i="22" s="1"/>
  <c r="AG110" i="26"/>
  <c r="AG44" i="2" s="1"/>
  <c r="AG111" i="26"/>
  <c r="AG65" i="2" s="1"/>
  <c r="AG112" i="26"/>
  <c r="AG86" i="2" s="1"/>
  <c r="AG64" i="26"/>
  <c r="AK56" i="35"/>
  <c r="AJ58" i="35"/>
  <c r="AG56" i="29"/>
  <c r="AG100" i="29"/>
  <c r="AG88" i="2" s="1"/>
  <c r="AF99" i="29"/>
  <c r="AF67" i="2" s="1"/>
  <c r="AF98" i="29"/>
  <c r="AF46" i="2" s="1"/>
  <c r="AK9" i="22"/>
  <c r="AK10" i="22"/>
  <c r="AK22" i="22"/>
  <c r="AK23" i="22" s="1"/>
  <c r="AL7" i="22"/>
  <c r="AK11" i="22"/>
  <c r="AK13" i="22" s="1"/>
  <c r="AK33" i="22" s="1"/>
  <c r="AK34" i="22" s="1"/>
  <c r="AH29" i="28"/>
  <c r="AH89" i="26"/>
  <c r="AH93" i="26" s="1"/>
  <c r="AH96" i="26" s="1"/>
  <c r="AH98" i="26" s="1"/>
  <c r="AH46" i="23"/>
  <c r="AI37" i="23"/>
  <c r="AH51" i="26"/>
  <c r="AH55" i="26" s="1"/>
  <c r="AH59" i="26" s="1"/>
  <c r="AH61" i="26" s="1"/>
  <c r="AI62" i="35"/>
  <c r="AI68" i="35" s="1"/>
  <c r="AI63" i="35"/>
  <c r="AI69" i="35" s="1"/>
  <c r="AF53" i="28"/>
  <c r="AI46" i="29"/>
  <c r="AH49" i="29"/>
  <c r="AH53" i="29" s="1"/>
  <c r="AG101" i="26"/>
  <c r="AH68" i="26"/>
  <c r="AH65" i="24"/>
  <c r="AJ11" i="28"/>
  <c r="AJ13" i="28" s="1"/>
  <c r="AJ10" i="28"/>
  <c r="AK7" i="28"/>
  <c r="AJ9" i="28"/>
  <c r="AJ19" i="23"/>
  <c r="AJ24" i="23"/>
  <c r="AJ27" i="23" s="1"/>
  <c r="AJ21" i="23"/>
  <c r="AJ34" i="23"/>
  <c r="AK7" i="23"/>
  <c r="AJ36" i="23"/>
  <c r="AJ10" i="23"/>
  <c r="AJ11" i="23"/>
  <c r="AJ13" i="23" s="1"/>
  <c r="AJ9" i="23"/>
  <c r="AF107" i="26"/>
  <c r="AF117" i="26" s="1"/>
  <c r="AF85" i="2" s="1"/>
  <c r="AF106" i="26"/>
  <c r="AF116" i="26" s="1"/>
  <c r="AF64" i="2" s="1"/>
  <c r="AF105" i="26"/>
  <c r="AF115" i="26" s="1"/>
  <c r="AF43" i="2" s="1"/>
  <c r="AI17" i="28"/>
  <c r="AI15" i="28"/>
  <c r="AI16" i="28"/>
  <c r="AM16" i="35"/>
  <c r="AM15" i="35"/>
  <c r="AM17" i="35"/>
  <c r="AK9" i="26"/>
  <c r="AL7" i="26"/>
  <c r="AK10" i="26"/>
  <c r="AK11" i="26"/>
  <c r="AK13" i="26" s="1"/>
  <c r="AK76" i="26"/>
  <c r="AK71" i="26"/>
  <c r="AK29" i="26"/>
  <c r="AK24" i="26"/>
  <c r="AH78" i="26"/>
  <c r="AH79" i="26" s="1"/>
  <c r="AH84" i="26"/>
  <c r="AH86" i="26" s="1"/>
  <c r="AI77" i="26"/>
  <c r="AH42" i="23"/>
  <c r="AH25" i="41"/>
  <c r="AH41" i="41" s="1"/>
  <c r="AI27" i="22"/>
  <c r="AI45" i="22" s="1"/>
  <c r="AI55" i="22" s="1"/>
  <c r="AI70" i="2" s="1"/>
  <c r="AG76" i="2" l="1"/>
  <c r="AG77" i="2" s="1"/>
  <c r="AH72" i="21"/>
  <c r="AH77" i="21" s="1"/>
  <c r="AH74" i="21"/>
  <c r="AH79" i="21" s="1"/>
  <c r="AH73" i="21"/>
  <c r="AH78" i="21" s="1"/>
  <c r="AG55" i="2"/>
  <c r="AG56" i="2" s="1"/>
  <c r="AF67" i="41"/>
  <c r="AF71" i="2" s="1"/>
  <c r="AF66" i="41"/>
  <c r="AF50" i="2" s="1"/>
  <c r="AG58" i="41"/>
  <c r="AG66" i="41" s="1"/>
  <c r="AG50" i="2" s="1"/>
  <c r="AH37" i="41"/>
  <c r="AH38" i="41" s="1"/>
  <c r="AH42" i="41" s="1"/>
  <c r="AH43" i="41" s="1"/>
  <c r="AH46" i="41" s="1"/>
  <c r="AJ15" i="41"/>
  <c r="AH36" i="41"/>
  <c r="AH50" i="41" s="1"/>
  <c r="AH51" i="41" s="1"/>
  <c r="AH54" i="41" s="1"/>
  <c r="AL11" i="33"/>
  <c r="AM7" i="33"/>
  <c r="AL10" i="33"/>
  <c r="AL9" i="33"/>
  <c r="AK13" i="33"/>
  <c r="AK15" i="33"/>
  <c r="AK45" i="33" s="1"/>
  <c r="AK48" i="2" s="1"/>
  <c r="AK17" i="33"/>
  <c r="AK47" i="33" s="1"/>
  <c r="AK90" i="2" s="1"/>
  <c r="AK16" i="33"/>
  <c r="AK46" i="33" s="1"/>
  <c r="AK69" i="2" s="1"/>
  <c r="AH101" i="26"/>
  <c r="AG45" i="35"/>
  <c r="AI87" i="29"/>
  <c r="AI91" i="29" s="1"/>
  <c r="AJ84" i="29"/>
  <c r="AJ17" i="29"/>
  <c r="AJ16" i="29"/>
  <c r="AJ15" i="29"/>
  <c r="AK90" i="29"/>
  <c r="AK23" i="29"/>
  <c r="AK35" i="29"/>
  <c r="AK78" i="29"/>
  <c r="AL7" i="29"/>
  <c r="AK9" i="29"/>
  <c r="AK61" i="29"/>
  <c r="AK66" i="29"/>
  <c r="AK52" i="29"/>
  <c r="AK45" i="29"/>
  <c r="AK73" i="29"/>
  <c r="AK83" i="29"/>
  <c r="AK10" i="29"/>
  <c r="AK40" i="29"/>
  <c r="AK11" i="29"/>
  <c r="AK13" i="29" s="1"/>
  <c r="AK28" i="29"/>
  <c r="AF78" i="35"/>
  <c r="AF87" i="2" s="1"/>
  <c r="AF76" i="35"/>
  <c r="AF45" i="2" s="1"/>
  <c r="AF77" i="35"/>
  <c r="AF66" i="2" s="1"/>
  <c r="AI31" i="35"/>
  <c r="AJ29" i="35"/>
  <c r="AJ29" i="29"/>
  <c r="AI32" i="29"/>
  <c r="AI36" i="29" s="1"/>
  <c r="AH35" i="35"/>
  <c r="AH41" i="35" s="1"/>
  <c r="AH36" i="35"/>
  <c r="AH42" i="35" s="1"/>
  <c r="AI96" i="2"/>
  <c r="AK30" i="26"/>
  <c r="AK37" i="26" s="1"/>
  <c r="AJ17" i="41"/>
  <c r="AJ18" i="41"/>
  <c r="AJ19" i="41"/>
  <c r="AJ27" i="22"/>
  <c r="AJ45" i="22" s="1"/>
  <c r="AJ55" i="22" s="1"/>
  <c r="AJ70" i="2" s="1"/>
  <c r="AK11" i="41"/>
  <c r="AL7" i="41"/>
  <c r="AK10" i="41"/>
  <c r="AK9" i="41"/>
  <c r="AK13" i="41"/>
  <c r="AK12" i="41"/>
  <c r="AI54" i="2"/>
  <c r="AK50" i="21"/>
  <c r="AJ67" i="29"/>
  <c r="AI70" i="29"/>
  <c r="AI74" i="29" s="1"/>
  <c r="AG53" i="28"/>
  <c r="AG60" i="28" s="1"/>
  <c r="AG89" i="2" s="1"/>
  <c r="AL10" i="21"/>
  <c r="AL48" i="21"/>
  <c r="AL47" i="21"/>
  <c r="AM7" i="21"/>
  <c r="AL46" i="21"/>
  <c r="AL49" i="21"/>
  <c r="AL9" i="21"/>
  <c r="AL11" i="21"/>
  <c r="AL13" i="21" s="1"/>
  <c r="AJ61" i="21"/>
  <c r="AJ31" i="21"/>
  <c r="AJ53" i="21"/>
  <c r="AJ67" i="21" s="1"/>
  <c r="AH96" i="2"/>
  <c r="AJ62" i="21"/>
  <c r="AJ54" i="21"/>
  <c r="AJ68" i="21" s="1"/>
  <c r="AJ32" i="21"/>
  <c r="AI40" i="21"/>
  <c r="AI42" i="21"/>
  <c r="AI41" i="21"/>
  <c r="AK17" i="21"/>
  <c r="AK15" i="21"/>
  <c r="AK61" i="21" s="1"/>
  <c r="AK16" i="21"/>
  <c r="AK62" i="21" s="1"/>
  <c r="AJ63" i="21"/>
  <c r="AJ33" i="21"/>
  <c r="AJ37" i="21" s="1"/>
  <c r="AJ55" i="21"/>
  <c r="AJ69" i="21" s="1"/>
  <c r="AJ26" i="22"/>
  <c r="AJ44" i="22" s="1"/>
  <c r="AJ54" i="22" s="1"/>
  <c r="AJ49" i="2" s="1"/>
  <c r="AK74" i="2"/>
  <c r="AK83" i="2"/>
  <c r="AK95" i="2" s="1"/>
  <c r="AJ43" i="26"/>
  <c r="AJ46" i="26" s="1"/>
  <c r="AJ48" i="26" s="1"/>
  <c r="AJ16" i="24"/>
  <c r="AJ15" i="24"/>
  <c r="AJ17" i="24"/>
  <c r="AI72" i="35"/>
  <c r="AL53" i="2"/>
  <c r="AL62" i="2"/>
  <c r="AM41" i="2"/>
  <c r="AL7" i="24"/>
  <c r="AK27" i="24"/>
  <c r="AK26" i="24"/>
  <c r="AK9" i="24"/>
  <c r="AK28" i="24"/>
  <c r="AK29" i="24"/>
  <c r="AK10" i="24"/>
  <c r="AK11" i="24"/>
  <c r="AK13" i="24" s="1"/>
  <c r="AK25" i="24"/>
  <c r="AJ41" i="23"/>
  <c r="AJ29" i="23"/>
  <c r="AJ22" i="24"/>
  <c r="AJ28" i="23"/>
  <c r="AH111" i="26"/>
  <c r="AH65" i="2" s="1"/>
  <c r="AH110" i="26"/>
  <c r="AH44" i="2" s="1"/>
  <c r="AH112" i="26"/>
  <c r="AH86" i="2" s="1"/>
  <c r="AI46" i="23"/>
  <c r="AI51" i="26"/>
  <c r="AI55" i="26" s="1"/>
  <c r="AI59" i="26" s="1"/>
  <c r="AI61" i="26" s="1"/>
  <c r="AJ37" i="23"/>
  <c r="AI29" i="28"/>
  <c r="AI89" i="26"/>
  <c r="AI93" i="26" s="1"/>
  <c r="AI96" i="26" s="1"/>
  <c r="AI98" i="26" s="1"/>
  <c r="AL22" i="22"/>
  <c r="AL23" i="22" s="1"/>
  <c r="AL9" i="22"/>
  <c r="AM7" i="22"/>
  <c r="AL11" i="22"/>
  <c r="AL13" i="22" s="1"/>
  <c r="AL33" i="22" s="1"/>
  <c r="AL34" i="22" s="1"/>
  <c r="AL10" i="22"/>
  <c r="AG98" i="29"/>
  <c r="AG46" i="2" s="1"/>
  <c r="AG99" i="29"/>
  <c r="AG67" i="2" s="1"/>
  <c r="AJ77" i="26"/>
  <c r="AI84" i="26"/>
  <c r="AI86" i="26" s="1"/>
  <c r="AH56" i="29"/>
  <c r="AH100" i="29"/>
  <c r="AH88" i="2" s="1"/>
  <c r="AK16" i="22"/>
  <c r="AK39" i="22" s="1"/>
  <c r="AK50" i="22" s="1"/>
  <c r="AK17" i="22"/>
  <c r="AK40" i="22" s="1"/>
  <c r="AK51" i="22" s="1"/>
  <c r="AK15" i="22"/>
  <c r="AK38" i="22" s="1"/>
  <c r="AK49" i="22" s="1"/>
  <c r="AJ63" i="35"/>
  <c r="AJ69" i="35" s="1"/>
  <c r="AJ62" i="35"/>
  <c r="AJ68" i="35" s="1"/>
  <c r="AI26" i="41"/>
  <c r="AI49" i="41" s="1"/>
  <c r="AI35" i="41" s="1"/>
  <c r="AI43" i="23"/>
  <c r="AK17" i="26"/>
  <c r="AK16" i="26"/>
  <c r="AK15" i="26"/>
  <c r="AL7" i="28"/>
  <c r="AK9" i="28"/>
  <c r="AK11" i="28"/>
  <c r="AK13" i="28" s="1"/>
  <c r="AK10" i="28"/>
  <c r="AI49" i="29"/>
  <c r="AI53" i="29" s="1"/>
  <c r="AJ46" i="29"/>
  <c r="AH49" i="28"/>
  <c r="AH51" i="28" s="1"/>
  <c r="AH42" i="28"/>
  <c r="AH44" i="28" s="1"/>
  <c r="AH31" i="28"/>
  <c r="AH35" i="28" s="1"/>
  <c r="AH37" i="28" s="1"/>
  <c r="AK58" i="35"/>
  <c r="AL56" i="35"/>
  <c r="AN17" i="35"/>
  <c r="AN16" i="35"/>
  <c r="AN15" i="35"/>
  <c r="AI65" i="24"/>
  <c r="AI68" i="26"/>
  <c r="AK19" i="23"/>
  <c r="AK24" i="23"/>
  <c r="AK27" i="23" s="1"/>
  <c r="AK21" i="23"/>
  <c r="AK36" i="23"/>
  <c r="AK9" i="23"/>
  <c r="AL7" i="23"/>
  <c r="AK34" i="23"/>
  <c r="AK11" i="23"/>
  <c r="AK13" i="23" s="1"/>
  <c r="AK10" i="23"/>
  <c r="AH64" i="26"/>
  <c r="AL10" i="26"/>
  <c r="AM7" i="26"/>
  <c r="AL11" i="26"/>
  <c r="AL13" i="26" s="1"/>
  <c r="AL9" i="26"/>
  <c r="AL71" i="26"/>
  <c r="AL24" i="26"/>
  <c r="AL29" i="26"/>
  <c r="AL76" i="26"/>
  <c r="AJ16" i="28"/>
  <c r="AJ15" i="28"/>
  <c r="AJ17" i="28"/>
  <c r="AF58" i="28"/>
  <c r="AF47" i="2" s="1"/>
  <c r="AF60" i="28"/>
  <c r="AF89" i="2" s="1"/>
  <c r="AF59" i="28"/>
  <c r="AF68" i="2" s="1"/>
  <c r="AI42" i="23"/>
  <c r="AI25" i="41"/>
  <c r="AI41" i="41" s="1"/>
  <c r="AJ28" i="22"/>
  <c r="AJ46" i="22" s="1"/>
  <c r="AJ56" i="22" s="1"/>
  <c r="AJ91" i="2" s="1"/>
  <c r="AG106" i="26"/>
  <c r="AG116" i="26" s="1"/>
  <c r="AG64" i="2" s="1"/>
  <c r="AG107" i="26"/>
  <c r="AG117" i="26" s="1"/>
  <c r="AG85" i="2" s="1"/>
  <c r="AG105" i="26"/>
  <c r="AG115" i="26" s="1"/>
  <c r="AG43" i="2" s="1"/>
  <c r="AO9" i="35"/>
  <c r="AO10" i="35"/>
  <c r="AO66" i="35"/>
  <c r="AP7" i="35"/>
  <c r="AO39" i="35"/>
  <c r="AO67" i="35"/>
  <c r="AO11" i="35"/>
  <c r="AO13" i="35" s="1"/>
  <c r="AO40" i="35"/>
  <c r="AO28" i="35"/>
  <c r="AO23" i="35"/>
  <c r="AO55" i="35"/>
  <c r="AO50" i="35"/>
  <c r="AH76" i="2" l="1"/>
  <c r="AH77" i="2" s="1"/>
  <c r="AI74" i="21"/>
  <c r="AI79" i="21" s="1"/>
  <c r="AI72" i="21"/>
  <c r="AI77" i="21" s="1"/>
  <c r="AH55" i="2"/>
  <c r="AH56" i="2" s="1"/>
  <c r="AI73" i="21"/>
  <c r="AI78" i="21" s="1"/>
  <c r="AH97" i="2"/>
  <c r="AH98" i="2" s="1"/>
  <c r="AG67" i="41"/>
  <c r="AG71" i="2" s="1"/>
  <c r="AG68" i="41"/>
  <c r="AG92" i="2" s="1"/>
  <c r="AH58" i="41"/>
  <c r="AH67" i="41" s="1"/>
  <c r="AH71" i="2" s="1"/>
  <c r="AI37" i="41"/>
  <c r="AI38" i="41" s="1"/>
  <c r="AI42" i="41" s="1"/>
  <c r="AI43" i="41" s="1"/>
  <c r="AI46" i="41" s="1"/>
  <c r="AI36" i="41"/>
  <c r="AI50" i="41" s="1"/>
  <c r="AI51" i="41" s="1"/>
  <c r="AI54" i="41" s="1"/>
  <c r="AK15" i="41"/>
  <c r="AL16" i="33"/>
  <c r="AL46" i="33" s="1"/>
  <c r="AL69" i="2" s="1"/>
  <c r="AL15" i="33"/>
  <c r="AL45" i="33" s="1"/>
  <c r="AL48" i="2" s="1"/>
  <c r="AL17" i="33"/>
  <c r="AL47" i="33" s="1"/>
  <c r="AL90" i="2" s="1"/>
  <c r="AM11" i="33"/>
  <c r="AN7" i="33"/>
  <c r="AM9" i="33"/>
  <c r="AM10" i="33"/>
  <c r="AL13" i="33"/>
  <c r="AG77" i="35"/>
  <c r="AG66" i="2" s="1"/>
  <c r="AG76" i="35"/>
  <c r="AG45" i="2" s="1"/>
  <c r="AG78" i="35"/>
  <c r="AG87" i="2" s="1"/>
  <c r="AJ54" i="2"/>
  <c r="AH45" i="35"/>
  <c r="AH76" i="35" s="1"/>
  <c r="AH45" i="2" s="1"/>
  <c r="AI94" i="29"/>
  <c r="AK29" i="29"/>
  <c r="AJ32" i="29"/>
  <c r="AJ36" i="29" s="1"/>
  <c r="AK29" i="35"/>
  <c r="AJ31" i="35"/>
  <c r="AK16" i="29"/>
  <c r="AK15" i="29"/>
  <c r="AK17" i="29"/>
  <c r="AL35" i="29"/>
  <c r="AL78" i="29"/>
  <c r="AM7" i="29"/>
  <c r="AL83" i="29"/>
  <c r="AL40" i="29"/>
  <c r="AL11" i="29"/>
  <c r="AL13" i="29" s="1"/>
  <c r="AL66" i="29"/>
  <c r="AL73" i="29"/>
  <c r="AL45" i="29"/>
  <c r="AL9" i="29"/>
  <c r="AL52" i="29"/>
  <c r="AL61" i="29"/>
  <c r="AL10" i="29"/>
  <c r="AL23" i="29"/>
  <c r="AL90" i="29"/>
  <c r="AL28" i="29"/>
  <c r="AJ87" i="29"/>
  <c r="AJ91" i="29" s="1"/>
  <c r="AK84" i="29"/>
  <c r="AI35" i="35"/>
  <c r="AI41" i="35" s="1"/>
  <c r="AI36" i="35"/>
  <c r="AI42" i="35" s="1"/>
  <c r="AK43" i="26"/>
  <c r="AK46" i="26" s="1"/>
  <c r="AK48" i="26" s="1"/>
  <c r="AG59" i="28"/>
  <c r="AG68" i="2" s="1"/>
  <c r="AG58" i="28"/>
  <c r="AG47" i="2" s="1"/>
  <c r="AJ96" i="2"/>
  <c r="AK18" i="41"/>
  <c r="AK17" i="41"/>
  <c r="AK19" i="41"/>
  <c r="AL12" i="41"/>
  <c r="AM7" i="41"/>
  <c r="AL13" i="41"/>
  <c r="AL11" i="41"/>
  <c r="AL10" i="41"/>
  <c r="AL9" i="41"/>
  <c r="AI75" i="2"/>
  <c r="AK54" i="21"/>
  <c r="AK68" i="21" s="1"/>
  <c r="AK32" i="21"/>
  <c r="AK63" i="21"/>
  <c r="AK55" i="21"/>
  <c r="AK69" i="21" s="1"/>
  <c r="AK33" i="21"/>
  <c r="AK37" i="21" s="1"/>
  <c r="AL16" i="21"/>
  <c r="AL17" i="21"/>
  <c r="AL63" i="21" s="1"/>
  <c r="AL15" i="21"/>
  <c r="AL61" i="21" s="1"/>
  <c r="AK53" i="21"/>
  <c r="AK67" i="21" s="1"/>
  <c r="AK31" i="21"/>
  <c r="AJ70" i="29"/>
  <c r="AJ74" i="29" s="1"/>
  <c r="AK67" i="29"/>
  <c r="AL50" i="21"/>
  <c r="AJ40" i="21"/>
  <c r="AJ41" i="21"/>
  <c r="AJ42" i="21"/>
  <c r="AM9" i="21"/>
  <c r="AM10" i="21"/>
  <c r="AN7" i="21"/>
  <c r="AM48" i="21"/>
  <c r="AM11" i="21"/>
  <c r="AM13" i="21" s="1"/>
  <c r="AM47" i="21"/>
  <c r="AM46" i="21"/>
  <c r="AM49" i="21"/>
  <c r="AL30" i="26"/>
  <c r="AL37" i="26" s="1"/>
  <c r="AL11" i="24"/>
  <c r="AL13" i="24" s="1"/>
  <c r="AL9" i="24"/>
  <c r="AL10" i="24"/>
  <c r="AL27" i="24"/>
  <c r="AL26" i="24"/>
  <c r="AL28" i="24"/>
  <c r="AM7" i="24"/>
  <c r="AL29" i="24"/>
  <c r="AL25" i="24"/>
  <c r="AK26" i="22"/>
  <c r="AK44" i="22" s="1"/>
  <c r="AK54" i="22" s="1"/>
  <c r="AK49" i="2" s="1"/>
  <c r="AN41" i="2"/>
  <c r="AM53" i="2"/>
  <c r="AM62" i="2"/>
  <c r="AK28" i="22"/>
  <c r="AK46" i="22" s="1"/>
  <c r="AK56" i="22" s="1"/>
  <c r="AK91" i="2" s="1"/>
  <c r="AK15" i="24"/>
  <c r="AK17" i="24"/>
  <c r="AK16" i="24"/>
  <c r="AL74" i="2"/>
  <c r="AL83" i="2"/>
  <c r="AL95" i="2" s="1"/>
  <c r="AJ72" i="35"/>
  <c r="AK28" i="23"/>
  <c r="AK29" i="23"/>
  <c r="AK22" i="24"/>
  <c r="AK41" i="23"/>
  <c r="AM9" i="26"/>
  <c r="AN7" i="26"/>
  <c r="AM10" i="26"/>
  <c r="AM11" i="26"/>
  <c r="AM13" i="26" s="1"/>
  <c r="AM71" i="26"/>
  <c r="AM24" i="26"/>
  <c r="AM76" i="26"/>
  <c r="AM29" i="26"/>
  <c r="AJ84" i="26"/>
  <c r="AJ86" i="26" s="1"/>
  <c r="AK77" i="26"/>
  <c r="AL17" i="26"/>
  <c r="AL16" i="26"/>
  <c r="AL15" i="26"/>
  <c r="AL19" i="23"/>
  <c r="AL24" i="23"/>
  <c r="AL27" i="23" s="1"/>
  <c r="AL21" i="23"/>
  <c r="AM7" i="23"/>
  <c r="AL34" i="23"/>
  <c r="AL36" i="23"/>
  <c r="AL9" i="23"/>
  <c r="AL10" i="23"/>
  <c r="AL11" i="23"/>
  <c r="AL13" i="23" s="1"/>
  <c r="AK46" i="29"/>
  <c r="AJ49" i="29"/>
  <c r="AJ53" i="29" s="1"/>
  <c r="AH98" i="29"/>
  <c r="AH46" i="2" s="1"/>
  <c r="AH99" i="29"/>
  <c r="AH67" i="2" s="1"/>
  <c r="AI56" i="29"/>
  <c r="AI100" i="29"/>
  <c r="AI88" i="2" s="1"/>
  <c r="AI31" i="28"/>
  <c r="AI35" i="28" s="1"/>
  <c r="AI37" i="28" s="1"/>
  <c r="AI42" i="28"/>
  <c r="AI44" i="28" s="1"/>
  <c r="AI49" i="28"/>
  <c r="AI51" i="28" s="1"/>
  <c r="AK17" i="28"/>
  <c r="AK16" i="28"/>
  <c r="AK15" i="28"/>
  <c r="AK27" i="22"/>
  <c r="AK45" i="22" s="1"/>
  <c r="AK55" i="22" s="1"/>
  <c r="AK70" i="2" s="1"/>
  <c r="AJ89" i="26"/>
  <c r="AJ93" i="26" s="1"/>
  <c r="AJ96" i="26" s="1"/>
  <c r="AJ98" i="26" s="1"/>
  <c r="AJ51" i="26"/>
  <c r="AJ55" i="26" s="1"/>
  <c r="AJ59" i="26" s="1"/>
  <c r="AJ61" i="26" s="1"/>
  <c r="AJ64" i="26" s="1"/>
  <c r="AK37" i="23"/>
  <c r="AJ29" i="28"/>
  <c r="AJ46" i="23"/>
  <c r="AJ25" i="41"/>
  <c r="AJ41" i="41" s="1"/>
  <c r="AJ42" i="23"/>
  <c r="AO17" i="35"/>
  <c r="AO15" i="35"/>
  <c r="AO16" i="35"/>
  <c r="AL58" i="35"/>
  <c r="AM56" i="35"/>
  <c r="AL16" i="22"/>
  <c r="AL39" i="22" s="1"/>
  <c r="AL50" i="22" s="1"/>
  <c r="AL15" i="22"/>
  <c r="AL38" i="22" s="1"/>
  <c r="AL49" i="22" s="1"/>
  <c r="AL17" i="22"/>
  <c r="AL40" i="22" s="1"/>
  <c r="AL51" i="22" s="1"/>
  <c r="AI112" i="26"/>
  <c r="AI86" i="2" s="1"/>
  <c r="AI110" i="26"/>
  <c r="AI44" i="2" s="1"/>
  <c r="AI111" i="26"/>
  <c r="AI65" i="2" s="1"/>
  <c r="AI64" i="26"/>
  <c r="AH106" i="26"/>
  <c r="AH116" i="26" s="1"/>
  <c r="AH64" i="2" s="1"/>
  <c r="AH105" i="26"/>
  <c r="AH115" i="26" s="1"/>
  <c r="AH43" i="2" s="1"/>
  <c r="AH107" i="26"/>
  <c r="AH117" i="26" s="1"/>
  <c r="AH85" i="2" s="1"/>
  <c r="AK62" i="35"/>
  <c r="AK68" i="35" s="1"/>
  <c r="AK63" i="35"/>
  <c r="AK69" i="35" s="1"/>
  <c r="AJ26" i="41"/>
  <c r="AJ49" i="41" s="1"/>
  <c r="AJ35" i="41" s="1"/>
  <c r="AJ43" i="23"/>
  <c r="AP11" i="35"/>
  <c r="AP13" i="35" s="1"/>
  <c r="AP40" i="35"/>
  <c r="AP9" i="35"/>
  <c r="AP67" i="35"/>
  <c r="AP39" i="35"/>
  <c r="AQ7" i="35"/>
  <c r="AP10" i="35"/>
  <c r="AP66" i="35"/>
  <c r="AP23" i="35"/>
  <c r="AP28" i="35"/>
  <c r="AP55" i="35"/>
  <c r="AP50" i="35"/>
  <c r="AH53" i="28"/>
  <c r="AM7" i="28"/>
  <c r="AL9" i="28"/>
  <c r="AL10" i="28"/>
  <c r="AL11" i="28"/>
  <c r="AL13" i="28" s="1"/>
  <c r="AI101" i="26"/>
  <c r="AM11" i="22"/>
  <c r="AM13" i="22" s="1"/>
  <c r="AM33" i="22" s="1"/>
  <c r="AM34" i="22" s="1"/>
  <c r="AN7" i="22"/>
  <c r="AM9" i="22"/>
  <c r="AM10" i="22"/>
  <c r="AM22" i="22"/>
  <c r="AM23" i="22" s="1"/>
  <c r="AJ65" i="24"/>
  <c r="AJ68" i="26"/>
  <c r="AJ74" i="21" l="1"/>
  <c r="AJ79" i="21" s="1"/>
  <c r="AI76" i="2"/>
  <c r="AI77" i="2" s="1"/>
  <c r="AJ73" i="21"/>
  <c r="AJ78" i="21" s="1"/>
  <c r="AJ72" i="21"/>
  <c r="AJ77" i="21" s="1"/>
  <c r="AI55" i="2"/>
  <c r="AI56" i="2" s="1"/>
  <c r="AI97" i="2"/>
  <c r="AI98" i="2" s="1"/>
  <c r="AJ94" i="29"/>
  <c r="AH68" i="41"/>
  <c r="AH92" i="2" s="1"/>
  <c r="AH66" i="41"/>
  <c r="AH50" i="2" s="1"/>
  <c r="AI58" i="41"/>
  <c r="AI68" i="41" s="1"/>
  <c r="AI92" i="2" s="1"/>
  <c r="AJ37" i="41"/>
  <c r="AJ38" i="41" s="1"/>
  <c r="AJ42" i="41" s="1"/>
  <c r="AJ43" i="41" s="1"/>
  <c r="AJ46" i="41" s="1"/>
  <c r="AL15" i="41"/>
  <c r="AJ36" i="41"/>
  <c r="AJ50" i="41" s="1"/>
  <c r="AJ51" i="41" s="1"/>
  <c r="AJ54" i="41" s="1"/>
  <c r="AN10" i="33"/>
  <c r="AN11" i="33"/>
  <c r="AN9" i="33"/>
  <c r="AO7" i="33"/>
  <c r="AM13" i="33"/>
  <c r="AM16" i="33"/>
  <c r="AM46" i="33" s="1"/>
  <c r="AM69" i="2" s="1"/>
  <c r="AM15" i="33"/>
  <c r="AM45" i="33" s="1"/>
  <c r="AM48" i="2" s="1"/>
  <c r="AM17" i="33"/>
  <c r="AM47" i="33" s="1"/>
  <c r="AM90" i="2" s="1"/>
  <c r="AH78" i="35"/>
  <c r="AH87" i="2" s="1"/>
  <c r="AH77" i="35"/>
  <c r="AH66" i="2" s="1"/>
  <c r="AI45" i="35"/>
  <c r="AL17" i="29"/>
  <c r="AL16" i="29"/>
  <c r="AL15" i="29"/>
  <c r="AJ35" i="35"/>
  <c r="AJ41" i="35" s="1"/>
  <c r="AJ36" i="35"/>
  <c r="AJ42" i="35" s="1"/>
  <c r="AK31" i="35"/>
  <c r="AL29" i="35"/>
  <c r="AM35" i="29"/>
  <c r="AM23" i="29"/>
  <c r="AM78" i="29"/>
  <c r="AM40" i="29"/>
  <c r="AM9" i="29"/>
  <c r="AM73" i="29"/>
  <c r="AM61" i="29"/>
  <c r="AM52" i="29"/>
  <c r="AM28" i="29"/>
  <c r="AM10" i="29"/>
  <c r="AM66" i="29"/>
  <c r="AM90" i="29"/>
  <c r="AM83" i="29"/>
  <c r="AM11" i="29"/>
  <c r="AM13" i="29" s="1"/>
  <c r="AM45" i="29"/>
  <c r="AN7" i="29"/>
  <c r="AK87" i="29"/>
  <c r="AK91" i="29" s="1"/>
  <c r="AL84" i="29"/>
  <c r="AK32" i="29"/>
  <c r="AK36" i="29" s="1"/>
  <c r="AL29" i="29"/>
  <c r="AK75" i="2"/>
  <c r="AM9" i="41"/>
  <c r="AM11" i="41"/>
  <c r="AN7" i="41"/>
  <c r="AM12" i="41"/>
  <c r="AM13" i="41"/>
  <c r="AM10" i="41"/>
  <c r="AL19" i="41"/>
  <c r="AL18" i="41"/>
  <c r="AL17" i="41"/>
  <c r="AL62" i="21"/>
  <c r="AL32" i="21"/>
  <c r="AL54" i="21"/>
  <c r="AL68" i="21" s="1"/>
  <c r="AJ75" i="2"/>
  <c r="AO7" i="21"/>
  <c r="AN48" i="21"/>
  <c r="AN49" i="21"/>
  <c r="AN46" i="21"/>
  <c r="AN11" i="21"/>
  <c r="AN13" i="21" s="1"/>
  <c r="AN47" i="21"/>
  <c r="AN9" i="21"/>
  <c r="AN10" i="21"/>
  <c r="AM17" i="21"/>
  <c r="AM63" i="21" s="1"/>
  <c r="AM16" i="21"/>
  <c r="AM62" i="21" s="1"/>
  <c r="AM15" i="21"/>
  <c r="AM61" i="21" s="1"/>
  <c r="AK42" i="21"/>
  <c r="AK41" i="21"/>
  <c r="AK40" i="21"/>
  <c r="AL43" i="26"/>
  <c r="AL46" i="26" s="1"/>
  <c r="AL48" i="26" s="1"/>
  <c r="AK70" i="29"/>
  <c r="AK74" i="29" s="1"/>
  <c r="AL67" i="29"/>
  <c r="AL31" i="21"/>
  <c r="AL53" i="21"/>
  <c r="AL67" i="21" s="1"/>
  <c r="AM50" i="21"/>
  <c r="AL55" i="21"/>
  <c r="AL69" i="21" s="1"/>
  <c r="AL33" i="21"/>
  <c r="AL37" i="21" s="1"/>
  <c r="AM9" i="24"/>
  <c r="AM27" i="24"/>
  <c r="AM11" i="24"/>
  <c r="AM13" i="24" s="1"/>
  <c r="AM28" i="24"/>
  <c r="AM29" i="24"/>
  <c r="AM25" i="24"/>
  <c r="AN7" i="24"/>
  <c r="AM10" i="24"/>
  <c r="AM26" i="24"/>
  <c r="AM83" i="2"/>
  <c r="AM95" i="2" s="1"/>
  <c r="AM74" i="2"/>
  <c r="AM30" i="26"/>
  <c r="AM37" i="26" s="1"/>
  <c r="AN53" i="2"/>
  <c r="AN62" i="2"/>
  <c r="AO41" i="2"/>
  <c r="AL15" i="24"/>
  <c r="AL16" i="24"/>
  <c r="AL17" i="24"/>
  <c r="AL28" i="23"/>
  <c r="AL22" i="24"/>
  <c r="AL41" i="23"/>
  <c r="AL29" i="23"/>
  <c r="AM58" i="35"/>
  <c r="AN56" i="35"/>
  <c r="AL37" i="23"/>
  <c r="AK51" i="26"/>
  <c r="AK55" i="26" s="1"/>
  <c r="AK59" i="26" s="1"/>
  <c r="AK61" i="26" s="1"/>
  <c r="AK89" i="26"/>
  <c r="AK93" i="26" s="1"/>
  <c r="AK96" i="26" s="1"/>
  <c r="AK98" i="26" s="1"/>
  <c r="AK46" i="23"/>
  <c r="AK29" i="28"/>
  <c r="AJ101" i="26"/>
  <c r="AJ106" i="26" s="1"/>
  <c r="AK25" i="41"/>
  <c r="AK41" i="41" s="1"/>
  <c r="AK42" i="23"/>
  <c r="AL63" i="35"/>
  <c r="AL69" i="35" s="1"/>
  <c r="AL62" i="35"/>
  <c r="AL68" i="35" s="1"/>
  <c r="AJ110" i="26"/>
  <c r="AJ44" i="2" s="1"/>
  <c r="AJ111" i="26"/>
  <c r="AJ65" i="2" s="1"/>
  <c r="AJ112" i="26"/>
  <c r="AJ86" i="2" s="1"/>
  <c r="AM24" i="23"/>
  <c r="AM27" i="23" s="1"/>
  <c r="AM21" i="23"/>
  <c r="AM19" i="23"/>
  <c r="AN7" i="23"/>
  <c r="AM36" i="23"/>
  <c r="AM10" i="23"/>
  <c r="AM9" i="23"/>
  <c r="AM11" i="23"/>
  <c r="AM13" i="23" s="1"/>
  <c r="AM34" i="23"/>
  <c r="AL26" i="22"/>
  <c r="AL44" i="22" s="1"/>
  <c r="AL54" i="22" s="1"/>
  <c r="AL49" i="2" s="1"/>
  <c r="AQ67" i="35"/>
  <c r="AQ66" i="35"/>
  <c r="AQ39" i="35"/>
  <c r="AQ11" i="35"/>
  <c r="AQ13" i="35" s="1"/>
  <c r="AQ10" i="35"/>
  <c r="AR7" i="35"/>
  <c r="AQ40" i="35"/>
  <c r="AQ50" i="35"/>
  <c r="AQ23" i="35"/>
  <c r="AQ55" i="35"/>
  <c r="AQ9" i="35"/>
  <c r="AQ28" i="35"/>
  <c r="AJ56" i="29"/>
  <c r="AJ100" i="29"/>
  <c r="AJ88" i="2" s="1"/>
  <c r="AL27" i="22"/>
  <c r="AL45" i="22" s="1"/>
  <c r="AL55" i="22" s="1"/>
  <c r="AL70" i="2" s="1"/>
  <c r="AI53" i="28"/>
  <c r="AK49" i="29"/>
  <c r="AK53" i="29" s="1"/>
  <c r="AL46" i="29"/>
  <c r="AL28" i="22"/>
  <c r="AL46" i="22" s="1"/>
  <c r="AL56" i="22" s="1"/>
  <c r="AL91" i="2" s="1"/>
  <c r="AN22" i="22"/>
  <c r="AN23" i="22" s="1"/>
  <c r="AN9" i="22"/>
  <c r="AN10" i="22"/>
  <c r="AN11" i="22"/>
  <c r="AN13" i="22" s="1"/>
  <c r="AN33" i="22" s="1"/>
  <c r="AN34" i="22" s="1"/>
  <c r="AO7" i="22"/>
  <c r="AM16" i="26"/>
  <c r="AM15" i="26"/>
  <c r="AM17" i="26"/>
  <c r="AK65" i="24"/>
  <c r="AK68" i="26"/>
  <c r="AL16" i="28"/>
  <c r="AL17" i="28"/>
  <c r="AL15" i="28"/>
  <c r="AH58" i="28"/>
  <c r="AH47" i="2" s="1"/>
  <c r="AH60" i="28"/>
  <c r="AH89" i="2" s="1"/>
  <c r="AH59" i="28"/>
  <c r="AH68" i="2" s="1"/>
  <c r="AK72" i="35"/>
  <c r="AI106" i="26"/>
  <c r="AI116" i="26" s="1"/>
  <c r="AI64" i="2" s="1"/>
  <c r="AI105" i="26"/>
  <c r="AI115" i="26" s="1"/>
  <c r="AI43" i="2" s="1"/>
  <c r="AI107" i="26"/>
  <c r="AI117" i="26" s="1"/>
  <c r="AI85" i="2" s="1"/>
  <c r="AN9" i="26"/>
  <c r="AN10" i="26"/>
  <c r="AO7" i="26"/>
  <c r="AN11" i="26"/>
  <c r="AN13" i="26" s="1"/>
  <c r="AN76" i="26"/>
  <c r="AN29" i="26"/>
  <c r="AN71" i="26"/>
  <c r="AN24" i="26"/>
  <c r="AN7" i="28"/>
  <c r="AM11" i="28"/>
  <c r="AM13" i="28" s="1"/>
  <c r="AM9" i="28"/>
  <c r="AM10" i="28"/>
  <c r="AM17" i="22"/>
  <c r="AM40" i="22" s="1"/>
  <c r="AM51" i="22" s="1"/>
  <c r="AM16" i="22"/>
  <c r="AM39" i="22" s="1"/>
  <c r="AM50" i="22" s="1"/>
  <c r="AM15" i="22"/>
  <c r="AM38" i="22" s="1"/>
  <c r="AM49" i="22" s="1"/>
  <c r="AP17" i="35"/>
  <c r="AP15" i="35"/>
  <c r="AP16" i="35"/>
  <c r="AJ49" i="28"/>
  <c r="AJ51" i="28" s="1"/>
  <c r="AJ31" i="28"/>
  <c r="AJ35" i="28" s="1"/>
  <c r="AJ37" i="28" s="1"/>
  <c r="AJ42" i="28"/>
  <c r="AJ44" i="28" s="1"/>
  <c r="AI98" i="29"/>
  <c r="AI46" i="2" s="1"/>
  <c r="AI99" i="29"/>
  <c r="AI67" i="2" s="1"/>
  <c r="AL77" i="26"/>
  <c r="AK84" i="26"/>
  <c r="AK86" i="26" s="1"/>
  <c r="AK26" i="41"/>
  <c r="AK49" i="41" s="1"/>
  <c r="AK35" i="41" s="1"/>
  <c r="AK43" i="23"/>
  <c r="AI66" i="41" l="1"/>
  <c r="AI50" i="2" s="1"/>
  <c r="AK72" i="21"/>
  <c r="AK77" i="21" s="1"/>
  <c r="AJ55" i="2"/>
  <c r="AJ56" i="2" s="1"/>
  <c r="AK73" i="21"/>
  <c r="AK78" i="21" s="1"/>
  <c r="AK74" i="21"/>
  <c r="AK79" i="21" s="1"/>
  <c r="AJ76" i="2"/>
  <c r="AJ77" i="2" s="1"/>
  <c r="AJ97" i="2"/>
  <c r="AJ98" i="2" s="1"/>
  <c r="AI67" i="41"/>
  <c r="AI71" i="2" s="1"/>
  <c r="AK37" i="41"/>
  <c r="AK38" i="41" s="1"/>
  <c r="AK42" i="41" s="1"/>
  <c r="AK43" i="41" s="1"/>
  <c r="AK46" i="41" s="1"/>
  <c r="AJ58" i="41"/>
  <c r="AJ68" i="41" s="1"/>
  <c r="AJ92" i="2" s="1"/>
  <c r="AM15" i="41"/>
  <c r="AK36" i="41"/>
  <c r="AK50" i="41" s="1"/>
  <c r="AK51" i="41" s="1"/>
  <c r="AK54" i="41" s="1"/>
  <c r="AP7" i="33"/>
  <c r="AO11" i="33"/>
  <c r="AO9" i="33"/>
  <c r="AO10" i="33"/>
  <c r="AN13" i="33"/>
  <c r="AN15" i="33"/>
  <c r="AN45" i="33" s="1"/>
  <c r="AN48" i="2" s="1"/>
  <c r="AN17" i="33"/>
  <c r="AN47" i="33" s="1"/>
  <c r="AN90" i="2" s="1"/>
  <c r="AN16" i="33"/>
  <c r="AN46" i="33" s="1"/>
  <c r="AN69" i="2" s="1"/>
  <c r="AJ45" i="35"/>
  <c r="AJ77" i="35" s="1"/>
  <c r="AJ66" i="2" s="1"/>
  <c r="AJ105" i="26"/>
  <c r="AJ115" i="26" s="1"/>
  <c r="AJ43" i="2" s="1"/>
  <c r="AJ107" i="26"/>
  <c r="AJ117" i="26" s="1"/>
  <c r="AJ85" i="2" s="1"/>
  <c r="AI76" i="35"/>
  <c r="AI45" i="2" s="1"/>
  <c r="AI77" i="35"/>
  <c r="AI66" i="2" s="1"/>
  <c r="AI78" i="35"/>
  <c r="AI87" i="2" s="1"/>
  <c r="AK94" i="29"/>
  <c r="AN52" i="29"/>
  <c r="AN28" i="29"/>
  <c r="AN9" i="29"/>
  <c r="AN78" i="29"/>
  <c r="AN73" i="29"/>
  <c r="AN45" i="29"/>
  <c r="AO7" i="29"/>
  <c r="AN90" i="29"/>
  <c r="AN66" i="29"/>
  <c r="AN83" i="29"/>
  <c r="AN35" i="29"/>
  <c r="AN61" i="29"/>
  <c r="AN10" i="29"/>
  <c r="AN23" i="29"/>
  <c r="AN11" i="29"/>
  <c r="AN13" i="29" s="1"/>
  <c r="AN40" i="29"/>
  <c r="AM29" i="35"/>
  <c r="AL31" i="35"/>
  <c r="AL87" i="29"/>
  <c r="AL91" i="29" s="1"/>
  <c r="AM84" i="29"/>
  <c r="AK35" i="35"/>
  <c r="AK41" i="35" s="1"/>
  <c r="AK36" i="35"/>
  <c r="AK42" i="35" s="1"/>
  <c r="AM15" i="29"/>
  <c r="AM17" i="29"/>
  <c r="AM16" i="29"/>
  <c r="AM29" i="29"/>
  <c r="AL32" i="29"/>
  <c r="AL36" i="29" s="1"/>
  <c r="AL75" i="2"/>
  <c r="AL96" i="2"/>
  <c r="AN50" i="21"/>
  <c r="AM17" i="41"/>
  <c r="AM18" i="41"/>
  <c r="AM19" i="41"/>
  <c r="AN10" i="41"/>
  <c r="AO7" i="41"/>
  <c r="AN9" i="41"/>
  <c r="AN12" i="41"/>
  <c r="AN11" i="41"/>
  <c r="AN13" i="41"/>
  <c r="AJ116" i="26"/>
  <c r="AJ64" i="2" s="1"/>
  <c r="AK101" i="26"/>
  <c r="AL41" i="21"/>
  <c r="AL40" i="21"/>
  <c r="AL42" i="21"/>
  <c r="AM33" i="21"/>
  <c r="AM37" i="21" s="1"/>
  <c r="AM55" i="21"/>
  <c r="AM69" i="21" s="1"/>
  <c r="AK96" i="2"/>
  <c r="AL70" i="29"/>
  <c r="AL74" i="29" s="1"/>
  <c r="AM67" i="29"/>
  <c r="AM53" i="21"/>
  <c r="AM67" i="21" s="1"/>
  <c r="AM31" i="21"/>
  <c r="AN17" i="21"/>
  <c r="AN63" i="21" s="1"/>
  <c r="AN16" i="21"/>
  <c r="AN62" i="21" s="1"/>
  <c r="AN15" i="21"/>
  <c r="AK54" i="2"/>
  <c r="AL72" i="35"/>
  <c r="AM32" i="21"/>
  <c r="AM54" i="21"/>
  <c r="AM68" i="21" s="1"/>
  <c r="AO49" i="21"/>
  <c r="AO9" i="21"/>
  <c r="AP7" i="21"/>
  <c r="AO48" i="21"/>
  <c r="AO11" i="21"/>
  <c r="AO13" i="21" s="1"/>
  <c r="AO46" i="21"/>
  <c r="AO10" i="21"/>
  <c r="AO47" i="21"/>
  <c r="AM43" i="26"/>
  <c r="AM46" i="26" s="1"/>
  <c r="AM48" i="26" s="1"/>
  <c r="AM15" i="24"/>
  <c r="AM17" i="24"/>
  <c r="AM16" i="24"/>
  <c r="AN30" i="26"/>
  <c r="AN37" i="26" s="1"/>
  <c r="AP41" i="2"/>
  <c r="AO62" i="2"/>
  <c r="AO53" i="2"/>
  <c r="AN26" i="24"/>
  <c r="AN28" i="24"/>
  <c r="AN29" i="24"/>
  <c r="AO7" i="24"/>
  <c r="AN27" i="24"/>
  <c r="AN11" i="24"/>
  <c r="AN13" i="24" s="1"/>
  <c r="AN9" i="24"/>
  <c r="AN10" i="24"/>
  <c r="AN25" i="24"/>
  <c r="AN74" i="2"/>
  <c r="AN83" i="2"/>
  <c r="AN95" i="2" s="1"/>
  <c r="AM22" i="24"/>
  <c r="AM28" i="23"/>
  <c r="AM41" i="23"/>
  <c r="AM29" i="23"/>
  <c r="AM16" i="28"/>
  <c r="AM17" i="28"/>
  <c r="AM15" i="28"/>
  <c r="AI58" i="28"/>
  <c r="AI47" i="2" s="1"/>
  <c r="AI59" i="28"/>
  <c r="AI68" i="2" s="1"/>
  <c r="AI60" i="28"/>
  <c r="AI89" i="2" s="1"/>
  <c r="AQ17" i="35"/>
  <c r="AQ15" i="35"/>
  <c r="AQ16" i="35"/>
  <c r="AL68" i="26"/>
  <c r="AL65" i="24"/>
  <c r="AN15" i="22"/>
  <c r="AN38" i="22" s="1"/>
  <c r="AN49" i="22" s="1"/>
  <c r="AN17" i="22"/>
  <c r="AN40" i="22" s="1"/>
  <c r="AN51" i="22" s="1"/>
  <c r="AN16" i="22"/>
  <c r="AN39" i="22" s="1"/>
  <c r="AN50" i="22" s="1"/>
  <c r="AK112" i="26"/>
  <c r="AK86" i="2" s="1"/>
  <c r="AK111" i="26"/>
  <c r="AK65" i="2" s="1"/>
  <c r="AK110" i="26"/>
  <c r="AK44" i="2" s="1"/>
  <c r="AK64" i="26"/>
  <c r="AL51" i="26"/>
  <c r="AL55" i="26" s="1"/>
  <c r="AL59" i="26" s="1"/>
  <c r="AL61" i="26" s="1"/>
  <c r="AL46" i="23"/>
  <c r="AL89" i="26"/>
  <c r="AL93" i="26" s="1"/>
  <c r="AL96" i="26" s="1"/>
  <c r="AL98" i="26" s="1"/>
  <c r="AM37" i="23"/>
  <c r="AL29" i="28"/>
  <c r="AL42" i="23"/>
  <c r="AL25" i="41"/>
  <c r="AL41" i="41" s="1"/>
  <c r="AM27" i="22"/>
  <c r="AM45" i="22" s="1"/>
  <c r="AM55" i="22" s="1"/>
  <c r="AM70" i="2" s="1"/>
  <c r="AO7" i="28"/>
  <c r="AN9" i="28"/>
  <c r="AN10" i="28"/>
  <c r="AN11" i="28"/>
  <c r="AN13" i="28" s="1"/>
  <c r="AN16" i="26"/>
  <c r="AN17" i="26"/>
  <c r="AN15" i="26"/>
  <c r="AM28" i="22"/>
  <c r="AM46" i="22" s="1"/>
  <c r="AM56" i="22" s="1"/>
  <c r="AM91" i="2" s="1"/>
  <c r="AO56" i="35"/>
  <c r="AN58" i="35"/>
  <c r="AO10" i="26"/>
  <c r="AP7" i="26"/>
  <c r="AO11" i="26"/>
  <c r="AO13" i="26" s="1"/>
  <c r="AO9" i="26"/>
  <c r="AO76" i="26"/>
  <c r="AO24" i="26"/>
  <c r="AO29" i="26"/>
  <c r="AO71" i="26"/>
  <c r="AM63" i="35"/>
  <c r="AM69" i="35" s="1"/>
  <c r="AM62" i="35"/>
  <c r="AM68" i="35" s="1"/>
  <c r="AM77" i="26"/>
  <c r="AL84" i="26"/>
  <c r="AL86" i="26" s="1"/>
  <c r="AM26" i="22"/>
  <c r="AM44" i="22" s="1"/>
  <c r="AM54" i="22" s="1"/>
  <c r="AM49" i="2" s="1"/>
  <c r="AJ53" i="28"/>
  <c r="AL49" i="29"/>
  <c r="AL53" i="29" s="1"/>
  <c r="AM46" i="29"/>
  <c r="AJ98" i="29"/>
  <c r="AJ46" i="2" s="1"/>
  <c r="AJ99" i="29"/>
  <c r="AJ67" i="2" s="1"/>
  <c r="AN19" i="23"/>
  <c r="AN24" i="23"/>
  <c r="AN27" i="23" s="1"/>
  <c r="AN21" i="23"/>
  <c r="AN34" i="23"/>
  <c r="AN36" i="23"/>
  <c r="AN9" i="23"/>
  <c r="AO7" i="23"/>
  <c r="AN10" i="23"/>
  <c r="AN11" i="23"/>
  <c r="AN13" i="23" s="1"/>
  <c r="AK49" i="28"/>
  <c r="AK51" i="28" s="1"/>
  <c r="AK31" i="28"/>
  <c r="AK35" i="28" s="1"/>
  <c r="AK37" i="28" s="1"/>
  <c r="AK42" i="28"/>
  <c r="AK44" i="28" s="1"/>
  <c r="AO10" i="22"/>
  <c r="AP7" i="22"/>
  <c r="AO9" i="22"/>
  <c r="AO11" i="22"/>
  <c r="AO13" i="22" s="1"/>
  <c r="AO33" i="22" s="1"/>
  <c r="AO34" i="22" s="1"/>
  <c r="AO22" i="22"/>
  <c r="AO23" i="22" s="1"/>
  <c r="AK56" i="29"/>
  <c r="AK100" i="29"/>
  <c r="AK88" i="2" s="1"/>
  <c r="AR67" i="35"/>
  <c r="AR66" i="35"/>
  <c r="AR40" i="35"/>
  <c r="AR10" i="35"/>
  <c r="AR28" i="35"/>
  <c r="AR39" i="35"/>
  <c r="AR50" i="35"/>
  <c r="AR11" i="35"/>
  <c r="AR13" i="35" s="1"/>
  <c r="AR9" i="35"/>
  <c r="AR55" i="35"/>
  <c r="AR23" i="35"/>
  <c r="AL43" i="23"/>
  <c r="AL26" i="41"/>
  <c r="AL49" i="41" s="1"/>
  <c r="AL35" i="41" s="1"/>
  <c r="AK97" i="2" l="1"/>
  <c r="AK98" i="2" s="1"/>
  <c r="AK76" i="2"/>
  <c r="AK77" i="2" s="1"/>
  <c r="AL74" i="21"/>
  <c r="AL79" i="21" s="1"/>
  <c r="AL72" i="21"/>
  <c r="AL77" i="21" s="1"/>
  <c r="AL73" i="21"/>
  <c r="AL78" i="21" s="1"/>
  <c r="AK55" i="2"/>
  <c r="AK56" i="2" s="1"/>
  <c r="AJ66" i="41"/>
  <c r="AJ50" i="2" s="1"/>
  <c r="AJ67" i="41"/>
  <c r="AJ71" i="2" s="1"/>
  <c r="AL37" i="41"/>
  <c r="AL38" i="41" s="1"/>
  <c r="AL42" i="41" s="1"/>
  <c r="AL43" i="41" s="1"/>
  <c r="AL46" i="41" s="1"/>
  <c r="AK58" i="41"/>
  <c r="AK66" i="41" s="1"/>
  <c r="AK50" i="2" s="1"/>
  <c r="AL36" i="41"/>
  <c r="AL50" i="41" s="1"/>
  <c r="AL51" i="41" s="1"/>
  <c r="AL54" i="41" s="1"/>
  <c r="AN15" i="41"/>
  <c r="AJ76" i="35"/>
  <c r="AJ45" i="2" s="1"/>
  <c r="AJ78" i="35"/>
  <c r="AJ87" i="2" s="1"/>
  <c r="AO16" i="33"/>
  <c r="AO46" i="33" s="1"/>
  <c r="AO69" i="2" s="1"/>
  <c r="AO15" i="33"/>
  <c r="AO45" i="33" s="1"/>
  <c r="AO48" i="2" s="1"/>
  <c r="AO17" i="33"/>
  <c r="AO47" i="33" s="1"/>
  <c r="AO90" i="2" s="1"/>
  <c r="AO13" i="33"/>
  <c r="AP11" i="33"/>
  <c r="AQ7" i="33"/>
  <c r="AP10" i="33"/>
  <c r="AP9" i="33"/>
  <c r="AL94" i="29"/>
  <c r="AK45" i="35"/>
  <c r="AK77" i="35" s="1"/>
  <c r="AK66" i="2" s="1"/>
  <c r="AO11" i="29"/>
  <c r="AO13" i="29" s="1"/>
  <c r="AO61" i="29"/>
  <c r="AO28" i="29"/>
  <c r="AO83" i="29"/>
  <c r="AO52" i="29"/>
  <c r="AO66" i="29"/>
  <c r="AO35" i="29"/>
  <c r="AO10" i="29"/>
  <c r="AO40" i="29"/>
  <c r="AO90" i="29"/>
  <c r="AP7" i="29"/>
  <c r="AO73" i="29"/>
  <c r="AO23" i="29"/>
  <c r="AO9" i="29"/>
  <c r="AO78" i="29"/>
  <c r="AO45" i="29"/>
  <c r="AN17" i="29"/>
  <c r="AN16" i="29"/>
  <c r="AN15" i="29"/>
  <c r="AM87" i="29"/>
  <c r="AM91" i="29" s="1"/>
  <c r="AN84" i="29"/>
  <c r="AN29" i="29"/>
  <c r="AM32" i="29"/>
  <c r="AM36" i="29" s="1"/>
  <c r="AL36" i="35"/>
  <c r="AL42" i="35" s="1"/>
  <c r="AL35" i="35"/>
  <c r="AL41" i="35" s="1"/>
  <c r="AN29" i="35"/>
  <c r="AM31" i="35"/>
  <c r="AM96" i="2"/>
  <c r="AM72" i="35"/>
  <c r="AL101" i="26"/>
  <c r="AN43" i="26"/>
  <c r="AN46" i="26" s="1"/>
  <c r="AN48" i="26" s="1"/>
  <c r="AM75" i="2"/>
  <c r="AN19" i="41"/>
  <c r="AN18" i="41"/>
  <c r="AN17" i="41"/>
  <c r="AO12" i="41"/>
  <c r="AO11" i="41"/>
  <c r="AP7" i="41"/>
  <c r="AO10" i="41"/>
  <c r="AO13" i="41"/>
  <c r="AO9" i="41"/>
  <c r="AP9" i="21"/>
  <c r="AP10" i="21"/>
  <c r="AP49" i="21"/>
  <c r="AQ7" i="21"/>
  <c r="AP47" i="21"/>
  <c r="AP46" i="21"/>
  <c r="AP48" i="21"/>
  <c r="AP11" i="21"/>
  <c r="AP13" i="21" s="1"/>
  <c r="AN61" i="21"/>
  <c r="AN53" i="21"/>
  <c r="AN67" i="21" s="1"/>
  <c r="AN31" i="21"/>
  <c r="AO16" i="21"/>
  <c r="AO62" i="21" s="1"/>
  <c r="AO15" i="21"/>
  <c r="AO61" i="21" s="1"/>
  <c r="AO17" i="21"/>
  <c r="AO63" i="21" s="1"/>
  <c r="AN32" i="21"/>
  <c r="AN54" i="21"/>
  <c r="AN68" i="21" s="1"/>
  <c r="AM70" i="29"/>
  <c r="AM74" i="29" s="1"/>
  <c r="AN67" i="29"/>
  <c r="AM42" i="21"/>
  <c r="AM40" i="21"/>
  <c r="AM41" i="21"/>
  <c r="AO50" i="21"/>
  <c r="AN55" i="21"/>
  <c r="AN69" i="21" s="1"/>
  <c r="AN33" i="21"/>
  <c r="AN37" i="21" s="1"/>
  <c r="AL54" i="2"/>
  <c r="AO30" i="26"/>
  <c r="AO43" i="26" s="1"/>
  <c r="AP53" i="2"/>
  <c r="AQ41" i="2"/>
  <c r="AP62" i="2"/>
  <c r="AO28" i="24"/>
  <c r="AO9" i="24"/>
  <c r="AO27" i="24"/>
  <c r="AO11" i="24"/>
  <c r="AO13" i="24" s="1"/>
  <c r="AO29" i="24"/>
  <c r="AO10" i="24"/>
  <c r="AO25" i="24"/>
  <c r="AP7" i="24"/>
  <c r="AO26" i="24"/>
  <c r="AK53" i="28"/>
  <c r="AK60" i="28" s="1"/>
  <c r="AK89" i="2" s="1"/>
  <c r="AN27" i="22"/>
  <c r="AN45" i="22" s="1"/>
  <c r="AN55" i="22" s="1"/>
  <c r="AN70" i="2" s="1"/>
  <c r="AN16" i="24"/>
  <c r="AN15" i="24"/>
  <c r="AN17" i="24"/>
  <c r="AO83" i="2"/>
  <c r="AO95" i="2" s="1"/>
  <c r="AO74" i="2"/>
  <c r="AN28" i="23"/>
  <c r="AN22" i="24"/>
  <c r="AN41" i="23"/>
  <c r="AN29" i="23"/>
  <c r="AK98" i="29"/>
  <c r="AK46" i="2" s="1"/>
  <c r="AK99" i="29"/>
  <c r="AK67" i="2" s="1"/>
  <c r="AN46" i="29"/>
  <c r="AM49" i="29"/>
  <c r="AM53" i="29" s="1"/>
  <c r="AO58" i="35"/>
  <c r="AP56" i="35"/>
  <c r="AL56" i="29"/>
  <c r="AL100" i="29"/>
  <c r="AL88" i="2" s="1"/>
  <c r="AJ60" i="28"/>
  <c r="AJ89" i="2" s="1"/>
  <c r="AJ58" i="28"/>
  <c r="AJ47" i="2" s="1"/>
  <c r="AJ59" i="28"/>
  <c r="AJ68" i="2" s="1"/>
  <c r="AL111" i="26"/>
  <c r="AL65" i="2" s="1"/>
  <c r="AL112" i="26"/>
  <c r="AL86" i="2" s="1"/>
  <c r="AL110" i="26"/>
  <c r="AL44" i="2" s="1"/>
  <c r="AM68" i="26"/>
  <c r="AM65" i="24"/>
  <c r="AK105" i="26"/>
  <c r="AK115" i="26" s="1"/>
  <c r="AK43" i="2" s="1"/>
  <c r="AK107" i="26"/>
  <c r="AK117" i="26" s="1"/>
  <c r="AK85" i="2" s="1"/>
  <c r="AK106" i="26"/>
  <c r="AK116" i="26" s="1"/>
  <c r="AK64" i="2" s="1"/>
  <c r="AM42" i="23"/>
  <c r="AM25" i="41"/>
  <c r="AM41" i="41" s="1"/>
  <c r="AN15" i="28"/>
  <c r="AN17" i="28"/>
  <c r="AN16" i="28"/>
  <c r="AR16" i="35"/>
  <c r="AR15" i="35"/>
  <c r="AR17" i="35"/>
  <c r="AP10" i="26"/>
  <c r="AQ7" i="26"/>
  <c r="AP11" i="26"/>
  <c r="AP13" i="26" s="1"/>
  <c r="AP9" i="26"/>
  <c r="AP29" i="26"/>
  <c r="AP76" i="26"/>
  <c r="AP71" i="26"/>
  <c r="AP24" i="26"/>
  <c r="AL49" i="28"/>
  <c r="AL51" i="28" s="1"/>
  <c r="AL42" i="28"/>
  <c r="AL44" i="28" s="1"/>
  <c r="AL31" i="28"/>
  <c r="AL35" i="28" s="1"/>
  <c r="AL37" i="28" s="1"/>
  <c r="AP11" i="22"/>
  <c r="AP13" i="22" s="1"/>
  <c r="AP33" i="22" s="1"/>
  <c r="AP34" i="22" s="1"/>
  <c r="AP10" i="22"/>
  <c r="AQ7" i="22"/>
  <c r="AP9" i="22"/>
  <c r="AP22" i="22"/>
  <c r="AP23" i="22" s="1"/>
  <c r="AO17" i="22"/>
  <c r="AO40" i="22" s="1"/>
  <c r="AO51" i="22" s="1"/>
  <c r="AO15" i="22"/>
  <c r="AO38" i="22" s="1"/>
  <c r="AO49" i="22" s="1"/>
  <c r="AO16" i="22"/>
  <c r="AO39" i="22" s="1"/>
  <c r="AO50" i="22" s="1"/>
  <c r="AO19" i="23"/>
  <c r="AO24" i="23"/>
  <c r="AO27" i="23" s="1"/>
  <c r="AO21" i="23"/>
  <c r="AO10" i="23"/>
  <c r="AO34" i="23"/>
  <c r="AP7" i="23"/>
  <c r="AO36" i="23"/>
  <c r="AO11" i="23"/>
  <c r="AO13" i="23" s="1"/>
  <c r="AO9" i="23"/>
  <c r="AL64" i="26"/>
  <c r="AO17" i="26"/>
  <c r="AO16" i="26"/>
  <c r="AO15" i="26"/>
  <c r="AP7" i="28"/>
  <c r="AO10" i="28"/>
  <c r="AO11" i="28"/>
  <c r="AO13" i="28" s="1"/>
  <c r="AO9" i="28"/>
  <c r="AN28" i="22"/>
  <c r="AN46" i="22" s="1"/>
  <c r="AN56" i="22" s="1"/>
  <c r="AN91" i="2" s="1"/>
  <c r="AM46" i="23"/>
  <c r="AM29" i="28"/>
  <c r="AN37" i="23"/>
  <c r="AM89" i="26"/>
  <c r="AM93" i="26" s="1"/>
  <c r="AM96" i="26" s="1"/>
  <c r="AM98" i="26" s="1"/>
  <c r="AM51" i="26"/>
  <c r="AM55" i="26" s="1"/>
  <c r="AM59" i="26" s="1"/>
  <c r="AM61" i="26" s="1"/>
  <c r="AM64" i="26" s="1"/>
  <c r="AN77" i="26"/>
  <c r="AM84" i="26"/>
  <c r="AM86" i="26" s="1"/>
  <c r="AN63" i="35"/>
  <c r="AN69" i="35" s="1"/>
  <c r="AN62" i="35"/>
  <c r="AN68" i="35" s="1"/>
  <c r="AN26" i="22"/>
  <c r="AN44" i="22" s="1"/>
  <c r="AN54" i="22" s="1"/>
  <c r="AN49" i="2" s="1"/>
  <c r="AM26" i="41"/>
  <c r="AM49" i="41" s="1"/>
  <c r="AM35" i="41" s="1"/>
  <c r="AM43" i="23"/>
  <c r="AM72" i="21" l="1"/>
  <c r="AM77" i="21" s="1"/>
  <c r="AL97" i="2"/>
  <c r="AL98" i="2" s="1"/>
  <c r="AM73" i="21"/>
  <c r="AM78" i="21" s="1"/>
  <c r="AL55" i="2"/>
  <c r="AL56" i="2" s="1"/>
  <c r="AM74" i="21"/>
  <c r="AM79" i="21" s="1"/>
  <c r="AL76" i="2"/>
  <c r="AL77" i="2" s="1"/>
  <c r="AK67" i="41"/>
  <c r="AK71" i="2" s="1"/>
  <c r="AK68" i="41"/>
  <c r="AK92" i="2" s="1"/>
  <c r="AL58" i="41"/>
  <c r="AL68" i="41" s="1"/>
  <c r="AL92" i="2" s="1"/>
  <c r="AM37" i="41"/>
  <c r="AM38" i="41" s="1"/>
  <c r="AM42" i="41" s="1"/>
  <c r="AM43" i="41" s="1"/>
  <c r="AM46" i="41" s="1"/>
  <c r="AO15" i="41"/>
  <c r="AM36" i="41"/>
  <c r="AM50" i="41" s="1"/>
  <c r="AM51" i="41" s="1"/>
  <c r="AM54" i="41" s="1"/>
  <c r="AP13" i="33"/>
  <c r="AP17" i="33"/>
  <c r="AP47" i="33" s="1"/>
  <c r="AP90" i="2" s="1"/>
  <c r="AP15" i="33"/>
  <c r="AP45" i="33" s="1"/>
  <c r="AP48" i="2" s="1"/>
  <c r="AP16" i="33"/>
  <c r="AP46" i="33" s="1"/>
  <c r="AP69" i="2" s="1"/>
  <c r="AQ9" i="33"/>
  <c r="AQ11" i="33"/>
  <c r="AQ10" i="33"/>
  <c r="AR7" i="33"/>
  <c r="AK78" i="35"/>
  <c r="AK87" i="2" s="1"/>
  <c r="AK76" i="35"/>
  <c r="AK45" i="2" s="1"/>
  <c r="AM94" i="29"/>
  <c r="AK58" i="28"/>
  <c r="AK47" i="2" s="1"/>
  <c r="AO15" i="29"/>
  <c r="AO17" i="29"/>
  <c r="AO16" i="29"/>
  <c r="AO29" i="29"/>
  <c r="AN32" i="29"/>
  <c r="AN36" i="29" s="1"/>
  <c r="AN87" i="29"/>
  <c r="AN91" i="29" s="1"/>
  <c r="AO84" i="29"/>
  <c r="AM35" i="35"/>
  <c r="AM41" i="35" s="1"/>
  <c r="AM36" i="35"/>
  <c r="AM42" i="35" s="1"/>
  <c r="AP10" i="29"/>
  <c r="AP66" i="29"/>
  <c r="AP11" i="29"/>
  <c r="AP13" i="29" s="1"/>
  <c r="AP83" i="29"/>
  <c r="AP73" i="29"/>
  <c r="AP28" i="29"/>
  <c r="AP78" i="29"/>
  <c r="AQ7" i="29"/>
  <c r="AP52" i="29"/>
  <c r="AP45" i="29"/>
  <c r="AP61" i="29"/>
  <c r="AP40" i="29"/>
  <c r="AP90" i="29"/>
  <c r="AP35" i="29"/>
  <c r="AP9" i="29"/>
  <c r="AP23" i="29"/>
  <c r="AO29" i="35"/>
  <c r="AN31" i="35"/>
  <c r="AL45" i="35"/>
  <c r="AO37" i="26"/>
  <c r="AO46" i="26" s="1"/>
  <c r="AO48" i="26" s="1"/>
  <c r="AM101" i="26"/>
  <c r="AM106" i="26" s="1"/>
  <c r="AN75" i="2"/>
  <c r="AK59" i="28"/>
  <c r="AK68" i="2" s="1"/>
  <c r="AP50" i="21"/>
  <c r="AO19" i="41"/>
  <c r="AO18" i="41"/>
  <c r="AO17" i="41"/>
  <c r="AP9" i="41"/>
  <c r="AP13" i="41"/>
  <c r="AP10" i="41"/>
  <c r="AQ7" i="41"/>
  <c r="AP12" i="41"/>
  <c r="AP11" i="41"/>
  <c r="AO54" i="21"/>
  <c r="AO68" i="21" s="1"/>
  <c r="AO32" i="21"/>
  <c r="AN40" i="21"/>
  <c r="AN41" i="21"/>
  <c r="AN42" i="21"/>
  <c r="AN70" i="29"/>
  <c r="AN74" i="29" s="1"/>
  <c r="AO67" i="29"/>
  <c r="AM54" i="2"/>
  <c r="AQ48" i="21"/>
  <c r="AQ47" i="21"/>
  <c r="AQ46" i="21"/>
  <c r="AQ49" i="21"/>
  <c r="AR7" i="21"/>
  <c r="AQ11" i="21"/>
  <c r="AQ13" i="21" s="1"/>
  <c r="AQ10" i="21"/>
  <c r="AQ9" i="21"/>
  <c r="AO33" i="21"/>
  <c r="AO37" i="21" s="1"/>
  <c r="AO55" i="21"/>
  <c r="AO69" i="21" s="1"/>
  <c r="AP15" i="21"/>
  <c r="AP16" i="21"/>
  <c r="AP17" i="21"/>
  <c r="AO31" i="21"/>
  <c r="AO53" i="21"/>
  <c r="AO67" i="21" s="1"/>
  <c r="AO16" i="24"/>
  <c r="AO17" i="24"/>
  <c r="AO15" i="24"/>
  <c r="AP74" i="2"/>
  <c r="AP83" i="2"/>
  <c r="AP95" i="2" s="1"/>
  <c r="AP26" i="24"/>
  <c r="AP28" i="24"/>
  <c r="AP9" i="24"/>
  <c r="AP11" i="24"/>
  <c r="AP13" i="24" s="1"/>
  <c r="AQ7" i="24"/>
  <c r="AP10" i="24"/>
  <c r="AP27" i="24"/>
  <c r="AP29" i="24"/>
  <c r="AP25" i="24"/>
  <c r="AP30" i="26"/>
  <c r="AP43" i="26" s="1"/>
  <c r="AQ62" i="2"/>
  <c r="AR41" i="2"/>
  <c r="AQ53" i="2"/>
  <c r="AO29" i="23"/>
  <c r="AO41" i="23"/>
  <c r="AO28" i="23"/>
  <c r="AO22" i="24"/>
  <c r="AP19" i="23"/>
  <c r="AP24" i="23"/>
  <c r="AP27" i="23" s="1"/>
  <c r="AP21" i="23"/>
  <c r="AQ7" i="23"/>
  <c r="AP34" i="23"/>
  <c r="AP9" i="23"/>
  <c r="AP11" i="23"/>
  <c r="AP13" i="23" s="1"/>
  <c r="AP10" i="23"/>
  <c r="AP36" i="23"/>
  <c r="AO28" i="22"/>
  <c r="AO46" i="22" s="1"/>
  <c r="AO56" i="22" s="1"/>
  <c r="AO91" i="2" s="1"/>
  <c r="AL99" i="29"/>
  <c r="AL67" i="2" s="1"/>
  <c r="AL98" i="29"/>
  <c r="AL46" i="2" s="1"/>
  <c r="AM100" i="29"/>
  <c r="AM88" i="2" s="1"/>
  <c r="AM56" i="29"/>
  <c r="AO46" i="29"/>
  <c r="AN49" i="29"/>
  <c r="AN53" i="29" s="1"/>
  <c r="AQ9" i="22"/>
  <c r="AQ10" i="22"/>
  <c r="AQ22" i="22"/>
  <c r="AQ23" i="22" s="1"/>
  <c r="AR7" i="22"/>
  <c r="AQ11" i="22"/>
  <c r="AQ13" i="22" s="1"/>
  <c r="AQ33" i="22" s="1"/>
  <c r="AQ34" i="22" s="1"/>
  <c r="AL106" i="26"/>
  <c r="AL116" i="26" s="1"/>
  <c r="AL64" i="2" s="1"/>
  <c r="AL105" i="26"/>
  <c r="AL115" i="26" s="1"/>
  <c r="AL43" i="2" s="1"/>
  <c r="AL107" i="26"/>
  <c r="AL117" i="26" s="1"/>
  <c r="AL85" i="2" s="1"/>
  <c r="AQ56" i="35"/>
  <c r="AP58" i="35"/>
  <c r="AN26" i="41"/>
  <c r="AN49" i="41" s="1"/>
  <c r="AN35" i="41" s="1"/>
  <c r="AN43" i="23"/>
  <c r="AO17" i="28"/>
  <c r="AO16" i="28"/>
  <c r="AO15" i="28"/>
  <c r="AP16" i="22"/>
  <c r="AP39" i="22" s="1"/>
  <c r="AP50" i="22" s="1"/>
  <c r="AP15" i="22"/>
  <c r="AP38" i="22" s="1"/>
  <c r="AP49" i="22" s="1"/>
  <c r="AP17" i="22"/>
  <c r="AP40" i="22" s="1"/>
  <c r="AP51" i="22" s="1"/>
  <c r="AN46" i="23"/>
  <c r="AN89" i="26"/>
  <c r="AN93" i="26" s="1"/>
  <c r="AN96" i="26" s="1"/>
  <c r="AN98" i="26" s="1"/>
  <c r="AO37" i="23"/>
  <c r="AN29" i="28"/>
  <c r="AN51" i="26"/>
  <c r="AN55" i="26" s="1"/>
  <c r="AN59" i="26" s="1"/>
  <c r="AN61" i="26" s="1"/>
  <c r="AQ7" i="28"/>
  <c r="AP11" i="28"/>
  <c r="AP13" i="28" s="1"/>
  <c r="AP10" i="28"/>
  <c r="AP9" i="28"/>
  <c r="AQ10" i="26"/>
  <c r="AR7" i="26"/>
  <c r="AQ11" i="26"/>
  <c r="AQ13" i="26" s="1"/>
  <c r="AQ24" i="26"/>
  <c r="AQ9" i="26"/>
  <c r="AQ29" i="26"/>
  <c r="AQ76" i="26"/>
  <c r="AQ71" i="26"/>
  <c r="AO63" i="35"/>
  <c r="AO69" i="35" s="1"/>
  <c r="AO62" i="35"/>
  <c r="AO68" i="35" s="1"/>
  <c r="AN65" i="24"/>
  <c r="AN68" i="26"/>
  <c r="AN84" i="26"/>
  <c r="AN86" i="26" s="1"/>
  <c r="AO77" i="26"/>
  <c r="AM111" i="26"/>
  <c r="AM65" i="2" s="1"/>
  <c r="AM112" i="26"/>
  <c r="AM86" i="2" s="1"/>
  <c r="AM110" i="26"/>
  <c r="AM44" i="2" s="1"/>
  <c r="AM42" i="28"/>
  <c r="AM44" i="28" s="1"/>
  <c r="AM31" i="28"/>
  <c r="AM35" i="28" s="1"/>
  <c r="AM37" i="28" s="1"/>
  <c r="AM49" i="28"/>
  <c r="AM51" i="28" s="1"/>
  <c r="AP16" i="26"/>
  <c r="AP15" i="26"/>
  <c r="AP17" i="26"/>
  <c r="AO27" i="22"/>
  <c r="AO45" i="22" s="1"/>
  <c r="AO55" i="22" s="1"/>
  <c r="AO70" i="2" s="1"/>
  <c r="AN72" i="35"/>
  <c r="AL53" i="28"/>
  <c r="AO26" i="22"/>
  <c r="AO44" i="22" s="1"/>
  <c r="AO54" i="22" s="1"/>
  <c r="AO49" i="2" s="1"/>
  <c r="AN42" i="23"/>
  <c r="AN25" i="41"/>
  <c r="AN41" i="41" s="1"/>
  <c r="AM76" i="2" l="1"/>
  <c r="AM77" i="2" s="1"/>
  <c r="AN73" i="21"/>
  <c r="AN78" i="21" s="1"/>
  <c r="AM97" i="2"/>
  <c r="AM98" i="2" s="1"/>
  <c r="AN74" i="21"/>
  <c r="AN79" i="21" s="1"/>
  <c r="AN72" i="21"/>
  <c r="AN77" i="21" s="1"/>
  <c r="AM55" i="2"/>
  <c r="AM56" i="2" s="1"/>
  <c r="AL67" i="41"/>
  <c r="AL71" i="2" s="1"/>
  <c r="AL66" i="41"/>
  <c r="AL50" i="2" s="1"/>
  <c r="AN37" i="41"/>
  <c r="AN38" i="41" s="1"/>
  <c r="AN42" i="41" s="1"/>
  <c r="AN43" i="41" s="1"/>
  <c r="AN46" i="41" s="1"/>
  <c r="AM58" i="41"/>
  <c r="AM66" i="41" s="1"/>
  <c r="AM50" i="2" s="1"/>
  <c r="AP15" i="41"/>
  <c r="AN36" i="41"/>
  <c r="AN50" i="41" s="1"/>
  <c r="AN51" i="41" s="1"/>
  <c r="AN54" i="41" s="1"/>
  <c r="AQ13" i="33"/>
  <c r="AR10" i="33"/>
  <c r="AR9" i="33"/>
  <c r="AR11" i="33"/>
  <c r="AQ16" i="33"/>
  <c r="AQ46" i="33" s="1"/>
  <c r="AQ69" i="2" s="1"/>
  <c r="AQ17" i="33"/>
  <c r="AQ47" i="33" s="1"/>
  <c r="AQ90" i="2" s="1"/>
  <c r="AQ15" i="33"/>
  <c r="AQ45" i="33" s="1"/>
  <c r="AQ48" i="2" s="1"/>
  <c r="AM107" i="26"/>
  <c r="AM117" i="26" s="1"/>
  <c r="AM85" i="2" s="1"/>
  <c r="AM105" i="26"/>
  <c r="AM115" i="26" s="1"/>
  <c r="AM43" i="2" s="1"/>
  <c r="AN94" i="29"/>
  <c r="AM45" i="35"/>
  <c r="AP29" i="29"/>
  <c r="AO32" i="29"/>
  <c r="AO36" i="29" s="1"/>
  <c r="AO87" i="29"/>
  <c r="AO91" i="29" s="1"/>
  <c r="AP84" i="29"/>
  <c r="AN36" i="35"/>
  <c r="AN42" i="35" s="1"/>
  <c r="AN35" i="35"/>
  <c r="AN41" i="35" s="1"/>
  <c r="AL78" i="35"/>
  <c r="AL87" i="2" s="1"/>
  <c r="AL77" i="35"/>
  <c r="AL66" i="2" s="1"/>
  <c r="AL76" i="35"/>
  <c r="AL45" i="2" s="1"/>
  <c r="AP29" i="35"/>
  <c r="AO31" i="35"/>
  <c r="AP15" i="29"/>
  <c r="AP16" i="29"/>
  <c r="AP17" i="29"/>
  <c r="AQ52" i="29"/>
  <c r="AQ61" i="29"/>
  <c r="AQ10" i="29"/>
  <c r="AQ83" i="29"/>
  <c r="AQ73" i="29"/>
  <c r="AR7" i="29"/>
  <c r="AQ28" i="29"/>
  <c r="AQ9" i="29"/>
  <c r="AQ90" i="29"/>
  <c r="AQ45" i="29"/>
  <c r="AQ66" i="29"/>
  <c r="AQ78" i="29"/>
  <c r="AQ23" i="29"/>
  <c r="AQ40" i="29"/>
  <c r="AQ35" i="29"/>
  <c r="AQ11" i="29"/>
  <c r="AQ13" i="29" s="1"/>
  <c r="AO96" i="2"/>
  <c r="AP17" i="41"/>
  <c r="AP19" i="41"/>
  <c r="AP18" i="41"/>
  <c r="AQ10" i="41"/>
  <c r="AR7" i="41"/>
  <c r="AQ9" i="41"/>
  <c r="AQ11" i="41"/>
  <c r="AQ12" i="41"/>
  <c r="AQ13" i="41"/>
  <c r="AP63" i="21"/>
  <c r="AP55" i="21"/>
  <c r="AP69" i="21" s="1"/>
  <c r="AP33" i="21"/>
  <c r="AP37" i="21" s="1"/>
  <c r="AP62" i="21"/>
  <c r="AP54" i="21"/>
  <c r="AP68" i="21" s="1"/>
  <c r="AP32" i="21"/>
  <c r="AN54" i="2"/>
  <c r="AP61" i="21"/>
  <c r="AP53" i="21"/>
  <c r="AP67" i="21" s="1"/>
  <c r="AP31" i="21"/>
  <c r="AR49" i="21"/>
  <c r="D49" i="21" s="1"/>
  <c r="D58" i="21"/>
  <c r="AR10" i="21"/>
  <c r="AR47" i="21"/>
  <c r="D47" i="21" s="1"/>
  <c r="AR48" i="21"/>
  <c r="D48" i="21" s="1"/>
  <c r="D36" i="21"/>
  <c r="AR46" i="21"/>
  <c r="AR9" i="21"/>
  <c r="AR11" i="21"/>
  <c r="AR13" i="21" s="1"/>
  <c r="AO70" i="29"/>
  <c r="AO74" i="29" s="1"/>
  <c r="AP67" i="29"/>
  <c r="AO40" i="21"/>
  <c r="AO42" i="21"/>
  <c r="AO41" i="21"/>
  <c r="AN96" i="2"/>
  <c r="AQ16" i="21"/>
  <c r="AQ62" i="21" s="1"/>
  <c r="AQ17" i="21"/>
  <c r="AQ63" i="21" s="1"/>
  <c r="AQ15" i="21"/>
  <c r="AQ61" i="21" s="1"/>
  <c r="AQ50" i="21"/>
  <c r="AP17" i="24"/>
  <c r="AP15" i="24"/>
  <c r="AP16" i="24"/>
  <c r="AQ25" i="24"/>
  <c r="AQ10" i="24"/>
  <c r="AQ27" i="24"/>
  <c r="AQ11" i="24"/>
  <c r="AQ13" i="24" s="1"/>
  <c r="AQ29" i="24"/>
  <c r="AQ26" i="24"/>
  <c r="AQ28" i="24"/>
  <c r="AQ9" i="24"/>
  <c r="AR7" i="24"/>
  <c r="AR62" i="2"/>
  <c r="AR53" i="2"/>
  <c r="AQ83" i="2"/>
  <c r="AQ95" i="2" s="1"/>
  <c r="AQ74" i="2"/>
  <c r="AN101" i="26"/>
  <c r="AQ30" i="26"/>
  <c r="AQ43" i="26" s="1"/>
  <c r="AP37" i="26"/>
  <c r="AP46" i="26" s="1"/>
  <c r="AP48" i="26" s="1"/>
  <c r="AO72" i="35"/>
  <c r="AP29" i="23"/>
  <c r="AP22" i="24"/>
  <c r="AP41" i="23"/>
  <c r="AP28" i="23"/>
  <c r="AQ9" i="28"/>
  <c r="AR7" i="28"/>
  <c r="AQ11" i="28"/>
  <c r="AQ13" i="28" s="1"/>
  <c r="AQ10" i="28"/>
  <c r="AR9" i="22"/>
  <c r="AR22" i="22"/>
  <c r="AR10" i="22"/>
  <c r="AR11" i="22"/>
  <c r="AR13" i="22" s="1"/>
  <c r="AR33" i="22" s="1"/>
  <c r="AO49" i="29"/>
  <c r="AO53" i="29" s="1"/>
  <c r="AP46" i="29"/>
  <c r="AN111" i="26"/>
  <c r="AN65" i="2" s="1"/>
  <c r="AN112" i="26"/>
  <c r="AN86" i="2" s="1"/>
  <c r="AN110" i="26"/>
  <c r="AN44" i="2" s="1"/>
  <c r="AR9" i="26"/>
  <c r="AR10" i="26"/>
  <c r="AR76" i="26"/>
  <c r="AR11" i="26"/>
  <c r="AR13" i="26" s="1"/>
  <c r="AR29" i="26"/>
  <c r="AR71" i="26"/>
  <c r="AR24" i="26"/>
  <c r="AN49" i="28"/>
  <c r="AN51" i="28" s="1"/>
  <c r="AN31" i="28"/>
  <c r="AN35" i="28" s="1"/>
  <c r="AN37" i="28" s="1"/>
  <c r="AN42" i="28"/>
  <c r="AN44" i="28" s="1"/>
  <c r="AQ17" i="22"/>
  <c r="AQ40" i="22" s="1"/>
  <c r="AQ51" i="22" s="1"/>
  <c r="AQ16" i="22"/>
  <c r="AQ39" i="22" s="1"/>
  <c r="AQ50" i="22" s="1"/>
  <c r="AQ15" i="22"/>
  <c r="AQ38" i="22" s="1"/>
  <c r="AQ49" i="22" s="1"/>
  <c r="AP26" i="22"/>
  <c r="AP44" i="22" s="1"/>
  <c r="AP54" i="22" s="1"/>
  <c r="AP49" i="2" s="1"/>
  <c r="AQ19" i="23"/>
  <c r="AQ24" i="23"/>
  <c r="AQ27" i="23" s="1"/>
  <c r="AQ21" i="23"/>
  <c r="AQ34" i="23"/>
  <c r="AQ10" i="23"/>
  <c r="AQ9" i="23"/>
  <c r="AQ36" i="23"/>
  <c r="AQ11" i="23"/>
  <c r="AQ13" i="23" s="1"/>
  <c r="AR7" i="23"/>
  <c r="AQ17" i="26"/>
  <c r="AQ16" i="26"/>
  <c r="AQ15" i="26"/>
  <c r="AO89" i="26"/>
  <c r="AO93" i="26" s="1"/>
  <c r="AO96" i="26" s="1"/>
  <c r="AO98" i="26" s="1"/>
  <c r="AO51" i="26"/>
  <c r="AO55" i="26" s="1"/>
  <c r="AO59" i="26" s="1"/>
  <c r="AO61" i="26" s="1"/>
  <c r="AO46" i="23"/>
  <c r="AO29" i="28"/>
  <c r="AP37" i="23"/>
  <c r="AP63" i="35"/>
  <c r="AP69" i="35" s="1"/>
  <c r="AP62" i="35"/>
  <c r="AP68" i="35" s="1"/>
  <c r="AP28" i="22"/>
  <c r="AP46" i="22" s="1"/>
  <c r="AP56" i="22" s="1"/>
  <c r="AP91" i="2" s="1"/>
  <c r="AO25" i="41"/>
  <c r="AO41" i="41" s="1"/>
  <c r="AO42" i="23"/>
  <c r="AO84" i="26"/>
  <c r="AO86" i="26" s="1"/>
  <c r="AP77" i="26"/>
  <c r="AR56" i="35"/>
  <c r="AQ58" i="35"/>
  <c r="AP27" i="22"/>
  <c r="AP45" i="22" s="1"/>
  <c r="AP55" i="22" s="1"/>
  <c r="AP70" i="2" s="1"/>
  <c r="AO65" i="24"/>
  <c r="AO68" i="26"/>
  <c r="AN64" i="26"/>
  <c r="AO26" i="41"/>
  <c r="AO49" i="41" s="1"/>
  <c r="AO35" i="41" s="1"/>
  <c r="AO43" i="23"/>
  <c r="AL60" i="28"/>
  <c r="AL89" i="2" s="1"/>
  <c r="AL59" i="28"/>
  <c r="AL68" i="2" s="1"/>
  <c r="AL58" i="28"/>
  <c r="AL47" i="2" s="1"/>
  <c r="AP17" i="28"/>
  <c r="AP16" i="28"/>
  <c r="AP15" i="28"/>
  <c r="AM116" i="26"/>
  <c r="AM64" i="2" s="1"/>
  <c r="AM53" i="28"/>
  <c r="AN56" i="29"/>
  <c r="AN100" i="29"/>
  <c r="AN88" i="2" s="1"/>
  <c r="AM99" i="29"/>
  <c r="AM67" i="2" s="1"/>
  <c r="AM98" i="29"/>
  <c r="AM46" i="2" s="1"/>
  <c r="AN76" i="2" l="1"/>
  <c r="AN77" i="2" s="1"/>
  <c r="AN55" i="2"/>
  <c r="AN56" i="2" s="1"/>
  <c r="AN97" i="2"/>
  <c r="AN98" i="2" s="1"/>
  <c r="AO73" i="21"/>
  <c r="AO78" i="21" s="1"/>
  <c r="AO72" i="21"/>
  <c r="AO77" i="21" s="1"/>
  <c r="AO74" i="21"/>
  <c r="AO79" i="21" s="1"/>
  <c r="AO37" i="41"/>
  <c r="AO38" i="41" s="1"/>
  <c r="AO42" i="41" s="1"/>
  <c r="AO43" i="41" s="1"/>
  <c r="AO46" i="41" s="1"/>
  <c r="AN58" i="41"/>
  <c r="AN67" i="41" s="1"/>
  <c r="AN71" i="2" s="1"/>
  <c r="AM67" i="41"/>
  <c r="AM71" i="2" s="1"/>
  <c r="AM68" i="41"/>
  <c r="AM92" i="2" s="1"/>
  <c r="AQ15" i="41"/>
  <c r="AO36" i="41"/>
  <c r="AO50" i="41" s="1"/>
  <c r="AO51" i="41" s="1"/>
  <c r="AO54" i="41" s="1"/>
  <c r="AR13" i="33"/>
  <c r="AR17" i="33"/>
  <c r="AR47" i="33" s="1"/>
  <c r="AR16" i="33"/>
  <c r="AR46" i="33" s="1"/>
  <c r="AR15" i="33"/>
  <c r="AR45" i="33" s="1"/>
  <c r="AO94" i="29"/>
  <c r="AM76" i="35"/>
  <c r="AM45" i="2" s="1"/>
  <c r="AM77" i="35"/>
  <c r="AM66" i="2" s="1"/>
  <c r="AM78" i="35"/>
  <c r="AM87" i="2" s="1"/>
  <c r="AN45" i="35"/>
  <c r="AR73" i="29"/>
  <c r="AR61" i="29"/>
  <c r="AR9" i="29"/>
  <c r="AR83" i="29"/>
  <c r="AR45" i="29"/>
  <c r="AR78" i="29"/>
  <c r="AR35" i="29"/>
  <c r="AR66" i="29"/>
  <c r="AR40" i="29"/>
  <c r="AR90" i="29"/>
  <c r="AR11" i="29"/>
  <c r="AR13" i="29" s="1"/>
  <c r="AR52" i="29"/>
  <c r="AR23" i="29"/>
  <c r="AR10" i="29"/>
  <c r="AR28" i="29"/>
  <c r="AO36" i="35"/>
  <c r="AO42" i="35" s="1"/>
  <c r="AO35" i="35"/>
  <c r="AO41" i="35" s="1"/>
  <c r="AQ29" i="35"/>
  <c r="AP31" i="35"/>
  <c r="AP87" i="29"/>
  <c r="AP91" i="29" s="1"/>
  <c r="AQ84" i="29"/>
  <c r="AQ16" i="29"/>
  <c r="AQ15" i="29"/>
  <c r="AQ17" i="29"/>
  <c r="AQ29" i="29"/>
  <c r="AP32" i="29"/>
  <c r="AP36" i="29" s="1"/>
  <c r="AQ37" i="26"/>
  <c r="AQ46" i="26" s="1"/>
  <c r="AQ48" i="26" s="1"/>
  <c r="AQ26" i="22"/>
  <c r="AQ44" i="22" s="1"/>
  <c r="AQ54" i="22" s="1"/>
  <c r="AQ49" i="2" s="1"/>
  <c r="AQ17" i="41"/>
  <c r="AQ18" i="41"/>
  <c r="AQ19" i="41"/>
  <c r="AR9" i="41"/>
  <c r="AR11" i="41"/>
  <c r="AR13" i="41"/>
  <c r="AR10" i="41"/>
  <c r="AR12" i="41"/>
  <c r="AP54" i="2"/>
  <c r="AP96" i="2"/>
  <c r="AN53" i="28"/>
  <c r="AN59" i="28" s="1"/>
  <c r="AN68" i="2" s="1"/>
  <c r="AP70" i="29"/>
  <c r="AP74" i="29" s="1"/>
  <c r="AQ67" i="29"/>
  <c r="AO75" i="2"/>
  <c r="AR16" i="21"/>
  <c r="AR15" i="21"/>
  <c r="AR61" i="21" s="1"/>
  <c r="D61" i="21" s="1"/>
  <c r="AR17" i="21"/>
  <c r="AO54" i="2"/>
  <c r="AQ31" i="21"/>
  <c r="AQ53" i="21"/>
  <c r="AQ67" i="21" s="1"/>
  <c r="AQ33" i="21"/>
  <c r="AQ55" i="21"/>
  <c r="AQ69" i="21" s="1"/>
  <c r="AP42" i="21"/>
  <c r="AP40" i="21"/>
  <c r="AP41" i="21"/>
  <c r="AQ54" i="21"/>
  <c r="AQ68" i="21" s="1"/>
  <c r="AQ32" i="21"/>
  <c r="AR50" i="21"/>
  <c r="D50" i="21" s="1"/>
  <c r="D46" i="21"/>
  <c r="AR74" i="2"/>
  <c r="AR83" i="2"/>
  <c r="AR95" i="2" s="1"/>
  <c r="AQ15" i="24"/>
  <c r="AQ17" i="24"/>
  <c r="AQ16" i="24"/>
  <c r="AR27" i="24"/>
  <c r="D35" i="24" s="1"/>
  <c r="AR28" i="24"/>
  <c r="D36" i="24" s="1"/>
  <c r="AP50" i="24" s="1"/>
  <c r="AP58" i="24" s="1"/>
  <c r="AR25" i="24"/>
  <c r="D33" i="24" s="1"/>
  <c r="AP47" i="24" s="1"/>
  <c r="AR11" i="24"/>
  <c r="AR13" i="24" s="1"/>
  <c r="AR26" i="24"/>
  <c r="D34" i="24" s="1"/>
  <c r="AP48" i="24" s="1"/>
  <c r="AP56" i="24" s="1"/>
  <c r="AR29" i="24"/>
  <c r="D37" i="24" s="1"/>
  <c r="AP51" i="24" s="1"/>
  <c r="AP59" i="24" s="1"/>
  <c r="AR9" i="24"/>
  <c r="AR10" i="24"/>
  <c r="AO101" i="26"/>
  <c r="AR30" i="26"/>
  <c r="AR37" i="26" s="1"/>
  <c r="AQ28" i="23"/>
  <c r="AQ22" i="24"/>
  <c r="AQ41" i="23"/>
  <c r="AQ29" i="23"/>
  <c r="AM59" i="28"/>
  <c r="AM68" i="2" s="1"/>
  <c r="AM58" i="28"/>
  <c r="AM47" i="2" s="1"/>
  <c r="AM60" i="28"/>
  <c r="AM89" i="2" s="1"/>
  <c r="AQ63" i="35"/>
  <c r="AQ69" i="35" s="1"/>
  <c r="AQ62" i="35"/>
  <c r="AQ68" i="35" s="1"/>
  <c r="AP72" i="35"/>
  <c r="AR15" i="26"/>
  <c r="AR16" i="26"/>
  <c r="AR17" i="26"/>
  <c r="AP49" i="29"/>
  <c r="AP53" i="29" s="1"/>
  <c r="AQ46" i="29"/>
  <c r="AR9" i="28"/>
  <c r="AR11" i="28"/>
  <c r="AR13" i="28" s="1"/>
  <c r="AR10" i="28"/>
  <c r="AR58" i="35"/>
  <c r="D56" i="35"/>
  <c r="AR19" i="23"/>
  <c r="AR24" i="23"/>
  <c r="AR27" i="23" s="1"/>
  <c r="AR21" i="23"/>
  <c r="AR9" i="23"/>
  <c r="AR34" i="23"/>
  <c r="AR36" i="23"/>
  <c r="AR11" i="23"/>
  <c r="AR13" i="23" s="1"/>
  <c r="AR10" i="23"/>
  <c r="AO100" i="29"/>
  <c r="AO88" i="2" s="1"/>
  <c r="AO56" i="29"/>
  <c r="AP51" i="26"/>
  <c r="AP55" i="26" s="1"/>
  <c r="AP59" i="26" s="1"/>
  <c r="AP61" i="26" s="1"/>
  <c r="AQ37" i="23"/>
  <c r="AP29" i="28"/>
  <c r="AP89" i="26"/>
  <c r="AP93" i="26" s="1"/>
  <c r="AP96" i="26" s="1"/>
  <c r="AP98" i="26" s="1"/>
  <c r="AP46" i="23"/>
  <c r="AP84" i="26"/>
  <c r="AP86" i="26" s="1"/>
  <c r="AQ77" i="26"/>
  <c r="AO42" i="28"/>
  <c r="AO44" i="28" s="1"/>
  <c r="AO31" i="28"/>
  <c r="AO35" i="28" s="1"/>
  <c r="AO37" i="28" s="1"/>
  <c r="AO49" i="28"/>
  <c r="AO51" i="28" s="1"/>
  <c r="AP42" i="23"/>
  <c r="AP25" i="41"/>
  <c r="AP41" i="41" s="1"/>
  <c r="AQ28" i="22"/>
  <c r="AQ46" i="22" s="1"/>
  <c r="AQ56" i="22" s="1"/>
  <c r="AQ91" i="2" s="1"/>
  <c r="AP65" i="24"/>
  <c r="AP68" i="26"/>
  <c r="AN98" i="29"/>
  <c r="AN46" i="2" s="1"/>
  <c r="AN99" i="29"/>
  <c r="AN67" i="2" s="1"/>
  <c r="AO111" i="26"/>
  <c r="AO65" i="2" s="1"/>
  <c r="AO110" i="26"/>
  <c r="AO44" i="2" s="1"/>
  <c r="AO112" i="26"/>
  <c r="AO86" i="2" s="1"/>
  <c r="AO64" i="26"/>
  <c r="AQ27" i="22"/>
  <c r="AQ45" i="22" s="1"/>
  <c r="AQ55" i="22" s="1"/>
  <c r="AQ70" i="2" s="1"/>
  <c r="AR34" i="22"/>
  <c r="D34" i="22" s="1"/>
  <c r="D33" i="22"/>
  <c r="AP49" i="24"/>
  <c r="AP57" i="24" s="1"/>
  <c r="AR16" i="22"/>
  <c r="AR17" i="22"/>
  <c r="AR15" i="22"/>
  <c r="AQ16" i="28"/>
  <c r="AQ15" i="28"/>
  <c r="AQ17" i="28"/>
  <c r="AN106" i="26"/>
  <c r="AN116" i="26" s="1"/>
  <c r="AN64" i="2" s="1"/>
  <c r="AN105" i="26"/>
  <c r="AN115" i="26" s="1"/>
  <c r="AN43" i="2" s="1"/>
  <c r="AN107" i="26"/>
  <c r="AN117" i="26" s="1"/>
  <c r="AN85" i="2" s="1"/>
  <c r="AR23" i="22"/>
  <c r="D22" i="22"/>
  <c r="AP43" i="23"/>
  <c r="AP26" i="41"/>
  <c r="AP49" i="41" s="1"/>
  <c r="AP35" i="41" s="1"/>
  <c r="AO76" i="2" l="1"/>
  <c r="AO77" i="2" s="1"/>
  <c r="AO97" i="2"/>
  <c r="AO98" i="2" s="1"/>
  <c r="AP73" i="21"/>
  <c r="AP78" i="21" s="1"/>
  <c r="AO55" i="2"/>
  <c r="AO56" i="2" s="1"/>
  <c r="AP72" i="21"/>
  <c r="AP77" i="21" s="1"/>
  <c r="AP74" i="21"/>
  <c r="AP79" i="21" s="1"/>
  <c r="AO45" i="35"/>
  <c r="AN68" i="41"/>
  <c r="AN92" i="2" s="1"/>
  <c r="AO58" i="41"/>
  <c r="AO66" i="41" s="1"/>
  <c r="AO50" i="2" s="1"/>
  <c r="AP37" i="41"/>
  <c r="AP38" i="41" s="1"/>
  <c r="AP42" i="41" s="1"/>
  <c r="AP43" i="41" s="1"/>
  <c r="AP46" i="41" s="1"/>
  <c r="AN66" i="41"/>
  <c r="AN50" i="2" s="1"/>
  <c r="AR15" i="41"/>
  <c r="AP36" i="41"/>
  <c r="AP50" i="41" s="1"/>
  <c r="AP51" i="41" s="1"/>
  <c r="AP54" i="41" s="1"/>
  <c r="AP94" i="29"/>
  <c r="D45" i="33"/>
  <c r="AR48" i="2"/>
  <c r="D48" i="2" s="1"/>
  <c r="C19" i="2" s="1"/>
  <c r="J39" i="10" s="1"/>
  <c r="D46" i="33"/>
  <c r="AR69" i="2"/>
  <c r="D69" i="2" s="1"/>
  <c r="D19" i="2" s="1"/>
  <c r="K39" i="10" s="1"/>
  <c r="AR90" i="2"/>
  <c r="D90" i="2" s="1"/>
  <c r="E19" i="2" s="1"/>
  <c r="D47" i="33"/>
  <c r="AN78" i="35"/>
  <c r="AN87" i="2" s="1"/>
  <c r="AN76" i="35"/>
  <c r="AN45" i="2" s="1"/>
  <c r="AN77" i="35"/>
  <c r="AN66" i="2" s="1"/>
  <c r="AR16" i="29"/>
  <c r="AR17" i="29"/>
  <c r="AR15" i="29"/>
  <c r="AQ87" i="29"/>
  <c r="AR84" i="29"/>
  <c r="AR87" i="29" s="1"/>
  <c r="AR91" i="29" s="1"/>
  <c r="AP35" i="35"/>
  <c r="AP41" i="35" s="1"/>
  <c r="AP36" i="35"/>
  <c r="AP42" i="35" s="1"/>
  <c r="AQ32" i="29"/>
  <c r="AQ36" i="29" s="1"/>
  <c r="AR29" i="29"/>
  <c r="AQ31" i="35"/>
  <c r="AR29" i="35"/>
  <c r="AO77" i="35"/>
  <c r="AO66" i="2" s="1"/>
  <c r="AO78" i="35"/>
  <c r="AO87" i="2" s="1"/>
  <c r="AO76" i="35"/>
  <c r="AO45" i="2" s="1"/>
  <c r="AN60" i="28"/>
  <c r="AN89" i="2" s="1"/>
  <c r="AN58" i="28"/>
  <c r="AN47" i="2" s="1"/>
  <c r="AR18" i="41"/>
  <c r="AR19" i="41"/>
  <c r="AR17" i="41"/>
  <c r="AR33" i="21"/>
  <c r="AR37" i="21" s="1"/>
  <c r="AR55" i="21"/>
  <c r="AP75" i="2"/>
  <c r="AR32" i="21"/>
  <c r="D32" i="21" s="1"/>
  <c r="AR54" i="21"/>
  <c r="AR62" i="21"/>
  <c r="D62" i="21" s="1"/>
  <c r="AR31" i="21"/>
  <c r="D31" i="21" s="1"/>
  <c r="AR53" i="21"/>
  <c r="AR67" i="21" s="1"/>
  <c r="AR63" i="21"/>
  <c r="D63" i="21" s="1"/>
  <c r="AQ70" i="29"/>
  <c r="AQ74" i="29" s="1"/>
  <c r="AR67" i="29"/>
  <c r="AQ37" i="21"/>
  <c r="D30" i="26"/>
  <c r="M50" i="24"/>
  <c r="M58" i="24" s="1"/>
  <c r="R50" i="24"/>
  <c r="R58" i="24" s="1"/>
  <c r="AD50" i="24"/>
  <c r="AD58" i="24" s="1"/>
  <c r="AI50" i="24"/>
  <c r="AI58" i="24" s="1"/>
  <c r="P50" i="24"/>
  <c r="P58" i="24" s="1"/>
  <c r="G50" i="24"/>
  <c r="G58" i="24" s="1"/>
  <c r="Q50" i="24"/>
  <c r="Q58" i="24" s="1"/>
  <c r="U50" i="24"/>
  <c r="U58" i="24" s="1"/>
  <c r="AF50" i="24"/>
  <c r="AF58" i="24" s="1"/>
  <c r="AC50" i="24"/>
  <c r="AC58" i="24" s="1"/>
  <c r="I50" i="24"/>
  <c r="I58" i="24" s="1"/>
  <c r="T50" i="24"/>
  <c r="T58" i="24" s="1"/>
  <c r="W50" i="24"/>
  <c r="W58" i="24" s="1"/>
  <c r="AG50" i="24"/>
  <c r="AG58" i="24" s="1"/>
  <c r="AA50" i="24"/>
  <c r="AA58" i="24" s="1"/>
  <c r="Y50" i="24"/>
  <c r="Y58" i="24" s="1"/>
  <c r="L50" i="24"/>
  <c r="L58" i="24" s="1"/>
  <c r="V50" i="24"/>
  <c r="V58" i="24" s="1"/>
  <c r="O50" i="24"/>
  <c r="O58" i="24" s="1"/>
  <c r="AK50" i="24"/>
  <c r="AK58" i="24" s="1"/>
  <c r="AN50" i="24"/>
  <c r="AN58" i="24" s="1"/>
  <c r="H50" i="24"/>
  <c r="H58" i="24" s="1"/>
  <c r="N50" i="24"/>
  <c r="N58" i="24" s="1"/>
  <c r="X50" i="24"/>
  <c r="X58" i="24" s="1"/>
  <c r="Z50" i="24"/>
  <c r="Z58" i="24" s="1"/>
  <c r="AM50" i="24"/>
  <c r="AM58" i="24" s="1"/>
  <c r="J50" i="24"/>
  <c r="J58" i="24" s="1"/>
  <c r="S50" i="24"/>
  <c r="S58" i="24" s="1"/>
  <c r="AH50" i="24"/>
  <c r="AH58" i="24" s="1"/>
  <c r="AJ50" i="24"/>
  <c r="AJ58" i="24" s="1"/>
  <c r="K50" i="24"/>
  <c r="K58" i="24" s="1"/>
  <c r="D73" i="24"/>
  <c r="AP87" i="24" s="1"/>
  <c r="AP95" i="24" s="1"/>
  <c r="AL50" i="24"/>
  <c r="AL58" i="24" s="1"/>
  <c r="AB50" i="24"/>
  <c r="AB58" i="24" s="1"/>
  <c r="F50" i="24"/>
  <c r="F58" i="24" s="1"/>
  <c r="AE50" i="24"/>
  <c r="AE58" i="24" s="1"/>
  <c r="AO50" i="24"/>
  <c r="AO58" i="24" s="1"/>
  <c r="AR43" i="26"/>
  <c r="D43" i="26" s="1"/>
  <c r="L49" i="24"/>
  <c r="L57" i="24" s="1"/>
  <c r="F49" i="24"/>
  <c r="F57" i="24" s="1"/>
  <c r="AA49" i="24"/>
  <c r="AA57" i="24" s="1"/>
  <c r="Y49" i="24"/>
  <c r="Y57" i="24" s="1"/>
  <c r="D72" i="24"/>
  <c r="AP86" i="24" s="1"/>
  <c r="AP94" i="24" s="1"/>
  <c r="P49" i="24"/>
  <c r="P57" i="24" s="1"/>
  <c r="Q49" i="24"/>
  <c r="Q57" i="24" s="1"/>
  <c r="AH49" i="24"/>
  <c r="AH57" i="24" s="1"/>
  <c r="AF49" i="24"/>
  <c r="AF57" i="24" s="1"/>
  <c r="K49" i="24"/>
  <c r="K57" i="24" s="1"/>
  <c r="R49" i="24"/>
  <c r="R57" i="24" s="1"/>
  <c r="N49" i="24"/>
  <c r="N57" i="24" s="1"/>
  <c r="W49" i="24"/>
  <c r="W57" i="24" s="1"/>
  <c r="AG49" i="24"/>
  <c r="AG57" i="24" s="1"/>
  <c r="H49" i="24"/>
  <c r="H57" i="24" s="1"/>
  <c r="U49" i="24"/>
  <c r="U57" i="24" s="1"/>
  <c r="AB49" i="24"/>
  <c r="AB57" i="24" s="1"/>
  <c r="Z49" i="24"/>
  <c r="Z57" i="24" s="1"/>
  <c r="AI49" i="24"/>
  <c r="AI57" i="24" s="1"/>
  <c r="G49" i="24"/>
  <c r="G57" i="24" s="1"/>
  <c r="J49" i="24"/>
  <c r="J57" i="24" s="1"/>
  <c r="T49" i="24"/>
  <c r="T57" i="24" s="1"/>
  <c r="AJ49" i="24"/>
  <c r="AJ57" i="24" s="1"/>
  <c r="AC49" i="24"/>
  <c r="AC57" i="24" s="1"/>
  <c r="AN49" i="24"/>
  <c r="AN57" i="24" s="1"/>
  <c r="S49" i="24"/>
  <c r="S57" i="24" s="1"/>
  <c r="I49" i="24"/>
  <c r="I57" i="24" s="1"/>
  <c r="V49" i="24"/>
  <c r="V57" i="24" s="1"/>
  <c r="AL49" i="24"/>
  <c r="AL57" i="24" s="1"/>
  <c r="AK49" i="24"/>
  <c r="AK57" i="24" s="1"/>
  <c r="M49" i="24"/>
  <c r="M57" i="24" s="1"/>
  <c r="O49" i="24"/>
  <c r="O57" i="24" s="1"/>
  <c r="AM49" i="24"/>
  <c r="AM57" i="24" s="1"/>
  <c r="AD49" i="24"/>
  <c r="AD57" i="24" s="1"/>
  <c r="X49" i="24"/>
  <c r="X57" i="24" s="1"/>
  <c r="AE49" i="24"/>
  <c r="AE57" i="24" s="1"/>
  <c r="AO49" i="24"/>
  <c r="AO57" i="24" s="1"/>
  <c r="AR16" i="24"/>
  <c r="AR17" i="24"/>
  <c r="AR15" i="24"/>
  <c r="L47" i="24"/>
  <c r="S47" i="24"/>
  <c r="V47" i="24"/>
  <c r="AJ47" i="24"/>
  <c r="AF47" i="24"/>
  <c r="AH47" i="24"/>
  <c r="M47" i="24"/>
  <c r="W47" i="24"/>
  <c r="Y47" i="24"/>
  <c r="AM47" i="24"/>
  <c r="AN47" i="24"/>
  <c r="K47" i="24"/>
  <c r="P47" i="24"/>
  <c r="AB47" i="24"/>
  <c r="Z47" i="24"/>
  <c r="F47" i="24"/>
  <c r="U47" i="24"/>
  <c r="AC47" i="24"/>
  <c r="AI47" i="24"/>
  <c r="H47" i="24"/>
  <c r="N47" i="24"/>
  <c r="AG47" i="24"/>
  <c r="AK47" i="24"/>
  <c r="I47" i="24"/>
  <c r="Q47" i="24"/>
  <c r="AL47" i="24"/>
  <c r="X47" i="24"/>
  <c r="J47" i="24"/>
  <c r="D70" i="24"/>
  <c r="AP84" i="24" s="1"/>
  <c r="AE47" i="24"/>
  <c r="G47" i="24"/>
  <c r="R47" i="24"/>
  <c r="T47" i="24"/>
  <c r="AA47" i="24"/>
  <c r="AD47" i="24"/>
  <c r="O47" i="24"/>
  <c r="AO47" i="24"/>
  <c r="O51" i="24"/>
  <c r="O59" i="24" s="1"/>
  <c r="R51" i="24"/>
  <c r="R59" i="24" s="1"/>
  <c r="AI51" i="24"/>
  <c r="AI59" i="24" s="1"/>
  <c r="AC51" i="24"/>
  <c r="AC59" i="24" s="1"/>
  <c r="G51" i="24"/>
  <c r="G59" i="24" s="1"/>
  <c r="L51" i="24"/>
  <c r="L59" i="24" s="1"/>
  <c r="T51" i="24"/>
  <c r="T59" i="24" s="1"/>
  <c r="AE51" i="24"/>
  <c r="AE59" i="24" s="1"/>
  <c r="AD51" i="24"/>
  <c r="AD59" i="24" s="1"/>
  <c r="I51" i="24"/>
  <c r="I59" i="24" s="1"/>
  <c r="P51" i="24"/>
  <c r="P59" i="24" s="1"/>
  <c r="Q51" i="24"/>
  <c r="Q59" i="24" s="1"/>
  <c r="Y51" i="24"/>
  <c r="Y59" i="24" s="1"/>
  <c r="AJ51" i="24"/>
  <c r="AJ59" i="24" s="1"/>
  <c r="D74" i="24"/>
  <c r="AP88" i="24" s="1"/>
  <c r="AP96" i="24" s="1"/>
  <c r="J51" i="24"/>
  <c r="J59" i="24" s="1"/>
  <c r="U51" i="24"/>
  <c r="U59" i="24" s="1"/>
  <c r="AH51" i="24"/>
  <c r="AH59" i="24" s="1"/>
  <c r="AM51" i="24"/>
  <c r="AM59" i="24" s="1"/>
  <c r="M51" i="24"/>
  <c r="M59" i="24" s="1"/>
  <c r="W51" i="24"/>
  <c r="W59" i="24" s="1"/>
  <c r="AA51" i="24"/>
  <c r="AA59" i="24" s="1"/>
  <c r="AL51" i="24"/>
  <c r="AL59" i="24" s="1"/>
  <c r="AN51" i="24"/>
  <c r="AN59" i="24" s="1"/>
  <c r="F51" i="24"/>
  <c r="F59" i="24" s="1"/>
  <c r="N51" i="24"/>
  <c r="N59" i="24" s="1"/>
  <c r="AB51" i="24"/>
  <c r="AB59" i="24" s="1"/>
  <c r="AF51" i="24"/>
  <c r="AF59" i="24" s="1"/>
  <c r="H51" i="24"/>
  <c r="H59" i="24" s="1"/>
  <c r="X51" i="24"/>
  <c r="X59" i="24" s="1"/>
  <c r="K51" i="24"/>
  <c r="K59" i="24" s="1"/>
  <c r="S51" i="24"/>
  <c r="S59" i="24" s="1"/>
  <c r="AK51" i="24"/>
  <c r="AK59" i="24" s="1"/>
  <c r="AG51" i="24"/>
  <c r="AG59" i="24" s="1"/>
  <c r="V51" i="24"/>
  <c r="V59" i="24" s="1"/>
  <c r="Z51" i="24"/>
  <c r="Z59" i="24" s="1"/>
  <c r="AO51" i="24"/>
  <c r="AO59" i="24" s="1"/>
  <c r="AR40" i="22"/>
  <c r="AR51" i="22" s="1"/>
  <c r="L48" i="24"/>
  <c r="L56" i="24" s="1"/>
  <c r="V48" i="24"/>
  <c r="V56" i="24" s="1"/>
  <c r="W48" i="24"/>
  <c r="W56" i="24" s="1"/>
  <c r="X48" i="24"/>
  <c r="X56" i="24" s="1"/>
  <c r="AN48" i="24"/>
  <c r="AN56" i="24" s="1"/>
  <c r="F48" i="24"/>
  <c r="F56" i="24" s="1"/>
  <c r="M48" i="24"/>
  <c r="M56" i="24" s="1"/>
  <c r="AE48" i="24"/>
  <c r="AE56" i="24" s="1"/>
  <c r="AA48" i="24"/>
  <c r="AA56" i="24" s="1"/>
  <c r="AL48" i="24"/>
  <c r="AL56" i="24" s="1"/>
  <c r="Z48" i="24"/>
  <c r="Z56" i="24" s="1"/>
  <c r="I48" i="24"/>
  <c r="I56" i="24" s="1"/>
  <c r="R48" i="24"/>
  <c r="R56" i="24" s="1"/>
  <c r="AC48" i="24"/>
  <c r="AC56" i="24" s="1"/>
  <c r="Y48" i="24"/>
  <c r="Y56" i="24" s="1"/>
  <c r="G48" i="24"/>
  <c r="G56" i="24" s="1"/>
  <c r="J48" i="24"/>
  <c r="J56" i="24" s="1"/>
  <c r="H48" i="24"/>
  <c r="H56" i="24" s="1"/>
  <c r="AD48" i="24"/>
  <c r="AD56" i="24" s="1"/>
  <c r="AB48" i="24"/>
  <c r="AB56" i="24" s="1"/>
  <c r="S48" i="24"/>
  <c r="S56" i="24" s="1"/>
  <c r="N48" i="24"/>
  <c r="N56" i="24" s="1"/>
  <c r="P48" i="24"/>
  <c r="P56" i="24" s="1"/>
  <c r="AF48" i="24"/>
  <c r="AF56" i="24" s="1"/>
  <c r="AH48" i="24"/>
  <c r="AH56" i="24" s="1"/>
  <c r="Q48" i="24"/>
  <c r="Q56" i="24" s="1"/>
  <c r="T48" i="24"/>
  <c r="T56" i="24" s="1"/>
  <c r="U48" i="24"/>
  <c r="U56" i="24" s="1"/>
  <c r="AG48" i="24"/>
  <c r="AG56" i="24" s="1"/>
  <c r="AJ48" i="24"/>
  <c r="AJ56" i="24" s="1"/>
  <c r="K48" i="24"/>
  <c r="K56" i="24" s="1"/>
  <c r="O48" i="24"/>
  <c r="O56" i="24" s="1"/>
  <c r="D71" i="24"/>
  <c r="AP85" i="24" s="1"/>
  <c r="AP93" i="24" s="1"/>
  <c r="AI48" i="24"/>
  <c r="AI56" i="24" s="1"/>
  <c r="AK48" i="24"/>
  <c r="AK56" i="24" s="1"/>
  <c r="AM48" i="24"/>
  <c r="AM56" i="24" s="1"/>
  <c r="AO48" i="24"/>
  <c r="AO56" i="24" s="1"/>
  <c r="AO53" i="28"/>
  <c r="AO59" i="28" s="1"/>
  <c r="AO68" i="2" s="1"/>
  <c r="AR39" i="22"/>
  <c r="D39" i="22" s="1"/>
  <c r="AP101" i="26"/>
  <c r="AR41" i="23"/>
  <c r="AR29" i="23"/>
  <c r="AR22" i="24"/>
  <c r="AR28" i="23"/>
  <c r="D27" i="23"/>
  <c r="AP42" i="28"/>
  <c r="AP44" i="28" s="1"/>
  <c r="AP49" i="28"/>
  <c r="AP51" i="28" s="1"/>
  <c r="AP31" i="28"/>
  <c r="AP35" i="28" s="1"/>
  <c r="AP37" i="28" s="1"/>
  <c r="AQ89" i="26"/>
  <c r="AQ93" i="26" s="1"/>
  <c r="AQ96" i="26" s="1"/>
  <c r="AQ98" i="26" s="1"/>
  <c r="AQ51" i="26"/>
  <c r="AQ55" i="26" s="1"/>
  <c r="AQ59" i="26" s="1"/>
  <c r="AQ61" i="26" s="1"/>
  <c r="AQ64" i="26" s="1"/>
  <c r="AQ46" i="23"/>
  <c r="AQ29" i="28"/>
  <c r="AR37" i="23"/>
  <c r="AO98" i="29"/>
  <c r="AO46" i="2" s="1"/>
  <c r="AO99" i="29"/>
  <c r="AO67" i="2" s="1"/>
  <c r="AP112" i="26"/>
  <c r="AP86" i="2" s="1"/>
  <c r="AP110" i="26"/>
  <c r="AP44" i="2" s="1"/>
  <c r="AP111" i="26"/>
  <c r="AP65" i="2" s="1"/>
  <c r="AP64" i="26"/>
  <c r="AR15" i="28"/>
  <c r="AR17" i="28"/>
  <c r="AR16" i="28"/>
  <c r="D37" i="26"/>
  <c r="AP52" i="24"/>
  <c r="AP55" i="24"/>
  <c r="AP60" i="24" s="1"/>
  <c r="AR63" i="35"/>
  <c r="AR62" i="35"/>
  <c r="D58" i="35"/>
  <c r="AQ43" i="23"/>
  <c r="AQ26" i="41"/>
  <c r="AQ49" i="41" s="1"/>
  <c r="AQ35" i="41" s="1"/>
  <c r="AO106" i="26"/>
  <c r="AO116" i="26" s="1"/>
  <c r="AO64" i="2" s="1"/>
  <c r="AO105" i="26"/>
  <c r="AO115" i="26" s="1"/>
  <c r="AO43" i="2" s="1"/>
  <c r="AO107" i="26"/>
  <c r="AO117" i="26" s="1"/>
  <c r="AO85" i="2" s="1"/>
  <c r="AR77" i="26"/>
  <c r="AQ84" i="26"/>
  <c r="AQ86" i="26" s="1"/>
  <c r="AQ65" i="24"/>
  <c r="AQ68" i="26"/>
  <c r="AQ49" i="29"/>
  <c r="AQ53" i="29" s="1"/>
  <c r="AR46" i="29"/>
  <c r="AQ51" i="24"/>
  <c r="AQ47" i="24"/>
  <c r="AQ49" i="24"/>
  <c r="AQ57" i="24" s="1"/>
  <c r="AQ48" i="24"/>
  <c r="AQ56" i="24" s="1"/>
  <c r="AQ50" i="24"/>
  <c r="AP100" i="29"/>
  <c r="AP88" i="2" s="1"/>
  <c r="AP56" i="29"/>
  <c r="AQ25" i="41"/>
  <c r="AQ41" i="41" s="1"/>
  <c r="AQ42" i="23"/>
  <c r="AR28" i="22"/>
  <c r="AR26" i="22"/>
  <c r="AR27" i="22"/>
  <c r="D23" i="22"/>
  <c r="AR38" i="22"/>
  <c r="AQ72" i="35"/>
  <c r="D55" i="21" l="1"/>
  <c r="AR69" i="21"/>
  <c r="AR96" i="2" s="1"/>
  <c r="AP55" i="2"/>
  <c r="AP56" i="2" s="1"/>
  <c r="D54" i="21"/>
  <c r="AR68" i="21"/>
  <c r="AR75" i="2" s="1"/>
  <c r="AP76" i="2"/>
  <c r="AP77" i="2" s="1"/>
  <c r="AP97" i="2"/>
  <c r="AP98" i="2" s="1"/>
  <c r="AO67" i="41"/>
  <c r="AO71" i="2" s="1"/>
  <c r="AO68" i="41"/>
  <c r="AO92" i="2" s="1"/>
  <c r="AP58" i="41"/>
  <c r="AP67" i="41" s="1"/>
  <c r="AP71" i="2" s="1"/>
  <c r="AQ37" i="41"/>
  <c r="AQ38" i="41" s="1"/>
  <c r="AQ42" i="41" s="1"/>
  <c r="AQ43" i="41" s="1"/>
  <c r="AQ46" i="41" s="1"/>
  <c r="AQ36" i="41"/>
  <c r="AQ50" i="41" s="1"/>
  <c r="AQ51" i="41" s="1"/>
  <c r="AQ54" i="41" s="1"/>
  <c r="F9" i="10"/>
  <c r="L39" i="10"/>
  <c r="AP45" i="35"/>
  <c r="AR50" i="22"/>
  <c r="D50" i="22" s="1"/>
  <c r="D84" i="29"/>
  <c r="AQ35" i="35"/>
  <c r="AQ41" i="35" s="1"/>
  <c r="AQ36" i="35"/>
  <c r="AQ42" i="35" s="1"/>
  <c r="AQ91" i="29"/>
  <c r="AQ94" i="29" s="1"/>
  <c r="D87" i="29"/>
  <c r="AR32" i="29"/>
  <c r="D29" i="29"/>
  <c r="AR31" i="35"/>
  <c r="D29" i="35"/>
  <c r="D40" i="22"/>
  <c r="AR54" i="2"/>
  <c r="D33" i="21"/>
  <c r="AQ40" i="21"/>
  <c r="AQ72" i="21" s="1"/>
  <c r="AQ77" i="21" s="1"/>
  <c r="AQ42" i="21"/>
  <c r="AQ74" i="21" s="1"/>
  <c r="AQ79" i="21" s="1"/>
  <c r="AQ41" i="21"/>
  <c r="AQ73" i="21" s="1"/>
  <c r="AQ78" i="21" s="1"/>
  <c r="D37" i="21"/>
  <c r="AO60" i="28"/>
  <c r="AO89" i="2" s="1"/>
  <c r="D67" i="29"/>
  <c r="AR70" i="29"/>
  <c r="AQ75" i="2"/>
  <c r="AO58" i="28"/>
  <c r="AO47" i="2" s="1"/>
  <c r="AR42" i="21"/>
  <c r="AR74" i="21" s="1"/>
  <c r="AR40" i="21"/>
  <c r="AR41" i="21"/>
  <c r="AQ96" i="2"/>
  <c r="D53" i="21"/>
  <c r="AQ101" i="26"/>
  <c r="AQ107" i="26" s="1"/>
  <c r="AQ54" i="2"/>
  <c r="AR46" i="26"/>
  <c r="AR48" i="26" s="1"/>
  <c r="T52" i="24"/>
  <c r="T55" i="24"/>
  <c r="T60" i="24" s="1"/>
  <c r="Q52" i="24"/>
  <c r="Q55" i="24"/>
  <c r="Q60" i="24" s="1"/>
  <c r="U55" i="24"/>
  <c r="U60" i="24" s="1"/>
  <c r="U52" i="24"/>
  <c r="Y55" i="24"/>
  <c r="Y60" i="24" s="1"/>
  <c r="Y52" i="24"/>
  <c r="L55" i="24"/>
  <c r="L60" i="24" s="1"/>
  <c r="L52" i="24"/>
  <c r="R52" i="24"/>
  <c r="R55" i="24"/>
  <c r="R60" i="24" s="1"/>
  <c r="G55" i="24"/>
  <c r="G60" i="24" s="1"/>
  <c r="G52" i="24"/>
  <c r="AK55" i="24"/>
  <c r="AK60" i="24" s="1"/>
  <c r="AK52" i="24"/>
  <c r="Z52" i="24"/>
  <c r="Z55" i="24"/>
  <c r="Z60" i="24" s="1"/>
  <c r="M55" i="24"/>
  <c r="M60" i="24" s="1"/>
  <c r="M52" i="24"/>
  <c r="F55" i="24"/>
  <c r="F60" i="24" s="1"/>
  <c r="F52" i="24"/>
  <c r="AE52" i="24"/>
  <c r="AE55" i="24"/>
  <c r="AE60" i="24" s="1"/>
  <c r="AG52" i="24"/>
  <c r="AG55" i="24"/>
  <c r="AG60" i="24" s="1"/>
  <c r="AB52" i="24"/>
  <c r="AB55" i="24"/>
  <c r="AB60" i="24" s="1"/>
  <c r="AH55" i="24"/>
  <c r="AH60" i="24" s="1"/>
  <c r="AH52" i="24"/>
  <c r="W55" i="24"/>
  <c r="W60" i="24" s="1"/>
  <c r="W52" i="24"/>
  <c r="AL85" i="24"/>
  <c r="AL93" i="24" s="1"/>
  <c r="G85" i="24"/>
  <c r="G93" i="24" s="1"/>
  <c r="O85" i="24"/>
  <c r="O93" i="24" s="1"/>
  <c r="W85" i="24"/>
  <c r="W93" i="24" s="1"/>
  <c r="AE85" i="24"/>
  <c r="AE93" i="24" s="1"/>
  <c r="J85" i="24"/>
  <c r="J93" i="24" s="1"/>
  <c r="U85" i="24"/>
  <c r="U93" i="24" s="1"/>
  <c r="F85" i="24"/>
  <c r="F93" i="24" s="1"/>
  <c r="H85" i="24"/>
  <c r="H93" i="24" s="1"/>
  <c r="P85" i="24"/>
  <c r="P93" i="24" s="1"/>
  <c r="X85" i="24"/>
  <c r="X93" i="24" s="1"/>
  <c r="AF85" i="24"/>
  <c r="AF93" i="24" s="1"/>
  <c r="Z85" i="24"/>
  <c r="Z93" i="24" s="1"/>
  <c r="K85" i="24"/>
  <c r="K93" i="24" s="1"/>
  <c r="AI85" i="24"/>
  <c r="AI93" i="24" s="1"/>
  <c r="AD85" i="24"/>
  <c r="AD93" i="24" s="1"/>
  <c r="I85" i="24"/>
  <c r="I93" i="24" s="1"/>
  <c r="Q85" i="24"/>
  <c r="Q93" i="24" s="1"/>
  <c r="Y85" i="24"/>
  <c r="Y93" i="24" s="1"/>
  <c r="AG85" i="24"/>
  <c r="AG93" i="24" s="1"/>
  <c r="AA85" i="24"/>
  <c r="AA93" i="24" s="1"/>
  <c r="AK85" i="24"/>
  <c r="AK93" i="24" s="1"/>
  <c r="R85" i="24"/>
  <c r="R93" i="24" s="1"/>
  <c r="AH85" i="24"/>
  <c r="AH93" i="24" s="1"/>
  <c r="S85" i="24"/>
  <c r="S93" i="24" s="1"/>
  <c r="N85" i="24"/>
  <c r="N93" i="24" s="1"/>
  <c r="L85" i="24"/>
  <c r="L93" i="24" s="1"/>
  <c r="T85" i="24"/>
  <c r="T93" i="24" s="1"/>
  <c r="AB85" i="24"/>
  <c r="AB93" i="24" s="1"/>
  <c r="AJ85" i="24"/>
  <c r="AJ93" i="24" s="1"/>
  <c r="AC85" i="24"/>
  <c r="AC93" i="24" s="1"/>
  <c r="V85" i="24"/>
  <c r="V93" i="24" s="1"/>
  <c r="AM85" i="24"/>
  <c r="AM93" i="24" s="1"/>
  <c r="M85" i="24"/>
  <c r="M93" i="24" s="1"/>
  <c r="AN85" i="24"/>
  <c r="AN93" i="24" s="1"/>
  <c r="AO85" i="24"/>
  <c r="AO93" i="24" s="1"/>
  <c r="AL88" i="24"/>
  <c r="AL96" i="24" s="1"/>
  <c r="G88" i="24"/>
  <c r="G96" i="24" s="1"/>
  <c r="O88" i="24"/>
  <c r="O96" i="24" s="1"/>
  <c r="W88" i="24"/>
  <c r="W96" i="24" s="1"/>
  <c r="AE88" i="24"/>
  <c r="AE96" i="24" s="1"/>
  <c r="N88" i="24"/>
  <c r="N96" i="24" s="1"/>
  <c r="H88" i="24"/>
  <c r="H96" i="24" s="1"/>
  <c r="P88" i="24"/>
  <c r="P96" i="24" s="1"/>
  <c r="X88" i="24"/>
  <c r="X96" i="24" s="1"/>
  <c r="AF88" i="24"/>
  <c r="AF96" i="24" s="1"/>
  <c r="K88" i="24"/>
  <c r="K96" i="24" s="1"/>
  <c r="AI88" i="24"/>
  <c r="AI96" i="24" s="1"/>
  <c r="AM88" i="24"/>
  <c r="AM96" i="24" s="1"/>
  <c r="I88" i="24"/>
  <c r="I96" i="24" s="1"/>
  <c r="Q88" i="24"/>
  <c r="Q96" i="24" s="1"/>
  <c r="Y88" i="24"/>
  <c r="Y96" i="24" s="1"/>
  <c r="AG88" i="24"/>
  <c r="AG96" i="24" s="1"/>
  <c r="S88" i="24"/>
  <c r="S96" i="24" s="1"/>
  <c r="V88" i="24"/>
  <c r="V96" i="24" s="1"/>
  <c r="J88" i="24"/>
  <c r="J96" i="24" s="1"/>
  <c r="R88" i="24"/>
  <c r="R96" i="24" s="1"/>
  <c r="Z88" i="24"/>
  <c r="Z96" i="24" s="1"/>
  <c r="AH88" i="24"/>
  <c r="AH96" i="24" s="1"/>
  <c r="AA88" i="24"/>
  <c r="AA96" i="24" s="1"/>
  <c r="AD88" i="24"/>
  <c r="AD96" i="24" s="1"/>
  <c r="L88" i="24"/>
  <c r="L96" i="24" s="1"/>
  <c r="T88" i="24"/>
  <c r="T96" i="24" s="1"/>
  <c r="AB88" i="24"/>
  <c r="AB96" i="24" s="1"/>
  <c r="AJ88" i="24"/>
  <c r="AJ96" i="24" s="1"/>
  <c r="M88" i="24"/>
  <c r="M96" i="24" s="1"/>
  <c r="U88" i="24"/>
  <c r="U96" i="24" s="1"/>
  <c r="AC88" i="24"/>
  <c r="AC96" i="24" s="1"/>
  <c r="AK88" i="24"/>
  <c r="AK96" i="24" s="1"/>
  <c r="F88" i="24"/>
  <c r="F96" i="24" s="1"/>
  <c r="AN88" i="24"/>
  <c r="AN96" i="24" s="1"/>
  <c r="AO88" i="24"/>
  <c r="AO96" i="24" s="1"/>
  <c r="AO52" i="24"/>
  <c r="AO55" i="24"/>
  <c r="AO60" i="24" s="1"/>
  <c r="F84" i="24"/>
  <c r="N84" i="24"/>
  <c r="V84" i="24"/>
  <c r="AD84" i="24"/>
  <c r="J84" i="24"/>
  <c r="AC84" i="24"/>
  <c r="AM84" i="24"/>
  <c r="G84" i="24"/>
  <c r="O84" i="24"/>
  <c r="W84" i="24"/>
  <c r="AE84" i="24"/>
  <c r="AL84" i="24"/>
  <c r="R84" i="24"/>
  <c r="AK84" i="24"/>
  <c r="H84" i="24"/>
  <c r="P84" i="24"/>
  <c r="X84" i="24"/>
  <c r="AF84" i="24"/>
  <c r="Z84" i="24"/>
  <c r="I84" i="24"/>
  <c r="Q84" i="24"/>
  <c r="Y84" i="24"/>
  <c r="AG84" i="24"/>
  <c r="U84" i="24"/>
  <c r="AH84" i="24"/>
  <c r="K84" i="24"/>
  <c r="S84" i="24"/>
  <c r="AA84" i="24"/>
  <c r="AI84" i="24"/>
  <c r="L84" i="24"/>
  <c r="T84" i="24"/>
  <c r="AB84" i="24"/>
  <c r="AJ84" i="24"/>
  <c r="M84" i="24"/>
  <c r="AN84" i="24"/>
  <c r="AO84" i="24"/>
  <c r="N52" i="24"/>
  <c r="N55" i="24"/>
  <c r="N60" i="24" s="1"/>
  <c r="P52" i="24"/>
  <c r="P55" i="24"/>
  <c r="P60" i="24" s="1"/>
  <c r="AF55" i="24"/>
  <c r="AF60" i="24" s="1"/>
  <c r="AF52" i="24"/>
  <c r="AL86" i="24"/>
  <c r="AL94" i="24" s="1"/>
  <c r="I86" i="24"/>
  <c r="I94" i="24" s="1"/>
  <c r="Q86" i="24"/>
  <c r="Q94" i="24" s="1"/>
  <c r="Y86" i="24"/>
  <c r="Y94" i="24" s="1"/>
  <c r="AG86" i="24"/>
  <c r="AG94" i="24" s="1"/>
  <c r="H86" i="24"/>
  <c r="H94" i="24" s="1"/>
  <c r="J86" i="24"/>
  <c r="J94" i="24" s="1"/>
  <c r="R86" i="24"/>
  <c r="R94" i="24" s="1"/>
  <c r="Z86" i="24"/>
  <c r="Z94" i="24" s="1"/>
  <c r="AH86" i="24"/>
  <c r="AH94" i="24" s="1"/>
  <c r="K86" i="24"/>
  <c r="K94" i="24" s="1"/>
  <c r="S86" i="24"/>
  <c r="S94" i="24" s="1"/>
  <c r="AA86" i="24"/>
  <c r="AA94" i="24" s="1"/>
  <c r="AI86" i="24"/>
  <c r="AI94" i="24" s="1"/>
  <c r="P86" i="24"/>
  <c r="P94" i="24" s="1"/>
  <c r="L86" i="24"/>
  <c r="L94" i="24" s="1"/>
  <c r="T86" i="24"/>
  <c r="T94" i="24" s="1"/>
  <c r="AB86" i="24"/>
  <c r="AB94" i="24" s="1"/>
  <c r="AJ86" i="24"/>
  <c r="AJ94" i="24" s="1"/>
  <c r="M86" i="24"/>
  <c r="M94" i="24" s="1"/>
  <c r="U86" i="24"/>
  <c r="U94" i="24" s="1"/>
  <c r="AC86" i="24"/>
  <c r="AC94" i="24" s="1"/>
  <c r="AK86" i="24"/>
  <c r="AK94" i="24" s="1"/>
  <c r="F86" i="24"/>
  <c r="F94" i="24" s="1"/>
  <c r="N86" i="24"/>
  <c r="N94" i="24" s="1"/>
  <c r="V86" i="24"/>
  <c r="V94" i="24" s="1"/>
  <c r="AD86" i="24"/>
  <c r="AD94" i="24" s="1"/>
  <c r="AM86" i="24"/>
  <c r="AM94" i="24" s="1"/>
  <c r="G86" i="24"/>
  <c r="G94" i="24" s="1"/>
  <c r="O86" i="24"/>
  <c r="O94" i="24" s="1"/>
  <c r="W86" i="24"/>
  <c r="W94" i="24" s="1"/>
  <c r="AE86" i="24"/>
  <c r="AE94" i="24" s="1"/>
  <c r="AF86" i="24"/>
  <c r="AF94" i="24" s="1"/>
  <c r="X86" i="24"/>
  <c r="X94" i="24" s="1"/>
  <c r="AN86" i="24"/>
  <c r="AN94" i="24" s="1"/>
  <c r="AO86" i="24"/>
  <c r="AO94" i="24" s="1"/>
  <c r="O52" i="24"/>
  <c r="O55" i="24"/>
  <c r="O60" i="24" s="1"/>
  <c r="J55" i="24"/>
  <c r="J60" i="24" s="1"/>
  <c r="J52" i="24"/>
  <c r="H55" i="24"/>
  <c r="H60" i="24" s="1"/>
  <c r="H52" i="24"/>
  <c r="K52" i="24"/>
  <c r="K55" i="24"/>
  <c r="K60" i="24" s="1"/>
  <c r="AJ52" i="24"/>
  <c r="AJ55" i="24"/>
  <c r="AJ60" i="24" s="1"/>
  <c r="AD52" i="24"/>
  <c r="AD55" i="24"/>
  <c r="AD60" i="24" s="1"/>
  <c r="X52" i="24"/>
  <c r="X55" i="24"/>
  <c r="X60" i="24" s="1"/>
  <c r="AI52" i="24"/>
  <c r="AI55" i="24"/>
  <c r="AI60" i="24" s="1"/>
  <c r="AN55" i="24"/>
  <c r="AN60" i="24" s="1"/>
  <c r="AN52" i="24"/>
  <c r="V52" i="24"/>
  <c r="V55" i="24"/>
  <c r="V60" i="24" s="1"/>
  <c r="I55" i="24"/>
  <c r="I60" i="24" s="1"/>
  <c r="I52" i="24"/>
  <c r="AA52" i="24"/>
  <c r="AA55" i="24"/>
  <c r="AA60" i="24" s="1"/>
  <c r="AL55" i="24"/>
  <c r="AL60" i="24" s="1"/>
  <c r="AL52" i="24"/>
  <c r="AC55" i="24"/>
  <c r="AC60" i="24" s="1"/>
  <c r="AC52" i="24"/>
  <c r="AM55" i="24"/>
  <c r="AM60" i="24" s="1"/>
  <c r="AM52" i="24"/>
  <c r="S52" i="24"/>
  <c r="S55" i="24"/>
  <c r="S60" i="24" s="1"/>
  <c r="I87" i="24"/>
  <c r="I95" i="24" s="1"/>
  <c r="Q87" i="24"/>
  <c r="Q95" i="24" s="1"/>
  <c r="Y87" i="24"/>
  <c r="Y95" i="24" s="1"/>
  <c r="AG87" i="24"/>
  <c r="AG95" i="24" s="1"/>
  <c r="AM87" i="24"/>
  <c r="AM95" i="24" s="1"/>
  <c r="J87" i="24"/>
  <c r="J95" i="24" s="1"/>
  <c r="R87" i="24"/>
  <c r="R95" i="24" s="1"/>
  <c r="Z87" i="24"/>
  <c r="Z95" i="24" s="1"/>
  <c r="AH87" i="24"/>
  <c r="AH95" i="24" s="1"/>
  <c r="H87" i="24"/>
  <c r="H95" i="24" s="1"/>
  <c r="K87" i="24"/>
  <c r="K95" i="24" s="1"/>
  <c r="S87" i="24"/>
  <c r="S95" i="24" s="1"/>
  <c r="AA87" i="24"/>
  <c r="AA95" i="24" s="1"/>
  <c r="AI87" i="24"/>
  <c r="AI95" i="24" s="1"/>
  <c r="L87" i="24"/>
  <c r="L95" i="24" s="1"/>
  <c r="T87" i="24"/>
  <c r="T95" i="24" s="1"/>
  <c r="AB87" i="24"/>
  <c r="AB95" i="24" s="1"/>
  <c r="AJ87" i="24"/>
  <c r="AJ95" i="24" s="1"/>
  <c r="P87" i="24"/>
  <c r="P95" i="24" s="1"/>
  <c r="AF87" i="24"/>
  <c r="AF95" i="24" s="1"/>
  <c r="M87" i="24"/>
  <c r="M95" i="24" s="1"/>
  <c r="U87" i="24"/>
  <c r="U95" i="24" s="1"/>
  <c r="AC87" i="24"/>
  <c r="AC95" i="24" s="1"/>
  <c r="AK87" i="24"/>
  <c r="AK95" i="24" s="1"/>
  <c r="F87" i="24"/>
  <c r="F95" i="24" s="1"/>
  <c r="N87" i="24"/>
  <c r="N95" i="24" s="1"/>
  <c r="V87" i="24"/>
  <c r="V95" i="24" s="1"/>
  <c r="AD87" i="24"/>
  <c r="AD95" i="24" s="1"/>
  <c r="AL87" i="24"/>
  <c r="AL95" i="24" s="1"/>
  <c r="X87" i="24"/>
  <c r="X95" i="24" s="1"/>
  <c r="G87" i="24"/>
  <c r="G95" i="24" s="1"/>
  <c r="O87" i="24"/>
  <c r="O95" i="24" s="1"/>
  <c r="W87" i="24"/>
  <c r="W95" i="24" s="1"/>
  <c r="AE87" i="24"/>
  <c r="AE95" i="24" s="1"/>
  <c r="AN87" i="24"/>
  <c r="AN95" i="24" s="1"/>
  <c r="AO87" i="24"/>
  <c r="AO95" i="24" s="1"/>
  <c r="AQ59" i="24"/>
  <c r="AP106" i="26"/>
  <c r="AP116" i="26" s="1"/>
  <c r="AP64" i="2" s="1"/>
  <c r="AP107" i="26"/>
  <c r="AP117" i="26" s="1"/>
  <c r="AP85" i="2" s="1"/>
  <c r="AP105" i="26"/>
  <c r="AP115" i="26" s="1"/>
  <c r="AP43" i="2" s="1"/>
  <c r="AQ42" i="28"/>
  <c r="AQ44" i="28" s="1"/>
  <c r="AQ49" i="28"/>
  <c r="AQ51" i="28" s="1"/>
  <c r="AQ31" i="28"/>
  <c r="AQ35" i="28" s="1"/>
  <c r="AQ37" i="28" s="1"/>
  <c r="AR84" i="26"/>
  <c r="D77" i="26"/>
  <c r="AR68" i="35"/>
  <c r="D62" i="35"/>
  <c r="AR69" i="35"/>
  <c r="D69" i="35" s="1"/>
  <c r="D63" i="35"/>
  <c r="AQ110" i="26"/>
  <c r="AQ44" i="2" s="1"/>
  <c r="AQ111" i="26"/>
  <c r="AQ65" i="2" s="1"/>
  <c r="AQ112" i="26"/>
  <c r="AQ86" i="2" s="1"/>
  <c r="AQ58" i="24"/>
  <c r="AR25" i="41"/>
  <c r="AR41" i="41" s="1"/>
  <c r="AR42" i="23"/>
  <c r="D42" i="23" s="1"/>
  <c r="D28" i="23"/>
  <c r="AR45" i="22"/>
  <c r="D45" i="22" s="1"/>
  <c r="D27" i="22"/>
  <c r="AQ85" i="24"/>
  <c r="AQ87" i="24"/>
  <c r="AQ95" i="24" s="1"/>
  <c r="AQ84" i="24"/>
  <c r="AQ88" i="24"/>
  <c r="AQ86" i="24"/>
  <c r="AQ94" i="24" s="1"/>
  <c r="D22" i="24"/>
  <c r="AR48" i="24"/>
  <c r="AR51" i="24"/>
  <c r="AR59" i="24" s="1"/>
  <c r="AR47" i="24"/>
  <c r="AR50" i="24"/>
  <c r="AR58" i="24" s="1"/>
  <c r="AR49" i="24"/>
  <c r="AR49" i="29"/>
  <c r="D46" i="29"/>
  <c r="AP92" i="24"/>
  <c r="AP97" i="24" s="1"/>
  <c r="AP103" i="24" s="1"/>
  <c r="AP84" i="2" s="1"/>
  <c r="AP89" i="24"/>
  <c r="AP53" i="28"/>
  <c r="D51" i="22"/>
  <c r="AR43" i="23"/>
  <c r="D43" i="23" s="1"/>
  <c r="AR26" i="41"/>
  <c r="AR49" i="41" s="1"/>
  <c r="D29" i="23"/>
  <c r="AQ56" i="29"/>
  <c r="AR49" i="22"/>
  <c r="D38" i="22"/>
  <c r="AR44" i="22"/>
  <c r="D44" i="22" s="1"/>
  <c r="D26" i="22"/>
  <c r="AR46" i="22"/>
  <c r="D46" i="22" s="1"/>
  <c r="D28" i="22"/>
  <c r="AP99" i="29"/>
  <c r="AP67" i="2" s="1"/>
  <c r="AP98" i="29"/>
  <c r="AP46" i="2" s="1"/>
  <c r="AQ52" i="24"/>
  <c r="AQ55" i="24"/>
  <c r="AR29" i="28"/>
  <c r="AR89" i="26"/>
  <c r="AR93" i="26" s="1"/>
  <c r="AR96" i="26" s="1"/>
  <c r="AR51" i="26"/>
  <c r="AR55" i="26" s="1"/>
  <c r="AR59" i="26" s="1"/>
  <c r="AR46" i="23"/>
  <c r="D46" i="23" s="1"/>
  <c r="AR65" i="24"/>
  <c r="AR68" i="26"/>
  <c r="D68" i="26" s="1"/>
  <c r="D41" i="23"/>
  <c r="AR79" i="21" l="1"/>
  <c r="AR73" i="21"/>
  <c r="AR78" i="21" s="1"/>
  <c r="AR72" i="21"/>
  <c r="AR77" i="21" s="1"/>
  <c r="AP66" i="41"/>
  <c r="AP50" i="2" s="1"/>
  <c r="AP68" i="41"/>
  <c r="AP92" i="2" s="1"/>
  <c r="AQ105" i="26"/>
  <c r="AQ115" i="26" s="1"/>
  <c r="AQ43" i="2" s="1"/>
  <c r="D49" i="41"/>
  <c r="AR35" i="41"/>
  <c r="D69" i="21"/>
  <c r="AQ58" i="41"/>
  <c r="AQ67" i="41" s="1"/>
  <c r="AQ71" i="2" s="1"/>
  <c r="D41" i="41"/>
  <c r="AR37" i="41"/>
  <c r="AR38" i="41" s="1"/>
  <c r="AR42" i="41" s="1"/>
  <c r="AR43" i="41" s="1"/>
  <c r="AR97" i="2"/>
  <c r="AR98" i="2" s="1"/>
  <c r="AQ100" i="29"/>
  <c r="AQ88" i="2" s="1"/>
  <c r="D91" i="29"/>
  <c r="D67" i="21"/>
  <c r="AQ106" i="26"/>
  <c r="AQ116" i="26" s="1"/>
  <c r="AQ64" i="2" s="1"/>
  <c r="AQ45" i="35"/>
  <c r="AR36" i="35"/>
  <c r="AR35" i="35"/>
  <c r="D31" i="35"/>
  <c r="D32" i="29"/>
  <c r="AR36" i="29"/>
  <c r="D36" i="29" s="1"/>
  <c r="AP78" i="35"/>
  <c r="AP87" i="2" s="1"/>
  <c r="AP77" i="35"/>
  <c r="AP66" i="2" s="1"/>
  <c r="AP76" i="35"/>
  <c r="AP45" i="2" s="1"/>
  <c r="D46" i="26"/>
  <c r="D75" i="2"/>
  <c r="D27" i="2" s="1"/>
  <c r="D96" i="2"/>
  <c r="E27" i="2" s="1"/>
  <c r="AR74" i="29"/>
  <c r="D70" i="29"/>
  <c r="AQ117" i="26"/>
  <c r="AQ85" i="2" s="1"/>
  <c r="D54" i="2"/>
  <c r="C27" i="2" s="1"/>
  <c r="AQ53" i="28"/>
  <c r="AQ60" i="28" s="1"/>
  <c r="AQ89" i="2" s="1"/>
  <c r="D41" i="21"/>
  <c r="D50" i="24"/>
  <c r="D68" i="21"/>
  <c r="D42" i="21"/>
  <c r="D40" i="21"/>
  <c r="AI89" i="24"/>
  <c r="AI92" i="24"/>
  <c r="AI97" i="24" s="1"/>
  <c r="AI102" i="24" s="1"/>
  <c r="AI63" i="2" s="1"/>
  <c r="AI72" i="2" s="1"/>
  <c r="AI79" i="2" s="1"/>
  <c r="Q89" i="24"/>
  <c r="Q92" i="24"/>
  <c r="Q97" i="24" s="1"/>
  <c r="Q102" i="24" s="1"/>
  <c r="Q63" i="2" s="1"/>
  <c r="R89" i="24"/>
  <c r="R92" i="24"/>
  <c r="R97" i="24" s="1"/>
  <c r="R103" i="24" s="1"/>
  <c r="R84" i="2" s="1"/>
  <c r="R93" i="2" s="1"/>
  <c r="R100" i="2" s="1"/>
  <c r="J92" i="24"/>
  <c r="J97" i="24" s="1"/>
  <c r="J101" i="24" s="1"/>
  <c r="J42" i="2" s="1"/>
  <c r="J51" i="2" s="1"/>
  <c r="J58" i="2" s="1"/>
  <c r="J89" i="24"/>
  <c r="AL92" i="24"/>
  <c r="AL97" i="24" s="1"/>
  <c r="AL102" i="24" s="1"/>
  <c r="AL63" i="2" s="1"/>
  <c r="AL72" i="2" s="1"/>
  <c r="AL79" i="2" s="1"/>
  <c r="AL89" i="24"/>
  <c r="I89" i="24"/>
  <c r="I92" i="24"/>
  <c r="I97" i="24" s="1"/>
  <c r="I103" i="24" s="1"/>
  <c r="I84" i="2" s="1"/>
  <c r="I93" i="2" s="1"/>
  <c r="I100" i="2" s="1"/>
  <c r="AN92" i="24"/>
  <c r="AN97" i="24" s="1"/>
  <c r="AN101" i="24" s="1"/>
  <c r="AN42" i="2" s="1"/>
  <c r="AN51" i="2" s="1"/>
  <c r="AN58" i="2" s="1"/>
  <c r="AN89" i="24"/>
  <c r="S89" i="24"/>
  <c r="S92" i="24"/>
  <c r="S97" i="24" s="1"/>
  <c r="S101" i="24" s="1"/>
  <c r="S42" i="2" s="1"/>
  <c r="S51" i="2" s="1"/>
  <c r="S58" i="2" s="1"/>
  <c r="Z92" i="24"/>
  <c r="Z97" i="24" s="1"/>
  <c r="Z103" i="24" s="1"/>
  <c r="Z84" i="2" s="1"/>
  <c r="Z93" i="2" s="1"/>
  <c r="Z100" i="2" s="1"/>
  <c r="Z89" i="24"/>
  <c r="AE89" i="24"/>
  <c r="AE92" i="24"/>
  <c r="AE97" i="24" s="1"/>
  <c r="AE101" i="24" s="1"/>
  <c r="AE42" i="2" s="1"/>
  <c r="AE51" i="2" s="1"/>
  <c r="AE58" i="2" s="1"/>
  <c r="V89" i="24"/>
  <c r="V92" i="24"/>
  <c r="V97" i="24" s="1"/>
  <c r="V102" i="24" s="1"/>
  <c r="V63" i="2" s="1"/>
  <c r="V72" i="2" s="1"/>
  <c r="V79" i="2" s="1"/>
  <c r="AO92" i="24"/>
  <c r="AO97" i="24" s="1"/>
  <c r="AO101" i="24" s="1"/>
  <c r="AO89" i="24"/>
  <c r="D58" i="24"/>
  <c r="M89" i="24"/>
  <c r="M92" i="24"/>
  <c r="M97" i="24" s="1"/>
  <c r="M101" i="24" s="1"/>
  <c r="M42" i="2" s="1"/>
  <c r="M51" i="2" s="1"/>
  <c r="M58" i="2" s="1"/>
  <c r="K89" i="24"/>
  <c r="K92" i="24"/>
  <c r="K97" i="24" s="1"/>
  <c r="K101" i="24" s="1"/>
  <c r="K42" i="2" s="1"/>
  <c r="K51" i="2" s="1"/>
  <c r="K58" i="2" s="1"/>
  <c r="AF92" i="24"/>
  <c r="AF97" i="24" s="1"/>
  <c r="AF103" i="24" s="1"/>
  <c r="AF84" i="2" s="1"/>
  <c r="AF93" i="2" s="1"/>
  <c r="AF100" i="2" s="1"/>
  <c r="AF89" i="24"/>
  <c r="W89" i="24"/>
  <c r="W92" i="24"/>
  <c r="W97" i="24" s="1"/>
  <c r="W101" i="24" s="1"/>
  <c r="W42" i="2" s="1"/>
  <c r="W51" i="2" s="1"/>
  <c r="W58" i="2" s="1"/>
  <c r="N89" i="24"/>
  <c r="N92" i="24"/>
  <c r="N97" i="24" s="1"/>
  <c r="N103" i="24" s="1"/>
  <c r="N84" i="2" s="1"/>
  <c r="N93" i="2" s="1"/>
  <c r="N100" i="2" s="1"/>
  <c r="AA89" i="24"/>
  <c r="AA92" i="24"/>
  <c r="AA97" i="24" s="1"/>
  <c r="AA103" i="24" s="1"/>
  <c r="AA84" i="2" s="1"/>
  <c r="AA93" i="2" s="1"/>
  <c r="AA100" i="2" s="1"/>
  <c r="AD92" i="24"/>
  <c r="AD97" i="24" s="1"/>
  <c r="AD101" i="24" s="1"/>
  <c r="AD42" i="2" s="1"/>
  <c r="AD51" i="2" s="1"/>
  <c r="AD58" i="2" s="1"/>
  <c r="AD89" i="24"/>
  <c r="AJ92" i="24"/>
  <c r="AJ97" i="24" s="1"/>
  <c r="AJ103" i="24" s="1"/>
  <c r="AJ84" i="2" s="1"/>
  <c r="AJ93" i="2" s="1"/>
  <c r="AJ100" i="2" s="1"/>
  <c r="AJ89" i="24"/>
  <c r="AH89" i="24"/>
  <c r="AH92" i="24"/>
  <c r="AH97" i="24" s="1"/>
  <c r="AH102" i="24" s="1"/>
  <c r="AH63" i="2" s="1"/>
  <c r="AH72" i="2" s="1"/>
  <c r="AH79" i="2" s="1"/>
  <c r="X89" i="24"/>
  <c r="X92" i="24"/>
  <c r="X97" i="24" s="1"/>
  <c r="X101" i="24" s="1"/>
  <c r="X42" i="2" s="1"/>
  <c r="X51" i="2" s="1"/>
  <c r="X58" i="2" s="1"/>
  <c r="O89" i="24"/>
  <c r="O92" i="24"/>
  <c r="O97" i="24" s="1"/>
  <c r="O102" i="24" s="1"/>
  <c r="O63" i="2" s="1"/>
  <c r="O72" i="2" s="1"/>
  <c r="O79" i="2" s="1"/>
  <c r="F92" i="24"/>
  <c r="F97" i="24" s="1"/>
  <c r="F101" i="24" s="1"/>
  <c r="F42" i="2" s="1"/>
  <c r="F51" i="2" s="1"/>
  <c r="F58" i="2" s="1"/>
  <c r="F89" i="24"/>
  <c r="AB89" i="24"/>
  <c r="AB92" i="24"/>
  <c r="AB97" i="24" s="1"/>
  <c r="AB103" i="24" s="1"/>
  <c r="AB84" i="2" s="1"/>
  <c r="AB93" i="2" s="1"/>
  <c r="AB100" i="2" s="1"/>
  <c r="U92" i="24"/>
  <c r="U97" i="24" s="1"/>
  <c r="U102" i="24" s="1"/>
  <c r="U63" i="2" s="1"/>
  <c r="U89" i="24"/>
  <c r="P92" i="24"/>
  <c r="P97" i="24" s="1"/>
  <c r="P103" i="24" s="1"/>
  <c r="P84" i="2" s="1"/>
  <c r="P93" i="2" s="1"/>
  <c r="P100" i="2" s="1"/>
  <c r="P89" i="24"/>
  <c r="G89" i="24"/>
  <c r="G92" i="24"/>
  <c r="G97" i="24" s="1"/>
  <c r="G102" i="24" s="1"/>
  <c r="G63" i="2" s="1"/>
  <c r="G72" i="2" s="1"/>
  <c r="G79" i="2" s="1"/>
  <c r="AR55" i="22"/>
  <c r="AR70" i="2" s="1"/>
  <c r="D70" i="2" s="1"/>
  <c r="D20" i="2" s="1"/>
  <c r="K40" i="10" s="1"/>
  <c r="T89" i="24"/>
  <c r="T92" i="24"/>
  <c r="T97" i="24" s="1"/>
  <c r="T102" i="24" s="1"/>
  <c r="T63" i="2" s="1"/>
  <c r="T72" i="2" s="1"/>
  <c r="T79" i="2" s="1"/>
  <c r="AG89" i="24"/>
  <c r="AG92" i="24"/>
  <c r="AG97" i="24" s="1"/>
  <c r="AG103" i="24" s="1"/>
  <c r="AG84" i="2" s="1"/>
  <c r="AG93" i="2" s="1"/>
  <c r="AG100" i="2" s="1"/>
  <c r="H89" i="24"/>
  <c r="H92" i="24"/>
  <c r="H97" i="24" s="1"/>
  <c r="H103" i="24" s="1"/>
  <c r="H84" i="2" s="1"/>
  <c r="H93" i="2" s="1"/>
  <c r="H100" i="2" s="1"/>
  <c r="AM89" i="24"/>
  <c r="AM92" i="24"/>
  <c r="AM97" i="24" s="1"/>
  <c r="AM101" i="24" s="1"/>
  <c r="AM42" i="2" s="1"/>
  <c r="AM51" i="2" s="1"/>
  <c r="AM58" i="2" s="1"/>
  <c r="L92" i="24"/>
  <c r="L97" i="24" s="1"/>
  <c r="L103" i="24" s="1"/>
  <c r="L84" i="2" s="1"/>
  <c r="L93" i="2" s="1"/>
  <c r="L100" i="2" s="1"/>
  <c r="L89" i="24"/>
  <c r="Y92" i="24"/>
  <c r="Y97" i="24" s="1"/>
  <c r="Y101" i="24" s="1"/>
  <c r="Y42" i="2" s="1"/>
  <c r="Y51" i="2" s="1"/>
  <c r="Y58" i="2" s="1"/>
  <c r="Y89" i="24"/>
  <c r="AK89" i="24"/>
  <c r="AK92" i="24"/>
  <c r="AK97" i="24" s="1"/>
  <c r="AK103" i="24" s="1"/>
  <c r="AK84" i="2" s="1"/>
  <c r="AK93" i="2" s="1"/>
  <c r="AK100" i="2" s="1"/>
  <c r="AC92" i="24"/>
  <c r="AC97" i="24" s="1"/>
  <c r="AC103" i="24" s="1"/>
  <c r="AC84" i="2" s="1"/>
  <c r="AC93" i="2" s="1"/>
  <c r="AC100" i="2" s="1"/>
  <c r="AC89" i="24"/>
  <c r="AR55" i="24"/>
  <c r="D55" i="24" s="1"/>
  <c r="AR52" i="24"/>
  <c r="D52" i="24" s="1"/>
  <c r="D47" i="24"/>
  <c r="AQ93" i="24"/>
  <c r="AR56" i="24"/>
  <c r="D56" i="24" s="1"/>
  <c r="D48" i="24"/>
  <c r="D48" i="26"/>
  <c r="AR72" i="35"/>
  <c r="D72" i="35" s="1"/>
  <c r="D68" i="35"/>
  <c r="AR98" i="26"/>
  <c r="D98" i="26" s="1"/>
  <c r="D96" i="26"/>
  <c r="D25" i="41"/>
  <c r="AR86" i="26"/>
  <c r="D84" i="26"/>
  <c r="AQ60" i="24"/>
  <c r="AR42" i="28"/>
  <c r="AR49" i="28"/>
  <c r="AR31" i="28"/>
  <c r="AR35" i="28" s="1"/>
  <c r="D26" i="41"/>
  <c r="AP102" i="24"/>
  <c r="AP63" i="2" s="1"/>
  <c r="AR56" i="22"/>
  <c r="AQ96" i="24"/>
  <c r="D51" i="24"/>
  <c r="AR61" i="26"/>
  <c r="AR64" i="26" s="1"/>
  <c r="D59" i="26"/>
  <c r="AR54" i="22"/>
  <c r="D49" i="22"/>
  <c r="AP101" i="24"/>
  <c r="AP42" i="2" s="1"/>
  <c r="AQ98" i="29"/>
  <c r="AQ46" i="2" s="1"/>
  <c r="AQ99" i="29"/>
  <c r="AQ67" i="2" s="1"/>
  <c r="AP58" i="28"/>
  <c r="AP47" i="2" s="1"/>
  <c r="AP60" i="28"/>
  <c r="AP89" i="2" s="1"/>
  <c r="AP59" i="28"/>
  <c r="AP68" i="2" s="1"/>
  <c r="AR57" i="24"/>
  <c r="D57" i="24" s="1"/>
  <c r="D49" i="24"/>
  <c r="AQ89" i="24"/>
  <c r="AQ92" i="24"/>
  <c r="D59" i="24"/>
  <c r="AR53" i="29"/>
  <c r="D49" i="29"/>
  <c r="AR87" i="24"/>
  <c r="AR86" i="24"/>
  <c r="AR94" i="24" s="1"/>
  <c r="D94" i="24" s="1"/>
  <c r="AR84" i="24"/>
  <c r="AR88" i="24"/>
  <c r="AR96" i="24" s="1"/>
  <c r="AR85" i="24"/>
  <c r="AR93" i="24" s="1"/>
  <c r="D65" i="24"/>
  <c r="AR76" i="2" l="1"/>
  <c r="AR77" i="2" s="1"/>
  <c r="AR55" i="2"/>
  <c r="AR56" i="2" s="1"/>
  <c r="AI101" i="24"/>
  <c r="AI42" i="2" s="1"/>
  <c r="AI51" i="2" s="1"/>
  <c r="AI58" i="2" s="1"/>
  <c r="AI103" i="24"/>
  <c r="AI84" i="2" s="1"/>
  <c r="AI93" i="2" s="1"/>
  <c r="AI100" i="2" s="1"/>
  <c r="AQ66" i="41"/>
  <c r="AQ50" i="2" s="1"/>
  <c r="AQ68" i="41"/>
  <c r="AQ92" i="2" s="1"/>
  <c r="AR36" i="41"/>
  <c r="AR50" i="41" s="1"/>
  <c r="AR51" i="41" s="1"/>
  <c r="AR54" i="41" s="1"/>
  <c r="AP93" i="2"/>
  <c r="AP100" i="2" s="1"/>
  <c r="S103" i="24"/>
  <c r="S84" i="2" s="1"/>
  <c r="S93" i="2" s="1"/>
  <c r="S100" i="2" s="1"/>
  <c r="S102" i="24"/>
  <c r="S63" i="2" s="1"/>
  <c r="S72" i="2" s="1"/>
  <c r="S79" i="2" s="1"/>
  <c r="AQ58" i="28"/>
  <c r="AQ47" i="2" s="1"/>
  <c r="AQ59" i="28"/>
  <c r="AQ68" i="2" s="1"/>
  <c r="Z101" i="24"/>
  <c r="Z42" i="2" s="1"/>
  <c r="Z51" i="2" s="1"/>
  <c r="Z58" i="2" s="1"/>
  <c r="Z102" i="24"/>
  <c r="Z63" i="2" s="1"/>
  <c r="Z72" i="2" s="1"/>
  <c r="Z79" i="2" s="1"/>
  <c r="AO103" i="24"/>
  <c r="AO84" i="2" s="1"/>
  <c r="K103" i="24"/>
  <c r="K84" i="2" s="1"/>
  <c r="K93" i="2" s="1"/>
  <c r="K100" i="2" s="1"/>
  <c r="AO102" i="24"/>
  <c r="AO63" i="2" s="1"/>
  <c r="D35" i="35"/>
  <c r="AR41" i="35"/>
  <c r="D36" i="35"/>
  <c r="AR42" i="35"/>
  <c r="D42" i="35" s="1"/>
  <c r="AQ76" i="35"/>
  <c r="AQ45" i="2" s="1"/>
  <c r="AQ78" i="35"/>
  <c r="AQ87" i="2" s="1"/>
  <c r="AQ77" i="35"/>
  <c r="AQ66" i="2" s="1"/>
  <c r="R101" i="24"/>
  <c r="R42" i="2" s="1"/>
  <c r="R51" i="2" s="1"/>
  <c r="R58" i="2" s="1"/>
  <c r="AH101" i="24"/>
  <c r="AH42" i="2" s="1"/>
  <c r="AH51" i="2" s="1"/>
  <c r="AH58" i="2" s="1"/>
  <c r="Q101" i="24"/>
  <c r="Q42" i="2" s="1"/>
  <c r="AE103" i="24"/>
  <c r="AE84" i="2" s="1"/>
  <c r="AE93" i="2" s="1"/>
  <c r="AE100" i="2" s="1"/>
  <c r="AF102" i="24"/>
  <c r="AF63" i="2" s="1"/>
  <c r="AF72" i="2" s="1"/>
  <c r="AF79" i="2" s="1"/>
  <c r="AE102" i="24"/>
  <c r="AE63" i="2" s="1"/>
  <c r="AE72" i="2" s="1"/>
  <c r="AE79" i="2" s="1"/>
  <c r="AF101" i="24"/>
  <c r="AF42" i="2" s="1"/>
  <c r="AF51" i="2" s="1"/>
  <c r="AF58" i="2" s="1"/>
  <c r="J103" i="24"/>
  <c r="J84" i="2" s="1"/>
  <c r="J93" i="2" s="1"/>
  <c r="J100" i="2" s="1"/>
  <c r="N102" i="24"/>
  <c r="N63" i="2" s="1"/>
  <c r="N72" i="2" s="1"/>
  <c r="N79" i="2" s="1"/>
  <c r="K102" i="24"/>
  <c r="K63" i="2" s="1"/>
  <c r="K72" i="2" s="1"/>
  <c r="K79" i="2" s="1"/>
  <c r="R102" i="24"/>
  <c r="R63" i="2" s="1"/>
  <c r="R72" i="2" s="1"/>
  <c r="R79" i="2" s="1"/>
  <c r="O101" i="24"/>
  <c r="O42" i="2" s="1"/>
  <c r="O51" i="2" s="1"/>
  <c r="O58" i="2" s="1"/>
  <c r="O103" i="24"/>
  <c r="O84" i="2" s="1"/>
  <c r="O93" i="2" s="1"/>
  <c r="O100" i="2" s="1"/>
  <c r="N101" i="24"/>
  <c r="N42" i="2" s="1"/>
  <c r="N51" i="2" s="1"/>
  <c r="N58" i="2" s="1"/>
  <c r="D86" i="24"/>
  <c r="AA102" i="24"/>
  <c r="AA63" i="2" s="1"/>
  <c r="AA72" i="2" s="1"/>
  <c r="AA79" i="2" s="1"/>
  <c r="AL101" i="24"/>
  <c r="AL42" i="2" s="1"/>
  <c r="AL51" i="2" s="1"/>
  <c r="AL58" i="2" s="1"/>
  <c r="D55" i="22"/>
  <c r="T103" i="24"/>
  <c r="T84" i="2" s="1"/>
  <c r="T93" i="2" s="1"/>
  <c r="T100" i="2" s="1"/>
  <c r="I102" i="24"/>
  <c r="I63" i="2" s="1"/>
  <c r="I72" i="2" s="1"/>
  <c r="I79" i="2" s="1"/>
  <c r="AQ76" i="2"/>
  <c r="D78" i="21"/>
  <c r="D73" i="21"/>
  <c r="AR94" i="29"/>
  <c r="D94" i="29" s="1"/>
  <c r="D74" i="29"/>
  <c r="I101" i="24"/>
  <c r="I42" i="2" s="1"/>
  <c r="I51" i="2" s="1"/>
  <c r="I58" i="2" s="1"/>
  <c r="AQ55" i="2"/>
  <c r="D77" i="21"/>
  <c r="D72" i="21"/>
  <c r="L19" i="10"/>
  <c r="L27" i="10"/>
  <c r="AN103" i="24"/>
  <c r="AN84" i="2" s="1"/>
  <c r="AN93" i="2" s="1"/>
  <c r="AN100" i="2" s="1"/>
  <c r="Q103" i="24"/>
  <c r="Q84" i="2" s="1"/>
  <c r="AM102" i="24"/>
  <c r="AM63" i="2" s="1"/>
  <c r="AM72" i="2" s="1"/>
  <c r="AM79" i="2" s="1"/>
  <c r="AQ97" i="24"/>
  <c r="AQ101" i="24" s="1"/>
  <c r="AQ42" i="2" s="1"/>
  <c r="AN102" i="24"/>
  <c r="AN63" i="2" s="1"/>
  <c r="AN72" i="2" s="1"/>
  <c r="AN79" i="2" s="1"/>
  <c r="AH103" i="24"/>
  <c r="AH84" i="2" s="1"/>
  <c r="AH93" i="2" s="1"/>
  <c r="AH100" i="2" s="1"/>
  <c r="AM103" i="24"/>
  <c r="AM84" i="2" s="1"/>
  <c r="AM93" i="2" s="1"/>
  <c r="AM100" i="2" s="1"/>
  <c r="AQ97" i="2"/>
  <c r="D74" i="21"/>
  <c r="D79" i="21"/>
  <c r="J27" i="10"/>
  <c r="J19" i="10"/>
  <c r="K19" i="10"/>
  <c r="K27" i="10"/>
  <c r="AL103" i="24"/>
  <c r="AL84" i="2" s="1"/>
  <c r="AL93" i="2" s="1"/>
  <c r="AL100" i="2" s="1"/>
  <c r="AA101" i="24"/>
  <c r="AA42" i="2" s="1"/>
  <c r="AA51" i="2" s="1"/>
  <c r="AA58" i="2" s="1"/>
  <c r="AC102" i="24"/>
  <c r="AC63" i="2" s="1"/>
  <c r="AC72" i="2" s="1"/>
  <c r="AC79" i="2" s="1"/>
  <c r="Y102" i="24"/>
  <c r="Y63" i="2" s="1"/>
  <c r="Y72" i="2" s="1"/>
  <c r="Y79" i="2" s="1"/>
  <c r="U101" i="24"/>
  <c r="U42" i="2" s="1"/>
  <c r="Y103" i="24"/>
  <c r="Y84" i="2" s="1"/>
  <c r="Y93" i="2" s="1"/>
  <c r="Y100" i="2" s="1"/>
  <c r="AD103" i="24"/>
  <c r="AD84" i="2" s="1"/>
  <c r="AD93" i="2" s="1"/>
  <c r="AD100" i="2" s="1"/>
  <c r="U103" i="24"/>
  <c r="U84" i="2" s="1"/>
  <c r="AG101" i="24"/>
  <c r="AG42" i="2" s="1"/>
  <c r="AG51" i="2" s="1"/>
  <c r="AG58" i="2" s="1"/>
  <c r="AJ101" i="24"/>
  <c r="AJ42" i="2" s="1"/>
  <c r="AJ51" i="2" s="1"/>
  <c r="AJ58" i="2" s="1"/>
  <c r="AD102" i="24"/>
  <c r="AD63" i="2" s="1"/>
  <c r="AD72" i="2" s="1"/>
  <c r="AD79" i="2" s="1"/>
  <c r="AK101" i="24"/>
  <c r="AK42" i="2" s="1"/>
  <c r="AK51" i="2" s="1"/>
  <c r="AK58" i="2" s="1"/>
  <c r="AG102" i="24"/>
  <c r="AG63" i="2" s="1"/>
  <c r="AG72" i="2" s="1"/>
  <c r="AG79" i="2" s="1"/>
  <c r="AJ102" i="24"/>
  <c r="AJ63" i="2" s="1"/>
  <c r="AJ72" i="2" s="1"/>
  <c r="AJ79" i="2" s="1"/>
  <c r="V101" i="24"/>
  <c r="V42" i="2" s="1"/>
  <c r="V51" i="2" s="1"/>
  <c r="V58" i="2" s="1"/>
  <c r="G103" i="24"/>
  <c r="G84" i="2" s="1"/>
  <c r="G93" i="2" s="1"/>
  <c r="G100" i="2" s="1"/>
  <c r="AK102" i="24"/>
  <c r="AK63" i="2" s="1"/>
  <c r="AK72" i="2" s="1"/>
  <c r="AK79" i="2" s="1"/>
  <c r="AP51" i="2"/>
  <c r="AP58" i="2" s="1"/>
  <c r="L101" i="24"/>
  <c r="L42" i="2" s="1"/>
  <c r="L51" i="2" s="1"/>
  <c r="L58" i="2" s="1"/>
  <c r="M103" i="24"/>
  <c r="M84" i="2" s="1"/>
  <c r="M93" i="2" s="1"/>
  <c r="M100" i="2" s="1"/>
  <c r="J102" i="24"/>
  <c r="J63" i="2" s="1"/>
  <c r="J72" i="2" s="1"/>
  <c r="J79" i="2" s="1"/>
  <c r="X103" i="24"/>
  <c r="X84" i="2" s="1"/>
  <c r="X93" i="2" s="1"/>
  <c r="X100" i="2" s="1"/>
  <c r="V103" i="24"/>
  <c r="V84" i="2" s="1"/>
  <c r="V93" i="2" s="1"/>
  <c r="V100" i="2" s="1"/>
  <c r="G101" i="24"/>
  <c r="G42" i="2" s="1"/>
  <c r="G51" i="2" s="1"/>
  <c r="G58" i="2" s="1"/>
  <c r="H101" i="24"/>
  <c r="H42" i="2" s="1"/>
  <c r="H51" i="2" s="1"/>
  <c r="H58" i="2" s="1"/>
  <c r="W102" i="24"/>
  <c r="W63" i="2" s="1"/>
  <c r="W72" i="2" s="1"/>
  <c r="W79" i="2" s="1"/>
  <c r="AP72" i="2"/>
  <c r="AP79" i="2" s="1"/>
  <c r="L102" i="24"/>
  <c r="L63" i="2" s="1"/>
  <c r="L72" i="2" s="1"/>
  <c r="L79" i="2" s="1"/>
  <c r="P101" i="24"/>
  <c r="P42" i="2" s="1"/>
  <c r="P51" i="2" s="1"/>
  <c r="P58" i="2" s="1"/>
  <c r="M102" i="24"/>
  <c r="M63" i="2" s="1"/>
  <c r="M72" i="2" s="1"/>
  <c r="M79" i="2" s="1"/>
  <c r="X102" i="24"/>
  <c r="X63" i="2" s="1"/>
  <c r="X72" i="2" s="1"/>
  <c r="X79" i="2" s="1"/>
  <c r="AB102" i="24"/>
  <c r="AB63" i="2" s="1"/>
  <c r="AB72" i="2" s="1"/>
  <c r="AB79" i="2" s="1"/>
  <c r="F102" i="24"/>
  <c r="F63" i="2" s="1"/>
  <c r="F72" i="2" s="1"/>
  <c r="F79" i="2" s="1"/>
  <c r="H102" i="24"/>
  <c r="H63" i="2" s="1"/>
  <c r="H72" i="2" s="1"/>
  <c r="H79" i="2" s="1"/>
  <c r="W103" i="24"/>
  <c r="W84" i="2" s="1"/>
  <c r="W93" i="2" s="1"/>
  <c r="W100" i="2" s="1"/>
  <c r="T101" i="24"/>
  <c r="T42" i="2" s="1"/>
  <c r="T51" i="2" s="1"/>
  <c r="T58" i="2" s="1"/>
  <c r="P102" i="24"/>
  <c r="P63" i="2" s="1"/>
  <c r="P72" i="2" s="1"/>
  <c r="P79" i="2" s="1"/>
  <c r="AC101" i="24"/>
  <c r="AC42" i="2" s="1"/>
  <c r="AC51" i="2" s="1"/>
  <c r="AC58" i="2" s="1"/>
  <c r="AB101" i="24"/>
  <c r="AB42" i="2" s="1"/>
  <c r="AB51" i="2" s="1"/>
  <c r="AB58" i="2" s="1"/>
  <c r="F103" i="24"/>
  <c r="F84" i="2" s="1"/>
  <c r="F93" i="2" s="1"/>
  <c r="F100" i="2" s="1"/>
  <c r="AR101" i="26"/>
  <c r="D101" i="26" s="1"/>
  <c r="D86" i="26"/>
  <c r="D64" i="26"/>
  <c r="D85" i="24"/>
  <c r="D93" i="24"/>
  <c r="AR37" i="28"/>
  <c r="D35" i="28"/>
  <c r="AR51" i="28"/>
  <c r="D51" i="28" s="1"/>
  <c r="D49" i="28"/>
  <c r="D53" i="29"/>
  <c r="AR100" i="29"/>
  <c r="AR56" i="29"/>
  <c r="AO42" i="2"/>
  <c r="AR60" i="24"/>
  <c r="AR49" i="2"/>
  <c r="D49" i="2" s="1"/>
  <c r="C20" i="2" s="1"/>
  <c r="J40" i="10" s="1"/>
  <c r="D54" i="22"/>
  <c r="D96" i="24"/>
  <c r="AR46" i="41"/>
  <c r="AR92" i="24"/>
  <c r="AR89" i="24"/>
  <c r="D89" i="24" s="1"/>
  <c r="D84" i="24"/>
  <c r="AR44" i="28"/>
  <c r="D44" i="28" s="1"/>
  <c r="D42" i="28"/>
  <c r="AR91" i="2"/>
  <c r="D91" i="2" s="1"/>
  <c r="E20" i="2" s="1"/>
  <c r="D56" i="22"/>
  <c r="D88" i="24"/>
  <c r="AR95" i="24"/>
  <c r="D95" i="24" s="1"/>
  <c r="D87" i="24"/>
  <c r="AR111" i="26"/>
  <c r="AR112" i="26"/>
  <c r="AR110" i="26"/>
  <c r="D61" i="26"/>
  <c r="AQ102" i="24" l="1"/>
  <c r="AQ63" i="2" s="1"/>
  <c r="AQ72" i="2" s="1"/>
  <c r="F10" i="10"/>
  <c r="L40" i="10"/>
  <c r="AQ51" i="2"/>
  <c r="AQ103" i="24"/>
  <c r="AQ84" i="2" s="1"/>
  <c r="AQ93" i="2" s="1"/>
  <c r="AR45" i="35"/>
  <c r="D41" i="35"/>
  <c r="AQ77" i="2"/>
  <c r="D77" i="2" s="1"/>
  <c r="D76" i="2"/>
  <c r="D28" i="2" s="1"/>
  <c r="AQ56" i="2"/>
  <c r="D56" i="2" s="1"/>
  <c r="D55" i="2"/>
  <c r="C28" i="2" s="1"/>
  <c r="D97" i="2"/>
  <c r="E28" i="2" s="1"/>
  <c r="AQ98" i="2"/>
  <c r="D98" i="2" s="1"/>
  <c r="AR106" i="26"/>
  <c r="AR116" i="26" s="1"/>
  <c r="AR107" i="26"/>
  <c r="D107" i="26" s="1"/>
  <c r="AR105" i="26"/>
  <c r="AR115" i="26" s="1"/>
  <c r="AR97" i="24"/>
  <c r="D97" i="24" s="1"/>
  <c r="AR58" i="41"/>
  <c r="AO72" i="2"/>
  <c r="AO93" i="2"/>
  <c r="AO51" i="2"/>
  <c r="AR86" i="2"/>
  <c r="D86" i="2" s="1"/>
  <c r="E15" i="2" s="1"/>
  <c r="L35" i="10" s="1"/>
  <c r="D112" i="26"/>
  <c r="AR65" i="2"/>
  <c r="D65" i="2" s="1"/>
  <c r="D15" i="2" s="1"/>
  <c r="K35" i="10" s="1"/>
  <c r="D111" i="26"/>
  <c r="AR98" i="29"/>
  <c r="AR99" i="29"/>
  <c r="D56" i="29"/>
  <c r="AR44" i="2"/>
  <c r="D44" i="2" s="1"/>
  <c r="C15" i="2" s="1"/>
  <c r="J35" i="10" s="1"/>
  <c r="D110" i="26"/>
  <c r="D92" i="24"/>
  <c r="D60" i="24"/>
  <c r="AR88" i="2"/>
  <c r="D88" i="2" s="1"/>
  <c r="E17" i="2" s="1"/>
  <c r="L37" i="10" s="1"/>
  <c r="D100" i="29"/>
  <c r="AR53" i="28"/>
  <c r="D37" i="28"/>
  <c r="AR117" i="26" l="1"/>
  <c r="D117" i="26" s="1"/>
  <c r="AR103" i="24"/>
  <c r="AR84" i="2" s="1"/>
  <c r="D84" i="2" s="1"/>
  <c r="E13" i="2" s="1"/>
  <c r="F4" i="10" s="1"/>
  <c r="AQ79" i="2"/>
  <c r="AR101" i="24"/>
  <c r="AR42" i="2" s="1"/>
  <c r="D42" i="2" s="1"/>
  <c r="C13" i="2" s="1"/>
  <c r="J33" i="10" s="1"/>
  <c r="AR102" i="24"/>
  <c r="AR63" i="2" s="1"/>
  <c r="D63" i="2" s="1"/>
  <c r="D13" i="2" s="1"/>
  <c r="K33" i="10" s="1"/>
  <c r="AR78" i="35"/>
  <c r="D45" i="35"/>
  <c r="AR76" i="35"/>
  <c r="AR77" i="35"/>
  <c r="D106" i="26"/>
  <c r="L18" i="10"/>
  <c r="L28" i="10"/>
  <c r="L29" i="10" s="1"/>
  <c r="E29" i="2"/>
  <c r="E34" i="2" s="1"/>
  <c r="J28" i="10"/>
  <c r="J29" i="10" s="1"/>
  <c r="C29" i="2"/>
  <c r="C34" i="2" s="1"/>
  <c r="J18" i="10"/>
  <c r="AQ58" i="2"/>
  <c r="K28" i="10"/>
  <c r="K29" i="10" s="1"/>
  <c r="K18" i="10"/>
  <c r="D29" i="2"/>
  <c r="D34" i="2" s="1"/>
  <c r="AQ100" i="2"/>
  <c r="D102" i="24"/>
  <c r="D105" i="26"/>
  <c r="AR68" i="41"/>
  <c r="AR67" i="41"/>
  <c r="AR66" i="41"/>
  <c r="AR59" i="28"/>
  <c r="AR58" i="28"/>
  <c r="AR60" i="28"/>
  <c r="D53" i="28"/>
  <c r="AO100" i="2"/>
  <c r="AR67" i="2"/>
  <c r="D67" i="2" s="1"/>
  <c r="D17" i="2" s="1"/>
  <c r="K37" i="10" s="1"/>
  <c r="D99" i="29"/>
  <c r="AR64" i="2"/>
  <c r="D64" i="2" s="1"/>
  <c r="D14" i="2" s="1"/>
  <c r="K34" i="10" s="1"/>
  <c r="D116" i="26"/>
  <c r="F7" i="10"/>
  <c r="AR43" i="2"/>
  <c r="D43" i="2" s="1"/>
  <c r="C14" i="2" s="1"/>
  <c r="J34" i="10" s="1"/>
  <c r="D115" i="26"/>
  <c r="AO79" i="2"/>
  <c r="AO58" i="2"/>
  <c r="AR85" i="2"/>
  <c r="D85" i="2" s="1"/>
  <c r="E14" i="2" s="1"/>
  <c r="AR46" i="2"/>
  <c r="D46" i="2" s="1"/>
  <c r="C17" i="2" s="1"/>
  <c r="J37" i="10" s="1"/>
  <c r="D98" i="29"/>
  <c r="L33" i="10" l="1"/>
  <c r="D101" i="24"/>
  <c r="D103" i="24"/>
  <c r="AR45" i="2"/>
  <c r="D45" i="2" s="1"/>
  <c r="C16" i="2" s="1"/>
  <c r="J36" i="10" s="1"/>
  <c r="D76" i="35"/>
  <c r="D77" i="35"/>
  <c r="AR66" i="2"/>
  <c r="D66" i="2" s="1"/>
  <c r="D16" i="2" s="1"/>
  <c r="K36" i="10" s="1"/>
  <c r="AR87" i="2"/>
  <c r="D87" i="2" s="1"/>
  <c r="E16" i="2" s="1"/>
  <c r="L36" i="10" s="1"/>
  <c r="D78" i="35"/>
  <c r="AR89" i="2"/>
  <c r="D89" i="2" s="1"/>
  <c r="E18" i="2" s="1"/>
  <c r="D60" i="28"/>
  <c r="F5" i="10"/>
  <c r="L34" i="10"/>
  <c r="AR47" i="2"/>
  <c r="D47" i="2" s="1"/>
  <c r="C18" i="2" s="1"/>
  <c r="J38" i="10" s="1"/>
  <c r="D58" i="28"/>
  <c r="AR50" i="2"/>
  <c r="AR68" i="2"/>
  <c r="D68" i="2" s="1"/>
  <c r="D18" i="2" s="1"/>
  <c r="K38" i="10" s="1"/>
  <c r="D59" i="28"/>
  <c r="AR71" i="2"/>
  <c r="AR92" i="2"/>
  <c r="F8" i="10" l="1"/>
  <c r="L38" i="10"/>
  <c r="F6" i="10"/>
  <c r="AR93" i="2"/>
  <c r="AR51" i="2"/>
  <c r="AR72" i="2"/>
  <c r="AR79" i="2" l="1"/>
  <c r="AR58" i="2"/>
  <c r="AR100" i="2"/>
  <c r="Q38" i="41"/>
  <c r="Q42" i="41" l="1"/>
  <c r="D38" i="41"/>
  <c r="D42" i="41" l="1"/>
  <c r="Q43" i="41"/>
  <c r="Q46" i="41" l="1"/>
  <c r="D43" i="41"/>
  <c r="D46" i="41" l="1"/>
  <c r="Q58" i="41"/>
  <c r="Q66" i="41" l="1"/>
  <c r="Q67" i="41"/>
  <c r="Q68" i="41"/>
  <c r="Q92" i="2" l="1"/>
  <c r="Q71" i="2"/>
  <c r="Q50" i="2"/>
  <c r="Q93" i="2" l="1"/>
  <c r="Q51" i="2"/>
  <c r="Q72" i="2"/>
  <c r="Q100" i="2" l="1"/>
  <c r="Q79" i="2"/>
  <c r="Q58" i="2"/>
  <c r="U36" i="41"/>
  <c r="U50" i="41" s="1"/>
  <c r="U51" i="41" s="1"/>
  <c r="D50" i="41" l="1"/>
  <c r="D36" i="41"/>
  <c r="D51" i="41" l="1"/>
  <c r="U54" i="41"/>
  <c r="U58" i="41" l="1"/>
  <c r="D54" i="41"/>
  <c r="U68" i="41" l="1"/>
  <c r="D58" i="41"/>
  <c r="U67" i="41"/>
  <c r="U66" i="41"/>
  <c r="D67" i="41" l="1"/>
  <c r="U71" i="2"/>
  <c r="U50" i="2"/>
  <c r="D66" i="41"/>
  <c r="D68" i="41"/>
  <c r="U92" i="2"/>
  <c r="D92" i="2" l="1"/>
  <c r="E21" i="2" s="1"/>
  <c r="U93" i="2"/>
  <c r="U51" i="2"/>
  <c r="D50" i="2"/>
  <c r="C21" i="2" s="1"/>
  <c r="D71" i="2"/>
  <c r="U72" i="2"/>
  <c r="D72" i="2" l="1"/>
  <c r="U79" i="2"/>
  <c r="D79" i="2" s="1"/>
  <c r="D21" i="2"/>
  <c r="D51" i="2"/>
  <c r="U58" i="2"/>
  <c r="D93" i="2"/>
  <c r="U100" i="2"/>
  <c r="D100" i="2" s="1"/>
  <c r="E22" i="2"/>
  <c r="F21" i="2" s="1"/>
  <c r="F11" i="10"/>
  <c r="F12" i="10" s="1"/>
  <c r="L41" i="10"/>
  <c r="D58" i="2" l="1"/>
  <c r="C38" i="2"/>
  <c r="J22" i="10" s="1"/>
  <c r="J41" i="10"/>
  <c r="C22" i="2"/>
  <c r="K41" i="10"/>
  <c r="D22" i="2"/>
  <c r="F16" i="2"/>
  <c r="F22" i="2"/>
  <c r="F18" i="2"/>
  <c r="F13" i="2"/>
  <c r="F14" i="2"/>
  <c r="F20" i="2"/>
  <c r="F17" i="2"/>
  <c r="E33" i="2"/>
  <c r="L17" i="10"/>
  <c r="L42" i="10"/>
  <c r="F19" i="2"/>
  <c r="F15" i="2"/>
  <c r="E36" i="2" l="1"/>
  <c r="E35" i="2"/>
  <c r="K42" i="10"/>
  <c r="K17" i="10"/>
  <c r="D33" i="2"/>
  <c r="J17" i="10"/>
  <c r="J42" i="10"/>
  <c r="C33" i="2"/>
  <c r="C36" i="2" l="1"/>
  <c r="J21" i="10" s="1"/>
  <c r="C35" i="2"/>
  <c r="D35" i="2"/>
  <c r="D36" i="2"/>
  <c r="K21" i="10" s="1"/>
  <c r="P14" i="10"/>
  <c r="E37" i="2"/>
  <c r="L20" i="10"/>
  <c r="E9" i="2"/>
  <c r="L21" i="10"/>
  <c r="R14" i="10" l="1"/>
  <c r="D6" i="1"/>
  <c r="D37" i="2"/>
  <c r="K20" i="10"/>
  <c r="C37" i="2"/>
  <c r="J20" i="10"/>
</calcChain>
</file>

<file path=xl/sharedStrings.xml><?xml version="1.0" encoding="utf-8"?>
<sst xmlns="http://schemas.openxmlformats.org/spreadsheetml/2006/main" count="2289" uniqueCount="816">
  <si>
    <t>ODOT Roosevelt Memorial Bridge US-70</t>
  </si>
  <si>
    <t>Benefits-Cost Analysis (BCA) Summary</t>
  </si>
  <si>
    <t>All $ values 2021, unless otherwise noted</t>
  </si>
  <si>
    <t>Note</t>
  </si>
  <si>
    <t>Input</t>
  </si>
  <si>
    <t>Sensitivity</t>
  </si>
  <si>
    <t>Sensitivity On?</t>
  </si>
  <si>
    <t>Benefit Cost Ratio (7% disc.)</t>
  </si>
  <si>
    <t>Discount Factor</t>
  </si>
  <si>
    <t>Benefits ($ millions)</t>
  </si>
  <si>
    <t>% of Benefit</t>
  </si>
  <si>
    <t>Safety Benefits</t>
  </si>
  <si>
    <t>Travel Time - Vehicular</t>
  </si>
  <si>
    <t>Travel Time - Pedestrian</t>
  </si>
  <si>
    <t>Reduced Vehicle Operating Costs</t>
  </si>
  <si>
    <t>Emissions Reduction*</t>
  </si>
  <si>
    <t>Pedestrian / Cycling Improvements</t>
  </si>
  <si>
    <t>Reduced Bridge Hits</t>
  </si>
  <si>
    <t>Residual Value</t>
  </si>
  <si>
    <t>Avoided Detour</t>
  </si>
  <si>
    <t>Present Value of Benefit (Cost)</t>
  </si>
  <si>
    <t>Emissions 7% discount factor includes 3% discount for CO2</t>
  </si>
  <si>
    <t>Costs ($ millions)</t>
  </si>
  <si>
    <t>Capital Cost</t>
  </si>
  <si>
    <t>Maintenance</t>
  </si>
  <si>
    <t>Financial Metrics ($ millions)</t>
  </si>
  <si>
    <t>Present Value of Benefits</t>
  </si>
  <si>
    <t>Present Value of Costs</t>
  </si>
  <si>
    <t>Net Present Value (NPV)</t>
  </si>
  <si>
    <t xml:space="preserve">Benefit Cost Ratio </t>
  </si>
  <si>
    <t>Return on Investment</t>
  </si>
  <si>
    <t>Internal Rate of Return</t>
  </si>
  <si>
    <t>Results - Undiscounted</t>
  </si>
  <si>
    <t>Benefits</t>
  </si>
  <si>
    <t>Total</t>
  </si>
  <si>
    <t>Emmisions Reduction</t>
  </si>
  <si>
    <t>Pedestrian / Cycling Improvments</t>
  </si>
  <si>
    <t>Costs</t>
  </si>
  <si>
    <t>Net Present Value of Benefits - Costs</t>
  </si>
  <si>
    <t>Results - 3% Discount</t>
  </si>
  <si>
    <t>Results - 7% Discount</t>
  </si>
  <si>
    <t>Inputs</t>
  </si>
  <si>
    <t>Category</t>
  </si>
  <si>
    <t>Variable</t>
  </si>
  <si>
    <t>Unit</t>
  </si>
  <si>
    <t>Value</t>
  </si>
  <si>
    <t xml:space="preserve">Source </t>
  </si>
  <si>
    <t>Periodic Values</t>
  </si>
  <si>
    <t>Timing</t>
  </si>
  <si>
    <t>Model Start Year</t>
  </si>
  <si>
    <t>Year</t>
  </si>
  <si>
    <t>Model Constraint</t>
  </si>
  <si>
    <t>Base Year of Analysis</t>
  </si>
  <si>
    <t>BCA Guidelines</t>
  </si>
  <si>
    <t>Construction Start Year</t>
  </si>
  <si>
    <t>ODOT Provided</t>
  </si>
  <si>
    <t>Construction Duration</t>
  </si>
  <si>
    <t>Years</t>
  </si>
  <si>
    <t>Construction Completion</t>
  </si>
  <si>
    <t>Calculation</t>
  </si>
  <si>
    <t>First Year of Benefit</t>
  </si>
  <si>
    <t>Length of Analysis Utilized</t>
  </si>
  <si>
    <t>Length of Analysis - Baseline</t>
  </si>
  <si>
    <t>Length of Analysis - Sensitivity</t>
  </si>
  <si>
    <t>Analysis Period beyond BCA Guidelines</t>
  </si>
  <si>
    <t>End of Analysis</t>
  </si>
  <si>
    <t>Factors</t>
  </si>
  <si>
    <t>No Discount Factor</t>
  </si>
  <si>
    <t>%</t>
  </si>
  <si>
    <t>3% Discount Factor</t>
  </si>
  <si>
    <t>7% Discount Factor</t>
  </si>
  <si>
    <t>Annual Conversion</t>
  </si>
  <si>
    <t>days/year</t>
  </si>
  <si>
    <t>Known conversion</t>
  </si>
  <si>
    <t>Conversion from kg to metric tons</t>
  </si>
  <si>
    <t>kg/metric ton</t>
  </si>
  <si>
    <t>Project Attributes</t>
  </si>
  <si>
    <t>$</t>
  </si>
  <si>
    <t>Capital Cost - Sensitivity</t>
  </si>
  <si>
    <t>% Increase to value in row above</t>
  </si>
  <si>
    <t>Design Cost (% of Capital Cost)</t>
  </si>
  <si>
    <t xml:space="preserve">% </t>
  </si>
  <si>
    <t xml:space="preserve">Design Cost </t>
  </si>
  <si>
    <t>Utility Cost (% of Capital Cost)</t>
  </si>
  <si>
    <t>Utility Cost</t>
  </si>
  <si>
    <t>ROW Cost</t>
  </si>
  <si>
    <t>Year of estimate for Capital Costs</t>
  </si>
  <si>
    <t>Year of estimate for Maintenance Costs</t>
  </si>
  <si>
    <t>Year of estimate for UT Costs</t>
  </si>
  <si>
    <t>Year of estimate for RW Costs</t>
  </si>
  <si>
    <t>Year of estimate for Design Costs</t>
  </si>
  <si>
    <t>Residual Cost (Project Structures Cost)</t>
  </si>
  <si>
    <t>Useful Life (Project Structures)</t>
  </si>
  <si>
    <t>Design life provided by ODOT</t>
  </si>
  <si>
    <t>Existing Asset Useful Value</t>
  </si>
  <si>
    <t>Proposed Sidewalk Width</t>
  </si>
  <si>
    <t>feet</t>
  </si>
  <si>
    <t>Number of Marked-Crosswalks</t>
  </si>
  <si>
    <t>each</t>
  </si>
  <si>
    <t>Number of Signals for Pedestrian Crossing</t>
  </si>
  <si>
    <t>Sidewalk length (lane-miles)</t>
  </si>
  <si>
    <t>miles</t>
  </si>
  <si>
    <t xml:space="preserve">Traffic </t>
  </si>
  <si>
    <t>Portion of Heavy Vehicles</t>
  </si>
  <si>
    <t>ODOT Provided Input</t>
  </si>
  <si>
    <t>Traffic Analysis Base Year</t>
  </si>
  <si>
    <t>Traffic Analysis Base Year ADT</t>
  </si>
  <si>
    <t>ADT</t>
  </si>
  <si>
    <t>Traffic Analysis Future Year</t>
  </si>
  <si>
    <t>Traffic Analysis Future Year ADT</t>
  </si>
  <si>
    <t xml:space="preserve">Crash Modification Factor </t>
  </si>
  <si>
    <t>factor</t>
  </si>
  <si>
    <t>Crash Modification Factor - Utilized</t>
  </si>
  <si>
    <t>Crash Modification Factor  - Sensitivity</t>
  </si>
  <si>
    <t>Safety</t>
  </si>
  <si>
    <t>Property Damage Only</t>
  </si>
  <si>
    <t>Incidents/year</t>
  </si>
  <si>
    <t>ODOT Data</t>
  </si>
  <si>
    <t>Possible Injury</t>
  </si>
  <si>
    <t>Non-Incapacitating Injury</t>
  </si>
  <si>
    <t>Incapacitating Injury</t>
  </si>
  <si>
    <t>Fatality</t>
  </si>
  <si>
    <t>Base Year</t>
  </si>
  <si>
    <t>year</t>
  </si>
  <si>
    <t>$/incident</t>
  </si>
  <si>
    <t>BCA Guidelines Table A-2</t>
  </si>
  <si>
    <t>BCA Guidelines Table A-1</t>
  </si>
  <si>
    <t>Time Savings</t>
  </si>
  <si>
    <t>Current ped path length</t>
  </si>
  <si>
    <t>Proposed ped path length</t>
  </si>
  <si>
    <t>Pedestrian Speed</t>
  </si>
  <si>
    <t>miles per hour</t>
  </si>
  <si>
    <t>BCA Guidelines Table A-8, note 1</t>
  </si>
  <si>
    <t>Value of Travel Time Savings</t>
  </si>
  <si>
    <t>Personal</t>
  </si>
  <si>
    <t>$/person/hr</t>
  </si>
  <si>
    <t>BCA Guidelines Table A-3</t>
  </si>
  <si>
    <t>Business</t>
  </si>
  <si>
    <t>All Purposes</t>
  </si>
  <si>
    <t>Walking, Cycling, Waiting, Standing, and Transfer Time</t>
  </si>
  <si>
    <t>Truck Drivers</t>
  </si>
  <si>
    <t>Bus Drivers</t>
  </si>
  <si>
    <t>Transit Rail Drivers</t>
  </si>
  <si>
    <t>Locomotive Engineers</t>
  </si>
  <si>
    <t>Average Vehicle Occupancy</t>
  </si>
  <si>
    <t>Passenger Vehicles Weekday Peak</t>
  </si>
  <si>
    <t>per/veh</t>
  </si>
  <si>
    <t>BCA Guidelines Table A-4</t>
  </si>
  <si>
    <t>Passenger Vehicles Weekday Off-Peak</t>
  </si>
  <si>
    <t>Passenger Vehicles Weekend</t>
  </si>
  <si>
    <t>Passenger Vehicles All Travel</t>
  </si>
  <si>
    <t>Heavy Vehicle Occupancy</t>
  </si>
  <si>
    <t>Assumed value</t>
  </si>
  <si>
    <t>Delay - No Build Case</t>
  </si>
  <si>
    <t>Base Year Delay</t>
  </si>
  <si>
    <t>Vehicle-hours per day</t>
  </si>
  <si>
    <t>SYNCHRO Results</t>
  </si>
  <si>
    <t>Future Year Delay</t>
  </si>
  <si>
    <t>Future Year Delay - Sensitivity</t>
  </si>
  <si>
    <t>Future Year</t>
  </si>
  <si>
    <t>Delay - Build Case (Alternative)</t>
  </si>
  <si>
    <t>Emissions Produced</t>
  </si>
  <si>
    <t>CO2</t>
  </si>
  <si>
    <t>Emissions Base Year - No Build</t>
  </si>
  <si>
    <t>kg-per day</t>
  </si>
  <si>
    <t>Emissions Future Year - No Build</t>
  </si>
  <si>
    <t>NOx</t>
  </si>
  <si>
    <t>Emissions Base Year  - No Build</t>
  </si>
  <si>
    <t>Emissions Base Year  - Build</t>
  </si>
  <si>
    <t>Emissions Base Year - Build</t>
  </si>
  <si>
    <t>Emissions Future Year - Build</t>
  </si>
  <si>
    <t>Emissions Reductions Benefits</t>
  </si>
  <si>
    <t>NOX</t>
  </si>
  <si>
    <t>$/metric ton</t>
  </si>
  <si>
    <t>See table to right</t>
  </si>
  <si>
    <t>BCA Guidelines Table A-6</t>
  </si>
  <si>
    <t>SOX</t>
  </si>
  <si>
    <t>PM2.5</t>
  </si>
  <si>
    <t>Vehicle Operating Costs</t>
  </si>
  <si>
    <t>Fuel Consumption Base Year - No Build</t>
  </si>
  <si>
    <t>gallons</t>
  </si>
  <si>
    <t>Fuel Consumption Future Year - No Build</t>
  </si>
  <si>
    <t>Fuel Consumption Base Year - Build</t>
  </si>
  <si>
    <t>Fuel Consumption Future Year - Build</t>
  </si>
  <si>
    <t>Pedestrian Facility Improvements</t>
  </si>
  <si>
    <t>Pedestrian Base Year</t>
  </si>
  <si>
    <t>Pedestrian Base Year Count</t>
  </si>
  <si>
    <t>Ped/day</t>
  </si>
  <si>
    <t>Pedestrian Annual Growth Rate</t>
  </si>
  <si>
    <t>Census data City of Durant, OK. Calcs in tab "REF- Pedestrian"</t>
  </si>
  <si>
    <t>Pedestrian Annual Growth Rate - Sensitivity</t>
  </si>
  <si>
    <t>Expanded Sidewalk Value (per foot of added Width)</t>
  </si>
  <si>
    <t>$ / person-mile walked</t>
  </si>
  <si>
    <t>BCA Guidelines Table A-8</t>
  </si>
  <si>
    <t xml:space="preserve">Install Marked-Crosswalk on Roadway with Volumes ≥10,000 Vehicles per Day </t>
  </si>
  <si>
    <t>$ / each</t>
  </si>
  <si>
    <t>Install Signal for Pedestrian Crossing on Roadway with Volumes ≥13,000 Vehicles per Day</t>
  </si>
  <si>
    <t>Bridge Hits</t>
  </si>
  <si>
    <t>count</t>
  </si>
  <si>
    <t>ODOT provided input</t>
  </si>
  <si>
    <t>Perdiod of Bridge Hits Analyzed</t>
  </si>
  <si>
    <t>years</t>
  </si>
  <si>
    <t>Number of Low Clearance Bridge in District</t>
  </si>
  <si>
    <t>Probability of Bridge Hit</t>
  </si>
  <si>
    <t>incidents / Period</t>
  </si>
  <si>
    <t>incidents / year</t>
  </si>
  <si>
    <t>Bridge Replacement Cost</t>
  </si>
  <si>
    <t>Full bridge replacement related to bridge hit not assumed realistic</t>
  </si>
  <si>
    <t>Average bridge damage per hit</t>
  </si>
  <si>
    <t>Total cost of bridge hit</t>
  </si>
  <si>
    <t xml:space="preserve">Base Detour Year </t>
  </si>
  <si>
    <t xml:space="preserve">Truck Detour - Years from Base Detour Year until load restrictions </t>
  </si>
  <si>
    <t>Truck Detour - Utilized</t>
  </si>
  <si>
    <t>Change in Timing of Truck Detour - Sensitivity (positive = later, negative = earlier)</t>
  </si>
  <si>
    <t>Change to row above</t>
  </si>
  <si>
    <t>Total Detour - Years from Base Detour Year until bridge closes</t>
  </si>
  <si>
    <t>Total Detour - Utilized</t>
  </si>
  <si>
    <t>Assumed value based on posted speed limit</t>
  </si>
  <si>
    <t>Detour Length</t>
  </si>
  <si>
    <t>Miles</t>
  </si>
  <si>
    <t>See 'REF Detour' tab</t>
  </si>
  <si>
    <t>Number of Bridge Hits in District 8</t>
  </si>
  <si>
    <t>Number of Low Clearance Bridge in District 8</t>
  </si>
  <si>
    <t>Project Costs</t>
  </si>
  <si>
    <t>Calendar Year</t>
  </si>
  <si>
    <t>Model Period</t>
  </si>
  <si>
    <t xml:space="preserve">Base Year </t>
  </si>
  <si>
    <t>Flag</t>
  </si>
  <si>
    <t>Years from Base Calendar Year</t>
  </si>
  <si>
    <t>Benefit Period Flag</t>
  </si>
  <si>
    <t>Analysis Period</t>
  </si>
  <si>
    <t>Benefit Year</t>
  </si>
  <si>
    <t>Description</t>
  </si>
  <si>
    <t>No Build Case (Baseline)</t>
  </si>
  <si>
    <t>Capital Costs</t>
  </si>
  <si>
    <t>Environmental</t>
  </si>
  <si>
    <t>Design</t>
  </si>
  <si>
    <t>ROW</t>
  </si>
  <si>
    <t>Utilities</t>
  </si>
  <si>
    <t>Subtotal</t>
  </si>
  <si>
    <t xml:space="preserve">Discounted </t>
  </si>
  <si>
    <t>Undiscounted</t>
  </si>
  <si>
    <t>3% Discount</t>
  </si>
  <si>
    <t>7% Discount</t>
  </si>
  <si>
    <t>Maintenance Costs</t>
  </si>
  <si>
    <t>Build Case (Alternative)</t>
  </si>
  <si>
    <t>Cost (Alternative - Baseline)</t>
  </si>
  <si>
    <t>Total Costs</t>
  </si>
  <si>
    <t>Traffic Forecasts</t>
  </si>
  <si>
    <t>No Build Traffic</t>
  </si>
  <si>
    <t>Vehicular Traffic</t>
  </si>
  <si>
    <t>Annual vehicles</t>
  </si>
  <si>
    <t>Annual Growth Rate</t>
  </si>
  <si>
    <t>Traffic Forecast Start Year</t>
  </si>
  <si>
    <t>Traffic Forcecast Start Year ADT</t>
  </si>
  <si>
    <t>Total Vehicular Traffic</t>
  </si>
  <si>
    <t>Passenger Vehicles</t>
  </si>
  <si>
    <t>Heavy Vehicles</t>
  </si>
  <si>
    <t>Pedestrian</t>
  </si>
  <si>
    <t>Base Year Pedestrians</t>
  </si>
  <si>
    <t>Start Year</t>
  </si>
  <si>
    <t>Pedestrian Forecast</t>
  </si>
  <si>
    <t>Build Traffic</t>
  </si>
  <si>
    <t>Pedestrian Traffic</t>
  </si>
  <si>
    <t>Traffic</t>
  </si>
  <si>
    <t>Accidents Calculation</t>
  </si>
  <si>
    <t>Accidents Rate</t>
  </si>
  <si>
    <t>Cost Per Incident</t>
  </si>
  <si>
    <t>Accidents Projection</t>
  </si>
  <si>
    <t>Incident</t>
  </si>
  <si>
    <t>Total Crashes</t>
  </si>
  <si>
    <t>Accidents Cost</t>
  </si>
  <si>
    <t xml:space="preserve">Total </t>
  </si>
  <si>
    <t>CMF</t>
  </si>
  <si>
    <t>% Incidents/ADT</t>
  </si>
  <si>
    <t>Benefit (Alternative - Baseline)</t>
  </si>
  <si>
    <t>Total Benefit</t>
  </si>
  <si>
    <t>Travel Time Savings Benefits</t>
  </si>
  <si>
    <t>Delay Calculations</t>
  </si>
  <si>
    <t>Average Annual Increase</t>
  </si>
  <si>
    <t>Annual Increase Flag</t>
  </si>
  <si>
    <t>flag</t>
  </si>
  <si>
    <t>Delay</t>
  </si>
  <si>
    <t>Value of Time</t>
  </si>
  <si>
    <t xml:space="preserve">Value of All Purposes </t>
  </si>
  <si>
    <t>Vehicle Occupancy</t>
  </si>
  <si>
    <t>Portion of Passenger Vehicles</t>
  </si>
  <si>
    <t>Cost of Delay</t>
  </si>
  <si>
    <t>$/Day</t>
  </si>
  <si>
    <t>$/year</t>
  </si>
  <si>
    <t>Current Path</t>
  </si>
  <si>
    <t>Walking Speed</t>
  </si>
  <si>
    <t>Trip Duration</t>
  </si>
  <si>
    <t>hour</t>
  </si>
  <si>
    <t>Pedestrian Travel Time</t>
  </si>
  <si>
    <t>Ped hours / day</t>
  </si>
  <si>
    <t>Pedestrian cost of trip</t>
  </si>
  <si>
    <t>$/day</t>
  </si>
  <si>
    <t>Total Cost</t>
  </si>
  <si>
    <t>New Path</t>
  </si>
  <si>
    <t>Pedestrian Benefit</t>
  </si>
  <si>
    <t>Vehicular Benefit</t>
  </si>
  <si>
    <t>Emissions Benefits</t>
  </si>
  <si>
    <t>Total Emissions</t>
  </si>
  <si>
    <t>Convert to tons</t>
  </si>
  <si>
    <t>kg/ton</t>
  </si>
  <si>
    <t>Annualization Factor</t>
  </si>
  <si>
    <t>day/year</t>
  </si>
  <si>
    <t>kg-per year</t>
  </si>
  <si>
    <t>Cost of Emissions</t>
  </si>
  <si>
    <t>Monetized Value per Metric Ton</t>
  </si>
  <si>
    <t>$ per year</t>
  </si>
  <si>
    <t>NOTE: 7% Discount in row above calculates CO2 at 3% discount.</t>
  </si>
  <si>
    <t>Vehicle Operating Costs Benefits</t>
  </si>
  <si>
    <t>Fuel Consumed</t>
  </si>
  <si>
    <t>Fuel Consumption Calculation</t>
  </si>
  <si>
    <t xml:space="preserve">Fuel Consumption Base Year </t>
  </si>
  <si>
    <t xml:space="preserve">Fuel Consumption Future Year </t>
  </si>
  <si>
    <t>gallons-per day</t>
  </si>
  <si>
    <t>Total Fuel Consumption</t>
  </si>
  <si>
    <t>Gallons per year</t>
  </si>
  <si>
    <t>Gasonline / Diesel Split</t>
  </si>
  <si>
    <t>Gasoline Consumption</t>
  </si>
  <si>
    <t>Diesel Consumption</t>
  </si>
  <si>
    <t>Cost of Fuel Consumption</t>
  </si>
  <si>
    <t>Gasoline Value per Metric Ton</t>
  </si>
  <si>
    <t>$ / gallon</t>
  </si>
  <si>
    <t>Diesel Value per Metric Ton</t>
  </si>
  <si>
    <t>Cost of Gasoline Consumption</t>
  </si>
  <si>
    <t>Cost of Diesel Consumption</t>
  </si>
  <si>
    <t>Pedestrian / Cycling Improvments Benefits</t>
  </si>
  <si>
    <t>No sidewalk existing</t>
  </si>
  <si>
    <t>No crosswalk existing</t>
  </si>
  <si>
    <t>No pedestrian signals existing</t>
  </si>
  <si>
    <t>New Sidewalk</t>
  </si>
  <si>
    <t>Pedestrian Travel Distance</t>
  </si>
  <si>
    <t>Ped miles / day</t>
  </si>
  <si>
    <t>Expanded Sidewalk</t>
  </si>
  <si>
    <t>Expanded Sidewalk Value</t>
  </si>
  <si>
    <t>Benefit of expanded sidewalk</t>
  </si>
  <si>
    <t>Additional Crosswalks</t>
  </si>
  <si>
    <t>New Crosswalks</t>
  </si>
  <si>
    <t>$ / use</t>
  </si>
  <si>
    <t>Additional Pedestrian Signals</t>
  </si>
  <si>
    <t>New Ped Signals</t>
  </si>
  <si>
    <t>Bridge Hits Benefits</t>
  </si>
  <si>
    <t>Cost of Bridge Hit</t>
  </si>
  <si>
    <t>Average damage per bridge hit</t>
  </si>
  <si>
    <t>$ / year</t>
  </si>
  <si>
    <t>Residual Value Benefits</t>
  </si>
  <si>
    <t>Bridge Cost</t>
  </si>
  <si>
    <t xml:space="preserve">Residual Value </t>
  </si>
  <si>
    <t>Benefit (Baseline - Alternative)</t>
  </si>
  <si>
    <t>Baseline</t>
  </si>
  <si>
    <t>Alternative</t>
  </si>
  <si>
    <t>Truck Detour Flag</t>
  </si>
  <si>
    <t>Total Detour Flag</t>
  </si>
  <si>
    <t>Volumes</t>
  </si>
  <si>
    <t>Detour Path</t>
  </si>
  <si>
    <t>hours</t>
  </si>
  <si>
    <t>Passenger Vehicle Delay</t>
  </si>
  <si>
    <t>hours/year</t>
  </si>
  <si>
    <t>Passenger Vehicle Detour Cost</t>
  </si>
  <si>
    <t>Heavy Vehicle Delay</t>
  </si>
  <si>
    <t>Table 1: Summary of Benefits</t>
  </si>
  <si>
    <t>Baseline Status and Problems to be Addressed</t>
  </si>
  <si>
    <t>Change to Baseline</t>
  </si>
  <si>
    <t>Types of Impacts &amp; Benefits</t>
  </si>
  <si>
    <t xml:space="preserve">Population Affected by Impacts </t>
  </si>
  <si>
    <t>Benefit Value (2021 $ millions, 7% discount)</t>
  </si>
  <si>
    <t>The US-75 corridor is included in the top 5% of freight bottlenecks in the Tulsa area and is listed as a critical freight corridor in ODOT's State Freight Plan. 
A specific challenge associated with the interchange is to adequately accommodate existing future and travel demand. The current interchange movements are operating at a Level of Service D and AM and PM peak hours are showing a total network delay of 47 and 44 vehicle hours of delay, respectively. Additionally, there are no multimodal accommodations across US-75.</t>
  </si>
  <si>
    <t>The Oklahoma Department of Transportation (ODOT) and City of Tulsa (COT) propose to reconstruct the existing US-75/W. 81st Street interchange as a diverging diamond interchange (DDI), provide additional capacity on W. 81 Street, and provide new pedestrian and bicycle facilities across US-75. This innovative design will improve safety and traffic flow and provide a connection for non-vehicular traffic where none exists today.</t>
  </si>
  <si>
    <t xml:space="preserve">Vehicle Owners and Truck Operators </t>
  </si>
  <si>
    <t xml:space="preserve">Vehicle Owners, Truck Operators, and Residents of adjacent communities </t>
  </si>
  <si>
    <t xml:space="preserve">Residents of adjacent communities </t>
  </si>
  <si>
    <t>Vehicle Owners, Truck Operators, and ODOT</t>
  </si>
  <si>
    <t>ODOT</t>
  </si>
  <si>
    <t>Current</t>
  </si>
  <si>
    <t>Summary of BCA Outcomes, Millions of Dollars in 2021</t>
  </si>
  <si>
    <t>Safety Assumptions</t>
  </si>
  <si>
    <t>Base Case</t>
  </si>
  <si>
    <t>Project Evaluation Metric</t>
  </si>
  <si>
    <t>Present Value at 3% Discount Rate</t>
  </si>
  <si>
    <t>Present Value at 7% Discount Rate</t>
  </si>
  <si>
    <t>Synchro Analysis:
Total Vehicle-Hours per Day</t>
  </si>
  <si>
    <t>Pedestrian Counts</t>
  </si>
  <si>
    <t>Parameters</t>
  </si>
  <si>
    <t>Change in Parameter Value</t>
  </si>
  <si>
    <t>New NPV</t>
  </si>
  <si>
    <t>% Change in NPV</t>
  </si>
  <si>
    <t>New B/C Ratio</t>
  </si>
  <si>
    <t>Total Benefits</t>
  </si>
  <si>
    <t>Year of Count</t>
  </si>
  <si>
    <t xml:space="preserve">ODOT Data </t>
  </si>
  <si>
    <t>20% Reduction</t>
  </si>
  <si>
    <t>Total O&amp;M (Cost) / Savings</t>
  </si>
  <si>
    <t>Existing</t>
  </si>
  <si>
    <t>20% Increase</t>
  </si>
  <si>
    <t>Total Capital (Cost) / Savings</t>
  </si>
  <si>
    <t xml:space="preserve">Proposed </t>
  </si>
  <si>
    <t>Pedestrian Growth Rate</t>
  </si>
  <si>
    <t>Benefit</t>
  </si>
  <si>
    <t xml:space="preserve">Benefit / Cost Ratio </t>
  </si>
  <si>
    <t>30 Year Analysis Period</t>
  </si>
  <si>
    <t>Summary of Project Costs, Millions of Dollars in 2021</t>
  </si>
  <si>
    <t>Cost Category</t>
  </si>
  <si>
    <t>Maintenance (negative is savings)</t>
  </si>
  <si>
    <t>Summary of Benefits, Millions of Dollars in 2021</t>
  </si>
  <si>
    <t>Source / Comment</t>
  </si>
  <si>
    <t>SYNCHRO FUEL CONSUMPTION DATA</t>
  </si>
  <si>
    <t xml:space="preserve">Synchro Analysis: Fuel Consumption (gal.) </t>
  </si>
  <si>
    <t>AM</t>
  </si>
  <si>
    <t>PM</t>
  </si>
  <si>
    <t>Pedstrian Ammenities</t>
  </si>
  <si>
    <t>SYNCHRO EMISSIONS DATA</t>
  </si>
  <si>
    <t>Emissions (kg)</t>
  </si>
  <si>
    <t>Exisiting</t>
  </si>
  <si>
    <r>
      <t>CO</t>
    </r>
    <r>
      <rPr>
        <vertAlign val="subscript"/>
        <sz val="11"/>
        <color theme="1"/>
        <rFont val="Times New Roman"/>
        <family val="1"/>
      </rPr>
      <t>2</t>
    </r>
  </si>
  <si>
    <r>
      <t>NO</t>
    </r>
    <r>
      <rPr>
        <vertAlign val="subscript"/>
        <sz val="11"/>
        <color theme="1"/>
        <rFont val="Times New Roman"/>
        <family val="1"/>
      </rPr>
      <t>X</t>
    </r>
  </si>
  <si>
    <t>VOC</t>
  </si>
  <si>
    <t>Travel Time Savings - Vehicles</t>
  </si>
  <si>
    <t>USDOT BCA Guidelines - Appendix Tables</t>
  </si>
  <si>
    <t>Source:</t>
  </si>
  <si>
    <t>USDOT Benefit-Cost Analysis Guidance for Discretionary Grant Programs, Jan 2023</t>
  </si>
  <si>
    <t>Link:</t>
  </si>
  <si>
    <t>https://www.transportation.gov/mission/office-secretary/office-policy/transportation-policy/benefit-cost-analysis-guidance</t>
  </si>
  <si>
    <r>
      <rPr>
        <b/>
        <sz val="11.5"/>
        <color rgb="FFFFFFFF"/>
        <rFont val="Times New Roman"/>
        <family val="1"/>
      </rPr>
      <t>Recommended Monetized Value(s)</t>
    </r>
  </si>
  <si>
    <r>
      <rPr>
        <b/>
        <sz val="11.5"/>
        <color rgb="FFFFFFFF"/>
        <rFont val="Times New Roman"/>
        <family val="1"/>
      </rPr>
      <t>References and Notes</t>
    </r>
  </si>
  <si>
    <r>
      <rPr>
        <i/>
        <sz val="11"/>
        <rFont val="Times New Roman"/>
        <family val="1"/>
      </rPr>
      <t xml:space="preserve">Treatment of the Economic Value of Preventing Fatalities and Injuries in Preparing Economic Analyses (2022) </t>
    </r>
    <r>
      <rPr>
        <u/>
        <sz val="11"/>
        <color rgb="FF0000FF"/>
        <rFont val="Times New Roman"/>
        <family val="1"/>
      </rPr>
      <t>https://www.transportation.gov/office-</t>
    </r>
    <r>
      <rPr>
        <sz val="11"/>
        <color rgb="FF0000FF"/>
        <rFont val="Times New Roman"/>
        <family val="1"/>
      </rPr>
      <t xml:space="preserve"> </t>
    </r>
    <r>
      <rPr>
        <u/>
        <sz val="11"/>
        <color rgb="FF0000FF"/>
        <rFont val="Times New Roman"/>
        <family val="1"/>
      </rPr>
      <t>policy/transportation-policy/revised-</t>
    </r>
    <r>
      <rPr>
        <sz val="11"/>
        <color rgb="FF0000FF"/>
        <rFont val="Times New Roman"/>
        <family val="1"/>
      </rPr>
      <t xml:space="preserve"> </t>
    </r>
    <r>
      <rPr>
        <u/>
        <sz val="11"/>
        <color rgb="FF0000FF"/>
        <rFont val="Times New Roman"/>
        <family val="1"/>
      </rPr>
      <t>departmental-guidance-on-valuation-of-a-</t>
    </r>
    <r>
      <rPr>
        <sz val="11"/>
        <color rgb="FF0000FF"/>
        <rFont val="Times New Roman"/>
        <family val="1"/>
      </rPr>
      <t xml:space="preserve"> </t>
    </r>
    <r>
      <rPr>
        <u/>
        <sz val="11"/>
        <color rgb="FF0000FF"/>
        <rFont val="Times New Roman"/>
        <family val="1"/>
      </rPr>
      <t xml:space="preserve">statistical-life-in-economic-analysis
</t>
    </r>
    <r>
      <rPr>
        <b/>
        <sz val="11"/>
        <rFont val="Times New Roman"/>
        <family val="1"/>
      </rPr>
      <t xml:space="preserve">Note: </t>
    </r>
    <r>
      <rPr>
        <sz val="11"/>
        <rFont val="Times New Roman"/>
        <family val="1"/>
      </rPr>
      <t>The KABCO level values shown result from multiplying the KABCO-level accident’s associated MAIS-level probabilities by the recommended unit Value of Injuries for each MAIS level, and then summing the products. Accident data may not be presented on an annual basis when it is provided to applicants (i.e. an available report requested in Fall 2011 may record total accidents from 2005-2010). For the purposes of the BCA, is important to annualize data when possible. For MAIS-based unit values, please see the VSL guidance linked above.</t>
    </r>
  </si>
  <si>
    <r>
      <rPr>
        <b/>
        <sz val="11"/>
        <color rgb="FF1F487C"/>
        <rFont val="Times New Roman"/>
        <family val="1"/>
      </rPr>
      <t>KABCO Level</t>
    </r>
  </si>
  <si>
    <r>
      <rPr>
        <b/>
        <sz val="11"/>
        <color rgb="FF1F487C"/>
        <rFont val="Times New Roman"/>
        <family val="1"/>
      </rPr>
      <t>Monetized Value (2021 $)</t>
    </r>
  </si>
  <si>
    <r>
      <rPr>
        <sz val="11"/>
        <color rgb="FF1F487C"/>
        <rFont val="Times New Roman"/>
        <family val="1"/>
      </rPr>
      <t>O – No Injury</t>
    </r>
  </si>
  <si>
    <r>
      <rPr>
        <sz val="11"/>
        <color rgb="FF1F487C"/>
        <rFont val="Times New Roman"/>
        <family val="1"/>
      </rPr>
      <t>C – Possible Injury</t>
    </r>
  </si>
  <si>
    <r>
      <rPr>
        <sz val="11"/>
        <color rgb="FF1F487C"/>
        <rFont val="Times New Roman"/>
        <family val="1"/>
      </rPr>
      <t>B – Non-incapacitating</t>
    </r>
  </si>
  <si>
    <r>
      <rPr>
        <sz val="11"/>
        <color rgb="FF1F487C"/>
        <rFont val="Times New Roman"/>
        <family val="1"/>
      </rPr>
      <t>A – Incapacitating</t>
    </r>
  </si>
  <si>
    <r>
      <rPr>
        <sz val="11"/>
        <color rgb="FF1F487C"/>
        <rFont val="Times New Roman"/>
        <family val="1"/>
      </rPr>
      <t>K – Killed</t>
    </r>
  </si>
  <si>
    <r>
      <rPr>
        <sz val="11"/>
        <color rgb="FF1F487C"/>
        <rFont val="Times New Roman"/>
        <family val="1"/>
      </rPr>
      <t>U – Injured (Severity Unknown)</t>
    </r>
  </si>
  <si>
    <r>
      <rPr>
        <sz val="11"/>
        <color rgb="FF1F487C"/>
        <rFont val="Times New Roman"/>
        <family val="1"/>
      </rPr>
      <t xml:space="preserve"># Accidents Reported (Unknown
</t>
    </r>
    <r>
      <rPr>
        <sz val="11"/>
        <color rgb="FF1F487C"/>
        <rFont val="Times New Roman"/>
        <family val="1"/>
      </rPr>
      <t>if Injured)</t>
    </r>
  </si>
  <si>
    <r>
      <rPr>
        <b/>
        <sz val="11"/>
        <color rgb="FF1F487C"/>
        <rFont val="Times New Roman"/>
        <family val="1"/>
      </rPr>
      <t>Crash Type</t>
    </r>
  </si>
  <si>
    <r>
      <rPr>
        <sz val="11"/>
        <color rgb="FF1F487C"/>
        <rFont val="Times New Roman"/>
        <family val="1"/>
      </rPr>
      <t>Injury Crash</t>
    </r>
    <r>
      <rPr>
        <vertAlign val="superscript"/>
        <sz val="11"/>
        <color rgb="FF1F487C"/>
        <rFont val="Times New Roman"/>
        <family val="1"/>
      </rPr>
      <t>1</t>
    </r>
  </si>
  <si>
    <r>
      <rPr>
        <sz val="11"/>
        <color rgb="FF1F487C"/>
        <rFont val="Times New Roman"/>
        <family val="1"/>
      </rPr>
      <t>Fatal Crash</t>
    </r>
    <r>
      <rPr>
        <vertAlign val="superscript"/>
        <sz val="11"/>
        <color rgb="FF1F487C"/>
        <rFont val="Times New Roman"/>
        <family val="1"/>
      </rPr>
      <t>1</t>
    </r>
  </si>
  <si>
    <r>
      <rPr>
        <sz val="11"/>
        <color rgb="FF1F487C"/>
        <rFont val="Times New Roman"/>
        <family val="1"/>
      </rPr>
      <t xml:space="preserve">1)   Monetization values for injury crashes and fatal crashes are based on an estimate of approximately 1.44 injuries per injury crash and 1.09 fatalities per fatal crash, based on an average of the most recent five years of data in NHTSA’s National Crash Statistics. The fatal crash value is further adjusted for the average number of
</t>
    </r>
    <r>
      <rPr>
        <sz val="11"/>
        <color rgb="FF1F487C"/>
        <rFont val="Times New Roman"/>
        <family val="1"/>
      </rPr>
      <t>injuries per fatal crash.</t>
    </r>
  </si>
  <si>
    <r>
      <rPr>
        <b/>
        <i/>
        <sz val="11"/>
        <color rgb="FF4F81BC"/>
        <rFont val="Cambria"/>
        <family val="1"/>
      </rPr>
      <t>Table A-2: Property Damage Only (PDO) Crashes</t>
    </r>
  </si>
  <si>
    <r>
      <rPr>
        <b/>
        <sz val="11.5"/>
        <color rgb="FFFFFFFF"/>
        <rFont val="Times New Roman"/>
        <family val="1"/>
      </rPr>
      <t>Reference and Notes</t>
    </r>
  </si>
  <si>
    <r>
      <rPr>
        <sz val="11"/>
        <rFont val="Times New Roman"/>
        <family val="1"/>
      </rPr>
      <t>$4,800 per vehicle ($2021)</t>
    </r>
  </si>
  <si>
    <r>
      <rPr>
        <i/>
        <sz val="11"/>
        <rFont val="Times New Roman"/>
        <family val="1"/>
      </rPr>
      <t xml:space="preserve">The Economic and Societal Impact of Motor Vehicle Crashes, 2010 (revised May 2015), Page 12, Table 1-2, Summary of Unit Costs, 2000”
</t>
    </r>
    <r>
      <rPr>
        <sz val="11"/>
        <rFont val="Times New Roman"/>
        <family val="1"/>
      </rPr>
      <t>Inflated to 2021 dollars using the GDP deflator.</t>
    </r>
  </si>
  <si>
    <r>
      <rPr>
        <b/>
        <sz val="11"/>
        <color rgb="FF1F487C"/>
        <rFont val="Times New Roman"/>
        <family val="1"/>
      </rPr>
      <t>Recommended Hourly Values of Travel Time Savings (2021 $ per person-hour)</t>
    </r>
  </si>
  <si>
    <r>
      <rPr>
        <i/>
        <sz val="11"/>
        <rFont val="Times New Roman"/>
        <family val="1"/>
      </rPr>
      <t xml:space="preserve">Revised Departmental Guidance on Valuation of Travel Time in Economic Analysis (2016) </t>
    </r>
    <r>
      <rPr>
        <u/>
        <sz val="11"/>
        <color rgb="FF0000FF"/>
        <rFont val="Times New Roman"/>
        <family val="1"/>
      </rPr>
      <t>https://www.transportation.gov/office-</t>
    </r>
    <r>
      <rPr>
        <sz val="11"/>
        <color rgb="FF0000FF"/>
        <rFont val="Times New Roman"/>
        <family val="1"/>
      </rPr>
      <t xml:space="preserve"> </t>
    </r>
    <r>
      <rPr>
        <u/>
        <sz val="11"/>
        <color rgb="FF0000FF"/>
        <rFont val="Times New Roman"/>
        <family val="1"/>
      </rPr>
      <t>policy/transportation-policy/revised-</t>
    </r>
    <r>
      <rPr>
        <sz val="11"/>
        <color rgb="FF0000FF"/>
        <rFont val="Times New Roman"/>
        <family val="1"/>
      </rPr>
      <t xml:space="preserve"> </t>
    </r>
    <r>
      <rPr>
        <u/>
        <sz val="11"/>
        <color rgb="FF0000FF"/>
        <rFont val="Times New Roman"/>
        <family val="1"/>
      </rPr>
      <t>departmental-guidance-valuation-travel-</t>
    </r>
    <r>
      <rPr>
        <sz val="11"/>
        <color rgb="FF0000FF"/>
        <rFont val="Times New Roman"/>
        <family val="1"/>
      </rPr>
      <t xml:space="preserve"> </t>
    </r>
    <r>
      <rPr>
        <u/>
        <sz val="11"/>
        <color rgb="FF0000FF"/>
        <rFont val="Times New Roman"/>
        <family val="1"/>
      </rPr>
      <t>time-economic</t>
    </r>
  </si>
  <si>
    <r>
      <rPr>
        <b/>
        <sz val="11"/>
        <color rgb="FF1F487C"/>
        <rFont val="Times New Roman"/>
        <family val="1"/>
      </rPr>
      <t>Category</t>
    </r>
  </si>
  <si>
    <r>
      <rPr>
        <b/>
        <sz val="11"/>
        <color rgb="FF1F487C"/>
        <rFont val="Times New Roman"/>
        <family val="1"/>
      </rPr>
      <t>Hourly Value</t>
    </r>
  </si>
  <si>
    <r>
      <rPr>
        <sz val="11"/>
        <color rgb="FF1F487C"/>
        <rFont val="Times New Roman"/>
        <family val="1"/>
      </rPr>
      <t>General Travel Time</t>
    </r>
  </si>
  <si>
    <r>
      <rPr>
        <sz val="11"/>
        <color rgb="FF1F487C"/>
        <rFont val="Times New Roman"/>
        <family val="1"/>
      </rPr>
      <t>Personal</t>
    </r>
    <r>
      <rPr>
        <vertAlign val="superscript"/>
        <sz val="11"/>
        <color rgb="FF1F487C"/>
        <rFont val="Times New Roman"/>
        <family val="1"/>
      </rPr>
      <t>1</t>
    </r>
  </si>
  <si>
    <r>
      <rPr>
        <sz val="11"/>
        <color rgb="FF1F487C"/>
        <rFont val="Times New Roman"/>
        <family val="1"/>
      </rPr>
      <t>Business</t>
    </r>
    <r>
      <rPr>
        <vertAlign val="superscript"/>
        <sz val="11"/>
        <color rgb="FF1F487C"/>
        <rFont val="Times New Roman"/>
        <family val="1"/>
      </rPr>
      <t>2</t>
    </r>
  </si>
  <si>
    <r>
      <rPr>
        <sz val="11"/>
        <color rgb="FF1F487C"/>
        <rFont val="Times New Roman"/>
        <family val="1"/>
      </rPr>
      <t>All Purposes</t>
    </r>
    <r>
      <rPr>
        <vertAlign val="superscript"/>
        <sz val="11"/>
        <color rgb="FF1F487C"/>
        <rFont val="Times New Roman"/>
        <family val="1"/>
      </rPr>
      <t xml:space="preserve">3
</t>
    </r>
    <r>
      <rPr>
        <sz val="11"/>
        <color rgb="FF1F487C"/>
        <rFont val="Times New Roman"/>
        <family val="1"/>
      </rPr>
      <t>Walking, Cycling, Waiting, Standing, and Transfer Time</t>
    </r>
    <r>
      <rPr>
        <vertAlign val="superscript"/>
        <sz val="11"/>
        <color rgb="FF1F487C"/>
        <rFont val="Times New Roman"/>
        <family val="1"/>
      </rPr>
      <t>4</t>
    </r>
  </si>
  <si>
    <r>
      <rPr>
        <sz val="11"/>
        <color rgb="FF1F487C"/>
        <rFont val="Times New Roman"/>
        <family val="1"/>
      </rPr>
      <t xml:space="preserve">$18.80
</t>
    </r>
    <r>
      <rPr>
        <sz val="11"/>
        <color rgb="FF1F487C"/>
        <rFont val="Times New Roman"/>
        <family val="1"/>
      </rPr>
      <t>$34.00</t>
    </r>
  </si>
  <si>
    <r>
      <rPr>
        <sz val="11"/>
        <color rgb="FF1F487C"/>
        <rFont val="Times New Roman"/>
        <family val="1"/>
      </rPr>
      <t>Commercial Vehicle Operators</t>
    </r>
    <r>
      <rPr>
        <vertAlign val="superscript"/>
        <sz val="11"/>
        <color rgb="FF1F487C"/>
        <rFont val="Times New Roman"/>
        <family val="1"/>
      </rPr>
      <t>5</t>
    </r>
  </si>
  <si>
    <r>
      <rPr>
        <sz val="11"/>
        <color rgb="FF1F487C"/>
        <rFont val="Times New Roman"/>
        <family val="1"/>
      </rPr>
      <t>Truck Drivers</t>
    </r>
  </si>
  <si>
    <r>
      <rPr>
        <sz val="11"/>
        <color rgb="FF1F487C"/>
        <rFont val="Times New Roman"/>
        <family val="1"/>
      </rPr>
      <t>Bus Drivers</t>
    </r>
  </si>
  <si>
    <r>
      <rPr>
        <sz val="11"/>
        <color rgb="FF1F487C"/>
        <rFont val="Times New Roman"/>
        <family val="1"/>
      </rPr>
      <t>Transit Rail Operators</t>
    </r>
  </si>
  <si>
    <r>
      <rPr>
        <sz val="11"/>
        <color rgb="FF1F487C"/>
        <rFont val="Times New Roman"/>
        <family val="1"/>
      </rPr>
      <t>Locomotive Engineers</t>
    </r>
  </si>
  <si>
    <r>
      <rPr>
        <sz val="11"/>
        <color rgb="FF1F487C"/>
        <rFont val="Times New Roman"/>
        <family val="1"/>
      </rPr>
      <t xml:space="preserve">1)  Values for personal travel based on local travel values as described in USDOT’s Value of Travel Time guidance. Where applicants also have specific information on the mix of local versus long-distance intercity travel (i.e.,  trips over 50 miles in length) on a facility, then the local travel values of time may be blended with the long- distance intercity personal travel value of $23.80 per hour.
</t>
    </r>
    <r>
      <rPr>
        <sz val="11"/>
        <color rgb="FF1F487C"/>
        <rFont val="Times New Roman"/>
        <family val="1"/>
      </rPr>
      <t xml:space="preserve">2)  Weighted average based on a typical distribution of local travel by surface modes (88.2% personal, 11.8% business). Applicants should apply their own distribution of business versus personal travel where such information is available.
</t>
    </r>
    <r>
      <rPr>
        <sz val="11"/>
        <color rgb="FF1F487C"/>
        <rFont val="Times New Roman"/>
        <family val="1"/>
      </rPr>
      <t xml:space="preserve">3)  Note that business travel does not include commuting travel, which should be valued at the personal travel rate. Travel on high-speed rail service that would be competitive with air travel should be valued at $45.30 per hour for personal travel and $79.30 for business travel.
</t>
    </r>
    <r>
      <rPr>
        <sz val="11"/>
        <color rgb="FF1F487C"/>
        <rFont val="Times New Roman"/>
        <family val="1"/>
      </rPr>
      <t>4)  Should be applied only when actions affect those elements of travel time.</t>
    </r>
  </si>
  <si>
    <r>
      <rPr>
        <sz val="11"/>
        <color rgb="FF1F487C"/>
        <rFont val="Times New Roman"/>
        <family val="1"/>
      </rPr>
      <t>5)  Includes only the value of time for the operator, not passengers or freight.</t>
    </r>
  </si>
  <si>
    <r>
      <rPr>
        <b/>
        <sz val="11.5"/>
        <color rgb="FFFFFFFF"/>
        <rFont val="Times New Roman"/>
        <family val="1"/>
      </rPr>
      <t>Recommended Value(s)</t>
    </r>
  </si>
  <si>
    <r>
      <rPr>
        <i/>
        <sz val="11"/>
        <rFont val="Times New Roman"/>
        <family val="1"/>
      </rPr>
      <t>2017 National Household Travel Survey</t>
    </r>
  </si>
  <si>
    <r>
      <rPr>
        <b/>
        <sz val="11"/>
        <color rgb="FF1F487C"/>
        <rFont val="Times New Roman"/>
        <family val="1"/>
      </rPr>
      <t>Vehicle Type</t>
    </r>
  </si>
  <si>
    <r>
      <rPr>
        <b/>
        <sz val="11"/>
        <color rgb="FF1F487C"/>
        <rFont val="Times New Roman"/>
        <family val="1"/>
      </rPr>
      <t>Average Occupancy</t>
    </r>
  </si>
  <si>
    <r>
      <rPr>
        <sz val="11"/>
        <color rgb="FF1F487C"/>
        <rFont val="Times New Roman"/>
        <family val="1"/>
      </rPr>
      <t xml:space="preserve">Passenger Vehicles
</t>
    </r>
    <r>
      <rPr>
        <sz val="11"/>
        <color rgb="FF1F487C"/>
        <rFont val="Times New Roman"/>
        <family val="1"/>
      </rPr>
      <t>(Weekday Peak)</t>
    </r>
    <r>
      <rPr>
        <vertAlign val="superscript"/>
        <sz val="11"/>
        <color rgb="FF1F487C"/>
        <rFont val="Times New Roman"/>
        <family val="1"/>
      </rPr>
      <t>1</t>
    </r>
  </si>
  <si>
    <r>
      <rPr>
        <sz val="11"/>
        <color rgb="FF1F487C"/>
        <rFont val="Times New Roman"/>
        <family val="1"/>
      </rPr>
      <t xml:space="preserve">Passenger Vehicles
</t>
    </r>
    <r>
      <rPr>
        <sz val="11"/>
        <color rgb="FF1F487C"/>
        <rFont val="Times New Roman"/>
        <family val="1"/>
      </rPr>
      <t>(Weekday Off-Peak)</t>
    </r>
  </si>
  <si>
    <r>
      <rPr>
        <sz val="11"/>
        <color rgb="FF1F487C"/>
        <rFont val="Times New Roman"/>
        <family val="1"/>
      </rPr>
      <t>Passenger Vehicles (Weekend)</t>
    </r>
  </si>
  <si>
    <r>
      <rPr>
        <sz val="11"/>
        <color rgb="FF1F487C"/>
        <rFont val="Times New Roman"/>
        <family val="1"/>
      </rPr>
      <t>Passenger Vehicles (All Travel)</t>
    </r>
  </si>
  <si>
    <r>
      <rPr>
        <sz val="11"/>
        <color rgb="FF1F487C"/>
        <rFont val="Times New Roman"/>
        <family val="1"/>
      </rPr>
      <t>1) Weekday peak period values calculated for trips starting between 6:00 AM-8:59 AM and 4:00 PM- 6:59 PM.</t>
    </r>
  </si>
  <si>
    <r>
      <rPr>
        <b/>
        <i/>
        <sz val="11"/>
        <color rgb="FF4F81BC"/>
        <rFont val="Cambria"/>
        <family val="1"/>
      </rPr>
      <t>Table A-5: Vehicle Operating Costs</t>
    </r>
  </si>
  <si>
    <r>
      <rPr>
        <i/>
        <sz val="11"/>
        <rFont val="Times New Roman"/>
        <family val="1"/>
      </rPr>
      <t xml:space="preserve">American Automobile Association, Your Driving Costs – 2021 Edition (2021) </t>
    </r>
    <r>
      <rPr>
        <u/>
        <sz val="11"/>
        <color rgb="FF0000FF"/>
        <rFont val="Times New Roman"/>
        <family val="1"/>
      </rPr>
      <t>https://newsroom.aaa.com/wp-</t>
    </r>
    <r>
      <rPr>
        <sz val="11"/>
        <color rgb="FF0000FF"/>
        <rFont val="Times New Roman"/>
        <family val="1"/>
      </rPr>
      <t xml:space="preserve"> </t>
    </r>
    <r>
      <rPr>
        <u/>
        <sz val="11"/>
        <color rgb="FF0000FF"/>
        <rFont val="Times New Roman"/>
        <family val="1"/>
      </rPr>
      <t>content/uploads/2021/08/2021-YDC-Brochure-</t>
    </r>
    <r>
      <rPr>
        <sz val="11"/>
        <color rgb="FF0000FF"/>
        <rFont val="Times New Roman"/>
        <family val="1"/>
      </rPr>
      <t xml:space="preserve"> </t>
    </r>
    <r>
      <rPr>
        <u/>
        <sz val="11"/>
        <color rgb="FF0000FF"/>
        <rFont val="Times New Roman"/>
        <family val="1"/>
      </rPr>
      <t xml:space="preserve">Live.pdf
</t>
    </r>
    <r>
      <rPr>
        <i/>
        <sz val="11"/>
        <rFont val="Times New Roman"/>
        <family val="1"/>
      </rPr>
      <t xml:space="preserve">American Transportation Research Institute, An Analysis of the Operational Costs of Trucking: 2022 Update
</t>
    </r>
    <r>
      <rPr>
        <u/>
        <sz val="11"/>
        <color rgb="FF0000FF"/>
        <rFont val="Times New Roman"/>
        <family val="1"/>
      </rPr>
      <t>https://truckingresearch.org/wp-</t>
    </r>
    <r>
      <rPr>
        <sz val="11"/>
        <color rgb="FF0000FF"/>
        <rFont val="Times New Roman"/>
        <family val="1"/>
      </rPr>
      <t xml:space="preserve"> </t>
    </r>
    <r>
      <rPr>
        <u/>
        <sz val="11"/>
        <color rgb="FF0000FF"/>
        <rFont val="Times New Roman"/>
        <family val="1"/>
      </rPr>
      <t>content/uploads/2022/08/ATRI-Operational-Cost-</t>
    </r>
    <r>
      <rPr>
        <sz val="11"/>
        <color rgb="FF0000FF"/>
        <rFont val="Times New Roman"/>
        <family val="1"/>
      </rPr>
      <t xml:space="preserve"> </t>
    </r>
    <r>
      <rPr>
        <u/>
        <sz val="11"/>
        <color rgb="FF0000FF"/>
        <rFont val="Times New Roman"/>
        <family val="1"/>
      </rPr>
      <t>of-Trucking-2022.pdf</t>
    </r>
  </si>
  <si>
    <r>
      <rPr>
        <b/>
        <sz val="11"/>
        <color rgb="FF1F487C"/>
        <rFont val="Times New Roman"/>
        <family val="1"/>
      </rPr>
      <t>Recommended Value per Mile (2021 $)</t>
    </r>
  </si>
  <si>
    <r>
      <rPr>
        <sz val="11"/>
        <color rgb="FF1F487C"/>
        <rFont val="Times New Roman"/>
        <family val="1"/>
      </rPr>
      <t>Light Duty Vehicles</t>
    </r>
    <r>
      <rPr>
        <vertAlign val="superscript"/>
        <sz val="11"/>
        <color rgb="FF1F487C"/>
        <rFont val="Times New Roman"/>
        <family val="1"/>
      </rPr>
      <t>1</t>
    </r>
  </si>
  <si>
    <r>
      <rPr>
        <sz val="11"/>
        <color rgb="FF1F487C"/>
        <rFont val="Times New Roman"/>
        <family val="1"/>
      </rPr>
      <t>Commercial Trucks</t>
    </r>
    <r>
      <rPr>
        <vertAlign val="superscript"/>
        <sz val="11"/>
        <color rgb="FF1F487C"/>
        <rFont val="Times New Roman"/>
        <family val="1"/>
      </rPr>
      <t>2</t>
    </r>
  </si>
  <si>
    <r>
      <rPr>
        <sz val="11"/>
        <color rgb="FF1F487C"/>
        <rFont val="Times New Roman"/>
        <family val="1"/>
      </rPr>
      <t xml:space="preserve">1)  Based on an average light duty vehicle and includes operating costs such as gasoline, maintenance, tires, and depreciation (assuming an average of 15,000 miles driven per year). The value omits other ownership costs that are mostly fixed or transfers (insurance, license, registration, taxes, and financing charges).
</t>
    </r>
    <r>
      <rPr>
        <sz val="11"/>
        <color rgb="FF1F487C"/>
        <rFont val="Times New Roman"/>
        <family val="1"/>
      </rPr>
      <t xml:space="preserve">2)  Value includes fuel costs, truck/trailer lease or purchase payments, repair and maintenance, truck insurance premiums, permits and licenses, and tires. The value omits tolls (which are transfers), and
</t>
    </r>
    <r>
      <rPr>
        <sz val="11"/>
        <color rgb="FF1F487C"/>
        <rFont val="Times New Roman"/>
        <family val="1"/>
      </rPr>
      <t>driver wages and benefits (which are already included in the value of travel time savings).</t>
    </r>
  </si>
  <si>
    <r>
      <rPr>
        <i/>
        <sz val="11"/>
        <rFont val="Times New Roman"/>
        <family val="1"/>
      </rPr>
      <t xml:space="preserve">Technical Support Document: Estimating the Benefit per Ton of Reducing PM2.5 Precursors from 17 Sectors (February 2018)”
</t>
    </r>
    <r>
      <rPr>
        <u/>
        <sz val="11"/>
        <color rgb="FF0000FF"/>
        <rFont val="Times New Roman"/>
        <family val="1"/>
      </rPr>
      <t>https://www.epa.gov/sites/default/files/20</t>
    </r>
    <r>
      <rPr>
        <sz val="11"/>
        <color rgb="FF0000FF"/>
        <rFont val="Times New Roman"/>
        <family val="1"/>
      </rPr>
      <t xml:space="preserve"> </t>
    </r>
    <r>
      <rPr>
        <u/>
        <sz val="11"/>
        <color rgb="FF0000FF"/>
        <rFont val="Times New Roman"/>
        <family val="1"/>
      </rPr>
      <t xml:space="preserve">18-
</t>
    </r>
    <r>
      <rPr>
        <u/>
        <sz val="11"/>
        <color rgb="FF0000FF"/>
        <rFont val="Times New Roman"/>
        <family val="1"/>
      </rPr>
      <t xml:space="preserve">02/documents/sourceapportionmentbpttsd
</t>
    </r>
    <r>
      <rPr>
        <u/>
        <sz val="11"/>
        <color rgb="FF0000FF"/>
        <rFont val="Times New Roman"/>
        <family val="1"/>
      </rPr>
      <t xml:space="preserve">_2018.pdf
</t>
    </r>
    <r>
      <rPr>
        <vertAlign val="superscript"/>
        <sz val="11"/>
        <rFont val="Times New Roman"/>
        <family val="1"/>
      </rPr>
      <t>NO</t>
    </r>
    <r>
      <rPr>
        <sz val="7"/>
        <rFont val="Times New Roman"/>
        <family val="1"/>
      </rPr>
      <t>X</t>
    </r>
    <r>
      <rPr>
        <vertAlign val="superscript"/>
        <sz val="11"/>
        <rFont val="Times New Roman"/>
        <family val="1"/>
      </rPr>
      <t>, SO</t>
    </r>
    <r>
      <rPr>
        <sz val="7"/>
        <rFont val="Times New Roman"/>
        <family val="1"/>
      </rPr>
      <t>X</t>
    </r>
    <r>
      <rPr>
        <vertAlign val="superscript"/>
        <sz val="11"/>
        <rFont val="Times New Roman"/>
        <family val="1"/>
      </rPr>
      <t>, and PM</t>
    </r>
    <r>
      <rPr>
        <sz val="7"/>
        <rFont val="Times New Roman"/>
        <family val="1"/>
      </rPr>
      <t xml:space="preserve">2.5 </t>
    </r>
    <r>
      <rPr>
        <vertAlign val="superscript"/>
        <sz val="11"/>
        <rFont val="Times New Roman"/>
        <family val="1"/>
      </rPr>
      <t xml:space="preserve">values are inflated </t>
    </r>
    <r>
      <rPr>
        <sz val="11"/>
        <rFont val="Times New Roman"/>
        <family val="1"/>
      </rPr>
      <t xml:space="preserve">from 2015 to 2021 dollars using the GDP deflator.
</t>
    </r>
    <r>
      <rPr>
        <i/>
        <sz val="11"/>
        <rFont val="Times New Roman"/>
        <family val="1"/>
      </rPr>
      <t xml:space="preserve">Social Cost of Carbon, Methane, and Nitrous Oxide Interim Estimates under Executive Order 13990 (February 2021) </t>
    </r>
    <r>
      <rPr>
        <u/>
        <sz val="11"/>
        <color rgb="FF0000FF"/>
        <rFont val="Times New Roman"/>
        <family val="1"/>
      </rPr>
      <t>https://www.whitehouse.gov/wp-</t>
    </r>
    <r>
      <rPr>
        <sz val="11"/>
        <color rgb="FF0000FF"/>
        <rFont val="Times New Roman"/>
        <family val="1"/>
      </rPr>
      <t xml:space="preserve"> </t>
    </r>
    <r>
      <rPr>
        <u/>
        <sz val="11"/>
        <color rgb="FF0000FF"/>
        <rFont val="Times New Roman"/>
        <family val="1"/>
      </rPr>
      <t>content/uploads/2021/02/TechnicalSuppor</t>
    </r>
    <r>
      <rPr>
        <sz val="11"/>
        <color rgb="FF0000FF"/>
        <rFont val="Times New Roman"/>
        <family val="1"/>
      </rPr>
      <t xml:space="preserve"> </t>
    </r>
    <r>
      <rPr>
        <u/>
        <sz val="11"/>
        <color rgb="FF0000FF"/>
        <rFont val="Times New Roman"/>
        <family val="1"/>
      </rPr>
      <t>tDocument_SocialCostofCarbonMethane</t>
    </r>
    <r>
      <rPr>
        <sz val="11"/>
        <color rgb="FF0000FF"/>
        <rFont val="Times New Roman"/>
        <family val="1"/>
      </rPr>
      <t xml:space="preserve"> </t>
    </r>
    <r>
      <rPr>
        <u/>
        <sz val="11"/>
        <color rgb="FF0000FF"/>
        <rFont val="Times New Roman"/>
        <family val="1"/>
      </rPr>
      <t xml:space="preserve">NitrousOxide.pdf
</t>
    </r>
    <r>
      <rPr>
        <b/>
        <sz val="11"/>
        <rFont val="Times New Roman"/>
        <family val="1"/>
      </rPr>
      <t xml:space="preserve">Note: </t>
    </r>
    <r>
      <rPr>
        <sz val="11"/>
        <rFont val="Times New Roman"/>
        <family val="1"/>
      </rPr>
      <t xml:space="preserve">Fuel saved (gasoline, diesel, natural gas, etc.) can be converted into metric tons of emissions using EPA guidelines available at </t>
    </r>
    <r>
      <rPr>
        <u/>
        <sz val="11"/>
        <color rgb="FF0000FF"/>
        <rFont val="Times New Roman"/>
        <family val="1"/>
      </rPr>
      <t>https://www.epa.gov/energy/greenhouse-</t>
    </r>
    <r>
      <rPr>
        <sz val="11"/>
        <color rgb="FF0000FF"/>
        <rFont val="Times New Roman"/>
        <family val="1"/>
      </rPr>
      <t xml:space="preserve"> </t>
    </r>
    <r>
      <rPr>
        <u/>
        <sz val="11"/>
        <color rgb="FF0000FF"/>
        <rFont val="Times New Roman"/>
        <family val="1"/>
      </rPr>
      <t>gases-equivalencies-calculator-</t>
    </r>
    <r>
      <rPr>
        <sz val="11"/>
        <color rgb="FF0000FF"/>
        <rFont val="Times New Roman"/>
        <family val="1"/>
      </rPr>
      <t xml:space="preserve"> </t>
    </r>
    <r>
      <rPr>
        <u/>
        <sz val="11"/>
        <color rgb="FF0000FF"/>
        <rFont val="Times New Roman"/>
        <family val="1"/>
      </rPr>
      <t xml:space="preserve">calculations-and-references
</t>
    </r>
    <r>
      <rPr>
        <b/>
        <sz val="11"/>
        <rFont val="Times New Roman"/>
        <family val="1"/>
      </rPr>
      <t xml:space="preserve">Note: </t>
    </r>
    <r>
      <rPr>
        <sz val="11"/>
        <rFont val="Times New Roman"/>
        <family val="1"/>
      </rPr>
      <t xml:space="preserve">The recommended values for </t>
    </r>
    <r>
      <rPr>
        <vertAlign val="superscript"/>
        <sz val="11"/>
        <rFont val="Times New Roman"/>
        <family val="1"/>
      </rPr>
      <t>reducing CO</t>
    </r>
    <r>
      <rPr>
        <sz val="7"/>
        <rFont val="Times New Roman"/>
        <family val="1"/>
      </rPr>
      <t xml:space="preserve">2  </t>
    </r>
    <r>
      <rPr>
        <vertAlign val="superscript"/>
        <sz val="11"/>
        <rFont val="Times New Roman"/>
        <family val="1"/>
      </rPr>
      <t xml:space="preserve">emissions reported in Table </t>
    </r>
    <r>
      <rPr>
        <sz val="11"/>
        <rFont val="Times New Roman"/>
        <family val="1"/>
      </rPr>
      <t xml:space="preserve">A-6 represent the values of future economic damages that can be avoided by reducing emissions in each future year by one metric ton.  After using per-ton values to estimate the total value of reducing CO2 emissions in any </t>
    </r>
    <r>
      <rPr>
        <i/>
        <sz val="11"/>
        <rFont val="Times New Roman"/>
        <family val="1"/>
      </rPr>
      <t>future year</t>
    </r>
    <r>
      <rPr>
        <sz val="11"/>
        <rFont val="Times New Roman"/>
        <family val="1"/>
      </rPr>
      <t xml:space="preserve">, the result must be further discounted to its present value as of the analysis year used in the BCA, also using a </t>
    </r>
    <r>
      <rPr>
        <b/>
        <sz val="11"/>
        <rFont val="Times New Roman"/>
        <family val="1"/>
      </rPr>
      <t xml:space="preserve">3 percent </t>
    </r>
    <r>
      <rPr>
        <sz val="11"/>
        <rFont val="Times New Roman"/>
        <family val="1"/>
      </rPr>
      <t>discount rate.</t>
    </r>
  </si>
  <si>
    <r>
      <rPr>
        <b/>
        <sz val="11"/>
        <color rgb="FF1F487C"/>
        <rFont val="Times New Roman"/>
        <family val="1"/>
      </rPr>
      <t xml:space="preserve">Emission
</t>
    </r>
    <r>
      <rPr>
        <b/>
        <sz val="11"/>
        <color rgb="FF1F487C"/>
        <rFont val="Times New Roman"/>
        <family val="1"/>
      </rPr>
      <t>Type</t>
    </r>
  </si>
  <si>
    <r>
      <rPr>
        <b/>
        <vertAlign val="superscript"/>
        <sz val="11"/>
        <color rgb="FF1F487C"/>
        <rFont val="Times New Roman"/>
        <family val="1"/>
      </rPr>
      <t>NO</t>
    </r>
    <r>
      <rPr>
        <b/>
        <sz val="7"/>
        <color rgb="FF1F487C"/>
        <rFont val="Times New Roman"/>
        <family val="1"/>
      </rPr>
      <t>X</t>
    </r>
  </si>
  <si>
    <r>
      <rPr>
        <b/>
        <vertAlign val="superscript"/>
        <sz val="11"/>
        <color rgb="FF1F487C"/>
        <rFont val="Times New Roman"/>
        <family val="1"/>
      </rPr>
      <t>SO</t>
    </r>
    <r>
      <rPr>
        <b/>
        <sz val="7"/>
        <color rgb="FF1F487C"/>
        <rFont val="Times New Roman"/>
        <family val="1"/>
      </rPr>
      <t>X</t>
    </r>
  </si>
  <si>
    <r>
      <rPr>
        <b/>
        <vertAlign val="superscript"/>
        <sz val="11"/>
        <color rgb="FF1F487C"/>
        <rFont val="Times New Roman"/>
        <family val="1"/>
      </rPr>
      <t>PM</t>
    </r>
    <r>
      <rPr>
        <b/>
        <sz val="7"/>
        <color rgb="FF1F487C"/>
        <rFont val="Times New Roman"/>
        <family val="1"/>
      </rPr>
      <t>2.5</t>
    </r>
    <r>
      <rPr>
        <b/>
        <vertAlign val="superscript"/>
        <sz val="11"/>
        <color rgb="FF1F487C"/>
        <rFont val="Times New Roman"/>
        <family val="1"/>
      </rPr>
      <t>**</t>
    </r>
  </si>
  <si>
    <r>
      <rPr>
        <b/>
        <vertAlign val="superscript"/>
        <sz val="11"/>
        <color rgb="FF1F487C"/>
        <rFont val="Times New Roman"/>
        <family val="1"/>
      </rPr>
      <t>CO</t>
    </r>
    <r>
      <rPr>
        <b/>
        <sz val="7"/>
        <color rgb="FF1F487C"/>
        <rFont val="Times New Roman"/>
        <family val="1"/>
      </rPr>
      <t>2</t>
    </r>
  </si>
  <si>
    <t>PM2.5**</t>
  </si>
  <si>
    <r>
      <rPr>
        <sz val="11"/>
        <color rgb="FF1F487C"/>
        <rFont val="Times New Roman"/>
        <family val="1"/>
      </rPr>
      <t xml:space="preserve">*Applicants should carefully note whether their emissions data is reported in short tons or metric tons. A metric ton is equal to 1.1015 short tons.
</t>
    </r>
    <r>
      <rPr>
        <vertAlign val="superscript"/>
        <sz val="11"/>
        <color rgb="FF1F487C"/>
        <rFont val="Times New Roman"/>
        <family val="1"/>
      </rPr>
      <t>**Applicants should be careful to not apply the PM</t>
    </r>
    <r>
      <rPr>
        <sz val="7"/>
        <color rgb="FF1F487C"/>
        <rFont val="Times New Roman"/>
        <family val="1"/>
      </rPr>
      <t xml:space="preserve">2.5  </t>
    </r>
    <r>
      <rPr>
        <vertAlign val="superscript"/>
        <sz val="11"/>
        <color rgb="FF1F487C"/>
        <rFont val="Times New Roman"/>
        <family val="1"/>
      </rPr>
      <t>value to estimates of total emissions of PM</t>
    </r>
    <r>
      <rPr>
        <sz val="7"/>
        <color rgb="FF1F487C"/>
        <rFont val="Times New Roman"/>
        <family val="1"/>
      </rPr>
      <t>10</t>
    </r>
    <r>
      <rPr>
        <vertAlign val="superscript"/>
        <sz val="11"/>
        <color rgb="FF1F487C"/>
        <rFont val="Times New Roman"/>
        <family val="1"/>
      </rPr>
      <t>.</t>
    </r>
  </si>
  <si>
    <r>
      <rPr>
        <i/>
        <sz val="11"/>
        <rFont val="Times New Roman"/>
        <family val="1"/>
      </rPr>
      <t xml:space="preserve">Bureau of Economic Analysis, National Income and Product Accounts, Table 1.1.9, “Implicit
</t>
    </r>
    <r>
      <rPr>
        <i/>
        <sz val="11"/>
        <rFont val="Times New Roman"/>
        <family val="1"/>
      </rPr>
      <t xml:space="preserve">Price Deflators for Gross Domestic Product” (October 2022) </t>
    </r>
    <r>
      <rPr>
        <u/>
        <sz val="11"/>
        <color rgb="FF0000FF"/>
        <rFont val="Times New Roman"/>
        <family val="1"/>
      </rPr>
      <t>https://apps.bea.gov/iTable/iTable.cfm?reqid=19</t>
    </r>
    <r>
      <rPr>
        <sz val="11"/>
        <color rgb="FF0000FF"/>
        <rFont val="Times New Roman"/>
        <family val="1"/>
      </rPr>
      <t xml:space="preserve"> </t>
    </r>
    <r>
      <rPr>
        <u/>
        <sz val="11"/>
        <color rgb="FF0000FF"/>
        <rFont val="Times New Roman"/>
        <family val="1"/>
      </rPr>
      <t xml:space="preserve">&amp;step=3&amp;isuri=1&amp;1921=survey&amp;1903=11#reqid
</t>
    </r>
    <r>
      <rPr>
        <u/>
        <sz val="11"/>
        <color rgb="FF0000FF"/>
        <rFont val="Times New Roman"/>
        <family val="1"/>
      </rPr>
      <t>=19&amp;step=3&amp;isuri=1&amp;1921=survey&amp;1903=11</t>
    </r>
  </si>
  <si>
    <r>
      <rPr>
        <b/>
        <sz val="11"/>
        <color rgb="FF1F487C"/>
        <rFont val="Times New Roman"/>
        <family val="1"/>
      </rPr>
      <t>Base Year of Nominal Dollar</t>
    </r>
  </si>
  <si>
    <r>
      <rPr>
        <b/>
        <sz val="11"/>
        <color rgb="FF1F487C"/>
        <rFont val="Times New Roman"/>
        <family val="1"/>
      </rPr>
      <t>Multiplier to Adjust to Real 2021 $</t>
    </r>
  </si>
  <si>
    <r>
      <rPr>
        <sz val="11"/>
        <rFont val="Times New Roman"/>
        <family val="1"/>
      </rPr>
      <t xml:space="preserve">Sidewalk expansion, traffic speed and volume reduction, and upslope reduction valuations based on:
</t>
    </r>
    <r>
      <rPr>
        <i/>
        <sz val="11"/>
        <rFont val="Times New Roman"/>
        <family val="1"/>
      </rPr>
      <t xml:space="preserve">Does the Pedestrian Environment Affect the Utility of Walking? A Case of Path Choice in Downtown Boston (2009) </t>
    </r>
    <r>
      <rPr>
        <u/>
        <sz val="11"/>
        <color rgb="FF0000FF"/>
        <rFont val="Times New Roman"/>
        <family val="1"/>
      </rPr>
      <t xml:space="preserve">https://www.sciencedirect.com/science/article
</t>
    </r>
    <r>
      <rPr>
        <u/>
        <sz val="11"/>
        <color rgb="FF0000FF"/>
        <rFont val="Times New Roman"/>
        <family val="1"/>
      </rPr>
      <t xml:space="preserve">/abs/pii/S136192090900039X
</t>
    </r>
    <r>
      <rPr>
        <i/>
        <sz val="11"/>
        <rFont val="Times New Roman"/>
        <family val="1"/>
      </rPr>
      <t xml:space="preserve">A Big Data Approach to Understanding Pedestrian Route Choice Preferences: Evidence from San Francisco (2021) </t>
    </r>
    <r>
      <rPr>
        <u/>
        <sz val="11"/>
        <color rgb="FF0000FF"/>
        <rFont val="Times New Roman"/>
        <family val="1"/>
      </rPr>
      <t xml:space="preserve">https://www.sciencedirect.com/science/article
</t>
    </r>
    <r>
      <rPr>
        <u/>
        <sz val="11"/>
        <color rgb="FF0000FF"/>
        <rFont val="Times New Roman"/>
        <family val="1"/>
      </rPr>
      <t xml:space="preserve">/abs/pii/S2214367X21000569
</t>
    </r>
    <r>
      <rPr>
        <sz val="11"/>
        <rFont val="Times New Roman"/>
        <family val="1"/>
      </rPr>
      <t xml:space="preserve">Pedestrian crossing improvement valuations based on:
</t>
    </r>
    <r>
      <rPr>
        <i/>
        <sz val="11"/>
        <rFont val="Times New Roman"/>
        <family val="1"/>
      </rPr>
      <t xml:space="preserve">Pedestrian Route Choice Model Estimated from Revealed Preference GPS Data (2014) </t>
    </r>
    <r>
      <rPr>
        <u/>
        <sz val="11"/>
        <color rgb="FF0000FF"/>
        <rFont val="Times New Roman"/>
        <family val="1"/>
      </rPr>
      <t>https://trid.trb.org/view/1338221</t>
    </r>
  </si>
  <si>
    <r>
      <rPr>
        <b/>
        <sz val="11"/>
        <color rgb="FF1F487C"/>
        <rFont val="Times New Roman"/>
        <family val="1"/>
      </rPr>
      <t>Improvement Type</t>
    </r>
  </si>
  <si>
    <r>
      <rPr>
        <b/>
        <sz val="11"/>
        <color rgb="FF1F487C"/>
        <rFont val="Times New Roman"/>
        <family val="1"/>
      </rPr>
      <t>Recommended Value per Person-Mile Walked (2021 $)</t>
    </r>
    <r>
      <rPr>
        <b/>
        <vertAlign val="superscript"/>
        <sz val="11"/>
        <color rgb="FF1F487C"/>
        <rFont val="Times New Roman"/>
        <family val="1"/>
      </rPr>
      <t>1</t>
    </r>
  </si>
  <si>
    <r>
      <rPr>
        <sz val="11"/>
        <color rgb="FF1F487C"/>
        <rFont val="Times New Roman"/>
        <family val="1"/>
      </rPr>
      <t>Expand Sidewalk (per foot of added Width)</t>
    </r>
    <r>
      <rPr>
        <vertAlign val="superscript"/>
        <sz val="11"/>
        <color rgb="FF1F487C"/>
        <rFont val="Times New Roman"/>
        <family val="1"/>
      </rPr>
      <t>2</t>
    </r>
  </si>
  <si>
    <r>
      <rPr>
        <sz val="11"/>
        <color rgb="FF1F487C"/>
        <rFont val="Times New Roman"/>
        <family val="1"/>
      </rPr>
      <t>Reducing Upslope by 1%</t>
    </r>
  </si>
  <si>
    <r>
      <rPr>
        <sz val="11"/>
        <color rgb="FF1F487C"/>
        <rFont val="Times New Roman"/>
        <family val="1"/>
      </rPr>
      <t>Reducing Traffic Speed by 1 mph (for speeds ≤45 mph)</t>
    </r>
  </si>
  <si>
    <r>
      <rPr>
        <sz val="11"/>
        <color rgb="FF1F487C"/>
        <rFont val="Times New Roman"/>
        <family val="1"/>
      </rPr>
      <t xml:space="preserve">Reducing Traffic Volume by 1 Vehicle per Hour (for ADT
</t>
    </r>
    <r>
      <rPr>
        <sz val="11"/>
        <color rgb="FF1F487C"/>
        <rFont val="Times New Roman"/>
        <family val="1"/>
      </rPr>
      <t>≤55,000)</t>
    </r>
  </si>
  <si>
    <r>
      <rPr>
        <b/>
        <sz val="11"/>
        <color rgb="FF1F487C"/>
        <rFont val="Times New Roman"/>
        <family val="1"/>
      </rPr>
      <t xml:space="preserve">Recommended Value
</t>
    </r>
    <r>
      <rPr>
        <b/>
        <sz val="11"/>
        <color rgb="FF1F487C"/>
        <rFont val="Times New Roman"/>
        <family val="1"/>
      </rPr>
      <t>per Use (2021 $)</t>
    </r>
    <r>
      <rPr>
        <b/>
        <vertAlign val="superscript"/>
        <sz val="11"/>
        <color rgb="FF1F487C"/>
        <rFont val="Times New Roman"/>
        <family val="1"/>
      </rPr>
      <t>1</t>
    </r>
  </si>
  <si>
    <r>
      <rPr>
        <sz val="11"/>
        <color rgb="FF1F487C"/>
        <rFont val="Times New Roman"/>
        <family val="1"/>
      </rPr>
      <t xml:space="preserve">Install Marked-Crosswalk on Roadway with Volumes
</t>
    </r>
    <r>
      <rPr>
        <sz val="11"/>
        <color rgb="FF1F487C"/>
        <rFont val="Times New Roman"/>
        <family val="1"/>
      </rPr>
      <t>≥10,000 Vehicles per Day</t>
    </r>
  </si>
  <si>
    <r>
      <rPr>
        <sz val="11"/>
        <color rgb="FF1F487C"/>
        <rFont val="Times New Roman"/>
        <family val="1"/>
      </rPr>
      <t xml:space="preserve">Install Signal for Pedestrian Crossing on Roadway with
</t>
    </r>
    <r>
      <rPr>
        <sz val="11"/>
        <color rgb="FF1F487C"/>
        <rFont val="Times New Roman"/>
        <family val="1"/>
      </rPr>
      <t>Volumes ≥13,000 Vehicles per Day</t>
    </r>
  </si>
  <si>
    <r>
      <rPr>
        <sz val="11"/>
        <color rgb="FF1F487C"/>
        <rFont val="Times New Roman"/>
        <family val="1"/>
      </rPr>
      <t xml:space="preserve">1)   These values assume an average walking trip speed of 3.2 miles per hour. For the mile-based benefits, the estimated value per user should be capped at 0.86 miles, the average length of a walking trip in the 2017 National Household Travel Survey, unless the applicant has specific documentation suggesting longer trips or that a trip shorter than 0.86 miles is not feasible on the facility in question. In other words, applicants should not assume all pedestrians travel the full distance of a proposed facility if the facility is longer than 0.86 miles without a clear justification for doing so.
</t>
    </r>
    <r>
      <rPr>
        <sz val="11"/>
        <color rgb="FF1F487C"/>
        <rFont val="Times New Roman"/>
        <family val="1"/>
      </rPr>
      <t xml:space="preserve">2)   Value for sidewalk width expansion applicable for sidewalks up to approximately 31 feet, benefits for expansions beyond this width should be described
</t>
    </r>
    <r>
      <rPr>
        <sz val="11"/>
        <color rgb="FF1F487C"/>
        <rFont val="Times New Roman"/>
        <family val="1"/>
      </rPr>
      <t>qualitatively.</t>
    </r>
  </si>
  <si>
    <r>
      <rPr>
        <sz val="11"/>
        <rFont val="Times New Roman"/>
        <family val="1"/>
      </rPr>
      <t xml:space="preserve">Underlying marginal rate of substitution estimates based on:
</t>
    </r>
    <r>
      <rPr>
        <i/>
        <sz val="11"/>
        <rFont val="Times New Roman"/>
        <family val="1"/>
      </rPr>
      <t xml:space="preserve">A GPS-based Bicycle Route Choice Model for San Francisco, California (2011) </t>
    </r>
    <r>
      <rPr>
        <u/>
        <sz val="11"/>
        <color rgb="FF0000FF"/>
        <rFont val="Times New Roman"/>
        <family val="1"/>
      </rPr>
      <t>https://www.sfcta.org/sites/default/files/2019-</t>
    </r>
    <r>
      <rPr>
        <sz val="11"/>
        <color rgb="FF0000FF"/>
        <rFont val="Times New Roman"/>
        <family val="1"/>
      </rPr>
      <t xml:space="preserve"> </t>
    </r>
    <r>
      <rPr>
        <u/>
        <sz val="11"/>
        <color rgb="FF0000FF"/>
        <rFont val="Times New Roman"/>
        <family val="1"/>
      </rPr>
      <t xml:space="preserve">03/BikeRouteChoiceModel.pdf
</t>
    </r>
    <r>
      <rPr>
        <sz val="11"/>
        <rFont val="Times New Roman"/>
        <family val="1"/>
      </rPr>
      <t xml:space="preserve">Average cycling speed based on summaries of GPS observations of observed cycling speeds in two datasets from the following studies:
</t>
    </r>
    <r>
      <rPr>
        <i/>
        <u/>
        <sz val="11"/>
        <color rgb="FF0000FF"/>
        <rFont val="Times New Roman"/>
        <family val="1"/>
      </rPr>
      <t>Broach, Dill, &amp; Gliebe</t>
    </r>
    <r>
      <rPr>
        <i/>
        <sz val="11"/>
        <rFont val="Times New Roman"/>
        <family val="1"/>
      </rPr>
      <t xml:space="preserve">, (2012)  </t>
    </r>
    <r>
      <rPr>
        <i/>
        <u/>
        <sz val="11"/>
        <color rgb="FF0000FF"/>
        <rFont val="Times New Roman"/>
        <family val="1"/>
      </rPr>
      <t>Dill, McNeil, Broach, &amp; Ma</t>
    </r>
    <r>
      <rPr>
        <i/>
        <sz val="11"/>
        <rFont val="Times New Roman"/>
        <family val="1"/>
      </rPr>
      <t xml:space="preserve">, (2014) </t>
    </r>
    <r>
      <rPr>
        <i/>
        <u/>
        <sz val="11"/>
        <color rgb="FF0000FF"/>
        <rFont val="Times New Roman"/>
        <family val="1"/>
      </rPr>
      <t>Broach &amp; Dill</t>
    </r>
    <r>
      <rPr>
        <i/>
        <sz val="11"/>
        <rFont val="Times New Roman"/>
        <family val="1"/>
      </rPr>
      <t xml:space="preserve">, (2016)
</t>
    </r>
    <r>
      <rPr>
        <i/>
        <u/>
        <sz val="11"/>
        <color rgb="FF0000FF"/>
        <rFont val="Times New Roman"/>
        <family val="1"/>
      </rPr>
      <t>Broach, Dill, &amp; McNeil</t>
    </r>
    <r>
      <rPr>
        <i/>
        <sz val="11"/>
        <rFont val="Times New Roman"/>
        <family val="1"/>
      </rPr>
      <t>, (2019)</t>
    </r>
  </si>
  <si>
    <r>
      <rPr>
        <b/>
        <sz val="11"/>
        <color rgb="FF1F487C"/>
        <rFont val="Times New Roman"/>
        <family val="1"/>
      </rPr>
      <t>Facility Type</t>
    </r>
  </si>
  <si>
    <r>
      <rPr>
        <b/>
        <sz val="11"/>
        <color rgb="FF1F487C"/>
        <rFont val="Times New Roman"/>
        <family val="1"/>
      </rPr>
      <t>Recommended Value per Cycling Mile (2021 $)</t>
    </r>
    <r>
      <rPr>
        <b/>
        <vertAlign val="superscript"/>
        <sz val="11"/>
        <color rgb="FF1F487C"/>
        <rFont val="Times New Roman"/>
        <family val="1"/>
      </rPr>
      <t>1</t>
    </r>
  </si>
  <si>
    <r>
      <rPr>
        <sz val="11"/>
        <color rgb="FF1F487C"/>
        <rFont val="Times New Roman"/>
        <family val="1"/>
      </rPr>
      <t>Cycling Path with At- Grade Crossings</t>
    </r>
  </si>
  <si>
    <r>
      <rPr>
        <sz val="11"/>
        <color rgb="FF1F487C"/>
        <rFont val="Times New Roman"/>
        <family val="1"/>
      </rPr>
      <t xml:space="preserve">Cycling Path with no At-
</t>
    </r>
    <r>
      <rPr>
        <sz val="11"/>
        <color rgb="FF1F487C"/>
        <rFont val="Times New Roman"/>
        <family val="1"/>
      </rPr>
      <t>Grade Crossings</t>
    </r>
    <r>
      <rPr>
        <vertAlign val="superscript"/>
        <sz val="11"/>
        <color rgb="FF1F487C"/>
        <rFont val="Times New Roman"/>
        <family val="1"/>
      </rPr>
      <t>2</t>
    </r>
  </si>
  <si>
    <r>
      <rPr>
        <sz val="11"/>
        <color rgb="FF1F487C"/>
        <rFont val="Times New Roman"/>
        <family val="1"/>
      </rPr>
      <t>Dedicated Cycling Lane</t>
    </r>
  </si>
  <si>
    <r>
      <rPr>
        <sz val="11"/>
        <color rgb="FF1F487C"/>
        <rFont val="Times New Roman"/>
        <family val="1"/>
      </rPr>
      <t xml:space="preserve">Cycling
</t>
    </r>
    <r>
      <rPr>
        <sz val="11"/>
        <color rgb="FF1F487C"/>
        <rFont val="Times New Roman"/>
        <family val="1"/>
      </rPr>
      <t>Boulevard/“Sharrow”</t>
    </r>
  </si>
  <si>
    <r>
      <rPr>
        <sz val="11"/>
        <color rgb="FF1F487C"/>
        <rFont val="Times New Roman"/>
        <family val="1"/>
      </rPr>
      <t>Separated Cycle Track</t>
    </r>
  </si>
  <si>
    <r>
      <rPr>
        <sz val="11"/>
        <color rgb="FF1F487C"/>
        <rFont val="Times New Roman"/>
        <family val="1"/>
      </rPr>
      <t xml:space="preserve">1)   Values should only be applied over sections for which a comparable parallel facility is not available, and only applies to miles cycled on the project facility. These values assume an average cycling trip speed of 9.8 miles per hour or, in the case of off-street paths with no at- grade crossings, a free-flow cycling speed of 12.1 miles per hour. The estimated value per cyclist should be capped at 2.38 miles, the average length of a cycling trip in the 2017 National Household Travel Survey, unless the applicant has specific documentation suggesting longer trips or that a trip shorter than 2.38 miles is not feasible on the facility in question. In other words, applicants should not assume all cyclists travel the full distance of a proposed facility if the facility is longer than 2.38 miles without a clear justification for doing so.
</t>
    </r>
    <r>
      <rPr>
        <sz val="11"/>
        <color rgb="FF1F487C"/>
        <rFont val="Times New Roman"/>
        <family val="1"/>
      </rPr>
      <t xml:space="preserve">2)   The value for a cycling path with no at-grade intersections is higher due to an assumption of higher average speed of 12.1 miles per hour, resulting in less time on the facility, which lowers journey quality
</t>
    </r>
    <r>
      <rPr>
        <sz val="11"/>
        <color rgb="FF1F487C"/>
        <rFont val="Times New Roman"/>
        <family val="1"/>
      </rPr>
      <t>benefits but increases travel time savings.</t>
    </r>
  </si>
  <si>
    <r>
      <rPr>
        <i/>
        <sz val="11"/>
        <rFont val="Times New Roman"/>
        <family val="1"/>
      </rPr>
      <t xml:space="preserve">Public Transport Customer Amenity Valuation Database (2017)
</t>
    </r>
    <r>
      <rPr>
        <u/>
        <sz val="11"/>
        <color rgb="FF0000FF"/>
        <rFont val="Times New Roman"/>
        <family val="1"/>
      </rPr>
      <t>https://publictransportresearc</t>
    </r>
    <r>
      <rPr>
        <sz val="11"/>
        <color rgb="FF0000FF"/>
        <rFont val="Times New Roman"/>
        <family val="1"/>
      </rPr>
      <t xml:space="preserve"> </t>
    </r>
    <r>
      <rPr>
        <u/>
        <sz val="11"/>
        <color rgb="FF0000FF"/>
        <rFont val="Times New Roman"/>
        <family val="1"/>
      </rPr>
      <t>hgroup.info/portfolio-</t>
    </r>
    <r>
      <rPr>
        <sz val="11"/>
        <color rgb="FF0000FF"/>
        <rFont val="Times New Roman"/>
        <family val="1"/>
      </rPr>
      <t xml:space="preserve"> </t>
    </r>
    <r>
      <rPr>
        <u/>
        <sz val="11"/>
        <color rgb="FF0000FF"/>
        <rFont val="Times New Roman"/>
        <family val="1"/>
      </rPr>
      <t>item/best-practice-</t>
    </r>
    <r>
      <rPr>
        <sz val="11"/>
        <color rgb="FF0000FF"/>
        <rFont val="Times New Roman"/>
        <family val="1"/>
      </rPr>
      <t xml:space="preserve"> </t>
    </r>
    <r>
      <rPr>
        <u/>
        <sz val="11"/>
        <color rgb="FF0000FF"/>
        <rFont val="Times New Roman"/>
        <family val="1"/>
      </rPr>
      <t>approaches-to-public-</t>
    </r>
    <r>
      <rPr>
        <sz val="11"/>
        <color rgb="FF0000FF"/>
        <rFont val="Times New Roman"/>
        <family val="1"/>
      </rPr>
      <t xml:space="preserve"> </t>
    </r>
    <r>
      <rPr>
        <u/>
        <sz val="11"/>
        <color rgb="FF0000FF"/>
        <rFont val="Times New Roman"/>
        <family val="1"/>
      </rPr>
      <t>transport-customer-amenity-</t>
    </r>
    <r>
      <rPr>
        <sz val="11"/>
        <color rgb="FF0000FF"/>
        <rFont val="Times New Roman"/>
        <family val="1"/>
      </rPr>
      <t xml:space="preserve"> </t>
    </r>
    <r>
      <rPr>
        <u/>
        <sz val="11"/>
        <color rgb="FF0000FF"/>
        <rFont val="Times New Roman"/>
        <family val="1"/>
      </rPr>
      <t xml:space="preserve">valuation/
</t>
    </r>
    <r>
      <rPr>
        <b/>
        <sz val="11"/>
        <rFont val="Times New Roman"/>
        <family val="1"/>
      </rPr>
      <t xml:space="preserve">Note: </t>
    </r>
    <r>
      <rPr>
        <sz val="11"/>
        <rFont val="Times New Roman"/>
        <family val="1"/>
      </rPr>
      <t>The underlying surveys for rail stations contained more facility attributes than those for bus or light rail/streetcar stops. However, the values for rail stations may be used for major bus or light rail transfer facilities as well as intercity bus stations where applicable.</t>
    </r>
  </si>
  <si>
    <r>
      <rPr>
        <b/>
        <sz val="11"/>
        <color rgb="FF1F487C"/>
        <rFont val="Times New Roman"/>
        <family val="1"/>
      </rPr>
      <t>Attribute Type</t>
    </r>
  </si>
  <si>
    <r>
      <rPr>
        <b/>
        <sz val="11"/>
        <color rgb="FF1F487C"/>
        <rFont val="Times New Roman"/>
        <family val="1"/>
      </rPr>
      <t>Recommended Value per User Trip (2021 $)</t>
    </r>
  </si>
  <si>
    <r>
      <rPr>
        <b/>
        <sz val="11"/>
        <color rgb="FF1F487C"/>
        <rFont val="Times New Roman"/>
        <family val="1"/>
      </rPr>
      <t>Bus Stop</t>
    </r>
  </si>
  <si>
    <r>
      <rPr>
        <b/>
        <sz val="11"/>
        <color rgb="FF1F487C"/>
        <rFont val="Times New Roman"/>
        <family val="1"/>
      </rPr>
      <t>Light Rail/Streetcar Stop</t>
    </r>
  </si>
  <si>
    <r>
      <rPr>
        <b/>
        <sz val="11"/>
        <color rgb="FF1F487C"/>
        <rFont val="Times New Roman"/>
        <family val="1"/>
      </rPr>
      <t>Rail Station</t>
    </r>
  </si>
  <si>
    <r>
      <rPr>
        <sz val="11"/>
        <color rgb="FF1F487C"/>
        <rFont val="Times New Roman"/>
        <family val="1"/>
      </rPr>
      <t>Clocks</t>
    </r>
  </si>
  <si>
    <r>
      <rPr>
        <sz val="11"/>
        <color rgb="FF1F487C"/>
        <rFont val="Times New Roman"/>
        <family val="1"/>
      </rPr>
      <t>Electronic Real-Time Information Displays</t>
    </r>
  </si>
  <si>
    <r>
      <rPr>
        <sz val="11"/>
        <color rgb="FF1F487C"/>
        <rFont val="Times New Roman"/>
        <family val="1"/>
      </rPr>
      <t xml:space="preserve">Information
</t>
    </r>
    <r>
      <rPr>
        <sz val="11"/>
        <color rgb="FF1F487C"/>
        <rFont val="Times New Roman"/>
        <family val="1"/>
      </rPr>
      <t>/Emergency Button</t>
    </r>
  </si>
  <si>
    <r>
      <rPr>
        <sz val="11"/>
        <color rgb="FF1F487C"/>
        <rFont val="Times New Roman"/>
        <family val="1"/>
      </rPr>
      <t>PA System</t>
    </r>
  </si>
  <si>
    <r>
      <rPr>
        <sz val="11"/>
        <color rgb="FF1F487C"/>
        <rFont val="Times New Roman"/>
        <family val="1"/>
      </rPr>
      <t>Platform/Stop Seating Availability</t>
    </r>
    <r>
      <rPr>
        <vertAlign val="superscript"/>
        <sz val="11"/>
        <color rgb="FF1F487C"/>
        <rFont val="Times New Roman"/>
        <family val="1"/>
      </rPr>
      <t>1</t>
    </r>
  </si>
  <si>
    <r>
      <rPr>
        <sz val="11"/>
        <color rgb="FF1F487C"/>
        <rFont val="Times New Roman"/>
        <family val="1"/>
      </rPr>
      <t xml:space="preserve">Platform/Stop
</t>
    </r>
    <r>
      <rPr>
        <sz val="11"/>
        <color rgb="FF1F487C"/>
        <rFont val="Times New Roman"/>
        <family val="1"/>
      </rPr>
      <t>Weather Protection</t>
    </r>
    <r>
      <rPr>
        <vertAlign val="superscript"/>
        <sz val="11"/>
        <color rgb="FF1F487C"/>
        <rFont val="Times New Roman"/>
        <family val="1"/>
      </rPr>
      <t>1</t>
    </r>
  </si>
  <si>
    <r>
      <rPr>
        <sz val="11"/>
        <color rgb="FF1F487C"/>
        <rFont val="Times New Roman"/>
        <family val="1"/>
      </rPr>
      <t xml:space="preserve">Restroom
</t>
    </r>
    <r>
      <rPr>
        <sz val="11"/>
        <color rgb="FF1F487C"/>
        <rFont val="Times New Roman"/>
        <family val="1"/>
      </rPr>
      <t>Availability</t>
    </r>
  </si>
  <si>
    <r>
      <rPr>
        <sz val="11"/>
        <color rgb="FF1F487C"/>
        <rFont val="Times New Roman"/>
        <family val="1"/>
      </rPr>
      <t>Retail/Food Outlet Availability</t>
    </r>
  </si>
  <si>
    <r>
      <rPr>
        <sz val="11"/>
        <color rgb="FF1F487C"/>
        <rFont val="Times New Roman"/>
        <family val="1"/>
      </rPr>
      <t>Staff Availability</t>
    </r>
  </si>
  <si>
    <r>
      <rPr>
        <sz val="11"/>
        <color rgb="FF1F487C"/>
        <rFont val="Times New Roman"/>
        <family val="1"/>
      </rPr>
      <t>Step-Free Access to Station/Stop</t>
    </r>
  </si>
  <si>
    <r>
      <rPr>
        <sz val="11"/>
        <color rgb="FF1F487C"/>
        <rFont val="Times New Roman"/>
        <family val="1"/>
      </rPr>
      <t>Step-Free Access to Vehicle</t>
    </r>
  </si>
  <si>
    <r>
      <rPr>
        <sz val="11"/>
        <color rgb="FF1F487C"/>
        <rFont val="Times New Roman"/>
        <family val="1"/>
      </rPr>
      <t>Surveillance Cameras</t>
    </r>
  </si>
  <si>
    <r>
      <rPr>
        <sz val="11"/>
        <color rgb="FF1F487C"/>
        <rFont val="Times New Roman"/>
        <family val="1"/>
      </rPr>
      <t xml:space="preserve">Temperature Controlled
</t>
    </r>
    <r>
      <rPr>
        <sz val="11"/>
        <color rgb="FF1F487C"/>
        <rFont val="Times New Roman"/>
        <family val="1"/>
      </rPr>
      <t>Environment</t>
    </r>
    <r>
      <rPr>
        <vertAlign val="superscript"/>
        <sz val="11"/>
        <color rgb="FF1F487C"/>
        <rFont val="Times New Roman"/>
        <family val="1"/>
      </rPr>
      <t>1</t>
    </r>
  </si>
  <si>
    <r>
      <rPr>
        <sz val="11"/>
        <color rgb="FF1F487C"/>
        <rFont val="Times New Roman"/>
        <family val="1"/>
      </rPr>
      <t>Ticket Machines</t>
    </r>
  </si>
  <si>
    <r>
      <rPr>
        <sz val="11"/>
        <color rgb="FF1F487C"/>
        <rFont val="Times New Roman"/>
        <family val="1"/>
      </rPr>
      <t>Timetables</t>
    </r>
  </si>
  <si>
    <r>
      <rPr>
        <sz val="11"/>
        <color rgb="FF1F487C"/>
        <rFont val="Times New Roman"/>
        <family val="1"/>
      </rPr>
      <t>Bike Facilities</t>
    </r>
  </si>
  <si>
    <r>
      <rPr>
        <sz val="11"/>
        <color rgb="FF1F487C"/>
        <rFont val="Times New Roman"/>
        <family val="1"/>
      </rPr>
      <t>*</t>
    </r>
  </si>
  <si>
    <r>
      <rPr>
        <sz val="11"/>
        <color rgb="FF1F487C"/>
        <rFont val="Times New Roman"/>
        <family val="1"/>
      </rPr>
      <t>Car Access Facilities</t>
    </r>
  </si>
  <si>
    <r>
      <rPr>
        <sz val="11"/>
        <color rgb="FF1F487C"/>
        <rFont val="Times New Roman"/>
        <family val="1"/>
      </rPr>
      <t>Elevator</t>
    </r>
  </si>
  <si>
    <r>
      <rPr>
        <sz val="11"/>
        <color rgb="FF1F487C"/>
        <rFont val="Times New Roman"/>
        <family val="1"/>
      </rPr>
      <t>Escalators</t>
    </r>
  </si>
  <si>
    <r>
      <rPr>
        <sz val="11"/>
        <color rgb="FF1F487C"/>
        <rFont val="Times New Roman"/>
        <family val="1"/>
      </rPr>
      <t>On-Site Ticket Office</t>
    </r>
  </si>
  <si>
    <r>
      <rPr>
        <sz val="11"/>
        <color rgb="FF1F487C"/>
        <rFont val="Times New Roman"/>
        <family val="1"/>
      </rPr>
      <t>Taxi Pickup/Dropoff</t>
    </r>
  </si>
  <si>
    <r>
      <rPr>
        <sz val="11"/>
        <color rgb="FF1F487C"/>
        <rFont val="Times New Roman"/>
        <family val="1"/>
      </rPr>
      <t>Waiting Room</t>
    </r>
    <r>
      <rPr>
        <vertAlign val="superscript"/>
        <sz val="11"/>
        <color rgb="FF1F487C"/>
        <rFont val="Times New Roman"/>
        <family val="1"/>
      </rPr>
      <t>1</t>
    </r>
  </si>
  <si>
    <r>
      <rPr>
        <sz val="11"/>
        <color rgb="FF1F487C"/>
        <rFont val="Times New Roman"/>
        <family val="1"/>
      </rPr>
      <t xml:space="preserve">1)  Note that seating availability and weather protection refer to seats, canopies, or wind shelters on the platforms themselves, whereas temperature-controlled environment refers to an indoor facility with heating and air conditioning availability. A waiting room refers to a
</t>
    </r>
    <r>
      <rPr>
        <sz val="11"/>
        <color rgb="FF1F487C"/>
        <rFont val="Times New Roman"/>
        <family val="1"/>
      </rPr>
      <t>designated indoor environment with seating availability, separate from platform seating, which may or may not be temperature controlled.</t>
    </r>
  </si>
  <si>
    <r>
      <rPr>
        <i/>
        <sz val="11"/>
        <rFont val="Times New Roman"/>
        <family val="1"/>
      </rPr>
      <t xml:space="preserve">Public Transport Customer Amenity Valuation Database (2017)
</t>
    </r>
    <r>
      <rPr>
        <u/>
        <sz val="11"/>
        <color rgb="FF0000FF"/>
        <rFont val="Times New Roman"/>
        <family val="1"/>
      </rPr>
      <t>https://publictransportresearc</t>
    </r>
    <r>
      <rPr>
        <sz val="11"/>
        <color rgb="FF0000FF"/>
        <rFont val="Times New Roman"/>
        <family val="1"/>
      </rPr>
      <t xml:space="preserve"> </t>
    </r>
    <r>
      <rPr>
        <u/>
        <sz val="11"/>
        <color rgb="FF0000FF"/>
        <rFont val="Times New Roman"/>
        <family val="1"/>
      </rPr>
      <t>hgroup.info/portfolio-</t>
    </r>
    <r>
      <rPr>
        <sz val="11"/>
        <color rgb="FF0000FF"/>
        <rFont val="Times New Roman"/>
        <family val="1"/>
      </rPr>
      <t xml:space="preserve"> </t>
    </r>
    <r>
      <rPr>
        <u/>
        <sz val="11"/>
        <color rgb="FF0000FF"/>
        <rFont val="Times New Roman"/>
        <family val="1"/>
      </rPr>
      <t>item/best-practice-</t>
    </r>
    <r>
      <rPr>
        <sz val="11"/>
        <color rgb="FF0000FF"/>
        <rFont val="Times New Roman"/>
        <family val="1"/>
      </rPr>
      <t xml:space="preserve"> </t>
    </r>
    <r>
      <rPr>
        <u/>
        <sz val="11"/>
        <color rgb="FF0000FF"/>
        <rFont val="Times New Roman"/>
        <family val="1"/>
      </rPr>
      <t>approaches-to-public-</t>
    </r>
    <r>
      <rPr>
        <sz val="11"/>
        <color rgb="FF0000FF"/>
        <rFont val="Times New Roman"/>
        <family val="1"/>
      </rPr>
      <t xml:space="preserve"> </t>
    </r>
    <r>
      <rPr>
        <u/>
        <sz val="11"/>
        <color rgb="FF0000FF"/>
        <rFont val="Times New Roman"/>
        <family val="1"/>
      </rPr>
      <t>transport-customer-amenity-</t>
    </r>
    <r>
      <rPr>
        <sz val="11"/>
        <color rgb="FF0000FF"/>
        <rFont val="Times New Roman"/>
        <family val="1"/>
      </rPr>
      <t xml:space="preserve"> </t>
    </r>
    <r>
      <rPr>
        <u/>
        <sz val="11"/>
        <color rgb="FF0000FF"/>
        <rFont val="Times New Roman"/>
        <family val="1"/>
      </rPr>
      <t>valuation/</t>
    </r>
  </si>
  <si>
    <r>
      <rPr>
        <b/>
        <sz val="11"/>
        <color rgb="FF1F487C"/>
        <rFont val="Times New Roman"/>
        <family val="1"/>
      </rPr>
      <t>Bus</t>
    </r>
  </si>
  <si>
    <r>
      <rPr>
        <b/>
        <sz val="11"/>
        <color rgb="FF1F487C"/>
        <rFont val="Times New Roman"/>
        <family val="1"/>
      </rPr>
      <t>Light Rail/Streetcar</t>
    </r>
  </si>
  <si>
    <r>
      <rPr>
        <b/>
        <sz val="11"/>
        <color rgb="FF1F487C"/>
        <rFont val="Times New Roman"/>
        <family val="1"/>
      </rPr>
      <t>Rail</t>
    </r>
  </si>
  <si>
    <r>
      <rPr>
        <sz val="11"/>
        <color rgb="FF1F487C"/>
        <rFont val="Times New Roman"/>
        <family val="1"/>
      </rPr>
      <t xml:space="preserve">Electronic Real-Time
</t>
    </r>
    <r>
      <rPr>
        <sz val="11"/>
        <color rgb="FF1F487C"/>
        <rFont val="Times New Roman"/>
        <family val="1"/>
      </rPr>
      <t>Information Displays</t>
    </r>
  </si>
  <si>
    <r>
      <rPr>
        <sz val="11"/>
        <color rgb="FF1F487C"/>
        <rFont val="Times New Roman"/>
        <family val="1"/>
      </rPr>
      <t>Handrails</t>
    </r>
  </si>
  <si>
    <r>
      <rPr>
        <sz val="11"/>
        <color rgb="FF1F487C"/>
        <rFont val="Times New Roman"/>
        <family val="1"/>
      </rPr>
      <t>Luggage Storage</t>
    </r>
  </si>
  <si>
    <r>
      <rPr>
        <sz val="11"/>
        <color rgb="FF1F487C"/>
        <rFont val="Times New Roman"/>
        <family val="1"/>
      </rPr>
      <t>Temperature Control</t>
    </r>
  </si>
  <si>
    <r>
      <rPr>
        <sz val="11"/>
        <color rgb="FF1F487C"/>
        <rFont val="Times New Roman"/>
        <family val="1"/>
      </rPr>
      <t>Wheelchair Space</t>
    </r>
  </si>
  <si>
    <r>
      <rPr>
        <sz val="11"/>
        <color rgb="FF1F487C"/>
        <rFont val="Times New Roman"/>
        <family val="1"/>
      </rPr>
      <t>Food Service Availability</t>
    </r>
  </si>
  <si>
    <r>
      <rPr>
        <sz val="11"/>
        <color rgb="FF1F487C"/>
        <rFont val="Times New Roman"/>
        <family val="1"/>
      </rPr>
      <t>Restroom Availability</t>
    </r>
  </si>
  <si>
    <r>
      <rPr>
        <i/>
        <sz val="11"/>
        <rFont val="Times New Roman"/>
        <family val="1"/>
      </rPr>
      <t xml:space="preserve">Federal Transit Administration’s
</t>
    </r>
    <r>
      <rPr>
        <i/>
        <sz val="11"/>
        <rFont val="Times New Roman"/>
        <family val="1"/>
      </rPr>
      <t xml:space="preserve">Simplified Trips-On- Project Model
</t>
    </r>
    <r>
      <rPr>
        <u/>
        <sz val="11"/>
        <color rgb="FF0000FF"/>
        <rFont val="Times New Roman"/>
        <family val="1"/>
      </rPr>
      <t>https://www.transit.dot.go</t>
    </r>
    <r>
      <rPr>
        <sz val="11"/>
        <color rgb="FF0000FF"/>
        <rFont val="Times New Roman"/>
        <family val="1"/>
      </rPr>
      <t xml:space="preserve"> </t>
    </r>
    <r>
      <rPr>
        <u/>
        <sz val="11"/>
        <color rgb="FF0000FF"/>
        <rFont val="Times New Roman"/>
        <family val="1"/>
      </rPr>
      <t>v/funding/grant-</t>
    </r>
    <r>
      <rPr>
        <sz val="11"/>
        <color rgb="FF0000FF"/>
        <rFont val="Times New Roman"/>
        <family val="1"/>
      </rPr>
      <t xml:space="preserve"> </t>
    </r>
    <r>
      <rPr>
        <u/>
        <sz val="11"/>
        <color rgb="FF0000FF"/>
        <rFont val="Times New Roman"/>
        <family val="1"/>
      </rPr>
      <t>programs/capital-</t>
    </r>
    <r>
      <rPr>
        <sz val="11"/>
        <color rgb="FF0000FF"/>
        <rFont val="Times New Roman"/>
        <family val="1"/>
      </rPr>
      <t xml:space="preserve"> </t>
    </r>
    <r>
      <rPr>
        <u/>
        <sz val="11"/>
        <color rgb="FF0000FF"/>
        <rFont val="Times New Roman"/>
        <family val="1"/>
      </rPr>
      <t>investments/stops</t>
    </r>
  </si>
  <si>
    <r>
      <rPr>
        <b/>
        <sz val="11"/>
        <color rgb="FF1F487C"/>
        <rFont val="Times New Roman"/>
        <family val="1"/>
      </rPr>
      <t>Transit Mode</t>
    </r>
  </si>
  <si>
    <r>
      <rPr>
        <b/>
        <sz val="11"/>
        <color rgb="FF1F487C"/>
        <rFont val="Times New Roman"/>
        <family val="1"/>
      </rPr>
      <t xml:space="preserve">Boarding Quality
</t>
    </r>
    <r>
      <rPr>
        <b/>
        <sz val="11"/>
        <color rgb="FF1F487C"/>
        <rFont val="Times New Roman"/>
        <family val="1"/>
      </rPr>
      <t>Benefit (Per Boarding) ($2021)</t>
    </r>
    <r>
      <rPr>
        <b/>
        <vertAlign val="superscript"/>
        <sz val="11"/>
        <color rgb="FF1F487C"/>
        <rFont val="Times New Roman"/>
        <family val="1"/>
      </rPr>
      <t>1</t>
    </r>
  </si>
  <si>
    <r>
      <rPr>
        <b/>
        <sz val="11"/>
        <color rgb="FF1F487C"/>
        <rFont val="Times New Roman"/>
        <family val="1"/>
      </rPr>
      <t xml:space="preserve">Vehicle Ride Quality
</t>
    </r>
    <r>
      <rPr>
        <b/>
        <sz val="11"/>
        <color rgb="FF1F487C"/>
        <rFont val="Times New Roman"/>
        <family val="1"/>
      </rPr>
      <t xml:space="preserve">Benefit (Per Passenger Hour)
</t>
    </r>
    <r>
      <rPr>
        <b/>
        <sz val="11"/>
        <color rgb="FF1F487C"/>
        <rFont val="Times New Roman"/>
        <family val="1"/>
      </rPr>
      <t>($2021)</t>
    </r>
    <r>
      <rPr>
        <b/>
        <vertAlign val="superscript"/>
        <sz val="11"/>
        <color rgb="FF1F487C"/>
        <rFont val="Times New Roman"/>
        <family val="1"/>
      </rPr>
      <t>1</t>
    </r>
  </si>
  <si>
    <r>
      <rPr>
        <sz val="11"/>
        <color rgb="FF1F487C"/>
        <rFont val="Times New Roman"/>
        <family val="1"/>
      </rPr>
      <t>Low-Intensive BRT</t>
    </r>
    <r>
      <rPr>
        <vertAlign val="superscript"/>
        <sz val="11"/>
        <color rgb="FF1F487C"/>
        <rFont val="Times New Roman"/>
        <family val="1"/>
      </rPr>
      <t>2</t>
    </r>
  </si>
  <si>
    <r>
      <rPr>
        <sz val="11"/>
        <color rgb="FF1F487C"/>
        <rFont val="Times New Roman"/>
        <family val="1"/>
      </rPr>
      <t>Medium-Intensive BRT</t>
    </r>
    <r>
      <rPr>
        <vertAlign val="superscript"/>
        <sz val="11"/>
        <color rgb="FF1F487C"/>
        <rFont val="Times New Roman"/>
        <family val="1"/>
      </rPr>
      <t>2</t>
    </r>
  </si>
  <si>
    <r>
      <rPr>
        <sz val="11"/>
        <color rgb="FF1F487C"/>
        <rFont val="Times New Roman"/>
        <family val="1"/>
      </rPr>
      <t>High-Intensive BRT</t>
    </r>
    <r>
      <rPr>
        <vertAlign val="superscript"/>
        <sz val="11"/>
        <color rgb="FF1F487C"/>
        <rFont val="Times New Roman"/>
        <family val="1"/>
      </rPr>
      <t>2,3</t>
    </r>
  </si>
  <si>
    <r>
      <rPr>
        <sz val="11"/>
        <color rgb="FF1F487C"/>
        <rFont val="Times New Roman"/>
        <family val="1"/>
      </rPr>
      <t>Streetcar or On-Street Light Rail Transit</t>
    </r>
  </si>
  <si>
    <r>
      <rPr>
        <sz val="11"/>
        <color rgb="FF1F487C"/>
        <rFont val="Times New Roman"/>
        <family val="1"/>
      </rPr>
      <t xml:space="preserve">Off-Street Light Rail
</t>
    </r>
    <r>
      <rPr>
        <sz val="11"/>
        <color rgb="FF1F487C"/>
        <rFont val="Times New Roman"/>
        <family val="1"/>
      </rPr>
      <t>Transit</t>
    </r>
  </si>
  <si>
    <r>
      <rPr>
        <sz val="11"/>
        <color rgb="FF1F487C"/>
        <rFont val="Times New Roman"/>
        <family val="1"/>
      </rPr>
      <t>Heavy Rail</t>
    </r>
  </si>
  <si>
    <r>
      <rPr>
        <sz val="11"/>
        <color rgb="FF1F487C"/>
        <rFont val="Times New Roman"/>
        <family val="1"/>
      </rPr>
      <t>Commuter Rail</t>
    </r>
  </si>
  <si>
    <r>
      <rPr>
        <sz val="11"/>
        <color rgb="FF1F487C"/>
        <rFont val="Times New Roman"/>
        <family val="1"/>
      </rPr>
      <t>Ferry</t>
    </r>
    <r>
      <rPr>
        <vertAlign val="superscript"/>
        <sz val="11"/>
        <color rgb="FF1F487C"/>
        <rFont val="Times New Roman"/>
        <family val="1"/>
      </rPr>
      <t>3</t>
    </r>
  </si>
  <si>
    <r>
      <rPr>
        <sz val="11"/>
        <color rgb="FF1F487C"/>
        <rFont val="Times New Roman"/>
        <family val="1"/>
      </rPr>
      <t xml:space="preserve">1\   Values applicable when base case is transit use of standard on-street bus, the reference case used to create these values. When comparing other types of modal shift, the differences between the relevant modal values above should be used.
</t>
    </r>
    <r>
      <rPr>
        <sz val="11"/>
        <color rgb="FF1F487C"/>
        <rFont val="Times New Roman"/>
        <family val="1"/>
      </rPr>
      <t xml:space="preserve">2\   Low-intensive BRT would include special service branding, low floor vehicles, at least 50 percent of route in dedicated lanes and potentially shared turns and the remainder in mixed-traffic, some signal priority, level boarding, off-board fare collection, and visually distinct stations. Medium- intensive BRT would include features of Low-intensive BRT but have 100 percent of the route in dedicated lanes, traffic signal priority throughout the corridor, and median-running service or right-turn prohibitions. High- intensive BRT would have a completely sealed right-of-way with no traffic interference and traffic signal preemption, akin to a “rubber-tired railroad.”
</t>
    </r>
    <r>
      <rPr>
        <sz val="11"/>
        <color rgb="FF1F487C"/>
        <rFont val="Times New Roman"/>
        <family val="1"/>
      </rPr>
      <t xml:space="preserve">3\ The Capital Investment Grant program has to date not completed a before- and-after study of ridership on a ferry project or a high-intensive BRT as described above, and thus does not have a calibrated estimate for the fixed- guideway setting for those modes. Thus, these values represent the current best estimates, considering average station and ride quality relative to other
</t>
    </r>
    <r>
      <rPr>
        <sz val="11"/>
        <color rgb="FF1F487C"/>
        <rFont val="Times New Roman"/>
        <family val="1"/>
      </rPr>
      <t>transit modes.</t>
    </r>
  </si>
  <si>
    <r>
      <rPr>
        <sz val="11"/>
        <rFont val="Times New Roman"/>
        <family val="1"/>
      </rPr>
      <t xml:space="preserve">Physical activity risk reduction assumptions based on:
</t>
    </r>
    <r>
      <rPr>
        <i/>
        <sz val="11"/>
        <rFont val="Times New Roman"/>
        <family val="1"/>
      </rPr>
      <t xml:space="preserve">Health Economic Assessment Tool (HEAT) for Walking and For Cycling (2017) </t>
    </r>
    <r>
      <rPr>
        <u/>
        <sz val="11"/>
        <color rgb="FF0000FF"/>
        <rFont val="Times New Roman"/>
        <family val="1"/>
      </rPr>
      <t>https://www.euro.who.int/    data/assets/pdf_fil</t>
    </r>
    <r>
      <rPr>
        <sz val="11"/>
        <color rgb="FF0000FF"/>
        <rFont val="Times New Roman"/>
        <family val="1"/>
      </rPr>
      <t xml:space="preserve"> </t>
    </r>
    <r>
      <rPr>
        <u/>
        <sz val="11"/>
        <color rgb="FF0000FF"/>
        <rFont val="Times New Roman"/>
        <family val="1"/>
      </rPr>
      <t xml:space="preserve">e/0010/352963/Heat.pdf
</t>
    </r>
    <r>
      <rPr>
        <sz val="11"/>
        <rFont val="Times New Roman"/>
        <family val="1"/>
      </rPr>
      <t xml:space="preserve">Average walking speed, average weighted age for those who walk or cycle, average walk or cycling trip distance, and national average active transportation mode distribution based on:
</t>
    </r>
    <r>
      <rPr>
        <i/>
        <sz val="11"/>
        <rFont val="Times New Roman"/>
        <family val="1"/>
      </rPr>
      <t xml:space="preserve">National Household Travel Survey (2017)
</t>
    </r>
    <r>
      <rPr>
        <u/>
        <sz val="11"/>
        <color rgb="FF0000FF"/>
        <rFont val="Times New Roman"/>
        <family val="1"/>
      </rPr>
      <t xml:space="preserve">https://nhts.ornl.gov/
</t>
    </r>
    <r>
      <rPr>
        <sz val="11"/>
        <rFont val="Times New Roman"/>
        <family val="1"/>
      </rPr>
      <t xml:space="preserve">Baseline mortality risk based on:
</t>
    </r>
    <r>
      <rPr>
        <i/>
        <sz val="11"/>
        <rFont val="Times New Roman"/>
        <family val="1"/>
      </rPr>
      <t xml:space="preserve">National Centers for Health Statistics Underlying Cause of Death 2018-2019 on CDC WONDER Online Database (2020) </t>
    </r>
    <r>
      <rPr>
        <u/>
        <sz val="11"/>
        <color rgb="FF0000FF"/>
        <rFont val="Times New Roman"/>
        <family val="1"/>
      </rPr>
      <t xml:space="preserve">https://wonder.cdc.gov/
</t>
    </r>
    <r>
      <rPr>
        <sz val="11"/>
        <rFont val="Times New Roman"/>
        <family val="1"/>
      </rPr>
      <t xml:space="preserve">Estimates of national population falling within applicable age ranges based on:
</t>
    </r>
    <r>
      <rPr>
        <i/>
        <sz val="11"/>
        <rFont val="Times New Roman"/>
        <family val="1"/>
      </rPr>
      <t xml:space="preserve">United States Census Bureau, Current Population Survey, Annual Social and Economic Supplement (2019) </t>
    </r>
    <r>
      <rPr>
        <u/>
        <sz val="11"/>
        <color rgb="FF0000FF"/>
        <rFont val="Times New Roman"/>
        <family val="1"/>
      </rPr>
      <t xml:space="preserve">https://www.census.gov/data/tables/2019/demo
</t>
    </r>
    <r>
      <rPr>
        <u/>
        <sz val="11"/>
        <color rgb="FF0000FF"/>
        <rFont val="Times New Roman"/>
        <family val="1"/>
      </rPr>
      <t xml:space="preserve">/age-and-sex/2019-age-sex-composition.html
</t>
    </r>
    <r>
      <rPr>
        <sz val="11"/>
        <rFont val="Times New Roman"/>
        <family val="1"/>
      </rPr>
      <t xml:space="preserve">Assumed average cycling speed based on cycling studies cited in Appendix A, </t>
    </r>
    <r>
      <rPr>
        <i/>
        <sz val="11"/>
        <rFont val="Cambria"/>
        <family val="1"/>
      </rPr>
      <t>Table A- 9</t>
    </r>
    <r>
      <rPr>
        <sz val="11"/>
        <rFont val="Times New Roman"/>
        <family val="1"/>
      </rPr>
      <t>.</t>
    </r>
  </si>
  <si>
    <r>
      <rPr>
        <b/>
        <sz val="11"/>
        <color rgb="FF1F487C"/>
        <rFont val="Times New Roman"/>
        <family val="1"/>
      </rPr>
      <t>Mode</t>
    </r>
  </si>
  <si>
    <r>
      <rPr>
        <b/>
        <sz val="11"/>
        <color rgb="FF1F487C"/>
        <rFont val="Times New Roman"/>
        <family val="1"/>
      </rPr>
      <t xml:space="preserve">Applicable
</t>
    </r>
    <r>
      <rPr>
        <b/>
        <sz val="11"/>
        <color rgb="FF1F487C"/>
        <rFont val="Times New Roman"/>
        <family val="1"/>
      </rPr>
      <t>Age Range</t>
    </r>
    <r>
      <rPr>
        <b/>
        <vertAlign val="superscript"/>
        <sz val="11"/>
        <color rgb="FF1F487C"/>
        <rFont val="Times New Roman"/>
        <family val="1"/>
      </rPr>
      <t>3</t>
    </r>
  </si>
  <si>
    <r>
      <rPr>
        <b/>
        <sz val="11"/>
        <color rgb="FF1F487C"/>
        <rFont val="Times New Roman"/>
        <family val="1"/>
      </rPr>
      <t>Recommended Value per Induced Trip (2021 $)</t>
    </r>
    <r>
      <rPr>
        <b/>
        <vertAlign val="superscript"/>
        <sz val="11"/>
        <color rgb="FF1F487C"/>
        <rFont val="Times New Roman"/>
        <family val="1"/>
      </rPr>
      <t>4</t>
    </r>
  </si>
  <si>
    <r>
      <rPr>
        <sz val="11"/>
        <color rgb="FF1F487C"/>
        <rFont val="Times New Roman"/>
        <family val="1"/>
      </rPr>
      <t>Walking</t>
    </r>
    <r>
      <rPr>
        <vertAlign val="superscript"/>
        <sz val="11"/>
        <color rgb="FF1F487C"/>
        <rFont val="Times New Roman"/>
        <family val="1"/>
      </rPr>
      <t>1</t>
    </r>
  </si>
  <si>
    <r>
      <rPr>
        <sz val="11"/>
        <color rgb="FF1F487C"/>
        <rFont val="Times New Roman"/>
        <family val="1"/>
      </rPr>
      <t>Ages 20-74</t>
    </r>
  </si>
  <si>
    <r>
      <rPr>
        <sz val="11"/>
        <color rgb="FF1F487C"/>
        <rFont val="Times New Roman"/>
        <family val="1"/>
      </rPr>
      <t>Cycling</t>
    </r>
    <r>
      <rPr>
        <vertAlign val="superscript"/>
        <sz val="11"/>
        <color rgb="FF1F487C"/>
        <rFont val="Times New Roman"/>
        <family val="1"/>
      </rPr>
      <t>2</t>
    </r>
  </si>
  <si>
    <r>
      <rPr>
        <sz val="11"/>
        <color rgb="FF1F487C"/>
        <rFont val="Times New Roman"/>
        <family val="1"/>
      </rPr>
      <t>Ages 20-64</t>
    </r>
  </si>
  <si>
    <r>
      <rPr>
        <sz val="11"/>
        <color rgb="FF1F487C"/>
        <rFont val="Times New Roman"/>
        <family val="1"/>
      </rPr>
      <t xml:space="preserve">1)   Based on an assumed average walking speed of 3.2 miles per hour, an assumed average age of the relevant age range (20-74 years) of 45, a corresponding baseline mortality risk of 267.1 per 100,000, an annual risk reduction of 8.6 percent per daily mile walked, and an average walking trip distance of 0.86 miles.
</t>
    </r>
    <r>
      <rPr>
        <sz val="11"/>
        <color rgb="FF1F487C"/>
        <rFont val="Times New Roman"/>
        <family val="1"/>
      </rPr>
      <t xml:space="preserve">2)   Based on an assumed average cycling speed of 9.8 miles per hour, an assumed average age of the relevant age range (20-64 years) of 42, a corresponding baseline mortality risk of 217.9 per 100,000, an annual risk reduction of 4.3 percent per daily mile cycled, and an average cycling trip distance of 2.38 miles.
</t>
    </r>
    <r>
      <rPr>
        <sz val="11"/>
        <color rgb="FF1F487C"/>
        <rFont val="Times New Roman"/>
        <family val="1"/>
      </rPr>
      <t xml:space="preserve">3)   Absent more localized data on the proportion of the expected users falling into the age ranges above, applicants may apply a general assumption of 68% and 59% of overall induced trips falling into the walking and cycling age ranges, respectively, assuming a distribution matching the national average.
</t>
    </r>
    <r>
      <rPr>
        <sz val="11"/>
        <color rgb="FF1F487C"/>
        <rFont val="Times New Roman"/>
        <family val="1"/>
      </rPr>
      <t>4)   Applicants should ensure these monetization values are only applied to trips induced from non-active transportation modes within the relevant age ranges for each mode. Absent more localized data on the proportion of induced trips coming from non-active transportation modes, applicants may apply a general assumption of 89% of induced trips falling into that category, assuming a distribution matching the national average travel pattern.</t>
    </r>
  </si>
  <si>
    <r>
      <rPr>
        <i/>
        <sz val="11"/>
        <rFont val="Times New Roman"/>
        <family val="1"/>
      </rPr>
      <t xml:space="preserve">Highway Cost Allocation Study (1997)
</t>
    </r>
    <r>
      <rPr>
        <u/>
        <sz val="11"/>
        <color rgb="FF0000FF"/>
        <rFont val="Times New Roman"/>
        <family val="1"/>
      </rPr>
      <t xml:space="preserve">https://www.fhwa.dot
</t>
    </r>
    <r>
      <rPr>
        <u/>
        <sz val="11"/>
        <color rgb="FF0000FF"/>
        <rFont val="Times New Roman"/>
        <family val="1"/>
      </rPr>
      <t>.gov/policy/otps/costa</t>
    </r>
    <r>
      <rPr>
        <sz val="11"/>
        <color rgb="FF0000FF"/>
        <rFont val="Times New Roman"/>
        <family val="1"/>
      </rPr>
      <t xml:space="preserve"> </t>
    </r>
    <r>
      <rPr>
        <u/>
        <sz val="11"/>
        <color rgb="FF0000FF"/>
        <rFont val="Times New Roman"/>
        <family val="1"/>
      </rPr>
      <t xml:space="preserve">llocation.cfm
</t>
    </r>
    <r>
      <rPr>
        <i/>
        <sz val="11"/>
        <rFont val="Times New Roman"/>
        <family val="1"/>
      </rPr>
      <t xml:space="preserve">NHTSA Fatality Analysis Reporting System (2019) </t>
    </r>
    <r>
      <rPr>
        <u/>
        <sz val="11"/>
        <color rgb="FF0000FF"/>
        <rFont val="Times New Roman"/>
        <family val="1"/>
      </rPr>
      <t>https://www.nhtsa.go</t>
    </r>
    <r>
      <rPr>
        <sz val="11"/>
        <color rgb="FF0000FF"/>
        <rFont val="Times New Roman"/>
        <family val="1"/>
      </rPr>
      <t xml:space="preserve"> </t>
    </r>
    <r>
      <rPr>
        <u/>
        <sz val="11"/>
        <color rgb="FF0000FF"/>
        <rFont val="Times New Roman"/>
        <family val="1"/>
      </rPr>
      <t>v/research-</t>
    </r>
    <r>
      <rPr>
        <sz val="11"/>
        <color rgb="FF0000FF"/>
        <rFont val="Times New Roman"/>
        <family val="1"/>
      </rPr>
      <t xml:space="preserve"> </t>
    </r>
    <r>
      <rPr>
        <u/>
        <sz val="11"/>
        <color rgb="FF0000FF"/>
        <rFont val="Times New Roman"/>
        <family val="1"/>
      </rPr>
      <t>data/fatality-analysis-</t>
    </r>
    <r>
      <rPr>
        <sz val="11"/>
        <color rgb="FF0000FF"/>
        <rFont val="Times New Roman"/>
        <family val="1"/>
      </rPr>
      <t xml:space="preserve"> </t>
    </r>
    <r>
      <rPr>
        <u/>
        <sz val="11"/>
        <color rgb="FF0000FF"/>
        <rFont val="Times New Roman"/>
        <family val="1"/>
      </rPr>
      <t xml:space="preserve">reporting-system-fars
</t>
    </r>
    <r>
      <rPr>
        <i/>
        <sz val="11"/>
        <rFont val="Times New Roman"/>
        <family val="1"/>
      </rPr>
      <t xml:space="preserve">NHTSA Crash Report Sampling System (2019)
</t>
    </r>
    <r>
      <rPr>
        <u/>
        <sz val="11"/>
        <color rgb="FF0000FF"/>
        <rFont val="Times New Roman"/>
        <family val="1"/>
      </rPr>
      <t>https://www.nhtsa.go</t>
    </r>
    <r>
      <rPr>
        <sz val="11"/>
        <color rgb="FF0000FF"/>
        <rFont val="Times New Roman"/>
        <family val="1"/>
      </rPr>
      <t xml:space="preserve"> </t>
    </r>
    <r>
      <rPr>
        <u/>
        <sz val="11"/>
        <color rgb="FF0000FF"/>
        <rFont val="Times New Roman"/>
        <family val="1"/>
      </rPr>
      <t>v/crash-data-</t>
    </r>
    <r>
      <rPr>
        <sz val="11"/>
        <color rgb="FF0000FF"/>
        <rFont val="Times New Roman"/>
        <family val="1"/>
      </rPr>
      <t xml:space="preserve"> </t>
    </r>
    <r>
      <rPr>
        <u/>
        <sz val="11"/>
        <color rgb="FF0000FF"/>
        <rFont val="Times New Roman"/>
        <family val="1"/>
      </rPr>
      <t>systems/crash-report-</t>
    </r>
    <r>
      <rPr>
        <sz val="11"/>
        <color rgb="FF0000FF"/>
        <rFont val="Times New Roman"/>
        <family val="1"/>
      </rPr>
      <t xml:space="preserve"> </t>
    </r>
    <r>
      <rPr>
        <u/>
        <sz val="11"/>
        <color rgb="FF0000FF"/>
        <rFont val="Times New Roman"/>
        <family val="1"/>
      </rPr>
      <t>sampling-system</t>
    </r>
  </si>
  <si>
    <r>
      <rPr>
        <b/>
        <sz val="11"/>
        <color rgb="FF1F487C"/>
        <rFont val="Times New Roman"/>
        <family val="1"/>
      </rPr>
      <t>Vehicle Type and Location</t>
    </r>
  </si>
  <si>
    <r>
      <rPr>
        <b/>
        <sz val="11"/>
        <color rgb="FF1F487C"/>
        <rFont val="Times New Roman"/>
        <family val="1"/>
      </rPr>
      <t>Recommended Value of Cost per Vehicle</t>
    </r>
  </si>
  <si>
    <r>
      <rPr>
        <b/>
        <sz val="11"/>
        <color rgb="FF1F487C"/>
        <rFont val="Times New Roman"/>
        <family val="1"/>
      </rPr>
      <t>Mile Traveled (2021 $)</t>
    </r>
    <r>
      <rPr>
        <b/>
        <vertAlign val="superscript"/>
        <sz val="11"/>
        <color rgb="FF1F487C"/>
        <rFont val="Times New Roman"/>
        <family val="1"/>
      </rPr>
      <t>1</t>
    </r>
  </si>
  <si>
    <r>
      <rPr>
        <b/>
        <sz val="11"/>
        <color rgb="FF1F487C"/>
        <rFont val="Times New Roman"/>
        <family val="1"/>
      </rPr>
      <t>Congestion</t>
    </r>
  </si>
  <si>
    <r>
      <rPr>
        <b/>
        <sz val="11"/>
        <color rgb="FF1F487C"/>
        <rFont val="Times New Roman"/>
        <family val="1"/>
      </rPr>
      <t>Noise</t>
    </r>
  </si>
  <si>
    <r>
      <rPr>
        <b/>
        <sz val="11"/>
        <color rgb="FF1F487C"/>
        <rFont val="Times New Roman"/>
        <family val="1"/>
      </rPr>
      <t>Safety Cost</t>
    </r>
  </si>
  <si>
    <r>
      <rPr>
        <sz val="11"/>
        <color rgb="FF1F487C"/>
        <rFont val="Times New Roman"/>
        <family val="1"/>
      </rPr>
      <t>Light-Duty Vehicles - Urban</t>
    </r>
  </si>
  <si>
    <r>
      <rPr>
        <sz val="11"/>
        <color rgb="FF1F487C"/>
        <rFont val="Times New Roman"/>
        <family val="1"/>
      </rPr>
      <t>Light-Duty Vehicles - Rural</t>
    </r>
  </si>
  <si>
    <r>
      <rPr>
        <sz val="11"/>
        <color rgb="FF1F487C"/>
        <rFont val="Times New Roman"/>
        <family val="1"/>
      </rPr>
      <t>Light-Duty Vehicles – All</t>
    </r>
  </si>
  <si>
    <r>
      <rPr>
        <sz val="11"/>
        <color rgb="FF1F487C"/>
        <rFont val="Times New Roman"/>
        <family val="1"/>
      </rPr>
      <t>Locations</t>
    </r>
  </si>
  <si>
    <r>
      <rPr>
        <sz val="11"/>
        <color rgb="FF1F487C"/>
        <rFont val="Times New Roman"/>
        <family val="1"/>
      </rPr>
      <t>Buses and Trucks - Urban</t>
    </r>
  </si>
  <si>
    <r>
      <rPr>
        <sz val="11"/>
        <color rgb="FF1F487C"/>
        <rFont val="Times New Roman"/>
        <family val="1"/>
      </rPr>
      <t>Buses and Trucks - Rural</t>
    </r>
  </si>
  <si>
    <r>
      <rPr>
        <sz val="11"/>
        <color rgb="FF1F487C"/>
        <rFont val="Times New Roman"/>
        <family val="1"/>
      </rPr>
      <t>Buses and Trucks – All</t>
    </r>
  </si>
  <si>
    <r>
      <rPr>
        <sz val="11"/>
        <color rgb="FF1F487C"/>
        <rFont val="Times New Roman"/>
        <family val="1"/>
      </rPr>
      <t>All Vehicles - Urban</t>
    </r>
  </si>
  <si>
    <r>
      <rPr>
        <sz val="11"/>
        <color rgb="FF1F487C"/>
        <rFont val="Times New Roman"/>
        <family val="1"/>
      </rPr>
      <t>All Vehicles - Rural</t>
    </r>
  </si>
  <si>
    <r>
      <rPr>
        <sz val="11"/>
        <color rgb="FF1F487C"/>
        <rFont val="Times New Roman"/>
        <family val="1"/>
      </rPr>
      <t>All Vehicles – All Locations</t>
    </r>
  </si>
  <si>
    <r>
      <rPr>
        <sz val="11"/>
        <color rgb="FF1F487C"/>
        <rFont val="Times New Roman"/>
        <family val="1"/>
      </rPr>
      <t>1)   Congestion costs updated from the 1997 Highway Cost Allocation Study to</t>
    </r>
  </si>
  <si>
    <r>
      <rPr>
        <sz val="11"/>
        <color rgb="FF1F487C"/>
        <rFont val="Times New Roman"/>
        <family val="1"/>
      </rPr>
      <t>reflect increased traffic volumes, changes in vehicle occupancy, and increases in</t>
    </r>
  </si>
  <si>
    <r>
      <rPr>
        <sz val="11"/>
        <color rgb="FF1F487C"/>
        <rFont val="Times New Roman"/>
        <family val="1"/>
      </rPr>
      <t>the value of time per person-hour since that time. Both congestion and noise costs</t>
    </r>
  </si>
  <si>
    <r>
      <rPr>
        <sz val="11"/>
        <color rgb="FF1F487C"/>
        <rFont val="Times New Roman"/>
        <family val="1"/>
      </rPr>
      <t>are also adjusted from 1994 dollars to 2021 dollars using the GDP deflator.</t>
    </r>
  </si>
  <si>
    <t>Year of Estimate</t>
  </si>
  <si>
    <t xml:space="preserve">Year </t>
  </si>
  <si>
    <t>No-Build</t>
  </si>
  <si>
    <t>BUILD</t>
  </si>
  <si>
    <t>Maint &amp; Rehab Costs for US-75/81st</t>
  </si>
  <si>
    <t xml:space="preserve"> Capital Costs </t>
  </si>
  <si>
    <t xml:space="preserve"> Maintenance </t>
  </si>
  <si>
    <t>UT</t>
  </si>
  <si>
    <t>RW</t>
  </si>
  <si>
    <t xml:space="preserve"> TOTAL </t>
  </si>
  <si>
    <t>TOTAL</t>
  </si>
  <si>
    <t>% of Capital Cost</t>
  </si>
  <si>
    <t>$ amount</t>
  </si>
  <si>
    <t>Annual Growth</t>
  </si>
  <si>
    <t>EXIST</t>
  </si>
  <si>
    <t>CO</t>
  </si>
  <si>
    <t>Low</t>
  </si>
  <si>
    <t>High</t>
  </si>
  <si>
    <t>Avg</t>
  </si>
  <si>
    <t>https://www.census.gov/quickfacts/fact/table/durantcityoklahoma/PST045222</t>
  </si>
  <si>
    <t>Population Start Year</t>
  </si>
  <si>
    <t>Population</t>
  </si>
  <si>
    <t>Population Finish Year</t>
  </si>
  <si>
    <t>Total Growth</t>
  </si>
  <si>
    <t>Selected</t>
  </si>
  <si>
    <t>2015-2019</t>
  </si>
  <si>
    <t>2016-2020</t>
  </si>
  <si>
    <t>2017-2021</t>
  </si>
  <si>
    <t>Severity</t>
  </si>
  <si>
    <t>p.a.</t>
  </si>
  <si>
    <t>https://apps.bea.gov/iTable/?reqid=19&amp;step=3&amp;isuri=1&amp;1921=survey&amp;1903=11%23reqid%3D19&amp;step=3&amp;isuri=1&amp;1921=survey&amp;1903=11#eyJhcHBpZCI6MTksInN0ZXBzIjpbMSwyLDNdLCJkYXRhIjpbWyJOSVBBX1RhYmxlX0xpc3QiLCI1Il0sWyJDYXRlZ29yaWVzIiwiU3VydmV5Il1dfQ==</t>
  </si>
  <si>
    <t>GDP</t>
  </si>
  <si>
    <t>Factor</t>
  </si>
  <si>
    <t>N/A - Define in BCA Guidelines</t>
  </si>
  <si>
    <t>ref2022.d011222a</t>
  </si>
  <si>
    <t>Source: EIA Energy Outlook 2022, March 2022</t>
  </si>
  <si>
    <t>Table 12.</t>
  </si>
  <si>
    <t>Report</t>
  </si>
  <si>
    <t>Annual Energy Outlook 2022</t>
  </si>
  <si>
    <t>EIA - Annual Energy Outlook 2022</t>
  </si>
  <si>
    <t>Scenario</t>
  </si>
  <si>
    <t>ref2022</t>
  </si>
  <si>
    <t>Reference</t>
  </si>
  <si>
    <t>Datekey</t>
  </si>
  <si>
    <t>d011222a</t>
  </si>
  <si>
    <t>Release Date</t>
  </si>
  <si>
    <t xml:space="preserve"> March 2022</t>
  </si>
  <si>
    <t>PPP000</t>
  </si>
  <si>
    <t>12. Petroleum and Other Liquids Prices</t>
  </si>
  <si>
    <t>Average</t>
  </si>
  <si>
    <t>(2021 dollars per gallon, unless otherwise noted)</t>
  </si>
  <si>
    <t>Annual</t>
  </si>
  <si>
    <t>Change</t>
  </si>
  <si>
    <t xml:space="preserve"> Sector and Fuel</t>
  </si>
  <si>
    <t>2021–2050</t>
  </si>
  <si>
    <t>Crude Oil Prices (2021 dollars per barrel)</t>
  </si>
  <si>
    <t>PPP000:ba_WorldOilPrice</t>
  </si>
  <si>
    <t xml:space="preserve">   Brent Spot</t>
  </si>
  <si>
    <t>PPP000:bb_ForeignLSLigh</t>
  </si>
  <si>
    <t xml:space="preserve">   West Texas Intermediate Spot</t>
  </si>
  <si>
    <t>PPP000:bb_Imported_Real</t>
  </si>
  <si>
    <t xml:space="preserve">   Average Imported Cost 1/</t>
  </si>
  <si>
    <t>PPP000:see_spot_markup</t>
  </si>
  <si>
    <t xml:space="preserve">   Brent / West Texas Intermediate Spread</t>
  </si>
  <si>
    <t xml:space="preserve"> Delivered Sector Product Prices</t>
  </si>
  <si>
    <t xml:space="preserve"> Residential</t>
  </si>
  <si>
    <t>PPP000:da_LiquefiedPetr</t>
  </si>
  <si>
    <t xml:space="preserve">   Propane</t>
  </si>
  <si>
    <t>PPP000:da_DistillateFue</t>
  </si>
  <si>
    <t xml:space="preserve">   Distillate Fuel Oil</t>
  </si>
  <si>
    <t xml:space="preserve"> Commercial</t>
  </si>
  <si>
    <t>PPP000:ea_DistillateFue</t>
  </si>
  <si>
    <t>PPP000:ea_ResidualFuel</t>
  </si>
  <si>
    <t xml:space="preserve">   Residual Fuel Oil</t>
  </si>
  <si>
    <t>PPP000:ea_ResidualFuel(</t>
  </si>
  <si>
    <t xml:space="preserve">   Residual Fuel Oil (2021 dollars per barrel)</t>
  </si>
  <si>
    <t xml:space="preserve"> Industrial 2/</t>
  </si>
  <si>
    <t>PPP000:fa_LiquefiedPetr</t>
  </si>
  <si>
    <t>PPP000:fa_DistillateFue</t>
  </si>
  <si>
    <t>PPP000:fa_ResidualFuel</t>
  </si>
  <si>
    <t>PPP000:fa_ResidualFuel(</t>
  </si>
  <si>
    <t xml:space="preserve"> Transportation</t>
  </si>
  <si>
    <t>PPP000:ga_LiquefiedPetr</t>
  </si>
  <si>
    <t>PPP000:ga_Ethanol(E85)</t>
  </si>
  <si>
    <t xml:space="preserve">   E85 3/</t>
  </si>
  <si>
    <t>PPP000:pr_EthanolWhole</t>
  </si>
  <si>
    <t xml:space="preserve">   Ethanol Wholesale Price</t>
  </si>
  <si>
    <t>PPP000:ga_MotorGasoline</t>
  </si>
  <si>
    <t xml:space="preserve">   Motor Gasoline 4/</t>
  </si>
  <si>
    <t>PPP000:ga_JetFuel</t>
  </si>
  <si>
    <t xml:space="preserve">   Jet Fuel 5/</t>
  </si>
  <si>
    <t>PPP000:ga_DieselFuel(Di</t>
  </si>
  <si>
    <t xml:space="preserve">   Diesel Fuel (distillate fuel oil) 6/</t>
  </si>
  <si>
    <t>PPP000:ga_ResidualFuel</t>
  </si>
  <si>
    <t>PPP000:ga_ResidualFuel(</t>
  </si>
  <si>
    <t xml:space="preserve"> Electric Power 7/</t>
  </si>
  <si>
    <t>PPP000:ha_DistillateFue</t>
  </si>
  <si>
    <t>PPP000:ha_ResidualFuel</t>
  </si>
  <si>
    <t>PPP000:ha_ResidualFuel(</t>
  </si>
  <si>
    <t>Average Prices, All Sectors 8/</t>
  </si>
  <si>
    <t>PPP000:ia_LiquefiedPetr</t>
  </si>
  <si>
    <t>PPP000:ia_MotorGasoline</t>
  </si>
  <si>
    <t>PPP000:ia_JetFuel</t>
  </si>
  <si>
    <t>PPP000:ia_DistillateFue</t>
  </si>
  <si>
    <t>PPP000:ia_ResidualFuel</t>
  </si>
  <si>
    <t>PPP000:ia_ResidualFuel(</t>
  </si>
  <si>
    <t>PPP000:ia_Average</t>
  </si>
  <si>
    <t xml:space="preserve">     Average</t>
  </si>
  <si>
    <t>Prices in Nominal Dollars</t>
  </si>
  <si>
    <t>Crude Oil Spot Prices (nominal dollars per barrel)</t>
  </si>
  <si>
    <t>PPP000:nom_WorldOilPric</t>
  </si>
  <si>
    <t>PPP000:nom_ForeignLSLig</t>
  </si>
  <si>
    <t>PPP000:nom_Imported_Rea</t>
  </si>
  <si>
    <t>Delivered Sector Product Prices</t>
  </si>
  <si>
    <t>Nominal Dollars per Gallon</t>
  </si>
  <si>
    <t>PPP000:nom_R_LiquefiedP</t>
  </si>
  <si>
    <t>PPP000:nom_R_Distillate</t>
  </si>
  <si>
    <t>PPP000:nom_C_Distillate</t>
  </si>
  <si>
    <t>PPP000:nom_C_ResidualFu</t>
  </si>
  <si>
    <t>PPP000:nom_I_LiquefiedP</t>
  </si>
  <si>
    <t>PPP000:nom_I_Distillate</t>
  </si>
  <si>
    <t>PPP000:nom_I_ResidualFu</t>
  </si>
  <si>
    <t>PPP000:nom_T_LiquefiedP</t>
  </si>
  <si>
    <t>PPP000:nom_T_Ethan(E85)</t>
  </si>
  <si>
    <t>PPP000:nom_T_EthanWhole</t>
  </si>
  <si>
    <t>PPP000:nom_T_MotorGasol</t>
  </si>
  <si>
    <t>PPP000:nom_T_JetFuel</t>
  </si>
  <si>
    <t>PPP000:nom_T_DieselFuel</t>
  </si>
  <si>
    <t>PPP000:nom_T_ResidualFu</t>
  </si>
  <si>
    <t>PPP000:nom_E_Distillate</t>
  </si>
  <si>
    <t>PPP000:nom_E_ResidualFu</t>
  </si>
  <si>
    <t xml:space="preserve"> Average Prices, All Sectors 8/</t>
  </si>
  <si>
    <t>PPP000:nom_Avg_Liquefie</t>
  </si>
  <si>
    <t>PPP000:nom_Avg_MotorGas</t>
  </si>
  <si>
    <t>PPP000:nom_Avg_JetFuel</t>
  </si>
  <si>
    <t>PPP000:nom_Avg_Distilla</t>
  </si>
  <si>
    <t>PPP000:nom_Avg_Residual</t>
  </si>
  <si>
    <t xml:space="preserve">   Residual Fuel Oil (dollars per barrel)</t>
  </si>
  <si>
    <t>PPP000:nom_Avg_Average</t>
  </si>
  <si>
    <t>1/ Weighted average price delivered to U.S. refiners.</t>
  </si>
  <si>
    <t>2/ Includes combined heat and power plants that have a non-regulatory status, and small on-site generating systems.</t>
  </si>
  <si>
    <t>3/ E85 refers to a blend of 85 % ethanol (renewable) and 15 % motor gasoline (nonrenewable).  To address cold starting</t>
  </si>
  <si>
    <t>issues, the percentage of ethanol varies seasonally.  The annual average ethanol content of 74 percent is used for these projections.</t>
  </si>
  <si>
    <t>4/ Sales weighted-average price for all grades.  Includes Federal, State, and local taxes.</t>
  </si>
  <si>
    <t>5/ Includes only kerosene type.</t>
  </si>
  <si>
    <t>6/ Diesel fuel for on-road use.  Includes Federal and State taxes while excluding county and local taxes.</t>
  </si>
  <si>
    <t>7/ Includes electricity-only and combined heat and power plants that have a regulatory status.</t>
  </si>
  <si>
    <t>8/ Weighted averages of end-use fuel prices are derived from the prices in each sector and the corresponding sectoral consumption.</t>
  </si>
  <si>
    <t>Sources:  2021:  U.S. Energy Information Administration (EIA), Short-Term Energy Outlook, November 2021 and EIA,</t>
  </si>
  <si>
    <t>Projections:  EIA, AEO2022 National Energy Modeling System run ref2022.d011222a.</t>
  </si>
  <si>
    <t>Rate of Growth</t>
  </si>
  <si>
    <t xml:space="preserve">   Motor Gasoline </t>
  </si>
  <si>
    <t xml:space="preserve">   Diesel Fuel (distillate fuel oil)</t>
  </si>
  <si>
    <t>Fuel Taxes in Oklahoma, $/Galon</t>
  </si>
  <si>
    <t>Fuel</t>
  </si>
  <si>
    <t>State</t>
  </si>
  <si>
    <t>Federal</t>
  </si>
  <si>
    <t>Adjusted Fuel Prices (without taxes)</t>
  </si>
  <si>
    <t xml:space="preserve">Closure of the Roosevelt Bridge would result in a detour of approximately 39 miles. </t>
  </si>
  <si>
    <t>For the purposes of determining a detour distance, it is assumed the majority of the traffic is travelling a distance at minimum the 17 miles between Kingston and Durant.</t>
  </si>
  <si>
    <t>Volumes on US-70 over the bridge</t>
  </si>
  <si>
    <t>2021 AADT = 8,520</t>
  </si>
  <si>
    <t>2050 AADT = 27,260</t>
  </si>
  <si>
    <t>RESULTS</t>
  </si>
  <si>
    <t>Overall Total Delay (hr)</t>
  </si>
  <si>
    <t>Fuel Consumption (gal)</t>
  </si>
  <si>
    <t>Future</t>
  </si>
  <si>
    <t>AADT</t>
  </si>
  <si>
    <t>Pedestrian volumes not monetized</t>
  </si>
  <si>
    <t>Traffic Analysis Future Year AADT</t>
  </si>
  <si>
    <t>Traffic Analysis Base Year AADT</t>
  </si>
  <si>
    <t>Not monetized</t>
  </si>
  <si>
    <t>Mileage</t>
  </si>
  <si>
    <t>Travel Time (mins)</t>
  </si>
  <si>
    <r>
      <t xml:space="preserve">Detour </t>
    </r>
    <r>
      <rPr>
        <sz val="10"/>
        <color rgb="FFFF0000"/>
        <rFont val="Arial"/>
        <family val="2"/>
      </rPr>
      <t>(Red)</t>
    </r>
  </si>
  <si>
    <r>
      <t xml:space="preserve">Existing Route </t>
    </r>
    <r>
      <rPr>
        <sz val="10"/>
        <color rgb="FF00B050"/>
        <rFont val="Arial"/>
        <family val="2"/>
      </rPr>
      <t>(Green)</t>
    </r>
  </si>
  <si>
    <t>Delta</t>
  </si>
  <si>
    <t>mins</t>
  </si>
  <si>
    <t>Additional duration from Detour (Detour - Existing)</t>
  </si>
  <si>
    <t>minutes</t>
  </si>
  <si>
    <t>Detour Delay per Vehicle</t>
  </si>
  <si>
    <t>ODOT Provided - Show previously planning cost separately</t>
  </si>
  <si>
    <t>Calculation / Reference / Description</t>
  </si>
  <si>
    <t>Delay, Emissions, Fuel Consumption data from SYNCHRO</t>
  </si>
  <si>
    <r>
      <rPr>
        <b/>
        <i/>
        <sz val="11"/>
        <color theme="1"/>
        <rFont val="Times New Roman"/>
        <family val="1"/>
      </rPr>
      <t>Impac</t>
    </r>
    <r>
      <rPr>
        <sz val="11"/>
        <color theme="1"/>
        <rFont val="Times New Roman"/>
        <family val="1"/>
      </rPr>
      <t xml:space="preserve">t - Reduced vehicular delays
</t>
    </r>
    <r>
      <rPr>
        <b/>
        <i/>
        <sz val="11"/>
        <color theme="1"/>
        <rFont val="Times New Roman"/>
        <family val="1"/>
      </rPr>
      <t>Benefit</t>
    </r>
    <r>
      <rPr>
        <sz val="11"/>
        <color theme="1"/>
        <rFont val="Times New Roman"/>
        <family val="1"/>
      </rPr>
      <t xml:space="preserve"> - Reduction in travel times </t>
    </r>
  </si>
  <si>
    <t>Vehicle Owners, and Truck Operators</t>
  </si>
  <si>
    <r>
      <rPr>
        <b/>
        <i/>
        <sz val="11"/>
        <color theme="1"/>
        <rFont val="Times New Roman"/>
        <family val="1"/>
      </rPr>
      <t>Impact</t>
    </r>
    <r>
      <rPr>
        <sz val="11"/>
        <color theme="1"/>
        <rFont val="Times New Roman"/>
        <family val="1"/>
      </rPr>
      <t xml:space="preserve"> - Reduced delays through corridor
</t>
    </r>
    <r>
      <rPr>
        <b/>
        <i/>
        <sz val="11"/>
        <color theme="1"/>
        <rFont val="Times New Roman"/>
        <family val="1"/>
      </rPr>
      <t>Benefit</t>
    </r>
    <r>
      <rPr>
        <sz val="11"/>
        <color theme="1"/>
        <rFont val="Times New Roman"/>
        <family val="1"/>
      </rPr>
      <t xml:space="preserve"> - Reduced vehicle operating costs (fuel reduction) </t>
    </r>
  </si>
  <si>
    <r>
      <rPr>
        <b/>
        <i/>
        <sz val="11"/>
        <color theme="1"/>
        <rFont val="Times New Roman"/>
        <family val="1"/>
      </rPr>
      <t>Impact</t>
    </r>
    <r>
      <rPr>
        <sz val="11"/>
        <color theme="1"/>
        <rFont val="Times New Roman"/>
        <family val="1"/>
      </rPr>
      <t xml:space="preserve"> - Reduced time spent idling during delays
</t>
    </r>
    <r>
      <rPr>
        <b/>
        <i/>
        <sz val="11"/>
        <color theme="1"/>
        <rFont val="Times New Roman"/>
        <family val="1"/>
      </rPr>
      <t>Benefit</t>
    </r>
    <r>
      <rPr>
        <sz val="11"/>
        <color theme="1"/>
        <rFont val="Times New Roman"/>
        <family val="1"/>
      </rPr>
      <t xml:space="preserve"> - Emissions reduction </t>
    </r>
  </si>
  <si>
    <r>
      <rPr>
        <b/>
        <i/>
        <sz val="11"/>
        <color theme="1"/>
        <rFont val="Times New Roman"/>
        <family val="1"/>
      </rPr>
      <t>Impact</t>
    </r>
    <r>
      <rPr>
        <sz val="11"/>
        <color theme="1"/>
        <rFont val="Times New Roman"/>
        <family val="1"/>
      </rPr>
      <t xml:space="preserve"> - Avoided detours due to structure condition
</t>
    </r>
    <r>
      <rPr>
        <b/>
        <i/>
        <sz val="11"/>
        <color theme="1"/>
        <rFont val="Times New Roman"/>
        <family val="1"/>
      </rPr>
      <t>Benefit</t>
    </r>
    <r>
      <rPr>
        <sz val="11"/>
        <color theme="1"/>
        <rFont val="Times New Roman"/>
        <family val="1"/>
      </rPr>
      <t xml:space="preserve"> - Avoided additional travel time</t>
    </r>
  </si>
  <si>
    <r>
      <rPr>
        <b/>
        <i/>
        <sz val="11"/>
        <color theme="1"/>
        <rFont val="Times New Roman"/>
        <family val="1"/>
      </rPr>
      <t>Impact</t>
    </r>
    <r>
      <rPr>
        <sz val="11"/>
        <color theme="1"/>
        <rFont val="Times New Roman"/>
        <family val="1"/>
      </rPr>
      <t xml:space="preserve"> - Increased overhead clearance at bridge
</t>
    </r>
    <r>
      <rPr>
        <b/>
        <i/>
        <sz val="11"/>
        <color theme="1"/>
        <rFont val="Times New Roman"/>
        <family val="1"/>
      </rPr>
      <t>Benefit</t>
    </r>
    <r>
      <rPr>
        <sz val="11"/>
        <color theme="1"/>
        <rFont val="Times New Roman"/>
        <family val="1"/>
      </rPr>
      <t xml:space="preserve"> - Reduced bridge hits and reduced maintenance costs over the life of the project. </t>
    </r>
  </si>
  <si>
    <r>
      <rPr>
        <b/>
        <i/>
        <sz val="11"/>
        <color theme="1"/>
        <rFont val="Times New Roman"/>
        <family val="1"/>
      </rPr>
      <t>Impact</t>
    </r>
    <r>
      <rPr>
        <sz val="11"/>
        <color theme="1"/>
        <rFont val="Times New Roman"/>
        <family val="1"/>
      </rPr>
      <t xml:space="preserve"> - New pedestrian facilities
</t>
    </r>
    <r>
      <rPr>
        <b/>
        <i/>
        <sz val="11"/>
        <color theme="1"/>
        <rFont val="Times New Roman"/>
        <family val="1"/>
      </rPr>
      <t>Benefit</t>
    </r>
    <r>
      <rPr>
        <sz val="11"/>
        <color theme="1"/>
        <rFont val="Times New Roman"/>
        <family val="1"/>
      </rPr>
      <t xml:space="preserve"> - Pedestrians and cyclist induced trips</t>
    </r>
  </si>
  <si>
    <t>5 Years Earlier</t>
  </si>
  <si>
    <t>5 Years Later</t>
  </si>
  <si>
    <t>Future Detour Timing</t>
  </si>
  <si>
    <t>Days</t>
  </si>
  <si>
    <t>Flood Event - Duration</t>
  </si>
  <si>
    <t>Flood Event - Frequency of Detours</t>
  </si>
  <si>
    <t>Flood Event - Weighted Impact (average % of year detoured)</t>
  </si>
  <si>
    <t>Flood Event</t>
  </si>
  <si>
    <t>Applicable for trucks</t>
  </si>
  <si>
    <t>Applicable for passenger vehicles</t>
  </si>
  <si>
    <t>Trucks Impacted</t>
  </si>
  <si>
    <t>Flood impact portion of year</t>
  </si>
  <si>
    <t>Passenger vehicles Impacted</t>
  </si>
  <si>
    <t>Total Detour Delay</t>
  </si>
  <si>
    <t>Detour</t>
  </si>
  <si>
    <t>% Increase to value to utilized value</t>
  </si>
  <si>
    <t>Based on project design</t>
  </si>
  <si>
    <t>&lt;-Update if base case changes</t>
  </si>
  <si>
    <t>Previously incurred costs and environment cost</t>
  </si>
  <si>
    <t>Port of Construction Costs related to Structural Elements</t>
  </si>
  <si>
    <t>Safety analysis completed using Highway Safety Software</t>
  </si>
  <si>
    <t xml:space="preserve">Maint Notes: </t>
  </si>
  <si>
    <t>Maint &amp; Rehab Costs</t>
  </si>
  <si>
    <t>Number of Bridge Hits</t>
  </si>
  <si>
    <r>
      <rPr>
        <b/>
        <i/>
        <sz val="11"/>
        <rFont val="Times New Roman"/>
        <family val="1"/>
      </rPr>
      <t>Impact</t>
    </r>
    <r>
      <rPr>
        <sz val="11"/>
        <rFont val="Times New Roman"/>
        <family val="1"/>
      </rPr>
      <t xml:space="preserve"> - Enhanced roadway design
</t>
    </r>
    <r>
      <rPr>
        <b/>
        <i/>
        <sz val="11"/>
        <rFont val="Times New Roman"/>
        <family val="1"/>
      </rPr>
      <t>Benefit</t>
    </r>
    <r>
      <rPr>
        <sz val="11"/>
        <rFont val="Times New Roman"/>
        <family val="1"/>
      </rPr>
      <t xml:space="preserve"> - Improved vehicle safety </t>
    </r>
  </si>
  <si>
    <r>
      <rPr>
        <b/>
        <i/>
        <sz val="11"/>
        <color theme="1"/>
        <rFont val="Times New Roman"/>
        <family val="1"/>
      </rPr>
      <t>Impact</t>
    </r>
    <r>
      <rPr>
        <sz val="11"/>
        <color theme="1"/>
        <rFont val="Times New Roman"/>
        <family val="1"/>
      </rPr>
      <t xml:space="preserve"> - New bridge
</t>
    </r>
    <r>
      <rPr>
        <b/>
        <i/>
        <sz val="11"/>
        <color theme="1"/>
        <rFont val="Times New Roman"/>
        <family val="1"/>
      </rPr>
      <t>Benefit</t>
    </r>
    <r>
      <rPr>
        <sz val="11"/>
        <color theme="1"/>
        <rFont val="Times New Roman"/>
        <family val="1"/>
      </rPr>
      <t xml:space="preserve"> - Extended residual life of bridges at proposed interchange</t>
    </r>
  </si>
  <si>
    <t xml:space="preserve">Widening from 2-lane to 4-lane (53% reduction), </t>
  </si>
  <si>
    <t xml:space="preserve">Shoulder Rumble Strips (13-51% reduction), </t>
  </si>
  <si>
    <t xml:space="preserve">Lighting (28% nighttime reduction), and </t>
  </si>
  <si>
    <t>Median Barrier (43% reduction)</t>
  </si>
  <si>
    <t xml:space="preserve">The 56% CMF came from our safety analysis completed using Highway Safety Software, </t>
  </si>
  <si>
    <t xml:space="preserve">comparing base conditions to a scenario with the project’s added safety improvements during the existing year.
 </t>
  </si>
  <si>
    <t>No-build assumptions
Annual Inspections (1 year frequency) - $50,000
Deck Replacement (25 year frequency starting 2028) - $8,526,675
Painting steel (20 years frequency starting in 2028) - $4,056,811
Other Misc Repairs (20 years frequency starting in 2028) - $405,681
Build assumptions
Inspections (2 year frequency) - $20,000
Deck Replacement (30 year frequency) - $24,838,575
Other Misc Repairs (20 year frequency) - $771,648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</si>
</sst>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_);[Red]\(&quot;$&quot;#,##0\)"/>
    <numFmt numFmtId="8" formatCode="&quot;$&quot;#,##0.00_);[Red]\(&quot;$&quot;#,##0.00\)"/>
    <numFmt numFmtId="44" formatCode="_(&quot;$&quot;* #,##0.00_);_(&quot;$&quot;* \(#,##0.00\);_(&quot;$&quot;* &quot;-&quot;??_);_(@_)"/>
    <numFmt numFmtId="43" formatCode="_(* #,##0.00_);_(* \(#,##0.00\);_(* &quot;-&quot;??_);_(@_)"/>
    <numFmt numFmtId="164" formatCode="0.0000"/>
    <numFmt numFmtId="165" formatCode="_(&quot;$&quot;* #,##0_);_(&quot;$&quot;* \(#,##0\);_(&quot;$&quot;* &quot;-&quot;??_);_(@_)"/>
    <numFmt numFmtId="166" formatCode="\$#,##0"/>
    <numFmt numFmtId="167" formatCode="\$0.00"/>
    <numFmt numFmtId="168" formatCode="\$0"/>
    <numFmt numFmtId="169" formatCode="0.0"/>
    <numFmt numFmtId="170" formatCode="_(* #,##0_);_(* \(#,##0\);_(* &quot;-&quot;??_);_(@_)"/>
    <numFmt numFmtId="171" formatCode="&quot;$&quot;#,##0.00"/>
    <numFmt numFmtId="172" formatCode="0.0%"/>
    <numFmt numFmtId="173" formatCode="_(* #,##0.0_);_(* \(#,##0.0\);_(* &quot;-&quot;??_);_(@_)"/>
    <numFmt numFmtId="174" formatCode="_(* #,##0.000_);_(* \(#,##0.000\);_(* &quot;-&quot;??_);_(@_)"/>
    <numFmt numFmtId="175" formatCode="&quot;$&quot;#,##0.000"/>
    <numFmt numFmtId="176" formatCode="&quot;$&quot;#,##0"/>
    <numFmt numFmtId="177" formatCode="_(&quot;$&quot;* #,##0.0_);_(&quot;$&quot;* \(#,##0.0\);_(&quot;$&quot;* &quot;-&quot;??_);_(@_)"/>
    <numFmt numFmtId="178" formatCode="0.000000%"/>
    <numFmt numFmtId="179" formatCode="0.000000000"/>
  </numFmts>
  <fonts count="73" x14ac:knownFonts="1">
    <font>
      <sz val="11"/>
      <color theme="1"/>
      <name val="Calibri"/>
      <family val="2"/>
      <scheme val="minor"/>
    </font>
    <font>
      <sz val="11"/>
      <color theme="1"/>
      <name val="Calibri"/>
      <family val="2"/>
      <scheme val="minor"/>
    </font>
    <font>
      <b/>
      <sz val="15"/>
      <color theme="3"/>
      <name val="Calibri"/>
      <family val="2"/>
      <scheme val="minor"/>
    </font>
    <font>
      <sz val="11"/>
      <color theme="1"/>
      <name val="Arial"/>
      <family val="2"/>
    </font>
    <font>
      <b/>
      <sz val="11"/>
      <color theme="1"/>
      <name val="Arial"/>
      <family val="2"/>
    </font>
    <font>
      <sz val="11"/>
      <color theme="4"/>
      <name val="Arial"/>
      <family val="2"/>
    </font>
    <font>
      <b/>
      <sz val="15"/>
      <color theme="9"/>
      <name val="Arial"/>
      <family val="2"/>
    </font>
    <font>
      <b/>
      <sz val="15"/>
      <color theme="4"/>
      <name val="Arial"/>
      <family val="2"/>
    </font>
    <font>
      <sz val="11"/>
      <color theme="6"/>
      <name val="Arial"/>
      <family val="2"/>
    </font>
    <font>
      <sz val="11"/>
      <name val="Arial"/>
      <family val="2"/>
    </font>
    <font>
      <u/>
      <sz val="11"/>
      <color theme="10"/>
      <name val="Calibri"/>
      <family val="2"/>
      <scheme val="minor"/>
    </font>
    <font>
      <sz val="10"/>
      <color rgb="FF000000"/>
      <name val="Times New Roman"/>
      <family val="1"/>
    </font>
    <font>
      <b/>
      <sz val="11.5"/>
      <color rgb="FFFFFFFF"/>
      <name val="Times New Roman"/>
      <family val="1"/>
    </font>
    <font>
      <b/>
      <sz val="11"/>
      <name val="Times New Roman"/>
      <family val="1"/>
    </font>
    <font>
      <sz val="11"/>
      <name val="Times New Roman"/>
      <family val="1"/>
    </font>
    <font>
      <i/>
      <sz val="11"/>
      <name val="Times New Roman"/>
      <family val="1"/>
    </font>
    <font>
      <sz val="8"/>
      <name val="Calibri"/>
      <family val="2"/>
      <scheme val="minor"/>
    </font>
    <font>
      <b/>
      <sz val="11"/>
      <color theme="1"/>
      <name val="Calibri"/>
      <family val="2"/>
      <scheme val="minor"/>
    </font>
    <font>
      <i/>
      <sz val="11"/>
      <color theme="1"/>
      <name val="Arial"/>
      <family val="2"/>
    </font>
    <font>
      <i/>
      <sz val="11"/>
      <color theme="6"/>
      <name val="Arial"/>
      <family val="2"/>
    </font>
    <font>
      <i/>
      <sz val="11"/>
      <color theme="1"/>
      <name val="Calibri"/>
      <family val="2"/>
      <scheme val="minor"/>
    </font>
    <font>
      <b/>
      <i/>
      <sz val="11"/>
      <color theme="1"/>
      <name val="Arial"/>
      <family val="2"/>
    </font>
    <font>
      <sz val="11"/>
      <color rgb="FF000000"/>
      <name val="Calibri"/>
      <family val="2"/>
    </font>
    <font>
      <sz val="10"/>
      <color rgb="FF000000"/>
      <name val="Times New Roman"/>
      <family val="1"/>
    </font>
    <font>
      <sz val="11"/>
      <color rgb="FF1F487C"/>
      <name val="Times New Roman"/>
      <family val="1"/>
    </font>
    <font>
      <sz val="11"/>
      <color rgb="FF1F487C"/>
      <name val="Times New Roman"/>
      <family val="2"/>
    </font>
    <font>
      <b/>
      <sz val="11"/>
      <color rgb="FF1F487C"/>
      <name val="Times New Roman"/>
      <family val="1"/>
    </font>
    <font>
      <b/>
      <vertAlign val="superscript"/>
      <sz val="11"/>
      <color rgb="FF1F487C"/>
      <name val="Times New Roman"/>
      <family val="1"/>
    </font>
    <font>
      <u/>
      <sz val="11"/>
      <color rgb="FF0000FF"/>
      <name val="Times New Roman"/>
      <family val="1"/>
    </font>
    <font>
      <sz val="11"/>
      <color rgb="FF0000FF"/>
      <name val="Times New Roman"/>
      <family val="1"/>
    </font>
    <font>
      <b/>
      <sz val="11.5"/>
      <name val="Times New Roman"/>
      <family val="1"/>
    </font>
    <font>
      <vertAlign val="superscript"/>
      <sz val="11"/>
      <color rgb="FF1F487C"/>
      <name val="Times New Roman"/>
      <family val="1"/>
    </font>
    <font>
      <i/>
      <sz val="11"/>
      <name val="Cambria"/>
      <family val="1"/>
    </font>
    <font>
      <i/>
      <u/>
      <sz val="11"/>
      <color rgb="FF0000FF"/>
      <name val="Times New Roman"/>
      <family val="1"/>
    </font>
    <font>
      <sz val="7"/>
      <color rgb="FF1F487C"/>
      <name val="Times New Roman"/>
      <family val="1"/>
    </font>
    <font>
      <b/>
      <sz val="7"/>
      <color rgb="FF1F487C"/>
      <name val="Times New Roman"/>
      <family val="1"/>
    </font>
    <font>
      <vertAlign val="superscript"/>
      <sz val="11"/>
      <name val="Times New Roman"/>
      <family val="1"/>
    </font>
    <font>
      <sz val="7"/>
      <name val="Times New Roman"/>
      <family val="1"/>
    </font>
    <font>
      <b/>
      <i/>
      <sz val="11"/>
      <name val="Cambria"/>
      <family val="1"/>
    </font>
    <font>
      <b/>
      <i/>
      <sz val="11"/>
      <color rgb="FF4F81BC"/>
      <name val="Cambria"/>
      <family val="1"/>
    </font>
    <font>
      <b/>
      <sz val="11"/>
      <color rgb="FFFFFFFF"/>
      <name val="Calibri"/>
      <family val="2"/>
    </font>
    <font>
      <sz val="11"/>
      <color rgb="FFFFFFFF"/>
      <name val="Arial Black"/>
      <family val="2"/>
    </font>
    <font>
      <b/>
      <sz val="11"/>
      <color rgb="FFFFFFFF"/>
      <name val="Arial Black"/>
      <family val="2"/>
    </font>
    <font>
      <sz val="11"/>
      <color theme="1"/>
      <name val="Calibri"/>
      <family val="2"/>
    </font>
    <font>
      <sz val="11"/>
      <color rgb="FF808080"/>
      <name val="Calibri"/>
      <family val="2"/>
    </font>
    <font>
      <b/>
      <sz val="12"/>
      <color rgb="FF000000"/>
      <name val="Calibri"/>
      <family val="2"/>
    </font>
    <font>
      <b/>
      <sz val="12"/>
      <color theme="1"/>
      <name val="Calibri"/>
      <family val="2"/>
    </font>
    <font>
      <b/>
      <sz val="13"/>
      <color theme="3"/>
      <name val="Calibri"/>
      <family val="2"/>
      <scheme val="minor"/>
    </font>
    <font>
      <b/>
      <sz val="11"/>
      <color theme="6"/>
      <name val="Arial"/>
      <family val="2"/>
    </font>
    <font>
      <sz val="10"/>
      <name val="Arial"/>
      <family val="2"/>
    </font>
    <font>
      <b/>
      <sz val="10"/>
      <name val="Arial"/>
      <family val="2"/>
    </font>
    <font>
      <sz val="10"/>
      <color rgb="FFFF0000"/>
      <name val="Arial"/>
      <family val="2"/>
    </font>
    <font>
      <sz val="9"/>
      <color indexed="8"/>
      <name val="Calibri"/>
      <family val="2"/>
    </font>
    <font>
      <b/>
      <sz val="9"/>
      <color indexed="8"/>
      <name val="Calibri"/>
      <family val="2"/>
    </font>
    <font>
      <sz val="10"/>
      <color indexed="8"/>
      <name val="Arial"/>
      <family val="2"/>
    </font>
    <font>
      <sz val="8"/>
      <name val="Arial"/>
      <family val="2"/>
    </font>
    <font>
      <b/>
      <sz val="12"/>
      <color indexed="30"/>
      <name val="Calibri"/>
      <family val="2"/>
    </font>
    <font>
      <b/>
      <sz val="9"/>
      <name val="Calibri"/>
      <family val="2"/>
    </font>
    <font>
      <sz val="9"/>
      <name val="Calibri"/>
      <family val="2"/>
    </font>
    <font>
      <b/>
      <sz val="14"/>
      <color theme="1"/>
      <name val="Arial"/>
      <family val="2"/>
    </font>
    <font>
      <b/>
      <sz val="15"/>
      <color rgb="FFFFC000"/>
      <name val="Arial"/>
      <family val="2"/>
    </font>
    <font>
      <b/>
      <sz val="20"/>
      <color theme="1"/>
      <name val="Calibri"/>
      <family val="2"/>
      <scheme val="minor"/>
    </font>
    <font>
      <b/>
      <sz val="15"/>
      <color theme="8"/>
      <name val="Arial"/>
      <family val="2"/>
    </font>
    <font>
      <sz val="11"/>
      <color theme="0"/>
      <name val="Arial"/>
      <family val="2"/>
    </font>
    <font>
      <b/>
      <sz val="11"/>
      <color theme="0"/>
      <name val="Times New Roman"/>
      <family val="1"/>
    </font>
    <font>
      <sz val="11"/>
      <color theme="1"/>
      <name val="Times New Roman"/>
      <family val="1"/>
    </font>
    <font>
      <b/>
      <i/>
      <sz val="11"/>
      <color theme="1"/>
      <name val="Times New Roman"/>
      <family val="1"/>
    </font>
    <font>
      <sz val="11"/>
      <color rgb="FF000000"/>
      <name val="Times New Roman"/>
      <family val="1"/>
    </font>
    <font>
      <b/>
      <sz val="11"/>
      <color theme="1"/>
      <name val="Times New Roman"/>
      <family val="1"/>
    </font>
    <font>
      <vertAlign val="subscript"/>
      <sz val="11"/>
      <color theme="1"/>
      <name val="Times New Roman"/>
      <family val="1"/>
    </font>
    <font>
      <sz val="10"/>
      <color rgb="FF00B050"/>
      <name val="Arial"/>
      <family val="2"/>
    </font>
    <font>
      <b/>
      <i/>
      <sz val="11"/>
      <name val="Times New Roman"/>
      <family val="1"/>
    </font>
    <font>
      <sz val="11"/>
      <color theme="4"/>
      <name val="Calibri"/>
      <family val="2"/>
    </font>
  </fonts>
  <fills count="16">
    <fill>
      <patternFill patternType="none"/>
    </fill>
    <fill>
      <patternFill patternType="gray125"/>
    </fill>
    <fill>
      <patternFill patternType="solid">
        <fgColor theme="4" tint="0.79998168889431442"/>
        <bgColor indexed="65"/>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1F1F1"/>
      </patternFill>
    </fill>
    <fill>
      <patternFill patternType="solid">
        <fgColor rgb="FF1F487C"/>
      </patternFill>
    </fill>
    <fill>
      <patternFill patternType="solid">
        <fgColor rgb="FF2F75B5"/>
        <bgColor indexed="64"/>
      </patternFill>
    </fill>
    <fill>
      <patternFill patternType="solid">
        <fgColor theme="7" tint="0.79998168889431442"/>
        <bgColor indexed="64"/>
      </patternFill>
    </fill>
    <fill>
      <patternFill patternType="solid">
        <fgColor theme="8"/>
        <bgColor indexed="64"/>
      </patternFill>
    </fill>
    <fill>
      <patternFill patternType="solid">
        <fgColor theme="4"/>
        <bgColor theme="4"/>
      </patternFill>
    </fill>
    <fill>
      <patternFill patternType="solid">
        <fgColor theme="4"/>
        <bgColor indexed="64"/>
      </patternFill>
    </fill>
    <fill>
      <patternFill patternType="solid">
        <fgColor theme="6"/>
        <bgColor indexed="64"/>
      </patternFill>
    </fill>
    <fill>
      <patternFill patternType="solid">
        <fgColor theme="7" tint="0.59999389629810485"/>
        <bgColor indexed="64"/>
      </patternFill>
    </fill>
  </fills>
  <borders count="79">
    <border>
      <left/>
      <right/>
      <top/>
      <bottom/>
      <diagonal/>
    </border>
    <border>
      <left/>
      <right/>
      <top/>
      <bottom style="thick">
        <color theme="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rgb="FF000000"/>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right/>
      <top/>
      <bottom style="thick">
        <color theme="4" tint="0.499984740745262"/>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top/>
      <bottom style="thick">
        <color rgb="FF0096D7"/>
      </bottom>
      <diagonal/>
    </border>
    <border>
      <left/>
      <right/>
      <top/>
      <bottom style="thin">
        <color rgb="FFBFBFBF"/>
      </bottom>
      <diagonal/>
    </border>
    <border>
      <left/>
      <right/>
      <top/>
      <bottom style="dashed">
        <color rgb="FFBFBFBF"/>
      </bottom>
      <diagonal/>
    </border>
    <border>
      <left/>
      <right/>
      <top style="medium">
        <color rgb="FF0096D7"/>
      </top>
      <bottom/>
      <diagonal/>
    </border>
    <border>
      <left style="medium">
        <color indexed="64"/>
      </left>
      <right/>
      <top/>
      <bottom style="dashed">
        <color rgb="FFBFBFBF"/>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theme="4"/>
      </top>
      <bottom/>
      <diagonal/>
    </border>
    <border>
      <left style="thin">
        <color theme="4"/>
      </left>
      <right/>
      <top style="thin">
        <color theme="4"/>
      </top>
      <bottom/>
      <diagonal/>
    </border>
    <border>
      <left/>
      <right style="thin">
        <color theme="4"/>
      </right>
      <top style="thin">
        <color theme="4"/>
      </top>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0">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1" applyNumberFormat="0" applyFill="0" applyAlignment="0" applyProtection="0"/>
    <xf numFmtId="0" fontId="1" fillId="2" borderId="0" applyNumberFormat="0" applyBorder="0" applyAlignment="0" applyProtection="0"/>
    <xf numFmtId="0" fontId="10" fillId="0" borderId="0" applyNumberFormat="0" applyFill="0" applyBorder="0" applyAlignment="0" applyProtection="0"/>
    <xf numFmtId="0" fontId="11" fillId="0" borderId="0"/>
    <xf numFmtId="9" fontId="1" fillId="0" borderId="0" applyFont="0" applyFill="0" applyBorder="0" applyAlignment="0" applyProtection="0"/>
    <xf numFmtId="0" fontId="23" fillId="0" borderId="0"/>
    <xf numFmtId="0" fontId="47" fillId="0" borderId="46" applyNumberFormat="0" applyFill="0" applyAlignment="0" applyProtection="0"/>
    <xf numFmtId="0" fontId="1" fillId="0" borderId="0"/>
    <xf numFmtId="9" fontId="11" fillId="0" borderId="0" applyFont="0" applyFill="0" applyBorder="0" applyAlignment="0" applyProtection="0"/>
    <xf numFmtId="9" fontId="1" fillId="0" borderId="0" applyFont="0" applyFill="0" applyBorder="0" applyAlignment="0" applyProtection="0"/>
    <xf numFmtId="0" fontId="49" fillId="0" borderId="0"/>
    <xf numFmtId="0" fontId="52" fillId="0" borderId="0"/>
    <xf numFmtId="0" fontId="53" fillId="0" borderId="61">
      <alignment wrapText="1"/>
    </xf>
    <xf numFmtId="0" fontId="56" fillId="0" borderId="0">
      <alignment horizontal="left"/>
    </xf>
    <xf numFmtId="0" fontId="53" fillId="0" borderId="62">
      <alignment wrapText="1"/>
    </xf>
    <xf numFmtId="0" fontId="52" fillId="0" borderId="63">
      <alignment wrapText="1"/>
    </xf>
    <xf numFmtId="0" fontId="52" fillId="0" borderId="64">
      <alignment wrapText="1"/>
    </xf>
  </cellStyleXfs>
  <cellXfs count="597">
    <xf numFmtId="0" fontId="0" fillId="0" borderId="0" xfId="0"/>
    <xf numFmtId="0" fontId="3" fillId="0" borderId="0" xfId="0" applyFont="1"/>
    <xf numFmtId="0" fontId="4" fillId="0" borderId="0" xfId="0" applyFont="1"/>
    <xf numFmtId="164" fontId="3" fillId="0" borderId="0" xfId="0" applyNumberFormat="1" applyFont="1"/>
    <xf numFmtId="165" fontId="3" fillId="0" borderId="0" xfId="2" applyNumberFormat="1" applyFont="1"/>
    <xf numFmtId="165" fontId="3" fillId="0" borderId="0" xfId="0" applyNumberFormat="1" applyFont="1"/>
    <xf numFmtId="0" fontId="6" fillId="0" borderId="0" xfId="3" applyFont="1" applyBorder="1"/>
    <xf numFmtId="0" fontId="3" fillId="4" borderId="0" xfId="4" applyFont="1" applyFill="1"/>
    <xf numFmtId="0" fontId="3" fillId="4" borderId="0" xfId="0" applyFont="1" applyFill="1"/>
    <xf numFmtId="0" fontId="5" fillId="3" borderId="0" xfId="0" applyFont="1" applyFill="1"/>
    <xf numFmtId="0" fontId="7" fillId="0" borderId="0" xfId="3" applyFont="1" applyBorder="1"/>
    <xf numFmtId="0" fontId="8" fillId="0" borderId="0" xfId="0" applyFont="1"/>
    <xf numFmtId="0" fontId="8" fillId="4" borderId="0" xfId="0" applyFont="1" applyFill="1"/>
    <xf numFmtId="0" fontId="9" fillId="0" borderId="0" xfId="0" applyFont="1"/>
    <xf numFmtId="0" fontId="11" fillId="0" borderId="0" xfId="6" applyAlignment="1">
      <alignment horizontal="left" vertical="top"/>
    </xf>
    <xf numFmtId="0" fontId="10" fillId="0" borderId="0" xfId="5" applyAlignment="1">
      <alignment horizontal="left" vertical="top"/>
    </xf>
    <xf numFmtId="0" fontId="11" fillId="0" borderId="0" xfId="6" applyAlignment="1">
      <alignment horizontal="right" vertical="top"/>
    </xf>
    <xf numFmtId="43" fontId="3" fillId="0" borderId="0" xfId="1" applyFont="1"/>
    <xf numFmtId="170" fontId="3" fillId="0" borderId="0" xfId="1" applyNumberFormat="1" applyFont="1"/>
    <xf numFmtId="10" fontId="3" fillId="0" borderId="0" xfId="7" applyNumberFormat="1" applyFont="1"/>
    <xf numFmtId="0" fontId="18" fillId="0" borderId="0" xfId="0" applyFont="1"/>
    <xf numFmtId="0" fontId="19" fillId="0" borderId="0" xfId="0" applyFont="1"/>
    <xf numFmtId="1" fontId="3" fillId="0" borderId="0" xfId="0" applyNumberFormat="1" applyFont="1"/>
    <xf numFmtId="0" fontId="23" fillId="0" borderId="0" xfId="8" applyAlignment="1">
      <alignment horizontal="left" vertical="top"/>
    </xf>
    <xf numFmtId="0" fontId="30" fillId="8" borderId="38" xfId="8" applyFont="1" applyFill="1" applyBorder="1" applyAlignment="1">
      <alignment horizontal="left" vertical="top" wrapText="1"/>
    </xf>
    <xf numFmtId="0" fontId="23" fillId="0" borderId="0" xfId="8" applyAlignment="1">
      <alignment horizontal="left" wrapText="1"/>
    </xf>
    <xf numFmtId="0" fontId="23" fillId="7" borderId="28" xfId="8" applyFill="1" applyBorder="1" applyAlignment="1">
      <alignment horizontal="left" vertical="center" wrapText="1"/>
    </xf>
    <xf numFmtId="0" fontId="23" fillId="0" borderId="29" xfId="8" applyBorder="1" applyAlignment="1">
      <alignment horizontal="left" wrapText="1"/>
    </xf>
    <xf numFmtId="0" fontId="41" fillId="9" borderId="40" xfId="0" applyFont="1" applyFill="1" applyBorder="1" applyAlignment="1">
      <alignment horizontal="center" vertical="center"/>
    </xf>
    <xf numFmtId="0" fontId="40" fillId="9" borderId="43" xfId="0" applyFont="1" applyFill="1" applyBorder="1" applyAlignment="1">
      <alignment horizontal="center" vertical="center"/>
    </xf>
    <xf numFmtId="0" fontId="22" fillId="0" borderId="44" xfId="0" applyFont="1" applyBorder="1" applyAlignment="1">
      <alignment horizontal="center" vertical="center"/>
    </xf>
    <xf numFmtId="0" fontId="22" fillId="0" borderId="19" xfId="0" applyFont="1" applyBorder="1" applyAlignment="1">
      <alignment vertical="center"/>
    </xf>
    <xf numFmtId="0" fontId="22" fillId="0" borderId="45"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8" xfId="0" applyFont="1" applyBorder="1" applyAlignment="1">
      <alignment horizontal="center" vertical="center"/>
    </xf>
    <xf numFmtId="3" fontId="22" fillId="0" borderId="19" xfId="0" applyNumberFormat="1" applyFont="1" applyBorder="1" applyAlignment="1">
      <alignment vertical="center"/>
    </xf>
    <xf numFmtId="3" fontId="22" fillId="0" borderId="19" xfId="0" applyNumberFormat="1" applyFont="1" applyBorder="1" applyAlignment="1">
      <alignment horizontal="right" vertical="center"/>
    </xf>
    <xf numFmtId="3" fontId="22" fillId="0" borderId="19" xfId="1" applyNumberFormat="1" applyFont="1" applyBorder="1" applyAlignment="1">
      <alignment horizontal="right" vertical="center"/>
    </xf>
    <xf numFmtId="0" fontId="22" fillId="0" borderId="19" xfId="1" applyNumberFormat="1" applyFont="1" applyBorder="1" applyAlignment="1">
      <alignment horizontal="right" vertical="center"/>
    </xf>
    <xf numFmtId="0" fontId="22" fillId="0" borderId="18" xfId="0" applyFont="1" applyBorder="1" applyAlignment="1">
      <alignment horizontal="center" vertical="center"/>
    </xf>
    <xf numFmtId="0" fontId="45" fillId="0" borderId="40" xfId="0" applyFont="1" applyBorder="1" applyAlignment="1">
      <alignment horizontal="center" vertical="center"/>
    </xf>
    <xf numFmtId="0" fontId="47" fillId="0" borderId="46" xfId="9" applyAlignment="1"/>
    <xf numFmtId="0" fontId="47" fillId="0" borderId="46" xfId="9"/>
    <xf numFmtId="0" fontId="3" fillId="0" borderId="6" xfId="0" applyFont="1" applyBorder="1"/>
    <xf numFmtId="0" fontId="3" fillId="0" borderId="12" xfId="0" applyFont="1" applyBorder="1"/>
    <xf numFmtId="0" fontId="4" fillId="5" borderId="9" xfId="0" applyFont="1" applyFill="1" applyBorder="1"/>
    <xf numFmtId="0" fontId="47" fillId="5" borderId="40" xfId="9" applyFill="1" applyBorder="1" applyAlignment="1"/>
    <xf numFmtId="9" fontId="47" fillId="5" borderId="16" xfId="7" applyFont="1" applyFill="1" applyBorder="1" applyAlignment="1"/>
    <xf numFmtId="9" fontId="47" fillId="5" borderId="17" xfId="7" applyFont="1" applyFill="1" applyBorder="1" applyAlignment="1"/>
    <xf numFmtId="0" fontId="3" fillId="0" borderId="4" xfId="0" applyFont="1" applyBorder="1"/>
    <xf numFmtId="14" fontId="3" fillId="0" borderId="0" xfId="0" applyNumberFormat="1" applyFont="1" applyAlignment="1">
      <alignment horizontal="left"/>
    </xf>
    <xf numFmtId="0" fontId="18" fillId="0" borderId="0" xfId="0" applyFont="1" applyAlignment="1">
      <alignment horizontal="left"/>
    </xf>
    <xf numFmtId="0" fontId="3" fillId="0" borderId="50" xfId="0" applyFont="1" applyBorder="1"/>
    <xf numFmtId="0" fontId="19" fillId="0" borderId="51" xfId="0" applyFont="1" applyBorder="1"/>
    <xf numFmtId="0" fontId="5" fillId="3" borderId="51" xfId="0" applyFont="1" applyFill="1" applyBorder="1"/>
    <xf numFmtId="0" fontId="3" fillId="0" borderId="52" xfId="0" applyFont="1" applyBorder="1"/>
    <xf numFmtId="0" fontId="3" fillId="0" borderId="53" xfId="0" applyFont="1" applyBorder="1"/>
    <xf numFmtId="0" fontId="3" fillId="0" borderId="54" xfId="0" applyFont="1" applyBorder="1"/>
    <xf numFmtId="0" fontId="3" fillId="0" borderId="5" xfId="0" applyFont="1" applyBorder="1"/>
    <xf numFmtId="0" fontId="19" fillId="0" borderId="55" xfId="0" applyFont="1" applyBorder="1"/>
    <xf numFmtId="0" fontId="9" fillId="0" borderId="55" xfId="0" applyFont="1" applyBorder="1"/>
    <xf numFmtId="0" fontId="3" fillId="0" borderId="11" xfId="0" applyFont="1" applyBorder="1"/>
    <xf numFmtId="0" fontId="3" fillId="0" borderId="51" xfId="0" applyFont="1" applyBorder="1"/>
    <xf numFmtId="0" fontId="3" fillId="0" borderId="55" xfId="0" applyFont="1" applyBorder="1"/>
    <xf numFmtId="9" fontId="5" fillId="3" borderId="51" xfId="0" applyNumberFormat="1" applyFont="1" applyFill="1" applyBorder="1"/>
    <xf numFmtId="0" fontId="3" fillId="0" borderId="0" xfId="0" applyFont="1" applyAlignment="1">
      <alignment horizontal="left"/>
    </xf>
    <xf numFmtId="0" fontId="19" fillId="0" borderId="0" xfId="0" applyFont="1" applyAlignment="1">
      <alignment horizontal="left"/>
    </xf>
    <xf numFmtId="0" fontId="5" fillId="3" borderId="0" xfId="0" applyFont="1" applyFill="1" applyAlignment="1">
      <alignment horizontal="left"/>
    </xf>
    <xf numFmtId="172" fontId="3" fillId="0" borderId="0" xfId="7" applyNumberFormat="1" applyFont="1"/>
    <xf numFmtId="170" fontId="3" fillId="0" borderId="0" xfId="0" applyNumberFormat="1" applyFont="1"/>
    <xf numFmtId="49" fontId="8" fillId="0" borderId="0" xfId="0" applyNumberFormat="1" applyFont="1"/>
    <xf numFmtId="1" fontId="47" fillId="5" borderId="16" xfId="7" applyNumberFormat="1" applyFont="1" applyFill="1" applyBorder="1" applyAlignment="1"/>
    <xf numFmtId="0" fontId="3" fillId="0" borderId="58" xfId="0" applyFont="1" applyBorder="1"/>
    <xf numFmtId="49" fontId="8" fillId="0" borderId="55" xfId="0" applyNumberFormat="1" applyFont="1" applyBorder="1"/>
    <xf numFmtId="170" fontId="3" fillId="0" borderId="55" xfId="0" applyNumberFormat="1" applyFont="1" applyBorder="1"/>
    <xf numFmtId="170" fontId="3" fillId="0" borderId="55" xfId="1" applyNumberFormat="1" applyFont="1" applyBorder="1"/>
    <xf numFmtId="49" fontId="48" fillId="0" borderId="0" xfId="0" applyNumberFormat="1" applyFont="1"/>
    <xf numFmtId="170" fontId="4" fillId="0" borderId="0" xfId="0" applyNumberFormat="1" applyFont="1"/>
    <xf numFmtId="170" fontId="4" fillId="0" borderId="0" xfId="1" applyNumberFormat="1" applyFont="1"/>
    <xf numFmtId="2" fontId="0" fillId="0" borderId="0" xfId="0" applyNumberFormat="1"/>
    <xf numFmtId="6" fontId="23" fillId="0" borderId="0" xfId="8" applyNumberFormat="1" applyAlignment="1">
      <alignment horizontal="left" vertical="top" wrapText="1"/>
    </xf>
    <xf numFmtId="6" fontId="23" fillId="0" borderId="0" xfId="8" applyNumberFormat="1" applyAlignment="1">
      <alignment horizontal="left" wrapText="1"/>
    </xf>
    <xf numFmtId="173" fontId="3" fillId="0" borderId="0" xfId="0" applyNumberFormat="1" applyFont="1"/>
    <xf numFmtId="43" fontId="3" fillId="0" borderId="0" xfId="0" applyNumberFormat="1" applyFont="1"/>
    <xf numFmtId="174" fontId="3" fillId="0" borderId="0" xfId="0" applyNumberFormat="1" applyFont="1"/>
    <xf numFmtId="173" fontId="3" fillId="0" borderId="0" xfId="1" applyNumberFormat="1" applyFont="1"/>
    <xf numFmtId="8" fontId="3" fillId="0" borderId="0" xfId="2" applyNumberFormat="1" applyFont="1"/>
    <xf numFmtId="8" fontId="3" fillId="0" borderId="0" xfId="1" applyNumberFormat="1" applyFont="1"/>
    <xf numFmtId="9" fontId="3" fillId="0" borderId="19" xfId="7" applyFont="1" applyBorder="1"/>
    <xf numFmtId="9" fontId="3" fillId="0" borderId="0" xfId="7" applyFont="1"/>
    <xf numFmtId="170" fontId="3" fillId="0" borderId="0" xfId="1" applyNumberFormat="1" applyFont="1" applyFill="1"/>
    <xf numFmtId="168" fontId="23" fillId="0" borderId="0" xfId="8" applyNumberFormat="1" applyAlignment="1">
      <alignment horizontal="left" vertical="top"/>
    </xf>
    <xf numFmtId="166" fontId="23" fillId="0" borderId="0" xfId="8" applyNumberFormat="1" applyAlignment="1">
      <alignment horizontal="left" vertical="top"/>
    </xf>
    <xf numFmtId="1" fontId="23" fillId="0" borderId="0" xfId="8" applyNumberFormat="1" applyAlignment="1">
      <alignment horizontal="left" vertical="top"/>
    </xf>
    <xf numFmtId="0" fontId="50" fillId="0" borderId="0" xfId="13" applyFont="1"/>
    <xf numFmtId="0" fontId="49" fillId="0" borderId="0" xfId="13"/>
    <xf numFmtId="14" fontId="49" fillId="0" borderId="0" xfId="13" applyNumberFormat="1"/>
    <xf numFmtId="171" fontId="49" fillId="0" borderId="0" xfId="13" applyNumberFormat="1" applyAlignment="1">
      <alignment horizontal="right"/>
    </xf>
    <xf numFmtId="14" fontId="49" fillId="0" borderId="0" xfId="13" applyNumberFormat="1" applyAlignment="1">
      <alignment horizontal="right"/>
    </xf>
    <xf numFmtId="0" fontId="49" fillId="0" borderId="0" xfId="13" applyAlignment="1">
      <alignment horizontal="center"/>
    </xf>
    <xf numFmtId="0" fontId="0" fillId="0" borderId="18" xfId="0" applyBorder="1"/>
    <xf numFmtId="0" fontId="0" fillId="0" borderId="59" xfId="0" applyBorder="1"/>
    <xf numFmtId="0" fontId="0" fillId="0" borderId="60" xfId="0" applyBorder="1"/>
    <xf numFmtId="0" fontId="17" fillId="0" borderId="0" xfId="0" applyFont="1"/>
    <xf numFmtId="0" fontId="52" fillId="0" borderId="0" xfId="14"/>
    <xf numFmtId="0" fontId="53" fillId="0" borderId="61" xfId="15">
      <alignment wrapText="1"/>
    </xf>
    <xf numFmtId="0" fontId="20" fillId="10" borderId="39" xfId="0" applyFont="1" applyFill="1" applyBorder="1"/>
    <xf numFmtId="0" fontId="20" fillId="10" borderId="23" xfId="0" applyFont="1" applyFill="1" applyBorder="1"/>
    <xf numFmtId="0" fontId="54" fillId="0" borderId="0" xfId="0" applyFont="1"/>
    <xf numFmtId="0" fontId="10" fillId="10" borderId="23" xfId="5" applyFill="1" applyBorder="1"/>
    <xf numFmtId="0" fontId="0" fillId="10" borderId="56" xfId="0" applyFill="1" applyBorder="1"/>
    <xf numFmtId="0" fontId="55" fillId="0" borderId="0" xfId="0" applyFont="1"/>
    <xf numFmtId="0" fontId="56" fillId="0" borderId="0" xfId="16">
      <alignment horizontal="left"/>
    </xf>
    <xf numFmtId="0" fontId="57" fillId="0" borderId="0" xfId="0" applyFont="1" applyAlignment="1">
      <alignment horizontal="right"/>
    </xf>
    <xf numFmtId="0" fontId="0" fillId="0" borderId="0" xfId="0" applyAlignment="1">
      <alignment horizontal="left"/>
    </xf>
    <xf numFmtId="0" fontId="53" fillId="0" borderId="61" xfId="15" applyAlignment="1">
      <alignment horizontal="right"/>
    </xf>
    <xf numFmtId="0" fontId="53" fillId="0" borderId="62" xfId="17">
      <alignment wrapText="1"/>
    </xf>
    <xf numFmtId="0" fontId="0" fillId="0" borderId="63" xfId="18" applyFont="1">
      <alignment wrapText="1"/>
    </xf>
    <xf numFmtId="3" fontId="0" fillId="0" borderId="63" xfId="18" applyNumberFormat="1" applyFont="1" applyAlignment="1">
      <alignment horizontal="right" wrapText="1"/>
    </xf>
    <xf numFmtId="172" fontId="0" fillId="0" borderId="63" xfId="18" applyNumberFormat="1" applyFont="1" applyAlignment="1">
      <alignment horizontal="right" wrapText="1"/>
    </xf>
    <xf numFmtId="4" fontId="0" fillId="0" borderId="63" xfId="18" applyNumberFormat="1" applyFont="1" applyAlignment="1">
      <alignment horizontal="right" wrapText="1"/>
    </xf>
    <xf numFmtId="0" fontId="55" fillId="3" borderId="0" xfId="0" applyFont="1" applyFill="1"/>
    <xf numFmtId="0" fontId="0" fillId="3" borderId="63" xfId="18" applyFont="1" applyFill="1">
      <alignment wrapText="1"/>
    </xf>
    <xf numFmtId="4" fontId="0" fillId="3" borderId="63" xfId="18" applyNumberFormat="1" applyFont="1" applyFill="1" applyAlignment="1">
      <alignment horizontal="right" wrapText="1"/>
    </xf>
    <xf numFmtId="172" fontId="0" fillId="3" borderId="63" xfId="18" applyNumberFormat="1" applyFont="1" applyFill="1" applyAlignment="1">
      <alignment horizontal="right" wrapText="1"/>
    </xf>
    <xf numFmtId="0" fontId="0" fillId="3" borderId="0" xfId="0" applyFill="1"/>
    <xf numFmtId="4" fontId="53" fillId="0" borderId="62" xfId="17" applyNumberFormat="1" applyAlignment="1">
      <alignment horizontal="right" wrapText="1"/>
    </xf>
    <xf numFmtId="172" fontId="53" fillId="0" borderId="62" xfId="17" applyNumberFormat="1" applyAlignment="1">
      <alignment horizontal="right" wrapText="1"/>
    </xf>
    <xf numFmtId="0" fontId="58" fillId="0" borderId="64" xfId="19" applyFont="1">
      <alignment wrapText="1"/>
    </xf>
    <xf numFmtId="10" fontId="0" fillId="0" borderId="0" xfId="0" applyNumberFormat="1"/>
    <xf numFmtId="0" fontId="10" fillId="0" borderId="0" xfId="5"/>
    <xf numFmtId="0" fontId="17" fillId="0" borderId="45" xfId="0" applyFont="1" applyBorder="1"/>
    <xf numFmtId="0" fontId="17" fillId="0" borderId="43" xfId="0" applyFont="1" applyBorder="1"/>
    <xf numFmtId="0" fontId="0" fillId="3" borderId="65" xfId="18" applyFont="1" applyFill="1" applyBorder="1">
      <alignment wrapText="1"/>
    </xf>
    <xf numFmtId="171" fontId="0" fillId="0" borderId="0" xfId="0" applyNumberFormat="1"/>
    <xf numFmtId="175" fontId="0" fillId="0" borderId="0" xfId="0" applyNumberFormat="1"/>
    <xf numFmtId="175" fontId="0" fillId="0" borderId="43" xfId="0" applyNumberFormat="1" applyBorder="1"/>
    <xf numFmtId="0" fontId="0" fillId="3" borderId="44" xfId="18" applyFont="1" applyFill="1" applyBorder="1">
      <alignment wrapText="1"/>
    </xf>
    <xf numFmtId="171" fontId="0" fillId="0" borderId="49" xfId="0" applyNumberFormat="1" applyBorder="1"/>
    <xf numFmtId="175" fontId="0" fillId="0" borderId="49" xfId="0" applyNumberFormat="1" applyBorder="1"/>
    <xf numFmtId="175" fontId="0" fillId="0" borderId="57" xfId="0" applyNumberFormat="1" applyBorder="1"/>
    <xf numFmtId="0" fontId="4" fillId="5" borderId="8" xfId="0" applyFont="1" applyFill="1" applyBorder="1"/>
    <xf numFmtId="1" fontId="47" fillId="5" borderId="17" xfId="7" applyNumberFormat="1" applyFont="1" applyFill="1" applyBorder="1" applyAlignment="1"/>
    <xf numFmtId="0" fontId="4" fillId="5" borderId="49" xfId="0" applyFont="1" applyFill="1" applyBorder="1"/>
    <xf numFmtId="170" fontId="4" fillId="0" borderId="0" xfId="1" applyNumberFormat="1" applyFont="1" applyFill="1" applyBorder="1"/>
    <xf numFmtId="0" fontId="4" fillId="5" borderId="40" xfId="0" applyFont="1" applyFill="1" applyBorder="1"/>
    <xf numFmtId="0" fontId="4" fillId="5" borderId="16" xfId="0" applyFont="1" applyFill="1" applyBorder="1"/>
    <xf numFmtId="0" fontId="3" fillId="0" borderId="66" xfId="0" applyFont="1" applyBorder="1"/>
    <xf numFmtId="0" fontId="4" fillId="5" borderId="67" xfId="0" applyFont="1" applyFill="1" applyBorder="1"/>
    <xf numFmtId="0" fontId="3" fillId="0" borderId="45" xfId="0" applyFont="1" applyBorder="1"/>
    <xf numFmtId="0" fontId="3" fillId="0" borderId="59" xfId="0" applyFont="1" applyBorder="1"/>
    <xf numFmtId="173" fontId="3" fillId="0" borderId="20" xfId="1" applyNumberFormat="1" applyFont="1" applyBorder="1"/>
    <xf numFmtId="173" fontId="3" fillId="0" borderId="21" xfId="1" applyNumberFormat="1" applyFont="1" applyBorder="1"/>
    <xf numFmtId="173" fontId="4" fillId="5" borderId="22" xfId="0" applyNumberFormat="1" applyFont="1" applyFill="1" applyBorder="1"/>
    <xf numFmtId="173" fontId="4" fillId="5" borderId="10" xfId="0" applyNumberFormat="1" applyFont="1" applyFill="1" applyBorder="1"/>
    <xf numFmtId="173" fontId="3" fillId="0" borderId="47" xfId="0" applyNumberFormat="1" applyFont="1" applyBorder="1"/>
    <xf numFmtId="173" fontId="3" fillId="0" borderId="7" xfId="0" applyNumberFormat="1" applyFont="1" applyBorder="1"/>
    <xf numFmtId="173" fontId="3" fillId="0" borderId="19" xfId="0" applyNumberFormat="1" applyFont="1" applyBorder="1"/>
    <xf numFmtId="173" fontId="3" fillId="0" borderId="14" xfId="0" applyNumberFormat="1" applyFont="1" applyBorder="1"/>
    <xf numFmtId="43" fontId="3" fillId="0" borderId="0" xfId="1" applyFont="1" applyBorder="1"/>
    <xf numFmtId="43" fontId="4" fillId="5" borderId="49" xfId="1" applyFont="1" applyFill="1" applyBorder="1"/>
    <xf numFmtId="43" fontId="4" fillId="5" borderId="57" xfId="1" applyFont="1" applyFill="1" applyBorder="1"/>
    <xf numFmtId="43" fontId="4" fillId="5" borderId="16" xfId="1" applyFont="1" applyFill="1" applyBorder="1"/>
    <xf numFmtId="43" fontId="4" fillId="5" borderId="17" xfId="1" applyFont="1" applyFill="1" applyBorder="1"/>
    <xf numFmtId="43" fontId="4" fillId="0" borderId="0" xfId="1" applyFont="1" applyFill="1" applyBorder="1"/>
    <xf numFmtId="9" fontId="5" fillId="3" borderId="0" xfId="0" applyNumberFormat="1" applyFont="1" applyFill="1"/>
    <xf numFmtId="1" fontId="5" fillId="3" borderId="0" xfId="0" applyNumberFormat="1" applyFont="1" applyFill="1"/>
    <xf numFmtId="169" fontId="5" fillId="3" borderId="0" xfId="0" applyNumberFormat="1" applyFont="1" applyFill="1"/>
    <xf numFmtId="10" fontId="3" fillId="0" borderId="0" xfId="7" applyNumberFormat="1" applyFont="1" applyBorder="1"/>
    <xf numFmtId="44" fontId="5" fillId="3" borderId="0" xfId="2" applyFont="1" applyFill="1" applyBorder="1"/>
    <xf numFmtId="0" fontId="3" fillId="0" borderId="55" xfId="0" applyFont="1" applyBorder="1" applyAlignment="1">
      <alignment wrapText="1"/>
    </xf>
    <xf numFmtId="8" fontId="5" fillId="3" borderId="0" xfId="7" applyNumberFormat="1" applyFont="1" applyFill="1" applyBorder="1"/>
    <xf numFmtId="169" fontId="5" fillId="3" borderId="51" xfId="0" applyNumberFormat="1" applyFont="1" applyFill="1" applyBorder="1"/>
    <xf numFmtId="165" fontId="3" fillId="0" borderId="55" xfId="0" applyNumberFormat="1" applyFont="1" applyBorder="1"/>
    <xf numFmtId="0" fontId="18" fillId="0" borderId="51" xfId="0" applyFont="1" applyBorder="1"/>
    <xf numFmtId="0" fontId="11" fillId="0" borderId="51" xfId="8" applyFont="1" applyBorder="1" applyAlignment="1">
      <alignment horizontal="left" vertical="top"/>
    </xf>
    <xf numFmtId="1" fontId="23" fillId="0" borderId="51" xfId="8" applyNumberFormat="1" applyBorder="1" applyAlignment="1">
      <alignment horizontal="left" vertical="top"/>
    </xf>
    <xf numFmtId="1" fontId="23" fillId="0" borderId="52" xfId="8" applyNumberFormat="1" applyBorder="1" applyAlignment="1">
      <alignment horizontal="left" vertical="top"/>
    </xf>
    <xf numFmtId="8" fontId="5" fillId="3" borderId="54" xfId="7" applyNumberFormat="1" applyFont="1" applyFill="1" applyBorder="1"/>
    <xf numFmtId="8" fontId="5" fillId="3" borderId="55" xfId="7" applyNumberFormat="1" applyFont="1" applyFill="1" applyBorder="1"/>
    <xf numFmtId="8" fontId="5" fillId="3" borderId="11" xfId="7" applyNumberFormat="1" applyFont="1" applyFill="1" applyBorder="1"/>
    <xf numFmtId="167" fontId="23" fillId="0" borderId="0" xfId="8" applyNumberFormat="1" applyAlignment="1">
      <alignment horizontal="left" vertical="top"/>
    </xf>
    <xf numFmtId="2" fontId="3" fillId="0" borderId="19" xfId="0" applyNumberFormat="1" applyFont="1" applyBorder="1"/>
    <xf numFmtId="2" fontId="3" fillId="0" borderId="14" xfId="0" applyNumberFormat="1" applyFont="1" applyBorder="1"/>
    <xf numFmtId="0" fontId="7" fillId="0" borderId="0" xfId="3" applyFont="1" applyBorder="1" applyAlignment="1">
      <alignment horizontal="center"/>
    </xf>
    <xf numFmtId="2" fontId="59" fillId="0" borderId="17" xfId="0" applyNumberFormat="1" applyFont="1" applyBorder="1"/>
    <xf numFmtId="2" fontId="59" fillId="0" borderId="0" xfId="0" applyNumberFormat="1" applyFont="1"/>
    <xf numFmtId="172" fontId="3" fillId="0" borderId="53" xfId="0" applyNumberFormat="1" applyFont="1" applyBorder="1"/>
    <xf numFmtId="9" fontId="3" fillId="0" borderId="22" xfId="7" applyFont="1" applyBorder="1"/>
    <xf numFmtId="9" fontId="3" fillId="0" borderId="10" xfId="7" applyFont="1" applyBorder="1"/>
    <xf numFmtId="0" fontId="60" fillId="0" borderId="0" xfId="3" applyFont="1" applyBorder="1"/>
    <xf numFmtId="0" fontId="40" fillId="9" borderId="45" xfId="0" applyFont="1" applyFill="1" applyBorder="1" applyAlignment="1">
      <alignment horizontal="center" vertical="center" wrapText="1"/>
    </xf>
    <xf numFmtId="0" fontId="22" fillId="0" borderId="13" xfId="0" applyFont="1" applyBorder="1" applyAlignment="1">
      <alignment horizontal="right" vertical="center"/>
    </xf>
    <xf numFmtId="0" fontId="44" fillId="0" borderId="13" xfId="0" applyFont="1" applyBorder="1" applyAlignment="1">
      <alignment horizontal="right" vertical="center"/>
    </xf>
    <xf numFmtId="3" fontId="0" fillId="0" borderId="13" xfId="0" applyNumberFormat="1" applyBorder="1" applyAlignment="1">
      <alignment horizontal="right"/>
    </xf>
    <xf numFmtId="3" fontId="22" fillId="0" borderId="13" xfId="0" applyNumberFormat="1" applyFont="1" applyBorder="1" applyAlignment="1">
      <alignment horizontal="right"/>
    </xf>
    <xf numFmtId="0" fontId="41" fillId="0" borderId="68" xfId="0" applyFont="1" applyBorder="1" applyAlignment="1">
      <alignment horizontal="center" vertical="center"/>
    </xf>
    <xf numFmtId="0" fontId="40" fillId="0" borderId="68" xfId="0" applyFont="1" applyBorder="1" applyAlignment="1">
      <alignment horizontal="center" vertical="center" wrapText="1"/>
    </xf>
    <xf numFmtId="0" fontId="22" fillId="0" borderId="68" xfId="0" applyFont="1" applyBorder="1" applyAlignment="1">
      <alignment horizontal="right" vertical="center"/>
    </xf>
    <xf numFmtId="0" fontId="44" fillId="0" borderId="68" xfId="0" applyFont="1" applyBorder="1" applyAlignment="1">
      <alignment horizontal="right" vertical="center"/>
    </xf>
    <xf numFmtId="3" fontId="0" fillId="0" borderId="68" xfId="0" applyNumberFormat="1" applyBorder="1" applyAlignment="1">
      <alignment horizontal="right"/>
    </xf>
    <xf numFmtId="3" fontId="22" fillId="0" borderId="68" xfId="0" applyNumberFormat="1" applyFont="1" applyBorder="1" applyAlignment="1">
      <alignment horizontal="right"/>
    </xf>
    <xf numFmtId="0" fontId="22" fillId="0" borderId="68" xfId="0" applyFont="1" applyBorder="1" applyAlignment="1">
      <alignment horizontal="center" vertical="center"/>
    </xf>
    <xf numFmtId="176" fontId="45" fillId="0" borderId="13" xfId="0" applyNumberFormat="1" applyFont="1" applyBorder="1" applyAlignment="1">
      <alignment vertical="center"/>
    </xf>
    <xf numFmtId="176" fontId="45" fillId="0" borderId="68" xfId="0" applyNumberFormat="1" applyFont="1" applyBorder="1" applyAlignment="1">
      <alignment vertical="center"/>
    </xf>
    <xf numFmtId="176" fontId="45" fillId="0" borderId="15" xfId="0" applyNumberFormat="1" applyFont="1" applyBorder="1" applyAlignment="1">
      <alignment vertical="center"/>
    </xf>
    <xf numFmtId="176" fontId="45" fillId="0" borderId="19" xfId="0" applyNumberFormat="1" applyFont="1" applyBorder="1" applyAlignment="1">
      <alignment vertical="center"/>
    </xf>
    <xf numFmtId="0" fontId="40" fillId="9" borderId="0" xfId="0" applyFont="1" applyFill="1" applyAlignment="1">
      <alignment horizontal="center" vertical="center"/>
    </xf>
    <xf numFmtId="0" fontId="22" fillId="0" borderId="13" xfId="0" applyFont="1" applyBorder="1" applyAlignment="1">
      <alignment vertical="center"/>
    </xf>
    <xf numFmtId="3" fontId="22" fillId="0" borderId="13" xfId="0" applyNumberFormat="1" applyFont="1" applyBorder="1" applyAlignment="1">
      <alignment vertical="center"/>
    </xf>
    <xf numFmtId="3" fontId="22" fillId="0" borderId="13" xfId="0" applyNumberFormat="1" applyFont="1" applyBorder="1" applyAlignment="1">
      <alignment horizontal="right" vertical="center"/>
    </xf>
    <xf numFmtId="3" fontId="22" fillId="0" borderId="13" xfId="1" applyNumberFormat="1" applyFont="1" applyBorder="1" applyAlignment="1">
      <alignment horizontal="right" vertical="center"/>
    </xf>
    <xf numFmtId="0" fontId="22" fillId="0" borderId="13" xfId="1" applyNumberFormat="1" applyFont="1" applyBorder="1" applyAlignment="1">
      <alignment horizontal="right" vertical="center"/>
    </xf>
    <xf numFmtId="0" fontId="40" fillId="9" borderId="39" xfId="0" applyFont="1" applyFill="1" applyBorder="1" applyAlignment="1">
      <alignment horizontal="center" vertical="center"/>
    </xf>
    <xf numFmtId="176" fontId="46" fillId="0" borderId="70" xfId="0" applyNumberFormat="1" applyFont="1" applyBorder="1" applyAlignment="1">
      <alignment vertical="center"/>
    </xf>
    <xf numFmtId="170" fontId="43" fillId="0" borderId="69" xfId="1" applyNumberFormat="1" applyFont="1" applyBorder="1" applyAlignment="1">
      <alignment vertical="center"/>
    </xf>
    <xf numFmtId="0" fontId="5" fillId="6" borderId="0" xfId="0" applyFont="1" applyFill="1"/>
    <xf numFmtId="169" fontId="0" fillId="0" borderId="0" xfId="0" applyNumberFormat="1"/>
    <xf numFmtId="170" fontId="22" fillId="0" borderId="13" xfId="1" applyNumberFormat="1" applyFont="1" applyBorder="1" applyAlignment="1">
      <alignment horizontal="right" vertical="center"/>
    </xf>
    <xf numFmtId="170" fontId="43" fillId="0" borderId="69" xfId="1" applyNumberFormat="1" applyFont="1" applyFill="1" applyBorder="1" applyAlignment="1">
      <alignment vertical="center"/>
    </xf>
    <xf numFmtId="172" fontId="3" fillId="0" borderId="54" xfId="7" applyNumberFormat="1" applyFont="1" applyBorder="1"/>
    <xf numFmtId="172" fontId="3" fillId="0" borderId="4" xfId="7" applyNumberFormat="1" applyFont="1" applyBorder="1"/>
    <xf numFmtId="0" fontId="18" fillId="0" borderId="71" xfId="0" applyFont="1" applyBorder="1" applyAlignment="1">
      <alignment horizontal="right"/>
    </xf>
    <xf numFmtId="170" fontId="5" fillId="3" borderId="55" xfId="1" applyNumberFormat="1" applyFont="1" applyFill="1" applyBorder="1"/>
    <xf numFmtId="49" fontId="19" fillId="0" borderId="0" xfId="0" applyNumberFormat="1" applyFont="1"/>
    <xf numFmtId="0" fontId="19" fillId="4" borderId="0" xfId="0" applyFont="1" applyFill="1"/>
    <xf numFmtId="0" fontId="3" fillId="0" borderId="0" xfId="0" quotePrefix="1" applyFont="1"/>
    <xf numFmtId="0" fontId="3" fillId="0" borderId="0" xfId="0" applyFont="1" applyAlignment="1">
      <alignment wrapText="1"/>
    </xf>
    <xf numFmtId="169" fontId="3" fillId="0" borderId="0" xfId="0" applyNumberFormat="1" applyFont="1"/>
    <xf numFmtId="49" fontId="19" fillId="0" borderId="55" xfId="0" applyNumberFormat="1" applyFont="1" applyBorder="1"/>
    <xf numFmtId="8" fontId="9" fillId="0" borderId="0" xfId="7" applyNumberFormat="1" applyFont="1" applyFill="1" applyBorder="1"/>
    <xf numFmtId="10" fontId="9" fillId="0" borderId="0" xfId="7" applyNumberFormat="1" applyFont="1" applyFill="1" applyBorder="1"/>
    <xf numFmtId="169" fontId="5" fillId="0" borderId="0" xfId="0" applyNumberFormat="1" applyFont="1"/>
    <xf numFmtId="165" fontId="3" fillId="0" borderId="0" xfId="2" applyNumberFormat="1" applyFont="1" applyBorder="1"/>
    <xf numFmtId="49" fontId="8" fillId="0" borderId="51" xfId="0" applyNumberFormat="1" applyFont="1" applyBorder="1"/>
    <xf numFmtId="165" fontId="3" fillId="0" borderId="55" xfId="2" applyNumberFormat="1" applyFont="1" applyBorder="1"/>
    <xf numFmtId="14" fontId="50" fillId="0" borderId="0" xfId="13" applyNumberFormat="1" applyFont="1" applyAlignment="1">
      <alignment horizontal="center" wrapText="1"/>
    </xf>
    <xf numFmtId="0" fontId="50" fillId="0" borderId="0" xfId="13" applyFont="1" applyAlignment="1">
      <alignment horizontal="center"/>
    </xf>
    <xf numFmtId="0" fontId="50" fillId="0" borderId="0" xfId="13" applyFont="1" applyAlignment="1">
      <alignment wrapText="1"/>
    </xf>
    <xf numFmtId="171" fontId="50" fillId="0" borderId="0" xfId="13" applyNumberFormat="1" applyFont="1" applyAlignment="1">
      <alignment horizontal="right" wrapText="1"/>
    </xf>
    <xf numFmtId="9" fontId="3" fillId="0" borderId="0" xfId="1" applyNumberFormat="1" applyFont="1"/>
    <xf numFmtId="173" fontId="3" fillId="0" borderId="0" xfId="1" applyNumberFormat="1" applyFont="1" applyFill="1"/>
    <xf numFmtId="10" fontId="3" fillId="0" borderId="0" xfId="7" applyNumberFormat="1" applyFont="1" applyFill="1"/>
    <xf numFmtId="173" fontId="3" fillId="0" borderId="51" xfId="0" applyNumberFormat="1" applyFont="1" applyBorder="1"/>
    <xf numFmtId="1" fontId="3" fillId="0" borderId="55" xfId="0" applyNumberFormat="1" applyFont="1" applyBorder="1"/>
    <xf numFmtId="44" fontId="5" fillId="0" borderId="0" xfId="2" applyFont="1" applyFill="1" applyBorder="1"/>
    <xf numFmtId="44" fontId="3" fillId="0" borderId="0" xfId="0" applyNumberFormat="1" applyFont="1"/>
    <xf numFmtId="44" fontId="3" fillId="0" borderId="0" xfId="2" applyFont="1"/>
    <xf numFmtId="0" fontId="8" fillId="0" borderId="51" xfId="0" applyFont="1" applyBorder="1"/>
    <xf numFmtId="0" fontId="4" fillId="0" borderId="51" xfId="0" applyFont="1" applyBorder="1"/>
    <xf numFmtId="170" fontId="3" fillId="0" borderId="51" xfId="0" applyNumberFormat="1" applyFont="1" applyBorder="1"/>
    <xf numFmtId="43" fontId="3" fillId="0" borderId="0" xfId="1" applyFont="1" applyFill="1" applyBorder="1"/>
    <xf numFmtId="2" fontId="23" fillId="0" borderId="0" xfId="8" applyNumberFormat="1" applyAlignment="1">
      <alignment horizontal="left" vertical="top"/>
    </xf>
    <xf numFmtId="0" fontId="61" fillId="0" borderId="0" xfId="0" applyFont="1"/>
    <xf numFmtId="0" fontId="4" fillId="0" borderId="40" xfId="0" applyFont="1" applyBorder="1"/>
    <xf numFmtId="2" fontId="4" fillId="0" borderId="17" xfId="0" applyNumberFormat="1" applyFont="1" applyBorder="1"/>
    <xf numFmtId="170" fontId="0" fillId="0" borderId="0" xfId="1" applyNumberFormat="1" applyFont="1"/>
    <xf numFmtId="10" fontId="0" fillId="0" borderId="0" xfId="7" applyNumberFormat="1" applyFont="1"/>
    <xf numFmtId="0" fontId="62" fillId="0" borderId="0" xfId="3" applyFont="1" applyBorder="1"/>
    <xf numFmtId="0" fontId="63" fillId="11" borderId="0" xfId="0" applyFont="1" applyFill="1"/>
    <xf numFmtId="0" fontId="63" fillId="11" borderId="0" xfId="4" applyFont="1" applyFill="1"/>
    <xf numFmtId="0" fontId="15" fillId="0" borderId="0" xfId="0" applyFont="1"/>
    <xf numFmtId="0" fontId="13" fillId="0" borderId="0" xfId="0" applyFont="1"/>
    <xf numFmtId="43" fontId="11" fillId="0" borderId="0" xfId="1" applyFont="1" applyAlignment="1">
      <alignment horizontal="left" vertical="top"/>
    </xf>
    <xf numFmtId="0" fontId="64" fillId="12" borderId="73" xfId="9" applyFont="1" applyFill="1" applyBorder="1" applyAlignment="1">
      <alignment horizontal="center" vertical="center" wrapText="1"/>
    </xf>
    <xf numFmtId="9" fontId="64" fillId="12" borderId="72" xfId="7" applyFont="1" applyFill="1" applyBorder="1" applyAlignment="1">
      <alignment horizontal="center" vertical="center" wrapText="1"/>
    </xf>
    <xf numFmtId="9" fontId="64" fillId="12" borderId="74" xfId="7" applyFont="1" applyFill="1" applyBorder="1" applyAlignment="1">
      <alignment horizontal="center" vertical="center" wrapText="1"/>
    </xf>
    <xf numFmtId="0" fontId="14" fillId="0" borderId="50" xfId="0" applyFont="1" applyBorder="1"/>
    <xf numFmtId="173" fontId="14" fillId="0" borderId="50" xfId="0" applyNumberFormat="1" applyFont="1" applyBorder="1"/>
    <xf numFmtId="173" fontId="14" fillId="0" borderId="20" xfId="0" applyNumberFormat="1" applyFont="1" applyBorder="1"/>
    <xf numFmtId="173" fontId="14" fillId="0" borderId="50" xfId="1" applyNumberFormat="1" applyFont="1" applyBorder="1"/>
    <xf numFmtId="173" fontId="14" fillId="0" borderId="20" xfId="1" applyNumberFormat="1" applyFont="1" applyBorder="1"/>
    <xf numFmtId="43" fontId="14" fillId="0" borderId="50" xfId="0" applyNumberFormat="1" applyFont="1" applyBorder="1"/>
    <xf numFmtId="43" fontId="14" fillId="0" borderId="20" xfId="0" applyNumberFormat="1" applyFont="1" applyBorder="1"/>
    <xf numFmtId="0" fontId="14" fillId="0" borderId="13" xfId="0" applyFont="1" applyBorder="1"/>
    <xf numFmtId="0" fontId="65" fillId="0" borderId="0" xfId="0" applyFont="1"/>
    <xf numFmtId="0" fontId="65" fillId="0" borderId="0" xfId="0" applyFont="1" applyAlignment="1">
      <alignment horizontal="left" vertical="center" wrapText="1"/>
    </xf>
    <xf numFmtId="0" fontId="14" fillId="0" borderId="19" xfId="0" applyFont="1" applyBorder="1"/>
    <xf numFmtId="0" fontId="13" fillId="0" borderId="19" xfId="0" applyFont="1" applyBorder="1"/>
    <xf numFmtId="169" fontId="13" fillId="0" borderId="19" xfId="0" applyNumberFormat="1" applyFont="1" applyBorder="1"/>
    <xf numFmtId="173" fontId="13" fillId="0" borderId="19" xfId="1" applyNumberFormat="1" applyFont="1" applyBorder="1"/>
    <xf numFmtId="172" fontId="5" fillId="3" borderId="51" xfId="0" applyNumberFormat="1" applyFont="1" applyFill="1" applyBorder="1"/>
    <xf numFmtId="170" fontId="9" fillId="0" borderId="0" xfId="1" applyNumberFormat="1" applyFont="1" applyFill="1" applyBorder="1"/>
    <xf numFmtId="0" fontId="4" fillId="0" borderId="0" xfId="0" quotePrefix="1" applyFont="1"/>
    <xf numFmtId="2" fontId="5" fillId="3" borderId="0" xfId="0" applyNumberFormat="1" applyFont="1" applyFill="1"/>
    <xf numFmtId="169" fontId="9" fillId="0" borderId="0" xfId="0" applyNumberFormat="1" applyFont="1"/>
    <xf numFmtId="0" fontId="21" fillId="0" borderId="0" xfId="0" applyFont="1"/>
    <xf numFmtId="0" fontId="18" fillId="0" borderId="0" xfId="0" quotePrefix="1" applyFont="1"/>
    <xf numFmtId="2" fontId="9" fillId="0" borderId="0" xfId="0" applyNumberFormat="1" applyFont="1"/>
    <xf numFmtId="0" fontId="3" fillId="0" borderId="0" xfId="0" applyFont="1" applyAlignment="1">
      <alignment horizontal="right"/>
    </xf>
    <xf numFmtId="0" fontId="0" fillId="0" borderId="0" xfId="0" applyAlignment="1">
      <alignment wrapText="1"/>
    </xf>
    <xf numFmtId="0" fontId="65" fillId="0" borderId="0" xfId="0" applyFont="1" applyAlignment="1">
      <alignment vertical="center" wrapText="1"/>
    </xf>
    <xf numFmtId="169" fontId="14" fillId="0" borderId="19" xfId="0" applyNumberFormat="1" applyFont="1" applyBorder="1"/>
    <xf numFmtId="0" fontId="64" fillId="12" borderId="19" xfId="0" applyFont="1" applyFill="1" applyBorder="1" applyAlignment="1">
      <alignment horizontal="center" vertical="center" wrapText="1"/>
    </xf>
    <xf numFmtId="44" fontId="65" fillId="0" borderId="19" xfId="2" applyFont="1" applyBorder="1" applyAlignment="1">
      <alignment horizontal="left" vertical="top" wrapText="1"/>
    </xf>
    <xf numFmtId="177" fontId="68" fillId="0" borderId="19" xfId="0" applyNumberFormat="1" applyFont="1" applyBorder="1"/>
    <xf numFmtId="9" fontId="64" fillId="12" borderId="19" xfId="7" applyFont="1" applyFill="1" applyBorder="1" applyAlignment="1">
      <alignment horizontal="center" vertical="center" wrapText="1"/>
    </xf>
    <xf numFmtId="0" fontId="67" fillId="0" borderId="19" xfId="0" applyFont="1" applyBorder="1" applyAlignment="1">
      <alignment vertical="center"/>
    </xf>
    <xf numFmtId="0" fontId="67" fillId="0" borderId="19" xfId="0" applyFont="1" applyBorder="1" applyAlignment="1">
      <alignment horizontal="center" vertical="center"/>
    </xf>
    <xf numFmtId="0" fontId="0" fillId="0" borderId="19" xfId="0" applyBorder="1"/>
    <xf numFmtId="0" fontId="65" fillId="0" borderId="19" xfId="0" applyFont="1" applyBorder="1" applyAlignment="1">
      <alignment horizontal="center" vertical="center"/>
    </xf>
    <xf numFmtId="0" fontId="64" fillId="13" borderId="19" xfId="0" applyFont="1" applyFill="1" applyBorder="1" applyAlignment="1">
      <alignment horizontal="center" vertical="center"/>
    </xf>
    <xf numFmtId="44" fontId="3" fillId="0" borderId="20" xfId="2" applyFont="1" applyBorder="1"/>
    <xf numFmtId="44" fontId="3" fillId="0" borderId="21" xfId="2" applyFont="1" applyBorder="1"/>
    <xf numFmtId="44" fontId="4" fillId="5" borderId="22" xfId="2" applyFont="1" applyFill="1" applyBorder="1"/>
    <xf numFmtId="44" fontId="4" fillId="5" borderId="10" xfId="2" applyFont="1" applyFill="1" applyBorder="1"/>
    <xf numFmtId="0" fontId="45" fillId="0" borderId="0" xfId="0" applyFont="1" applyAlignment="1">
      <alignment horizontal="center" vertical="center"/>
    </xf>
    <xf numFmtId="176" fontId="45" fillId="0" borderId="0" xfId="0" applyNumberFormat="1" applyFont="1" applyAlignment="1">
      <alignment vertical="center"/>
    </xf>
    <xf numFmtId="176" fontId="46" fillId="0" borderId="0" xfId="0" applyNumberFormat="1" applyFont="1" applyAlignment="1">
      <alignment vertical="center"/>
    </xf>
    <xf numFmtId="165" fontId="5" fillId="3" borderId="0" xfId="2" applyNumberFormat="1" applyFont="1" applyFill="1" applyBorder="1"/>
    <xf numFmtId="2" fontId="9" fillId="0" borderId="55" xfId="0" applyNumberFormat="1" applyFont="1" applyBorder="1"/>
    <xf numFmtId="178" fontId="3" fillId="0" borderId="0" xfId="7" applyNumberFormat="1" applyFont="1"/>
    <xf numFmtId="170" fontId="3" fillId="0" borderId="0" xfId="1" applyNumberFormat="1" applyFont="1" applyBorder="1"/>
    <xf numFmtId="8" fontId="9" fillId="0" borderId="55" xfId="7" applyNumberFormat="1" applyFont="1" applyFill="1" applyBorder="1"/>
    <xf numFmtId="0" fontId="58" fillId="0" borderId="0" xfId="0" applyFont="1"/>
    <xf numFmtId="0" fontId="0" fillId="0" borderId="12" xfId="0" applyBorder="1"/>
    <xf numFmtId="0" fontId="0" fillId="0" borderId="58" xfId="0" applyBorder="1"/>
    <xf numFmtId="0" fontId="0" fillId="0" borderId="4" xfId="0" applyBorder="1"/>
    <xf numFmtId="0" fontId="17" fillId="0" borderId="67" xfId="0" applyFont="1" applyBorder="1"/>
    <xf numFmtId="0" fontId="17" fillId="14" borderId="67" xfId="0" applyFont="1" applyFill="1" applyBorder="1"/>
    <xf numFmtId="0" fontId="0" fillId="14" borderId="77" xfId="0" applyFill="1" applyBorder="1"/>
    <xf numFmtId="0" fontId="0" fillId="0" borderId="45" xfId="0" applyBorder="1"/>
    <xf numFmtId="0" fontId="0" fillId="0" borderId="43" xfId="0" applyBorder="1"/>
    <xf numFmtId="0" fontId="0" fillId="0" borderId="20" xfId="0" applyBorder="1"/>
    <xf numFmtId="0" fontId="0" fillId="0" borderId="48" xfId="0" applyBorder="1"/>
    <xf numFmtId="0" fontId="0" fillId="14" borderId="78" xfId="0" applyFill="1" applyBorder="1"/>
    <xf numFmtId="0" fontId="17" fillId="0" borderId="78" xfId="0" applyFont="1" applyBorder="1"/>
    <xf numFmtId="169" fontId="0" fillId="0" borderId="76" xfId="0" applyNumberFormat="1" applyBorder="1"/>
    <xf numFmtId="169" fontId="0" fillId="0" borderId="14" xfId="0" applyNumberFormat="1" applyBorder="1"/>
    <xf numFmtId="169" fontId="0" fillId="0" borderId="21" xfId="0" applyNumberFormat="1" applyBorder="1"/>
    <xf numFmtId="169" fontId="0" fillId="0" borderId="77" xfId="0" applyNumberFormat="1" applyBorder="1"/>
    <xf numFmtId="0" fontId="0" fillId="0" borderId="18" xfId="0" applyBorder="1" applyAlignment="1">
      <alignment horizontal="left"/>
    </xf>
    <xf numFmtId="1" fontId="9" fillId="0" borderId="0" xfId="0" applyNumberFormat="1" applyFont="1"/>
    <xf numFmtId="165" fontId="5" fillId="3" borderId="51" xfId="2" applyNumberFormat="1" applyFont="1" applyFill="1" applyBorder="1"/>
    <xf numFmtId="1" fontId="5" fillId="3" borderId="51" xfId="0" applyNumberFormat="1" applyFont="1" applyFill="1" applyBorder="1"/>
    <xf numFmtId="0" fontId="5" fillId="0" borderId="0" xfId="0" applyFont="1"/>
    <xf numFmtId="9" fontId="0" fillId="0" borderId="0" xfId="0" applyNumberFormat="1"/>
    <xf numFmtId="165" fontId="0" fillId="0" borderId="0" xfId="2" applyNumberFormat="1" applyFont="1" applyFill="1"/>
    <xf numFmtId="170" fontId="22" fillId="0" borderId="19" xfId="1" applyNumberFormat="1" applyFont="1" applyFill="1" applyBorder="1" applyAlignment="1">
      <alignment vertical="center"/>
    </xf>
    <xf numFmtId="170" fontId="22" fillId="0" borderId="13" xfId="1" applyNumberFormat="1" applyFont="1" applyFill="1" applyBorder="1" applyAlignment="1">
      <alignment vertical="center"/>
    </xf>
    <xf numFmtId="165" fontId="22" fillId="0" borderId="15" xfId="2" applyNumberFormat="1" applyFont="1" applyBorder="1" applyAlignment="1">
      <alignment vertical="center"/>
    </xf>
    <xf numFmtId="165" fontId="22" fillId="0" borderId="15" xfId="2" applyNumberFormat="1" applyFont="1" applyFill="1" applyBorder="1" applyAlignment="1">
      <alignment vertical="center"/>
    </xf>
    <xf numFmtId="9" fontId="47" fillId="5" borderId="40" xfId="7" applyFont="1" applyFill="1" applyBorder="1" applyAlignment="1"/>
    <xf numFmtId="0" fontId="65" fillId="0" borderId="19" xfId="0" applyFont="1" applyBorder="1" applyAlignment="1">
      <alignment horizontal="left" vertical="center" wrapText="1"/>
    </xf>
    <xf numFmtId="0" fontId="64" fillId="12" borderId="19" xfId="9" applyFont="1" applyFill="1" applyBorder="1" applyAlignment="1">
      <alignment horizontal="center" vertical="center" wrapText="1"/>
    </xf>
    <xf numFmtId="0" fontId="23" fillId="0" borderId="0" xfId="8" applyAlignment="1">
      <alignment horizontal="left" vertical="top" wrapText="1"/>
    </xf>
    <xf numFmtId="0" fontId="23" fillId="0" borderId="0" xfId="8" applyAlignment="1">
      <alignment horizontal="left" vertical="center" wrapText="1"/>
    </xf>
    <xf numFmtId="172" fontId="5" fillId="3" borderId="0" xfId="0" applyNumberFormat="1" applyFont="1" applyFill="1"/>
    <xf numFmtId="0" fontId="0" fillId="0" borderId="13" xfId="0" applyBorder="1"/>
    <xf numFmtId="0" fontId="0" fillId="0" borderId="75" xfId="0" applyBorder="1"/>
    <xf numFmtId="0" fontId="0" fillId="0" borderId="15" xfId="0" applyBorder="1"/>
    <xf numFmtId="2" fontId="3" fillId="0" borderId="0" xfId="0" applyNumberFormat="1" applyFont="1"/>
    <xf numFmtId="169" fontId="3" fillId="0" borderId="55" xfId="0" applyNumberFormat="1" applyFont="1" applyBorder="1"/>
    <xf numFmtId="2" fontId="49" fillId="0" borderId="0" xfId="13" applyNumberFormat="1"/>
    <xf numFmtId="0" fontId="8" fillId="0" borderId="55" xfId="0" applyFont="1" applyBorder="1"/>
    <xf numFmtId="170" fontId="9" fillId="0" borderId="55" xfId="1" applyNumberFormat="1" applyFont="1" applyFill="1" applyBorder="1"/>
    <xf numFmtId="0" fontId="5" fillId="15" borderId="0" xfId="0" applyFont="1" applyFill="1"/>
    <xf numFmtId="9" fontId="5" fillId="15" borderId="0" xfId="0" applyNumberFormat="1" applyFont="1" applyFill="1"/>
    <xf numFmtId="9" fontId="5" fillId="15" borderId="55" xfId="0" applyNumberFormat="1" applyFont="1" applyFill="1" applyBorder="1"/>
    <xf numFmtId="0" fontId="9" fillId="0" borderId="54" xfId="0" applyFont="1" applyBorder="1"/>
    <xf numFmtId="0" fontId="9" fillId="0" borderId="11" xfId="0" applyFont="1" applyBorder="1"/>
    <xf numFmtId="44" fontId="65" fillId="0" borderId="19" xfId="2" applyFont="1" applyFill="1" applyBorder="1" applyAlignment="1">
      <alignment horizontal="left" vertical="top" wrapText="1"/>
    </xf>
    <xf numFmtId="169" fontId="67" fillId="0" borderId="19" xfId="0" applyNumberFormat="1" applyFont="1" applyBorder="1" applyAlignment="1">
      <alignment vertical="center"/>
    </xf>
    <xf numFmtId="0" fontId="14" fillId="0" borderId="19" xfId="0" applyFont="1" applyBorder="1" applyAlignment="1">
      <alignment horizontal="left" vertical="center"/>
    </xf>
    <xf numFmtId="172" fontId="14" fillId="0" borderId="19" xfId="7" applyNumberFormat="1" applyFont="1" applyFill="1" applyBorder="1"/>
    <xf numFmtId="0" fontId="13" fillId="0" borderId="0" xfId="0" applyFont="1" applyAlignment="1">
      <alignment vertical="top"/>
    </xf>
    <xf numFmtId="0" fontId="64" fillId="12" borderId="19" xfId="9" applyFont="1" applyFill="1" applyBorder="1" applyAlignment="1">
      <alignment horizontal="center" vertical="top" wrapText="1"/>
    </xf>
    <xf numFmtId="0" fontId="14" fillId="0" borderId="19" xfId="0" applyFont="1" applyBorder="1" applyAlignment="1">
      <alignment vertical="top"/>
    </xf>
    <xf numFmtId="0" fontId="0" fillId="0" borderId="0" xfId="0" applyAlignment="1">
      <alignment vertical="top"/>
    </xf>
    <xf numFmtId="0" fontId="14" fillId="0" borderId="19" xfId="0" applyFont="1" applyBorder="1" applyAlignment="1">
      <alignment vertical="top" wrapText="1"/>
    </xf>
    <xf numFmtId="2" fontId="14" fillId="0" borderId="19" xfId="0" applyNumberFormat="1" applyFont="1" applyBorder="1" applyAlignment="1">
      <alignment vertical="top"/>
    </xf>
    <xf numFmtId="165" fontId="14" fillId="0" borderId="19" xfId="2" applyNumberFormat="1" applyFont="1" applyBorder="1" applyAlignment="1">
      <alignment vertical="top"/>
    </xf>
    <xf numFmtId="10" fontId="14" fillId="0" borderId="19" xfId="7" applyNumberFormat="1" applyFont="1" applyBorder="1" applyAlignment="1">
      <alignment vertical="top" wrapText="1"/>
    </xf>
    <xf numFmtId="44" fontId="14" fillId="0" borderId="19" xfId="2" applyFont="1" applyBorder="1" applyAlignment="1">
      <alignment vertical="top" wrapText="1"/>
    </xf>
    <xf numFmtId="165" fontId="14" fillId="0" borderId="19" xfId="2" applyNumberFormat="1" applyFont="1" applyBorder="1" applyAlignment="1">
      <alignment vertical="top" wrapText="1"/>
    </xf>
    <xf numFmtId="10" fontId="5" fillId="3" borderId="0" xfId="0" applyNumberFormat="1" applyFont="1" applyFill="1"/>
    <xf numFmtId="170" fontId="3" fillId="0" borderId="0" xfId="7" applyNumberFormat="1" applyFont="1"/>
    <xf numFmtId="0" fontId="4" fillId="0" borderId="50" xfId="0" applyFont="1" applyBorder="1"/>
    <xf numFmtId="0" fontId="9" fillId="0" borderId="53" xfId="0" applyFont="1" applyBorder="1"/>
    <xf numFmtId="0" fontId="5" fillId="0" borderId="53" xfId="0" applyFont="1" applyBorder="1"/>
    <xf numFmtId="0" fontId="20" fillId="0" borderId="0" xfId="0" applyFont="1"/>
    <xf numFmtId="0" fontId="14" fillId="6" borderId="19" xfId="0" applyFont="1" applyFill="1" applyBorder="1" applyAlignment="1">
      <alignment horizontal="left" vertical="center" wrapText="1"/>
    </xf>
    <xf numFmtId="3" fontId="72" fillId="3" borderId="13" xfId="0" applyNumberFormat="1" applyFont="1" applyFill="1" applyBorder="1" applyAlignment="1">
      <alignment horizontal="right"/>
    </xf>
    <xf numFmtId="3" fontId="72" fillId="3" borderId="19" xfId="0" applyNumberFormat="1" applyFont="1" applyFill="1" applyBorder="1" applyAlignment="1">
      <alignment horizontal="right" vertical="center"/>
    </xf>
    <xf numFmtId="44" fontId="14" fillId="0" borderId="19" xfId="2" applyFont="1" applyFill="1" applyBorder="1"/>
    <xf numFmtId="2" fontId="14" fillId="0" borderId="19" xfId="0" applyNumberFormat="1" applyFont="1" applyBorder="1"/>
    <xf numFmtId="179" fontId="0" fillId="0" borderId="0" xfId="0" applyNumberFormat="1"/>
    <xf numFmtId="44" fontId="3" fillId="0" borderId="20" xfId="2" applyFont="1" applyFill="1" applyBorder="1"/>
    <xf numFmtId="0" fontId="7" fillId="0" borderId="40" xfId="3" applyFont="1" applyBorder="1" applyAlignment="1">
      <alignment horizontal="center"/>
    </xf>
    <xf numFmtId="0" fontId="7" fillId="0" borderId="16" xfId="3" applyFont="1" applyBorder="1" applyAlignment="1">
      <alignment horizontal="center"/>
    </xf>
    <xf numFmtId="0" fontId="18" fillId="0" borderId="40" xfId="0" applyFont="1" applyBorder="1" applyAlignment="1">
      <alignment horizontal="center"/>
    </xf>
    <xf numFmtId="0" fontId="18" fillId="0" borderId="16" xfId="0" applyFont="1" applyBorder="1" applyAlignment="1">
      <alignment horizontal="center"/>
    </xf>
    <xf numFmtId="0" fontId="18" fillId="0" borderId="17" xfId="0" applyFont="1" applyBorder="1" applyAlignment="1">
      <alignment horizontal="center"/>
    </xf>
    <xf numFmtId="0" fontId="14" fillId="0" borderId="33" xfId="8" applyFont="1" applyBorder="1" applyAlignment="1">
      <alignment horizontal="left" vertical="center" wrapText="1"/>
    </xf>
    <xf numFmtId="0" fontId="14" fillId="0" borderId="32" xfId="8" applyFont="1" applyBorder="1" applyAlignment="1">
      <alignment horizontal="left" vertical="center" wrapText="1"/>
    </xf>
    <xf numFmtId="0" fontId="14" fillId="0" borderId="31" xfId="8" applyFont="1" applyBorder="1" applyAlignment="1">
      <alignment horizontal="left" vertical="center" wrapText="1"/>
    </xf>
    <xf numFmtId="0" fontId="14" fillId="0" borderId="30" xfId="8" applyFont="1" applyBorder="1" applyAlignment="1">
      <alignment horizontal="left" vertical="top" wrapText="1"/>
    </xf>
    <xf numFmtId="0" fontId="14" fillId="0" borderId="0" xfId="8" applyFont="1" applyAlignment="1">
      <alignment horizontal="left" vertical="top" wrapText="1"/>
    </xf>
    <xf numFmtId="0" fontId="14" fillId="0" borderId="29" xfId="8" applyFont="1" applyBorder="1" applyAlignment="1">
      <alignment horizontal="left" vertical="top" wrapText="1"/>
    </xf>
    <xf numFmtId="0" fontId="14" fillId="0" borderId="27" xfId="8" applyFont="1" applyBorder="1" applyAlignment="1">
      <alignment horizontal="left" vertical="top" wrapText="1"/>
    </xf>
    <xf numFmtId="0" fontId="14" fillId="0" borderId="26" xfId="8" applyFont="1" applyBorder="1" applyAlignment="1">
      <alignment horizontal="left" vertical="top" wrapText="1"/>
    </xf>
    <xf numFmtId="0" fontId="14" fillId="0" borderId="25" xfId="8" applyFont="1" applyBorder="1" applyAlignment="1">
      <alignment horizontal="left" vertical="top" wrapText="1"/>
    </xf>
    <xf numFmtId="0" fontId="14" fillId="0" borderId="36" xfId="8" applyFont="1" applyBorder="1" applyAlignment="1">
      <alignment horizontal="left" vertical="top" wrapText="1"/>
    </xf>
    <xf numFmtId="0" fontId="14" fillId="0" borderId="35" xfId="8" applyFont="1" applyBorder="1" applyAlignment="1">
      <alignment horizontal="left" vertical="top" wrapText="1"/>
    </xf>
    <xf numFmtId="0" fontId="14" fillId="0" borderId="34" xfId="8" applyFont="1" applyBorder="1" applyAlignment="1">
      <alignment horizontal="left" vertical="top" wrapText="1"/>
    </xf>
    <xf numFmtId="167" fontId="25" fillId="0" borderId="36" xfId="8" applyNumberFormat="1" applyFont="1" applyBorder="1" applyAlignment="1">
      <alignment horizontal="right" vertical="top" shrinkToFit="1"/>
    </xf>
    <xf numFmtId="167" fontId="25" fillId="0" borderId="35" xfId="8" applyNumberFormat="1" applyFont="1" applyBorder="1" applyAlignment="1">
      <alignment horizontal="right" vertical="top" shrinkToFit="1"/>
    </xf>
    <xf numFmtId="167" fontId="25" fillId="0" borderId="34" xfId="8" applyNumberFormat="1" applyFont="1" applyBorder="1" applyAlignment="1">
      <alignment horizontal="right" vertical="top" shrinkToFit="1"/>
    </xf>
    <xf numFmtId="0" fontId="14" fillId="0" borderId="33" xfId="8" applyFont="1" applyBorder="1" applyAlignment="1">
      <alignment horizontal="left" vertical="top" wrapText="1"/>
    </xf>
    <xf numFmtId="0" fontId="14" fillId="0" borderId="32" xfId="8" applyFont="1" applyBorder="1" applyAlignment="1">
      <alignment horizontal="left" vertical="top" wrapText="1"/>
    </xf>
    <xf numFmtId="0" fontId="14" fillId="0" borderId="31" xfId="8" applyFont="1" applyBorder="1" applyAlignment="1">
      <alignment horizontal="left" vertical="top" wrapText="1"/>
    </xf>
    <xf numFmtId="167" fontId="25" fillId="0" borderId="33" xfId="8" applyNumberFormat="1" applyFont="1" applyBorder="1" applyAlignment="1">
      <alignment horizontal="right" vertical="top" shrinkToFit="1"/>
    </xf>
    <xf numFmtId="167" fontId="25" fillId="0" borderId="32" xfId="8" applyNumberFormat="1" applyFont="1" applyBorder="1" applyAlignment="1">
      <alignment horizontal="right" vertical="top" shrinkToFit="1"/>
    </xf>
    <xf numFmtId="167" fontId="25" fillId="0" borderId="31" xfId="8" applyNumberFormat="1" applyFont="1" applyBorder="1" applyAlignment="1">
      <alignment horizontal="right" vertical="top" shrinkToFit="1"/>
    </xf>
    <xf numFmtId="0" fontId="30" fillId="8" borderId="36" xfId="8" applyFont="1" applyFill="1" applyBorder="1" applyAlignment="1">
      <alignment horizontal="left" vertical="top" wrapText="1"/>
    </xf>
    <xf numFmtId="0" fontId="30" fillId="8" borderId="35" xfId="8" applyFont="1" applyFill="1" applyBorder="1" applyAlignment="1">
      <alignment horizontal="left" vertical="top" wrapText="1"/>
    </xf>
    <xf numFmtId="0" fontId="30" fillId="8" borderId="34" xfId="8" applyFont="1" applyFill="1" applyBorder="1" applyAlignment="1">
      <alignment horizontal="left" vertical="top" wrapText="1"/>
    </xf>
    <xf numFmtId="0" fontId="23" fillId="0" borderId="36" xfId="8" applyBorder="1" applyAlignment="1">
      <alignment horizontal="left" wrapText="1"/>
    </xf>
    <xf numFmtId="0" fontId="23" fillId="0" borderId="35" xfId="8" applyBorder="1" applyAlignment="1">
      <alignment horizontal="left" wrapText="1"/>
    </xf>
    <xf numFmtId="0" fontId="23" fillId="0" borderId="34" xfId="8" applyBorder="1" applyAlignment="1">
      <alignment horizontal="left" wrapText="1"/>
    </xf>
    <xf numFmtId="0" fontId="23" fillId="0" borderId="37" xfId="8" applyBorder="1" applyAlignment="1">
      <alignment horizontal="left" vertical="top" wrapText="1"/>
    </xf>
    <xf numFmtId="0" fontId="23" fillId="0" borderId="28" xfId="8" applyBorder="1" applyAlignment="1">
      <alignment horizontal="left" vertical="top" wrapText="1"/>
    </xf>
    <xf numFmtId="0" fontId="23" fillId="0" borderId="24" xfId="8" applyBorder="1" applyAlignment="1">
      <alignment horizontal="left" vertical="top" wrapText="1"/>
    </xf>
    <xf numFmtId="0" fontId="13" fillId="7" borderId="33" xfId="8" applyFont="1" applyFill="1" applyBorder="1" applyAlignment="1">
      <alignment horizontal="left" vertical="top" wrapText="1"/>
    </xf>
    <xf numFmtId="0" fontId="13" fillId="7" borderId="32" xfId="8" applyFont="1" applyFill="1" applyBorder="1" applyAlignment="1">
      <alignment horizontal="left" vertical="top" wrapText="1"/>
    </xf>
    <xf numFmtId="0" fontId="13" fillId="7" borderId="31" xfId="8" applyFont="1" applyFill="1" applyBorder="1" applyAlignment="1">
      <alignment horizontal="left" vertical="top" wrapText="1"/>
    </xf>
    <xf numFmtId="0" fontId="13" fillId="7" borderId="33" xfId="8" applyFont="1" applyFill="1" applyBorder="1" applyAlignment="1">
      <alignment horizontal="left" vertical="top" wrapText="1" indent="2"/>
    </xf>
    <xf numFmtId="0" fontId="13" fillId="7" borderId="32" xfId="8" applyFont="1" applyFill="1" applyBorder="1" applyAlignment="1">
      <alignment horizontal="left" vertical="top" wrapText="1" indent="2"/>
    </xf>
    <xf numFmtId="0" fontId="13" fillId="7" borderId="31" xfId="8" applyFont="1" applyFill="1" applyBorder="1" applyAlignment="1">
      <alignment horizontal="left" vertical="top" wrapText="1" indent="2"/>
    </xf>
    <xf numFmtId="0" fontId="23" fillId="0" borderId="27" xfId="8" applyBorder="1" applyAlignment="1">
      <alignment horizontal="left" wrapText="1"/>
    </xf>
    <xf numFmtId="0" fontId="23" fillId="0" borderId="26" xfId="8" applyBorder="1" applyAlignment="1">
      <alignment horizontal="left" wrapText="1"/>
    </xf>
    <xf numFmtId="0" fontId="23" fillId="0" borderId="25" xfId="8" applyBorder="1" applyAlignment="1">
      <alignment horizontal="left" wrapText="1"/>
    </xf>
    <xf numFmtId="0" fontId="23" fillId="0" borderId="27" xfId="8" applyBorder="1" applyAlignment="1">
      <alignment horizontal="left" vertical="top" wrapText="1"/>
    </xf>
    <xf numFmtId="0" fontId="23" fillId="0" borderId="26" xfId="8" applyBorder="1" applyAlignment="1">
      <alignment horizontal="left" vertical="top" wrapText="1"/>
    </xf>
    <xf numFmtId="0" fontId="23" fillId="0" borderId="25" xfId="8" applyBorder="1" applyAlignment="1">
      <alignment horizontal="left" vertical="top" wrapText="1"/>
    </xf>
    <xf numFmtId="0" fontId="23" fillId="0" borderId="33" xfId="8" applyBorder="1" applyAlignment="1">
      <alignment horizontal="left" wrapText="1"/>
    </xf>
    <xf numFmtId="0" fontId="23" fillId="0" borderId="32" xfId="8" applyBorder="1" applyAlignment="1">
      <alignment horizontal="left" wrapText="1"/>
    </xf>
    <xf numFmtId="0" fontId="23" fillId="0" borderId="31" xfId="8" applyBorder="1" applyAlignment="1">
      <alignment horizontal="left" wrapText="1"/>
    </xf>
    <xf numFmtId="0" fontId="23" fillId="7" borderId="30" xfId="8" applyFill="1" applyBorder="1" applyAlignment="1">
      <alignment horizontal="left" wrapText="1"/>
    </xf>
    <xf numFmtId="0" fontId="23" fillId="7" borderId="0" xfId="8" applyFill="1" applyAlignment="1">
      <alignment horizontal="left" wrapText="1"/>
    </xf>
    <xf numFmtId="0" fontId="23" fillId="7" borderId="29" xfId="8" applyFill="1" applyBorder="1" applyAlignment="1">
      <alignment horizontal="left" wrapText="1"/>
    </xf>
    <xf numFmtId="0" fontId="13" fillId="7" borderId="27" xfId="8" applyFont="1" applyFill="1" applyBorder="1" applyAlignment="1">
      <alignment horizontal="left" vertical="top" wrapText="1" indent="7"/>
    </xf>
    <xf numFmtId="0" fontId="13" fillId="7" borderId="26" xfId="8" applyFont="1" applyFill="1" applyBorder="1" applyAlignment="1">
      <alignment horizontal="left" vertical="top" wrapText="1" indent="7"/>
    </xf>
    <xf numFmtId="0" fontId="13" fillId="7" borderId="25" xfId="8" applyFont="1" applyFill="1" applyBorder="1" applyAlignment="1">
      <alignment horizontal="left" vertical="top" wrapText="1" indent="7"/>
    </xf>
    <xf numFmtId="0" fontId="23" fillId="7" borderId="27" xfId="8" applyFill="1" applyBorder="1" applyAlignment="1">
      <alignment horizontal="left" wrapText="1"/>
    </xf>
    <xf numFmtId="0" fontId="23" fillId="7" borderId="26" xfId="8" applyFill="1" applyBorder="1" applyAlignment="1">
      <alignment horizontal="left" wrapText="1"/>
    </xf>
    <xf numFmtId="0" fontId="23" fillId="7" borderId="25" xfId="8" applyFill="1" applyBorder="1" applyAlignment="1">
      <alignment horizontal="left" wrapText="1"/>
    </xf>
    <xf numFmtId="0" fontId="13" fillId="7" borderId="36" xfId="8" applyFont="1" applyFill="1" applyBorder="1" applyAlignment="1">
      <alignment horizontal="right" vertical="top" wrapText="1"/>
    </xf>
    <xf numFmtId="0" fontId="13" fillId="7" borderId="35" xfId="8" applyFont="1" applyFill="1" applyBorder="1" applyAlignment="1">
      <alignment horizontal="right" vertical="top" wrapText="1"/>
    </xf>
    <xf numFmtId="0" fontId="13" fillId="7" borderId="34" xfId="8" applyFont="1" applyFill="1" applyBorder="1" applyAlignment="1">
      <alignment horizontal="right" vertical="top" wrapText="1"/>
    </xf>
    <xf numFmtId="0" fontId="14" fillId="0" borderId="36" xfId="8" applyFont="1" applyBorder="1" applyAlignment="1">
      <alignment horizontal="center" vertical="top" wrapText="1"/>
    </xf>
    <xf numFmtId="0" fontId="14" fillId="0" borderId="35" xfId="8" applyFont="1" applyBorder="1" applyAlignment="1">
      <alignment horizontal="center" vertical="top" wrapText="1"/>
    </xf>
    <xf numFmtId="0" fontId="14" fillId="0" borderId="34" xfId="8" applyFont="1" applyBorder="1" applyAlignment="1">
      <alignment horizontal="center" vertical="top" wrapText="1"/>
    </xf>
    <xf numFmtId="0" fontId="23" fillId="0" borderId="36" xfId="8" applyBorder="1" applyAlignment="1">
      <alignment horizontal="left" vertical="top" wrapText="1"/>
    </xf>
    <xf numFmtId="0" fontId="23" fillId="0" borderId="35" xfId="8" applyBorder="1" applyAlignment="1">
      <alignment horizontal="left" vertical="top" wrapText="1"/>
    </xf>
    <xf numFmtId="0" fontId="23" fillId="0" borderId="34" xfId="8" applyBorder="1" applyAlignment="1">
      <alignment horizontal="left" vertical="top" wrapText="1"/>
    </xf>
    <xf numFmtId="0" fontId="23" fillId="0" borderId="33" xfId="8" applyBorder="1" applyAlignment="1">
      <alignment horizontal="left" vertical="top" wrapText="1"/>
    </xf>
    <xf numFmtId="0" fontId="23" fillId="0" borderId="32" xfId="8" applyBorder="1" applyAlignment="1">
      <alignment horizontal="left" vertical="top" wrapText="1"/>
    </xf>
    <xf numFmtId="0" fontId="23" fillId="0" borderId="31" xfId="8" applyBorder="1" applyAlignment="1">
      <alignment horizontal="left" vertical="top" wrapText="1"/>
    </xf>
    <xf numFmtId="0" fontId="23" fillId="0" borderId="30" xfId="8" applyBorder="1" applyAlignment="1">
      <alignment horizontal="left" vertical="top" wrapText="1"/>
    </xf>
    <xf numFmtId="0" fontId="23" fillId="0" borderId="0" xfId="8" applyAlignment="1">
      <alignment horizontal="left" vertical="top" wrapText="1"/>
    </xf>
    <xf numFmtId="0" fontId="23" fillId="0" borderId="29" xfId="8" applyBorder="1" applyAlignment="1">
      <alignment horizontal="left" vertical="top" wrapText="1"/>
    </xf>
    <xf numFmtId="0" fontId="13" fillId="7" borderId="36" xfId="8" applyFont="1" applyFill="1" applyBorder="1" applyAlignment="1">
      <alignment horizontal="left" vertical="top" wrapText="1"/>
    </xf>
    <xf numFmtId="0" fontId="13" fillId="7" borderId="34" xfId="8" applyFont="1" applyFill="1" applyBorder="1" applyAlignment="1">
      <alignment horizontal="left" vertical="top" wrapText="1"/>
    </xf>
    <xf numFmtId="0" fontId="23" fillId="7" borderId="36" xfId="8" applyFill="1" applyBorder="1" applyAlignment="1">
      <alignment horizontal="left" vertical="top" wrapText="1" indent="1"/>
    </xf>
    <xf numFmtId="0" fontId="23" fillId="7" borderId="35" xfId="8" applyFill="1" applyBorder="1" applyAlignment="1">
      <alignment horizontal="left" vertical="top" wrapText="1" indent="1"/>
    </xf>
    <xf numFmtId="0" fontId="23" fillId="7" borderId="34" xfId="8" applyFill="1" applyBorder="1" applyAlignment="1">
      <alignment horizontal="left" vertical="top" wrapText="1" indent="1"/>
    </xf>
    <xf numFmtId="0" fontId="13" fillId="7" borderId="36" xfId="8" applyFont="1" applyFill="1" applyBorder="1" applyAlignment="1">
      <alignment horizontal="left" vertical="top" wrapText="1" indent="1"/>
    </xf>
    <xf numFmtId="0" fontId="13" fillId="7" borderId="35" xfId="8" applyFont="1" applyFill="1" applyBorder="1" applyAlignment="1">
      <alignment horizontal="left" vertical="top" wrapText="1" indent="1"/>
    </xf>
    <xf numFmtId="0" fontId="13" fillId="7" borderId="34" xfId="8" applyFont="1" applyFill="1" applyBorder="1" applyAlignment="1">
      <alignment horizontal="left" vertical="top" wrapText="1" indent="1"/>
    </xf>
    <xf numFmtId="0" fontId="13" fillId="7" borderId="35" xfId="8" applyFont="1" applyFill="1" applyBorder="1" applyAlignment="1">
      <alignment horizontal="left" vertical="top" wrapText="1"/>
    </xf>
    <xf numFmtId="0" fontId="23" fillId="7" borderId="36" xfId="8" applyFill="1" applyBorder="1" applyAlignment="1">
      <alignment horizontal="right" vertical="top" wrapText="1"/>
    </xf>
    <xf numFmtId="0" fontId="23" fillId="7" borderId="35" xfId="8" applyFill="1" applyBorder="1" applyAlignment="1">
      <alignment horizontal="right" vertical="top" wrapText="1"/>
    </xf>
    <xf numFmtId="0" fontId="23" fillId="7" borderId="34" xfId="8" applyFill="1" applyBorder="1" applyAlignment="1">
      <alignment horizontal="right" vertical="top" wrapText="1"/>
    </xf>
    <xf numFmtId="0" fontId="14" fillId="0" borderId="36" xfId="8" applyFont="1" applyBorder="1" applyAlignment="1">
      <alignment horizontal="right" vertical="top" wrapText="1"/>
    </xf>
    <xf numFmtId="0" fontId="14" fillId="0" borderId="35" xfId="8" applyFont="1" applyBorder="1" applyAlignment="1">
      <alignment horizontal="right" vertical="top" wrapText="1"/>
    </xf>
    <xf numFmtId="0" fontId="14" fillId="0" borderId="34" xfId="8" applyFont="1" applyBorder="1" applyAlignment="1">
      <alignment horizontal="right" vertical="top" wrapText="1"/>
    </xf>
    <xf numFmtId="0" fontId="13" fillId="7" borderId="27" xfId="8" applyFont="1" applyFill="1" applyBorder="1" applyAlignment="1">
      <alignment horizontal="left" vertical="top" wrapText="1"/>
    </xf>
    <xf numFmtId="0" fontId="13" fillId="7" borderId="26" xfId="8" applyFont="1" applyFill="1" applyBorder="1" applyAlignment="1">
      <alignment horizontal="left" vertical="top" wrapText="1"/>
    </xf>
    <xf numFmtId="0" fontId="13" fillId="7" borderId="25" xfId="8" applyFont="1" applyFill="1" applyBorder="1" applyAlignment="1">
      <alignment horizontal="left" vertical="top" wrapText="1"/>
    </xf>
    <xf numFmtId="0" fontId="13" fillId="7" borderId="36" xfId="8" applyFont="1" applyFill="1" applyBorder="1" applyAlignment="1">
      <alignment horizontal="left" vertical="top" wrapText="1" indent="4"/>
    </xf>
    <xf numFmtId="0" fontId="13" fillId="7" borderId="35" xfId="8" applyFont="1" applyFill="1" applyBorder="1" applyAlignment="1">
      <alignment horizontal="left" vertical="top" wrapText="1" indent="4"/>
    </xf>
    <xf numFmtId="0" fontId="13" fillId="7" borderId="34" xfId="8" applyFont="1" applyFill="1" applyBorder="1" applyAlignment="1">
      <alignment horizontal="left" vertical="top" wrapText="1" indent="4"/>
    </xf>
    <xf numFmtId="0" fontId="13" fillId="7" borderId="36" xfId="8" applyFont="1" applyFill="1" applyBorder="1" applyAlignment="1">
      <alignment horizontal="left" vertical="top" wrapText="1" indent="3"/>
    </xf>
    <xf numFmtId="0" fontId="13" fillId="7" borderId="35" xfId="8" applyFont="1" applyFill="1" applyBorder="1" applyAlignment="1">
      <alignment horizontal="left" vertical="top" wrapText="1" indent="3"/>
    </xf>
    <xf numFmtId="0" fontId="13" fillId="7" borderId="34" xfId="8" applyFont="1" applyFill="1" applyBorder="1" applyAlignment="1">
      <alignment horizontal="left" vertical="top" wrapText="1" indent="3"/>
    </xf>
    <xf numFmtId="0" fontId="23" fillId="0" borderId="36" xfId="8" applyBorder="1" applyAlignment="1">
      <alignment horizontal="right" vertical="top" wrapText="1"/>
    </xf>
    <xf numFmtId="0" fontId="23" fillId="0" borderId="35" xfId="8" applyBorder="1" applyAlignment="1">
      <alignment horizontal="right" vertical="top" wrapText="1"/>
    </xf>
    <xf numFmtId="0" fontId="23" fillId="0" borderId="34" xfId="8" applyBorder="1" applyAlignment="1">
      <alignment horizontal="right" vertical="top" wrapText="1"/>
    </xf>
    <xf numFmtId="167" fontId="25" fillId="0" borderId="36" xfId="8" applyNumberFormat="1" applyFont="1" applyBorder="1" applyAlignment="1">
      <alignment horizontal="right" vertical="center" shrinkToFit="1"/>
    </xf>
    <xf numFmtId="167" fontId="25" fillId="0" borderId="35" xfId="8" applyNumberFormat="1" applyFont="1" applyBorder="1" applyAlignment="1">
      <alignment horizontal="right" vertical="center" shrinkToFit="1"/>
    </xf>
    <xf numFmtId="167" fontId="25" fillId="0" borderId="34" xfId="8" applyNumberFormat="1" applyFont="1" applyBorder="1" applyAlignment="1">
      <alignment horizontal="right" vertical="center" shrinkToFit="1"/>
    </xf>
    <xf numFmtId="0" fontId="13" fillId="0" borderId="36" xfId="8" applyFont="1" applyBorder="1" applyAlignment="1">
      <alignment horizontal="left" vertical="top" wrapText="1"/>
    </xf>
    <xf numFmtId="0" fontId="13" fillId="0" borderId="35" xfId="8" applyFont="1" applyBorder="1" applyAlignment="1">
      <alignment horizontal="left" vertical="top" wrapText="1"/>
    </xf>
    <xf numFmtId="0" fontId="13" fillId="0" borderId="34" xfId="8" applyFont="1" applyBorder="1" applyAlignment="1">
      <alignment horizontal="left" vertical="top" wrapText="1"/>
    </xf>
    <xf numFmtId="1" fontId="25" fillId="0" borderId="36" xfId="8" applyNumberFormat="1" applyFont="1" applyBorder="1" applyAlignment="1">
      <alignment horizontal="center" vertical="top" shrinkToFit="1"/>
    </xf>
    <xf numFmtId="1" fontId="25" fillId="0" borderId="35" xfId="8" applyNumberFormat="1" applyFont="1" applyBorder="1" applyAlignment="1">
      <alignment horizontal="center" vertical="top" shrinkToFit="1"/>
    </xf>
    <xf numFmtId="1" fontId="25" fillId="0" borderId="34" xfId="8" applyNumberFormat="1" applyFont="1" applyBorder="1" applyAlignment="1">
      <alignment horizontal="center" vertical="top" shrinkToFit="1"/>
    </xf>
    <xf numFmtId="2" fontId="25" fillId="0" borderId="36" xfId="8" applyNumberFormat="1" applyFont="1" applyBorder="1" applyAlignment="1">
      <alignment horizontal="right" vertical="top" indent="6" shrinkToFit="1"/>
    </xf>
    <xf numFmtId="2" fontId="25" fillId="0" borderId="35" xfId="8" applyNumberFormat="1" applyFont="1" applyBorder="1" applyAlignment="1">
      <alignment horizontal="right" vertical="top" indent="6" shrinkToFit="1"/>
    </xf>
    <xf numFmtId="2" fontId="25" fillId="0" borderId="34" xfId="8" applyNumberFormat="1" applyFont="1" applyBorder="1" applyAlignment="1">
      <alignment horizontal="right" vertical="top" indent="6" shrinkToFit="1"/>
    </xf>
    <xf numFmtId="0" fontId="23" fillId="0" borderId="27" xfId="8" applyBorder="1" applyAlignment="1">
      <alignment horizontal="left" vertical="center" wrapText="1"/>
    </xf>
    <xf numFmtId="0" fontId="23" fillId="0" borderId="26" xfId="8" applyBorder="1" applyAlignment="1">
      <alignment horizontal="left" vertical="center" wrapText="1"/>
    </xf>
    <xf numFmtId="0" fontId="23" fillId="0" borderId="25" xfId="8" applyBorder="1" applyAlignment="1">
      <alignment horizontal="left" vertical="center" wrapText="1"/>
    </xf>
    <xf numFmtId="1" fontId="25" fillId="0" borderId="36" xfId="8" applyNumberFormat="1" applyFont="1" applyBorder="1" applyAlignment="1">
      <alignment horizontal="left" vertical="top" shrinkToFit="1"/>
    </xf>
    <xf numFmtId="1" fontId="25" fillId="0" borderId="34" xfId="8" applyNumberFormat="1" applyFont="1" applyBorder="1" applyAlignment="1">
      <alignment horizontal="left" vertical="top" shrinkToFit="1"/>
    </xf>
    <xf numFmtId="166" fontId="25" fillId="0" borderId="36" xfId="8" applyNumberFormat="1" applyFont="1" applyBorder="1" applyAlignment="1">
      <alignment horizontal="right" vertical="top" shrinkToFit="1"/>
    </xf>
    <xf numFmtId="166" fontId="25" fillId="0" borderId="35" xfId="8" applyNumberFormat="1" applyFont="1" applyBorder="1" applyAlignment="1">
      <alignment horizontal="right" vertical="top" shrinkToFit="1"/>
    </xf>
    <xf numFmtId="166" fontId="25" fillId="0" borderId="34" xfId="8" applyNumberFormat="1" applyFont="1" applyBorder="1" applyAlignment="1">
      <alignment horizontal="right" vertical="top" shrinkToFit="1"/>
    </xf>
    <xf numFmtId="166" fontId="25" fillId="0" borderId="36" xfId="8" applyNumberFormat="1" applyFont="1" applyBorder="1" applyAlignment="1">
      <alignment horizontal="center" vertical="top" shrinkToFit="1"/>
    </xf>
    <xf numFmtId="166" fontId="25" fillId="0" borderId="35" xfId="8" applyNumberFormat="1" applyFont="1" applyBorder="1" applyAlignment="1">
      <alignment horizontal="center" vertical="top" shrinkToFit="1"/>
    </xf>
    <xf numFmtId="166" fontId="25" fillId="0" borderId="34" xfId="8" applyNumberFormat="1" applyFont="1" applyBorder="1" applyAlignment="1">
      <alignment horizontal="center" vertical="top" shrinkToFit="1"/>
    </xf>
    <xf numFmtId="168" fontId="25" fillId="0" borderId="36" xfId="8" applyNumberFormat="1" applyFont="1" applyBorder="1" applyAlignment="1">
      <alignment horizontal="center" vertical="top" shrinkToFit="1"/>
    </xf>
    <xf numFmtId="168" fontId="25" fillId="0" borderId="35" xfId="8" applyNumberFormat="1" applyFont="1" applyBorder="1" applyAlignment="1">
      <alignment horizontal="center" vertical="top" shrinkToFit="1"/>
    </xf>
    <xf numFmtId="168" fontId="25" fillId="0" borderId="34" xfId="8" applyNumberFormat="1" applyFont="1" applyBorder="1" applyAlignment="1">
      <alignment horizontal="center" vertical="top" shrinkToFit="1"/>
    </xf>
    <xf numFmtId="0" fontId="23" fillId="7" borderId="36" xfId="8" applyFill="1" applyBorder="1" applyAlignment="1">
      <alignment horizontal="left" vertical="top" wrapText="1"/>
    </xf>
    <xf numFmtId="0" fontId="23" fillId="7" borderId="34" xfId="8" applyFill="1" applyBorder="1" applyAlignment="1">
      <alignment horizontal="left" vertical="top" wrapText="1"/>
    </xf>
    <xf numFmtId="0" fontId="23" fillId="7" borderId="36" xfId="8" applyFill="1" applyBorder="1" applyAlignment="1">
      <alignment horizontal="center" vertical="top" wrapText="1"/>
    </xf>
    <xf numFmtId="0" fontId="23" fillId="7" borderId="35" xfId="8" applyFill="1" applyBorder="1" applyAlignment="1">
      <alignment horizontal="center" vertical="top" wrapText="1"/>
    </xf>
    <xf numFmtId="0" fontId="23" fillId="7" borderId="34" xfId="8" applyFill="1" applyBorder="1" applyAlignment="1">
      <alignment horizontal="center" vertical="top" wrapText="1"/>
    </xf>
    <xf numFmtId="0" fontId="14" fillId="0" borderId="36" xfId="8" applyFont="1" applyBorder="1" applyAlignment="1">
      <alignment horizontal="left" vertical="top" wrapText="1" indent="1"/>
    </xf>
    <xf numFmtId="0" fontId="14" fillId="0" borderId="35" xfId="8" applyFont="1" applyBorder="1" applyAlignment="1">
      <alignment horizontal="left" vertical="top" wrapText="1" indent="1"/>
    </xf>
    <xf numFmtId="0" fontId="14" fillId="0" borderId="34" xfId="8" applyFont="1" applyBorder="1" applyAlignment="1">
      <alignment horizontal="left" vertical="top" wrapText="1" indent="1"/>
    </xf>
    <xf numFmtId="167" fontId="25" fillId="0" borderId="30" xfId="8" applyNumberFormat="1" applyFont="1" applyBorder="1" applyAlignment="1">
      <alignment horizontal="right" vertical="top" shrinkToFit="1"/>
    </xf>
    <xf numFmtId="167" fontId="25" fillId="0" borderId="0" xfId="8" applyNumberFormat="1" applyFont="1" applyAlignment="1">
      <alignment horizontal="right" vertical="top" shrinkToFit="1"/>
    </xf>
    <xf numFmtId="167" fontId="25" fillId="0" borderId="29" xfId="8" applyNumberFormat="1" applyFont="1" applyBorder="1" applyAlignment="1">
      <alignment horizontal="right" vertical="top" shrinkToFit="1"/>
    </xf>
    <xf numFmtId="167" fontId="25" fillId="0" borderId="27" xfId="8" applyNumberFormat="1" applyFont="1" applyBorder="1" applyAlignment="1">
      <alignment horizontal="right" vertical="top" shrinkToFit="1"/>
    </xf>
    <xf numFmtId="167" fontId="25" fillId="0" borderId="26" xfId="8" applyNumberFormat="1" applyFont="1" applyBorder="1" applyAlignment="1">
      <alignment horizontal="right" vertical="top" shrinkToFit="1"/>
    </xf>
    <xf numFmtId="167" fontId="25" fillId="0" borderId="25" xfId="8" applyNumberFormat="1" applyFont="1" applyBorder="1" applyAlignment="1">
      <alignment horizontal="right" vertical="top" shrinkToFit="1"/>
    </xf>
    <xf numFmtId="0" fontId="38" fillId="0" borderId="0" xfId="8" applyFont="1" applyAlignment="1">
      <alignment horizontal="left" vertical="center" wrapText="1"/>
    </xf>
    <xf numFmtId="0" fontId="13" fillId="7" borderId="36" xfId="8" applyFont="1" applyFill="1" applyBorder="1" applyAlignment="1">
      <alignment horizontal="left" vertical="top" wrapText="1" indent="2"/>
    </xf>
    <xf numFmtId="0" fontId="13" fillId="7" borderId="35" xfId="8" applyFont="1" applyFill="1" applyBorder="1" applyAlignment="1">
      <alignment horizontal="left" vertical="top" wrapText="1" indent="2"/>
    </xf>
    <xf numFmtId="0" fontId="13" fillId="7" borderId="34" xfId="8" applyFont="1" applyFill="1" applyBorder="1" applyAlignment="1">
      <alignment horizontal="left" vertical="top" wrapText="1" indent="2"/>
    </xf>
    <xf numFmtId="0" fontId="23" fillId="0" borderId="36" xfId="8" applyBorder="1" applyAlignment="1">
      <alignment horizontal="left" vertical="top" wrapText="1" indent="1"/>
    </xf>
    <xf numFmtId="0" fontId="23" fillId="0" borderId="35" xfId="8" applyBorder="1" applyAlignment="1">
      <alignment horizontal="left" vertical="top" wrapText="1" indent="1"/>
    </xf>
    <xf numFmtId="0" fontId="23" fillId="0" borderId="34" xfId="8" applyBorder="1" applyAlignment="1">
      <alignment horizontal="left" vertical="top" wrapText="1" indent="1"/>
    </xf>
    <xf numFmtId="2" fontId="25" fillId="0" borderId="36" xfId="8" applyNumberFormat="1" applyFont="1" applyBorder="1" applyAlignment="1">
      <alignment horizontal="right" vertical="top" shrinkToFit="1"/>
    </xf>
    <xf numFmtId="2" fontId="25" fillId="0" borderId="35" xfId="8" applyNumberFormat="1" applyFont="1" applyBorder="1" applyAlignment="1">
      <alignment horizontal="right" vertical="top" shrinkToFit="1"/>
    </xf>
    <xf numFmtId="2" fontId="25" fillId="0" borderId="34" xfId="8" applyNumberFormat="1" applyFont="1" applyBorder="1" applyAlignment="1">
      <alignment horizontal="right" vertical="top" shrinkToFit="1"/>
    </xf>
    <xf numFmtId="0" fontId="14" fillId="0" borderId="30" xfId="8" applyFont="1" applyBorder="1" applyAlignment="1">
      <alignment horizontal="left" vertical="center" wrapText="1"/>
    </xf>
    <xf numFmtId="0" fontId="14" fillId="0" borderId="0" xfId="8" applyFont="1" applyAlignment="1">
      <alignment horizontal="left" vertical="center" wrapText="1"/>
    </xf>
    <xf numFmtId="0" fontId="14" fillId="0" borderId="29" xfId="8" applyFont="1" applyBorder="1" applyAlignment="1">
      <alignment horizontal="left" vertical="center" wrapText="1"/>
    </xf>
    <xf numFmtId="0" fontId="23" fillId="0" borderId="30" xfId="8" applyBorder="1" applyAlignment="1">
      <alignment horizontal="left" vertical="center" wrapText="1"/>
    </xf>
    <xf numFmtId="0" fontId="23" fillId="0" borderId="0" xfId="8" applyAlignment="1">
      <alignment horizontal="left" vertical="center" wrapText="1"/>
    </xf>
    <xf numFmtId="0" fontId="23" fillId="0" borderId="29" xfId="8" applyBorder="1" applyAlignment="1">
      <alignment horizontal="left" vertical="center" wrapText="1"/>
    </xf>
    <xf numFmtId="0" fontId="15" fillId="0" borderId="33" xfId="8" applyFont="1" applyBorder="1" applyAlignment="1">
      <alignment horizontal="left" vertical="top" wrapText="1"/>
    </xf>
    <xf numFmtId="0" fontId="15" fillId="0" borderId="32" xfId="8" applyFont="1" applyBorder="1" applyAlignment="1">
      <alignment horizontal="left" vertical="top" wrapText="1"/>
    </xf>
    <xf numFmtId="0" fontId="15" fillId="0" borderId="31" xfId="8" applyFont="1" applyBorder="1" applyAlignment="1">
      <alignment horizontal="left" vertical="top" wrapText="1"/>
    </xf>
    <xf numFmtId="0" fontId="15" fillId="0" borderId="30" xfId="8" applyFont="1" applyBorder="1" applyAlignment="1">
      <alignment horizontal="left" vertical="top" wrapText="1"/>
    </xf>
    <xf numFmtId="0" fontId="15" fillId="0" borderId="0" xfId="8" applyFont="1" applyAlignment="1">
      <alignment horizontal="left" vertical="top" wrapText="1"/>
    </xf>
    <xf numFmtId="0" fontId="15" fillId="0" borderId="29" xfId="8" applyFont="1" applyBorder="1" applyAlignment="1">
      <alignment horizontal="left" vertical="top" wrapText="1"/>
    </xf>
    <xf numFmtId="0" fontId="15" fillId="0" borderId="27" xfId="8" applyFont="1" applyBorder="1" applyAlignment="1">
      <alignment horizontal="left" vertical="top" wrapText="1"/>
    </xf>
    <xf numFmtId="0" fontId="15" fillId="0" borderId="26" xfId="8" applyFont="1" applyBorder="1" applyAlignment="1">
      <alignment horizontal="left" vertical="top" wrapText="1"/>
    </xf>
    <xf numFmtId="0" fontId="15" fillId="0" borderId="25" xfId="8" applyFont="1" applyBorder="1" applyAlignment="1">
      <alignment horizontal="left" vertical="top" wrapText="1"/>
    </xf>
    <xf numFmtId="166" fontId="25" fillId="0" borderId="36" xfId="8" applyNumberFormat="1" applyFont="1" applyBorder="1" applyAlignment="1">
      <alignment horizontal="left" vertical="top" indent="5" shrinkToFit="1"/>
    </xf>
    <xf numFmtId="166" fontId="25" fillId="0" borderId="35" xfId="8" applyNumberFormat="1" applyFont="1" applyBorder="1" applyAlignment="1">
      <alignment horizontal="left" vertical="top" indent="5" shrinkToFit="1"/>
    </xf>
    <xf numFmtId="166" fontId="25" fillId="0" borderId="34" xfId="8" applyNumberFormat="1" applyFont="1" applyBorder="1" applyAlignment="1">
      <alignment horizontal="left" vertical="top" indent="5" shrinkToFit="1"/>
    </xf>
    <xf numFmtId="0" fontId="23" fillId="0" borderId="28" xfId="8" applyBorder="1" applyAlignment="1">
      <alignment horizontal="left" vertical="center" wrapText="1"/>
    </xf>
    <xf numFmtId="166" fontId="25" fillId="0" borderId="36" xfId="8" applyNumberFormat="1" applyFont="1" applyBorder="1" applyAlignment="1">
      <alignment horizontal="left" vertical="top" indent="3" shrinkToFit="1"/>
    </xf>
    <xf numFmtId="166" fontId="25" fillId="0" borderId="35" xfId="8" applyNumberFormat="1" applyFont="1" applyBorder="1" applyAlignment="1">
      <alignment horizontal="left" vertical="top" indent="3" shrinkToFit="1"/>
    </xf>
    <xf numFmtId="166" fontId="25" fillId="0" borderId="34" xfId="8" applyNumberFormat="1" applyFont="1" applyBorder="1" applyAlignment="1">
      <alignment horizontal="left" vertical="top" indent="3" shrinkToFit="1"/>
    </xf>
    <xf numFmtId="0" fontId="23" fillId="0" borderId="30" xfId="8" applyBorder="1" applyAlignment="1">
      <alignment horizontal="left" vertical="top" wrapText="1" indent="5"/>
    </xf>
    <xf numFmtId="0" fontId="23" fillId="0" borderId="0" xfId="8" applyAlignment="1">
      <alignment horizontal="left" vertical="top" wrapText="1" indent="5"/>
    </xf>
    <xf numFmtId="0" fontId="23" fillId="0" borderId="29" xfId="8" applyBorder="1" applyAlignment="1">
      <alignment horizontal="left" vertical="top" wrapText="1" indent="5"/>
    </xf>
    <xf numFmtId="0" fontId="13" fillId="7" borderId="36" xfId="8" applyFont="1" applyFill="1" applyBorder="1" applyAlignment="1">
      <alignment horizontal="left" vertical="top" wrapText="1" indent="5"/>
    </xf>
    <xf numFmtId="0" fontId="13" fillId="7" borderId="35" xfId="8" applyFont="1" applyFill="1" applyBorder="1" applyAlignment="1">
      <alignment horizontal="left" vertical="top" wrapText="1" indent="5"/>
    </xf>
    <xf numFmtId="0" fontId="13" fillId="7" borderId="34" xfId="8" applyFont="1" applyFill="1" applyBorder="1" applyAlignment="1">
      <alignment horizontal="left" vertical="top" wrapText="1" indent="5"/>
    </xf>
    <xf numFmtId="166" fontId="25" fillId="0" borderId="36" xfId="8" applyNumberFormat="1" applyFont="1" applyBorder="1" applyAlignment="1">
      <alignment horizontal="left" vertical="top" indent="6" shrinkToFit="1"/>
    </xf>
    <xf numFmtId="166" fontId="25" fillId="0" borderId="35" xfId="8" applyNumberFormat="1" applyFont="1" applyBorder="1" applyAlignment="1">
      <alignment horizontal="left" vertical="top" indent="6" shrinkToFit="1"/>
    </xf>
    <xf numFmtId="166" fontId="25" fillId="0" borderId="34" xfId="8" applyNumberFormat="1" applyFont="1" applyBorder="1" applyAlignment="1">
      <alignment horizontal="left" vertical="top" indent="6" shrinkToFit="1"/>
    </xf>
    <xf numFmtId="0" fontId="40" fillId="9" borderId="39" xfId="0" applyFont="1" applyFill="1" applyBorder="1" applyAlignment="1">
      <alignment horizontal="center" vertical="center" wrapText="1"/>
    </xf>
    <xf numFmtId="0" fontId="40" fillId="9" borderId="42" xfId="0" applyFont="1" applyFill="1" applyBorder="1" applyAlignment="1">
      <alignment horizontal="center" vertical="center" wrapText="1"/>
    </xf>
    <xf numFmtId="0" fontId="42" fillId="9" borderId="16" xfId="0" applyFont="1" applyFill="1" applyBorder="1" applyAlignment="1">
      <alignment horizontal="center" vertical="center" wrapText="1"/>
    </xf>
    <xf numFmtId="0" fontId="42" fillId="9" borderId="41" xfId="0" applyFont="1" applyFill="1" applyBorder="1" applyAlignment="1">
      <alignment horizontal="center" vertical="center" wrapText="1"/>
    </xf>
    <xf numFmtId="0" fontId="20" fillId="0" borderId="0" xfId="0" applyFont="1" applyAlignment="1">
      <alignment horizontal="left" vertical="top" wrapText="1"/>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xf>
    <xf numFmtId="0" fontId="0" fillId="0" borderId="15" xfId="0" applyBorder="1" applyAlignment="1">
      <alignment horizontal="center"/>
    </xf>
    <xf numFmtId="0" fontId="20" fillId="0" borderId="0" xfId="0" applyFont="1" applyAlignment="1">
      <alignment horizontal="left" wrapText="1"/>
    </xf>
    <xf numFmtId="0" fontId="0" fillId="0" borderId="0" xfId="0"/>
    <xf numFmtId="0" fontId="58" fillId="0" borderId="0" xfId="0" applyFont="1"/>
    <xf numFmtId="0" fontId="64" fillId="12" borderId="19" xfId="9" applyFont="1" applyFill="1" applyBorder="1" applyAlignment="1">
      <alignment horizontal="center" vertical="center" wrapText="1"/>
    </xf>
    <xf numFmtId="0" fontId="68" fillId="0" borderId="19" xfId="0" applyFont="1" applyBorder="1" applyAlignment="1">
      <alignment horizontal="left" vertical="center" wrapText="1"/>
    </xf>
    <xf numFmtId="0" fontId="14" fillId="0" borderId="19" xfId="0" applyFont="1" applyBorder="1" applyAlignment="1">
      <alignment horizontal="left" vertical="center"/>
    </xf>
    <xf numFmtId="0" fontId="14" fillId="0" borderId="48" xfId="0" applyFont="1" applyBorder="1" applyAlignment="1">
      <alignment horizontal="left" vertical="center"/>
    </xf>
    <xf numFmtId="172" fontId="14" fillId="0" borderId="13" xfId="0" applyNumberFormat="1" applyFont="1" applyBorder="1" applyAlignment="1">
      <alignment horizontal="center"/>
    </xf>
    <xf numFmtId="172" fontId="14" fillId="0" borderId="75" xfId="0" applyNumberFormat="1" applyFont="1" applyBorder="1" applyAlignment="1">
      <alignment horizontal="center"/>
    </xf>
    <xf numFmtId="172" fontId="14" fillId="0" borderId="15" xfId="0" applyNumberFormat="1" applyFont="1" applyBorder="1" applyAlignment="1">
      <alignment horizontal="center"/>
    </xf>
    <xf numFmtId="0" fontId="65" fillId="6" borderId="19" xfId="0" applyFont="1" applyFill="1" applyBorder="1" applyAlignment="1">
      <alignment horizontal="left" vertical="center" wrapText="1"/>
    </xf>
    <xf numFmtId="0" fontId="64" fillId="12" borderId="20" xfId="9" applyFont="1" applyFill="1" applyBorder="1" applyAlignment="1">
      <alignment horizontal="center" vertical="center" wrapText="1"/>
    </xf>
    <xf numFmtId="0" fontId="64" fillId="12" borderId="48" xfId="9" applyFont="1" applyFill="1" applyBorder="1" applyAlignment="1">
      <alignment horizontal="center" vertical="center" wrapText="1"/>
    </xf>
  </cellXfs>
  <cellStyles count="20">
    <cellStyle name="20% - Accent1" xfId="4" builtinId="30"/>
    <cellStyle name="Body: normal cell" xfId="18" xr:uid="{1DE18A7E-8BCA-4F30-911A-698CD5195569}"/>
    <cellStyle name="Comma" xfId="1" builtinId="3"/>
    <cellStyle name="Currency" xfId="2" builtinId="4"/>
    <cellStyle name="Font: Calibri, 9pt regular" xfId="14" xr:uid="{5A248D6A-B755-4176-B01A-1EF902AF2EAD}"/>
    <cellStyle name="Footnotes: top row" xfId="19" xr:uid="{95ABF0D6-2796-4ADA-AF65-68F5549C331B}"/>
    <cellStyle name="Header: bottom row" xfId="15" xr:uid="{45A12CA9-7F47-4320-9240-C562C135E97E}"/>
    <cellStyle name="Heading 1" xfId="3" builtinId="16"/>
    <cellStyle name="Heading 2" xfId="9" builtinId="17"/>
    <cellStyle name="Hyperlink" xfId="5" builtinId="8"/>
    <cellStyle name="Normal" xfId="0" builtinId="0"/>
    <cellStyle name="Normal 2" xfId="6" xr:uid="{632B60C4-5029-4154-B209-926F418E5AAF}"/>
    <cellStyle name="Normal 2 2" xfId="10" xr:uid="{6FF10FA4-F494-4C14-A7E7-F38B6BA4B192}"/>
    <cellStyle name="Normal 3" xfId="8" xr:uid="{AAC2C69E-7F3B-4D27-9342-260C94829821}"/>
    <cellStyle name="Normal 4" xfId="13" xr:uid="{28C6262E-C61A-4496-9D08-0CEBAE4B4785}"/>
    <cellStyle name="Parent row" xfId="17" xr:uid="{931BCA16-3485-4371-B1D3-34E2D5F13DDC}"/>
    <cellStyle name="Percent" xfId="7" builtinId="5"/>
    <cellStyle name="Percent 2" xfId="12" xr:uid="{F104A161-110C-47EF-B37B-10791B225543}"/>
    <cellStyle name="Percent 3" xfId="11" xr:uid="{98F028A2-0B9B-4ED1-AC38-189E65E51586}"/>
    <cellStyle name="Table title" xfId="16" xr:uid="{70299FAC-0AC4-475E-8A49-F77206B33DA5}"/>
  </cellStyles>
  <dxfs count="2">
    <dxf>
      <font>
        <b/>
        <i val="0"/>
        <color rgb="FFFF0000"/>
      </font>
      <numFmt numFmtId="30" formatCode="@"/>
      <fill>
        <patternFill>
          <bgColor rgb="FFFFFF00"/>
        </patternFill>
      </fill>
    </dxf>
    <dxf>
      <font>
        <b/>
        <i val="0"/>
        <color rgb="FFFF0000"/>
      </font>
      <numFmt numFmtId="30" formatCode="@"/>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Net Present Value of Benefits &amp; Costs (7% disc. rate)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stacked"/>
        <c:varyColors val="0"/>
        <c:ser>
          <c:idx val="10"/>
          <c:order val="0"/>
          <c:tx>
            <c:strRef>
              <c:f>'OUTPUT Summary'!$B$91</c:f>
              <c:strCache>
                <c:ptCount val="1"/>
                <c:pt idx="0">
                  <c:v>Residual Value</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c:spPr>
          <c:invertIfNegative val="0"/>
          <c:cat>
            <c:numRef>
              <c:f>'OUTPUT Summary'!$F$41:$AR$41</c:f>
              <c:numCache>
                <c:formatCode>0</c:formatCode>
                <c:ptCount val="39"/>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numCache>
            </c:numRef>
          </c:cat>
          <c:val>
            <c:numRef>
              <c:f>'OUTPUT Summary'!$F$91:$AR$91</c:f>
              <c:numCache>
                <c:formatCode>_(* #,##0.00_);_(* \(#,##0.00\);_(* "-"??_);_(@_)</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20.835654654384108</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A-2257-4F6B-AB63-3DBAF1870A6A}"/>
            </c:ext>
          </c:extLst>
        </c:ser>
        <c:ser>
          <c:idx val="9"/>
          <c:order val="1"/>
          <c:tx>
            <c:strRef>
              <c:f>'OUTPUT Summary'!$B$90</c:f>
              <c:strCache>
                <c:ptCount val="1"/>
                <c:pt idx="0">
                  <c:v>Reduced Bridge Hits</c:v>
                </c:pt>
              </c:strCache>
            </c:strRef>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invertIfNegative val="0"/>
          <c:cat>
            <c:numRef>
              <c:f>'OUTPUT Summary'!$F$41:$AR$41</c:f>
              <c:numCache>
                <c:formatCode>0</c:formatCode>
                <c:ptCount val="39"/>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numCache>
            </c:numRef>
          </c:cat>
          <c:val>
            <c:numRef>
              <c:f>'OUTPUT Summary'!$F$90:$AR$90</c:f>
              <c:numCache>
                <c:formatCode>_(* #,##0.00_);_(* \(#,##0.00\);_(* "-"??_);_(@_)</c:formatCode>
                <c:ptCount val="39"/>
                <c:pt idx="0">
                  <c:v>0</c:v>
                </c:pt>
                <c:pt idx="1">
                  <c:v>0</c:v>
                </c:pt>
                <c:pt idx="2">
                  <c:v>0</c:v>
                </c:pt>
                <c:pt idx="3">
                  <c:v>0</c:v>
                </c:pt>
                <c:pt idx="4">
                  <c:v>0</c:v>
                </c:pt>
                <c:pt idx="5">
                  <c:v>0</c:v>
                </c:pt>
                <c:pt idx="6">
                  <c:v>0</c:v>
                </c:pt>
                <c:pt idx="7">
                  <c:v>0</c:v>
                </c:pt>
                <c:pt idx="8">
                  <c:v>0</c:v>
                </c:pt>
                <c:pt idx="9">
                  <c:v>0</c:v>
                </c:pt>
                <c:pt idx="10">
                  <c:v>7.7843717735573883E-3</c:v>
                </c:pt>
                <c:pt idx="11">
                  <c:v>7.2751138070629804E-3</c:v>
                </c:pt>
                <c:pt idx="12">
                  <c:v>6.7991717823018506E-3</c:v>
                </c:pt>
                <c:pt idx="13">
                  <c:v>6.3543661516839729E-3</c:v>
                </c:pt>
                <c:pt idx="14">
                  <c:v>5.9386599548448332E-3</c:v>
                </c:pt>
                <c:pt idx="15">
                  <c:v>5.5501494905091913E-3</c:v>
                </c:pt>
                <c:pt idx="16">
                  <c:v>5.1870555986067201E-3</c:v>
                </c:pt>
                <c:pt idx="17">
                  <c:v>4.8477155127165618E-3</c:v>
                </c:pt>
                <c:pt idx="18">
                  <c:v>4.5305752455294963E-3</c:v>
                </c:pt>
                <c:pt idx="19">
                  <c:v>4.2341824724574737E-3</c:v>
                </c:pt>
                <c:pt idx="20">
                  <c:v>3.9571798808013771E-3</c:v>
                </c:pt>
                <c:pt idx="21">
                  <c:v>3.6982989540199781E-3</c:v>
                </c:pt>
                <c:pt idx="22">
                  <c:v>3.4563541626354936E-3</c:v>
                </c:pt>
                <c:pt idx="23">
                  <c:v>3.2302375351733591E-3</c:v>
                </c:pt>
                <c:pt idx="24">
                  <c:v>3.018913584274167E-3</c:v>
                </c:pt>
                <c:pt idx="25">
                  <c:v>2.8214145647422126E-3</c:v>
                </c:pt>
                <c:pt idx="26">
                  <c:v>2.6368360418151516E-3</c:v>
                </c:pt>
                <c:pt idx="27">
                  <c:v>2.4643327493599544E-3</c:v>
                </c:pt>
                <c:pt idx="28">
                  <c:v>2.3031147190279949E-3</c:v>
                </c:pt>
                <c:pt idx="29">
                  <c:v>2.152443662642986E-3</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9-2257-4F6B-AB63-3DBAF1870A6A}"/>
            </c:ext>
          </c:extLst>
        </c:ser>
        <c:ser>
          <c:idx val="4"/>
          <c:order val="2"/>
          <c:tx>
            <c:strRef>
              <c:f>'OUTPUT Summary'!$B$89</c:f>
              <c:strCache>
                <c:ptCount val="1"/>
                <c:pt idx="0">
                  <c:v>Pedestrian / Cycling Improvments</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invertIfNegative val="0"/>
          <c:cat>
            <c:numRef>
              <c:f>'OUTPUT Summary'!$F$41:$AR$41</c:f>
              <c:numCache>
                <c:formatCode>0</c:formatCode>
                <c:ptCount val="39"/>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numCache>
            </c:numRef>
          </c:cat>
          <c:val>
            <c:numRef>
              <c:f>'OUTPUT Summary'!$F$89:$AR$89</c:f>
              <c:numCache>
                <c:formatCode>_(* #,##0.00_);_(* \(#,##0.00\);_(* "-"??_);_(@_)</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4-2257-4F6B-AB63-3DBAF1870A6A}"/>
            </c:ext>
          </c:extLst>
        </c:ser>
        <c:ser>
          <c:idx val="3"/>
          <c:order val="3"/>
          <c:tx>
            <c:strRef>
              <c:f>'OUTPUT Summary'!$B$88</c:f>
              <c:strCache>
                <c:ptCount val="1"/>
                <c:pt idx="0">
                  <c:v>Emmisions Reduction</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numRef>
              <c:f>'OUTPUT Summary'!$F$41:$AR$41</c:f>
              <c:numCache>
                <c:formatCode>0</c:formatCode>
                <c:ptCount val="39"/>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numCache>
            </c:numRef>
          </c:cat>
          <c:val>
            <c:numRef>
              <c:f>'OUTPUT Summary'!$F$88:$AR$88</c:f>
              <c:numCache>
                <c:formatCode>_(* #,##0.00_);_(* \(#,##0.00\);_(* "-"??_);_(@_)</c:formatCode>
                <c:ptCount val="39"/>
                <c:pt idx="0">
                  <c:v>0</c:v>
                </c:pt>
                <c:pt idx="1">
                  <c:v>0</c:v>
                </c:pt>
                <c:pt idx="2">
                  <c:v>0</c:v>
                </c:pt>
                <c:pt idx="3">
                  <c:v>0</c:v>
                </c:pt>
                <c:pt idx="4">
                  <c:v>0</c:v>
                </c:pt>
                <c:pt idx="5">
                  <c:v>0</c:v>
                </c:pt>
                <c:pt idx="6">
                  <c:v>0</c:v>
                </c:pt>
                <c:pt idx="7">
                  <c:v>0</c:v>
                </c:pt>
                <c:pt idx="8">
                  <c:v>0</c:v>
                </c:pt>
                <c:pt idx="9">
                  <c:v>0</c:v>
                </c:pt>
                <c:pt idx="10">
                  <c:v>2.3787364736826581E-4</c:v>
                </c:pt>
                <c:pt idx="11">
                  <c:v>2.5414951518774734E-4</c:v>
                </c:pt>
                <c:pt idx="12">
                  <c:v>2.6718307661711564E-4</c:v>
                </c:pt>
                <c:pt idx="13">
                  <c:v>2.73950776165256E-4</c:v>
                </c:pt>
                <c:pt idx="14">
                  <c:v>2.7879540812343373E-4</c:v>
                </c:pt>
                <c:pt idx="15">
                  <c:v>2.8193960665869332E-4</c:v>
                </c:pt>
                <c:pt idx="16">
                  <c:v>2.8358505040386651E-4</c:v>
                </c:pt>
                <c:pt idx="17">
                  <c:v>2.839142538061049E-4</c:v>
                </c:pt>
                <c:pt idx="18">
                  <c:v>2.8326638849156618E-4</c:v>
                </c:pt>
                <c:pt idx="19">
                  <c:v>2.8144769113122592E-4</c:v>
                </c:pt>
                <c:pt idx="20">
                  <c:v>2.7876064696694553E-4</c:v>
                </c:pt>
                <c:pt idx="21">
                  <c:v>2.7532631894258117E-4</c:v>
                </c:pt>
                <c:pt idx="22">
                  <c:v>2.7125360330809473E-4</c:v>
                </c:pt>
                <c:pt idx="23">
                  <c:v>2.6683793708877926E-4</c:v>
                </c:pt>
                <c:pt idx="24">
                  <c:v>2.617752034285094E-4</c:v>
                </c:pt>
                <c:pt idx="25">
                  <c:v>2.5633772343226389E-4</c:v>
                </c:pt>
                <c:pt idx="26">
                  <c:v>2.505956499310326E-4</c:v>
                </c:pt>
                <c:pt idx="27">
                  <c:v>2.4461152718461572E-4</c:v>
                </c:pt>
                <c:pt idx="28">
                  <c:v>2.3865234317193505E-4</c:v>
                </c:pt>
                <c:pt idx="29">
                  <c:v>2.3234652795774111E-4</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3-2257-4F6B-AB63-3DBAF1870A6A}"/>
            </c:ext>
          </c:extLst>
        </c:ser>
        <c:ser>
          <c:idx val="2"/>
          <c:order val="4"/>
          <c:tx>
            <c:strRef>
              <c:f>'OUTPUT Summary'!$B$87</c:f>
              <c:strCache>
                <c:ptCount val="1"/>
                <c:pt idx="0">
                  <c:v>Reduced Vehicle Operating Costs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cat>
            <c:numRef>
              <c:f>'OUTPUT Summary'!$F$41:$AR$41</c:f>
              <c:numCache>
                <c:formatCode>0</c:formatCode>
                <c:ptCount val="39"/>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numCache>
            </c:numRef>
          </c:cat>
          <c:val>
            <c:numRef>
              <c:f>'OUTPUT Summary'!$F$87:$AR$87</c:f>
              <c:numCache>
                <c:formatCode>_(* #,##0.00_);_(* \(#,##0.00\);_(* "-"??_);_(@_)</c:formatCode>
                <c:ptCount val="39"/>
                <c:pt idx="0">
                  <c:v>0</c:v>
                </c:pt>
                <c:pt idx="1">
                  <c:v>0</c:v>
                </c:pt>
                <c:pt idx="2">
                  <c:v>0</c:v>
                </c:pt>
                <c:pt idx="3">
                  <c:v>0</c:v>
                </c:pt>
                <c:pt idx="4">
                  <c:v>0</c:v>
                </c:pt>
                <c:pt idx="5">
                  <c:v>0</c:v>
                </c:pt>
                <c:pt idx="6">
                  <c:v>0</c:v>
                </c:pt>
                <c:pt idx="7">
                  <c:v>0</c:v>
                </c:pt>
                <c:pt idx="8">
                  <c:v>0</c:v>
                </c:pt>
                <c:pt idx="9">
                  <c:v>0</c:v>
                </c:pt>
                <c:pt idx="10">
                  <c:v>2.5542711383765996E-3</c:v>
                </c:pt>
                <c:pt idx="11">
                  <c:v>2.749041371695334E-3</c:v>
                </c:pt>
                <c:pt idx="12">
                  <c:v>2.9518229894447343E-3</c:v>
                </c:pt>
                <c:pt idx="13">
                  <c:v>3.1619650427524805E-3</c:v>
                </c:pt>
                <c:pt idx="14">
                  <c:v>3.2832588467612356E-3</c:v>
                </c:pt>
                <c:pt idx="15">
                  <c:v>3.3738315019288963E-3</c:v>
                </c:pt>
                <c:pt idx="16">
                  <c:v>3.4424868653871576E-3</c:v>
                </c:pt>
                <c:pt idx="17">
                  <c:v>3.4781860264749692E-3</c:v>
                </c:pt>
                <c:pt idx="18">
                  <c:v>3.5086998172756266E-3</c:v>
                </c:pt>
                <c:pt idx="19">
                  <c:v>3.5224375773070435E-3</c:v>
                </c:pt>
                <c:pt idx="20">
                  <c:v>3.5351987154272398E-3</c:v>
                </c:pt>
                <c:pt idx="21">
                  <c:v>3.5016780920861749E-3</c:v>
                </c:pt>
                <c:pt idx="22">
                  <c:v>3.4819785395228983E-3</c:v>
                </c:pt>
                <c:pt idx="23">
                  <c:v>3.4472673369318899E-3</c:v>
                </c:pt>
                <c:pt idx="24">
                  <c:v>3.3880272265316958E-3</c:v>
                </c:pt>
                <c:pt idx="25">
                  <c:v>3.3518557038055238E-3</c:v>
                </c:pt>
                <c:pt idx="26">
                  <c:v>3.308177558653569E-3</c:v>
                </c:pt>
                <c:pt idx="27">
                  <c:v>3.2370316411989915E-3</c:v>
                </c:pt>
                <c:pt idx="28">
                  <c:v>3.1771933000888956E-3</c:v>
                </c:pt>
                <c:pt idx="29">
                  <c:v>3.0978113013043606E-3</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2-2257-4F6B-AB63-3DBAF1870A6A}"/>
            </c:ext>
          </c:extLst>
        </c:ser>
        <c:ser>
          <c:idx val="5"/>
          <c:order val="5"/>
          <c:tx>
            <c:strRef>
              <c:f>'OUTPUT Summary'!$B$86</c:f>
              <c:strCache>
                <c:ptCount val="1"/>
                <c:pt idx="0">
                  <c:v>Travel Time - Pedestrian</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invertIfNegative val="0"/>
          <c:val>
            <c:numRef>
              <c:f>'OUTPUT Summary'!$F$86:$AR$86</c:f>
              <c:numCache>
                <c:formatCode>_(* #,##0.00_);_(* \(#,##0.00\);_(* "-"??_);_(@_)</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0-539C-40A5-B54A-C71A92850864}"/>
            </c:ext>
          </c:extLst>
        </c:ser>
        <c:ser>
          <c:idx val="1"/>
          <c:order val="6"/>
          <c:tx>
            <c:strRef>
              <c:f>'OUTPUT Summary'!$B$85</c:f>
              <c:strCache>
                <c:ptCount val="1"/>
                <c:pt idx="0">
                  <c:v>Travel Time - Vehicular</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numRef>
              <c:f>'OUTPUT Summary'!$F$41:$AR$41</c:f>
              <c:numCache>
                <c:formatCode>0</c:formatCode>
                <c:ptCount val="39"/>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numCache>
            </c:numRef>
          </c:cat>
          <c:val>
            <c:numRef>
              <c:f>'OUTPUT Summary'!$F$85:$AR$85</c:f>
              <c:numCache>
                <c:formatCode>_(* #,##0.00_);_(* \(#,##0.00\);_(* "-"??_);_(@_)</c:formatCode>
                <c:ptCount val="39"/>
                <c:pt idx="0">
                  <c:v>0</c:v>
                </c:pt>
                <c:pt idx="1">
                  <c:v>0</c:v>
                </c:pt>
                <c:pt idx="2">
                  <c:v>0</c:v>
                </c:pt>
                <c:pt idx="3">
                  <c:v>0</c:v>
                </c:pt>
                <c:pt idx="4">
                  <c:v>0</c:v>
                </c:pt>
                <c:pt idx="5">
                  <c:v>0</c:v>
                </c:pt>
                <c:pt idx="6">
                  <c:v>0</c:v>
                </c:pt>
                <c:pt idx="7">
                  <c:v>0</c:v>
                </c:pt>
                <c:pt idx="8">
                  <c:v>0</c:v>
                </c:pt>
                <c:pt idx="9">
                  <c:v>0</c:v>
                </c:pt>
                <c:pt idx="10">
                  <c:v>0.1289653146254704</c:v>
                </c:pt>
                <c:pt idx="11">
                  <c:v>0.13371421775787729</c:v>
                </c:pt>
                <c:pt idx="12">
                  <c:v>0.13728981690661798</c:v>
                </c:pt>
                <c:pt idx="13">
                  <c:v>0.13982530388879849</c:v>
                </c:pt>
                <c:pt idx="14">
                  <c:v>0.14144146511958319</c:v>
                </c:pt>
                <c:pt idx="15">
                  <c:v>0.14224773470793034</c:v>
                </c:pt>
                <c:pt idx="16">
                  <c:v>0.14234316285735663</c:v>
                </c:pt>
                <c:pt idx="17">
                  <c:v>0.14181730614622512</c:v>
                </c:pt>
                <c:pt idx="18">
                  <c:v>0.14075104576431563</c:v>
                </c:pt>
                <c:pt idx="19">
                  <c:v>0.13921733932169655</c:v>
                </c:pt>
                <c:pt idx="20">
                  <c:v>0.1372819114194383</c:v>
                </c:pt>
                <c:pt idx="21">
                  <c:v>0.13500388777701225</c:v>
                </c:pt>
                <c:pt idx="22">
                  <c:v>0.1324363773459411</c:v>
                </c:pt>
                <c:pt idx="23">
                  <c:v>0.12962700650126813</c:v>
                </c:pt>
                <c:pt idx="24">
                  <c:v>0.12661840908967809</c:v>
                </c:pt>
                <c:pt idx="25">
                  <c:v>0.12344867582377775</c:v>
                </c:pt>
                <c:pt idx="26">
                  <c:v>0.12015176624439348</c:v>
                </c:pt>
                <c:pt idx="27">
                  <c:v>0.11675788622519383</c:v>
                </c:pt>
                <c:pt idx="28">
                  <c:v>0.11329383376497633</c:v>
                </c:pt>
                <c:pt idx="29">
                  <c:v>0.10978331560123623</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1-2257-4F6B-AB63-3DBAF1870A6A}"/>
            </c:ext>
          </c:extLst>
        </c:ser>
        <c:ser>
          <c:idx val="0"/>
          <c:order val="7"/>
          <c:tx>
            <c:strRef>
              <c:f>'OUTPUT Summary'!$B$84</c:f>
              <c:strCache>
                <c:ptCount val="1"/>
                <c:pt idx="0">
                  <c:v>Safety Benefits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numRef>
              <c:f>'OUTPUT Summary'!$F$41:$AR$41</c:f>
              <c:numCache>
                <c:formatCode>0</c:formatCode>
                <c:ptCount val="39"/>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numCache>
            </c:numRef>
          </c:cat>
          <c:val>
            <c:numRef>
              <c:f>'OUTPUT Summary'!$F$84:$AR$84</c:f>
              <c:numCache>
                <c:formatCode>_(* #,##0.00_);_(* \(#,##0.00\);_(* "-"??_);_(@_)</c:formatCode>
                <c:ptCount val="39"/>
                <c:pt idx="0">
                  <c:v>0</c:v>
                </c:pt>
                <c:pt idx="1">
                  <c:v>0</c:v>
                </c:pt>
                <c:pt idx="2">
                  <c:v>0</c:v>
                </c:pt>
                <c:pt idx="3">
                  <c:v>0</c:v>
                </c:pt>
                <c:pt idx="4">
                  <c:v>0</c:v>
                </c:pt>
                <c:pt idx="5">
                  <c:v>0</c:v>
                </c:pt>
                <c:pt idx="6">
                  <c:v>0</c:v>
                </c:pt>
                <c:pt idx="7">
                  <c:v>0</c:v>
                </c:pt>
                <c:pt idx="8">
                  <c:v>0</c:v>
                </c:pt>
                <c:pt idx="9">
                  <c:v>0</c:v>
                </c:pt>
                <c:pt idx="10">
                  <c:v>5.3201959880191971</c:v>
                </c:pt>
                <c:pt idx="11">
                  <c:v>5.1755990101531362</c:v>
                </c:pt>
                <c:pt idx="12">
                  <c:v>5.0349320164559108</c:v>
                </c:pt>
                <c:pt idx="13">
                  <c:v>4.898088194352348</c:v>
                </c:pt>
                <c:pt idx="14">
                  <c:v>4.7649636343136397</c:v>
                </c:pt>
                <c:pt idx="15">
                  <c:v>4.6354572509557661</c:v>
                </c:pt>
                <c:pt idx="16">
                  <c:v>4.5094707062824249</c:v>
                </c:pt>
                <c:pt idx="17">
                  <c:v>4.3869083350140823</c:v>
                </c:pt>
                <c:pt idx="18">
                  <c:v>4.2676770719465278</c:v>
                </c:pt>
                <c:pt idx="19">
                  <c:v>4.1516863812837412</c:v>
                </c:pt>
                <c:pt idx="20">
                  <c:v>4.0388481878913938</c:v>
                </c:pt>
                <c:pt idx="21">
                  <c:v>3.9290768104188234</c:v>
                </c:pt>
                <c:pt idx="22">
                  <c:v>3.8222888962386734</c:v>
                </c:pt>
                <c:pt idx="23">
                  <c:v>3.718403358154788</c:v>
                </c:pt>
                <c:pt idx="24">
                  <c:v>3.617341312830332</c:v>
                </c:pt>
                <c:pt idx="25">
                  <c:v>3.5190260208893576</c:v>
                </c:pt>
                <c:pt idx="26">
                  <c:v>3.4233828286463459</c:v>
                </c:pt>
                <c:pt idx="27">
                  <c:v>3.3303391114194696</c:v>
                </c:pt>
                <c:pt idx="28">
                  <c:v>3.2398242183845452</c:v>
                </c:pt>
                <c:pt idx="29">
                  <c:v>3.1517694189277892</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0-2257-4F6B-AB63-3DBAF1870A6A}"/>
            </c:ext>
          </c:extLst>
        </c:ser>
        <c:ser>
          <c:idx val="12"/>
          <c:order val="8"/>
          <c:tx>
            <c:strRef>
              <c:f>'OUTPUT Summary'!$B$97</c:f>
              <c:strCache>
                <c:ptCount val="1"/>
                <c:pt idx="0">
                  <c:v>Maintenance</c:v>
                </c:pt>
              </c:strCache>
            </c:strRef>
          </c:tx>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c:spPr>
          <c:invertIfNegative val="0"/>
          <c:cat>
            <c:numRef>
              <c:f>'OUTPUT Summary'!$F$41:$AR$41</c:f>
              <c:numCache>
                <c:formatCode>0</c:formatCode>
                <c:ptCount val="39"/>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numCache>
            </c:numRef>
          </c:cat>
          <c:val>
            <c:numRef>
              <c:f>'OUTPUT Summary'!$F$97:$AR$97</c:f>
              <c:numCache>
                <c:formatCode>_(* #,##0.00_);_(* \(#,##0.00\);_(* "-"??_);_(@_)</c:formatCode>
                <c:ptCount val="39"/>
                <c:pt idx="0">
                  <c:v>0</c:v>
                </c:pt>
                <c:pt idx="1">
                  <c:v>0</c:v>
                </c:pt>
                <c:pt idx="2">
                  <c:v>0</c:v>
                </c:pt>
                <c:pt idx="3">
                  <c:v>0</c:v>
                </c:pt>
                <c:pt idx="4">
                  <c:v>0</c:v>
                </c:pt>
                <c:pt idx="5">
                  <c:v>0</c:v>
                </c:pt>
                <c:pt idx="6">
                  <c:v>0</c:v>
                </c:pt>
                <c:pt idx="7">
                  <c:v>0</c:v>
                </c:pt>
                <c:pt idx="8">
                  <c:v>0</c:v>
                </c:pt>
                <c:pt idx="9">
                  <c:v>0</c:v>
                </c:pt>
                <c:pt idx="10">
                  <c:v>6.7634261005573908</c:v>
                </c:pt>
                <c:pt idx="11">
                  <c:v>1.4908898450229189E-2</c:v>
                </c:pt>
                <c:pt idx="12">
                  <c:v>2.3222583255808709E-2</c:v>
                </c:pt>
                <c:pt idx="13">
                  <c:v>1.302200930232264E-2</c:v>
                </c:pt>
                <c:pt idx="14">
                  <c:v>2.0283503586172334E-2</c:v>
                </c:pt>
                <c:pt idx="15">
                  <c:v>1.1373927244582619E-2</c:v>
                </c:pt>
                <c:pt idx="16">
                  <c:v>1.771639757723149E-2</c:v>
                </c:pt>
                <c:pt idx="17">
                  <c:v>9.9344285479802761E-3</c:v>
                </c:pt>
                <c:pt idx="18">
                  <c:v>0</c:v>
                </c:pt>
                <c:pt idx="19">
                  <c:v>0</c:v>
                </c:pt>
                <c:pt idx="20">
                  <c:v>0</c:v>
                </c:pt>
                <c:pt idx="21">
                  <c:v>0</c:v>
                </c:pt>
                <c:pt idx="22">
                  <c:v>4.9581771790445622E-2</c:v>
                </c:pt>
                <c:pt idx="23">
                  <c:v>0</c:v>
                </c:pt>
                <c:pt idx="24">
                  <c:v>0</c:v>
                </c:pt>
                <c:pt idx="25">
                  <c:v>0</c:v>
                </c:pt>
                <c:pt idx="26">
                  <c:v>0</c:v>
                </c:pt>
                <c:pt idx="27">
                  <c:v>-9.7913843363114081E-2</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C-2257-4F6B-AB63-3DBAF1870A6A}"/>
            </c:ext>
          </c:extLst>
        </c:ser>
        <c:ser>
          <c:idx val="11"/>
          <c:order val="9"/>
          <c:tx>
            <c:strRef>
              <c:f>'OUTPUT Summary'!$B$96</c:f>
              <c:strCache>
                <c:ptCount val="1"/>
                <c:pt idx="0">
                  <c:v>Capital Cost</c:v>
                </c:pt>
              </c:strCache>
            </c:strRef>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c:spPr>
          <c:invertIfNegative val="0"/>
          <c:cat>
            <c:numRef>
              <c:f>'OUTPUT Summary'!$F$41:$AR$41</c:f>
              <c:numCache>
                <c:formatCode>0</c:formatCode>
                <c:ptCount val="39"/>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numCache>
            </c:numRef>
          </c:cat>
          <c:val>
            <c:numRef>
              <c:f>'OUTPUT Summary'!$F$96:$AR$96</c:f>
              <c:numCache>
                <c:formatCode>_(* #,##0.00_);_(* \(#,##0.00\);_(* "-"??_);_(@_)</c:formatCode>
                <c:ptCount val="39"/>
                <c:pt idx="0">
                  <c:v>0</c:v>
                </c:pt>
                <c:pt idx="1">
                  <c:v>0</c:v>
                </c:pt>
                <c:pt idx="2">
                  <c:v>0</c:v>
                </c:pt>
                <c:pt idx="3">
                  <c:v>0</c:v>
                </c:pt>
                <c:pt idx="4">
                  <c:v>-2.6964907664123614</c:v>
                </c:pt>
                <c:pt idx="5">
                  <c:v>0</c:v>
                </c:pt>
                <c:pt idx="6">
                  <c:v>-9.2006205826477796</c:v>
                </c:pt>
                <c:pt idx="7">
                  <c:v>-49.399159410751679</c:v>
                </c:pt>
                <c:pt idx="8">
                  <c:v>-51.951051901622385</c:v>
                </c:pt>
                <c:pt idx="9">
                  <c:v>-41.72470582052032</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B-2257-4F6B-AB63-3DBAF1870A6A}"/>
            </c:ext>
          </c:extLst>
        </c:ser>
        <c:ser>
          <c:idx val="6"/>
          <c:order val="10"/>
          <c:tx>
            <c:strRef>
              <c:f>'OUTPUT Summary'!$B$92</c:f>
              <c:strCache>
                <c:ptCount val="1"/>
                <c:pt idx="0">
                  <c:v>Avoided Detour</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invertIfNegative val="0"/>
          <c:val>
            <c:numRef>
              <c:f>'OUTPUT Summary'!$F$92:$AR$92</c:f>
              <c:numCache>
                <c:formatCode>_(* #,##0.00_);_(* \(#,##0.00\);_(* "-"??_);_(@_)</c:formatCode>
                <c:ptCount val="39"/>
                <c:pt idx="0">
                  <c:v>0</c:v>
                </c:pt>
                <c:pt idx="1">
                  <c:v>0</c:v>
                </c:pt>
                <c:pt idx="2">
                  <c:v>0</c:v>
                </c:pt>
                <c:pt idx="3">
                  <c:v>0</c:v>
                </c:pt>
                <c:pt idx="4">
                  <c:v>0</c:v>
                </c:pt>
                <c:pt idx="5">
                  <c:v>0</c:v>
                </c:pt>
                <c:pt idx="6">
                  <c:v>0</c:v>
                </c:pt>
                <c:pt idx="7">
                  <c:v>0</c:v>
                </c:pt>
                <c:pt idx="8">
                  <c:v>0</c:v>
                </c:pt>
                <c:pt idx="9">
                  <c:v>0</c:v>
                </c:pt>
                <c:pt idx="10">
                  <c:v>4.1291413709330912E-2</c:v>
                </c:pt>
                <c:pt idx="11">
                  <c:v>4.0169159257120522E-2</c:v>
                </c:pt>
                <c:pt idx="12">
                  <c:v>3.9077406426006774E-2</c:v>
                </c:pt>
                <c:pt idx="13">
                  <c:v>3.8015326216035414E-2</c:v>
                </c:pt>
                <c:pt idx="14">
                  <c:v>3.6982112158543939E-2</c:v>
                </c:pt>
                <c:pt idx="15">
                  <c:v>2.6386537150048879</c:v>
                </c:pt>
                <c:pt idx="16">
                  <c:v>2.5669380575960319</c:v>
                </c:pt>
                <c:pt idx="17">
                  <c:v>2.4971715515624919</c:v>
                </c:pt>
                <c:pt idx="18">
                  <c:v>2.4293012211494447</c:v>
                </c:pt>
                <c:pt idx="19">
                  <c:v>2.3632755304238438</c:v>
                </c:pt>
                <c:pt idx="20">
                  <c:v>24.517474575453775</c:v>
                </c:pt>
                <c:pt idx="21">
                  <c:v>23.851117032141079</c:v>
                </c:pt>
                <c:pt idx="22">
                  <c:v>23.202870341728957</c:v>
                </c:pt>
                <c:pt idx="23">
                  <c:v>22.572242271487291</c:v>
                </c:pt>
                <c:pt idx="24">
                  <c:v>21.958753967021131</c:v>
                </c:pt>
                <c:pt idx="25">
                  <c:v>21.361939588662533</c:v>
                </c:pt>
                <c:pt idx="26">
                  <c:v>20.781345957744822</c:v>
                </c:pt>
                <c:pt idx="27">
                  <c:v>20.216532212490726</c:v>
                </c:pt>
                <c:pt idx="28">
                  <c:v>19.667069473253115</c:v>
                </c:pt>
                <c:pt idx="29">
                  <c:v>19.132540516854085</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1-539C-40A5-B54A-C71A92850864}"/>
            </c:ext>
          </c:extLst>
        </c:ser>
        <c:dLbls>
          <c:showLegendKey val="0"/>
          <c:showVal val="0"/>
          <c:showCatName val="0"/>
          <c:showSerName val="0"/>
          <c:showPercent val="0"/>
          <c:showBubbleSize val="0"/>
        </c:dLbls>
        <c:gapWidth val="28"/>
        <c:overlap val="100"/>
        <c:axId val="1165317983"/>
        <c:axId val="1165329631"/>
      </c:barChart>
      <c:dateAx>
        <c:axId val="1165317983"/>
        <c:scaling>
          <c:orientation val="minMax"/>
          <c:max val="2047"/>
          <c:min val="2023"/>
        </c:scaling>
        <c:delete val="0"/>
        <c:axPos val="b"/>
        <c:numFmt formatCode="0"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165329631"/>
        <c:crosses val="autoZero"/>
        <c:auto val="0"/>
        <c:lblOffset val="100"/>
        <c:baseTimeUnit val="days"/>
      </c:dateAx>
      <c:valAx>
        <c:axId val="1165329631"/>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 millions ($2021)</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16531798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6</xdr:col>
      <xdr:colOff>177799</xdr:colOff>
      <xdr:row>11</xdr:row>
      <xdr:rowOff>34924</xdr:rowOff>
    </xdr:from>
    <xdr:to>
      <xdr:col>16</xdr:col>
      <xdr:colOff>504824</xdr:colOff>
      <xdr:row>37</xdr:row>
      <xdr:rowOff>58736</xdr:rowOff>
    </xdr:to>
    <xdr:graphicFrame macro="">
      <xdr:nvGraphicFramePr>
        <xdr:cNvPr id="5" name="Chart 1">
          <a:extLst>
            <a:ext uri="{FF2B5EF4-FFF2-40B4-BE49-F238E27FC236}">
              <a16:creationId xmlns:a16="http://schemas.microsoft.com/office/drawing/2014/main" id="{8F9B3F7D-EE47-40D9-BEBC-30B7EEE6F7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476248</xdr:colOff>
      <xdr:row>22</xdr:row>
      <xdr:rowOff>68260</xdr:rowOff>
    </xdr:from>
    <xdr:to>
      <xdr:col>13</xdr:col>
      <xdr:colOff>598485</xdr:colOff>
      <xdr:row>56</xdr:row>
      <xdr:rowOff>105089</xdr:rowOff>
    </xdr:to>
    <xdr:pic>
      <xdr:nvPicPr>
        <xdr:cNvPr id="4" name="Picture 3">
          <a:extLst>
            <a:ext uri="{FF2B5EF4-FFF2-40B4-BE49-F238E27FC236}">
              <a16:creationId xmlns:a16="http://schemas.microsoft.com/office/drawing/2014/main" id="{F6A520EF-0F46-C611-D2BC-F6DB14ABAD55}"/>
            </a:ext>
          </a:extLst>
        </xdr:cNvPr>
        <xdr:cNvPicPr>
          <a:picLocks noChangeAspect="1"/>
        </xdr:cNvPicPr>
      </xdr:nvPicPr>
      <xdr:blipFill rotWithShape="1">
        <a:blip xmlns:r="http://schemas.openxmlformats.org/officeDocument/2006/relationships" r:embed="rId1"/>
        <a:srcRect l="2707" t="12776" r="4273" b="7418"/>
        <a:stretch/>
      </xdr:blipFill>
      <xdr:spPr>
        <a:xfrm>
          <a:off x="476248" y="4049710"/>
          <a:ext cx="10828337" cy="6189979"/>
        </a:xfrm>
        <a:prstGeom prst="rect">
          <a:avLst/>
        </a:prstGeom>
      </xdr:spPr>
    </xdr:pic>
    <xdr:clientData/>
  </xdr:twoCellAnchor>
  <xdr:twoCellAnchor>
    <xdr:from>
      <xdr:col>2</xdr:col>
      <xdr:colOff>142875</xdr:colOff>
      <xdr:row>42</xdr:row>
      <xdr:rowOff>114300</xdr:rowOff>
    </xdr:from>
    <xdr:to>
      <xdr:col>11</xdr:col>
      <xdr:colOff>19050</xdr:colOff>
      <xdr:row>45</xdr:row>
      <xdr:rowOff>0</xdr:rowOff>
    </xdr:to>
    <xdr:sp macro="" textlink="">
      <xdr:nvSpPr>
        <xdr:cNvPr id="2" name="Rectangle: Rounded Corners 1">
          <a:extLst>
            <a:ext uri="{FF2B5EF4-FFF2-40B4-BE49-F238E27FC236}">
              <a16:creationId xmlns:a16="http://schemas.microsoft.com/office/drawing/2014/main" id="{50DA35E2-18FF-4744-AF1F-4708E79734F5}"/>
            </a:ext>
          </a:extLst>
        </xdr:cNvPr>
        <xdr:cNvSpPr/>
      </xdr:nvSpPr>
      <xdr:spPr>
        <a:xfrm>
          <a:off x="2381250" y="7715250"/>
          <a:ext cx="7048500" cy="428625"/>
        </a:xfrm>
        <a:prstGeom prst="roundRect">
          <a:avLst/>
        </a:prstGeom>
        <a:noFill/>
        <a:ln w="762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600075</xdr:colOff>
      <xdr:row>2</xdr:row>
      <xdr:rowOff>114300</xdr:rowOff>
    </xdr:from>
    <xdr:to>
      <xdr:col>26</xdr:col>
      <xdr:colOff>602503</xdr:colOff>
      <xdr:row>30</xdr:row>
      <xdr:rowOff>76939</xdr:rowOff>
    </xdr:to>
    <xdr:pic>
      <xdr:nvPicPr>
        <xdr:cNvPr id="3" name="Picture 2">
          <a:extLst>
            <a:ext uri="{FF2B5EF4-FFF2-40B4-BE49-F238E27FC236}">
              <a16:creationId xmlns:a16="http://schemas.microsoft.com/office/drawing/2014/main" id="{3BCED324-2698-B02D-42BC-795752B5538C}"/>
            </a:ext>
          </a:extLst>
        </xdr:cNvPr>
        <xdr:cNvPicPr>
          <a:picLocks noChangeAspect="1"/>
        </xdr:cNvPicPr>
      </xdr:nvPicPr>
      <xdr:blipFill>
        <a:blip xmlns:r="http://schemas.openxmlformats.org/officeDocument/2006/relationships" r:embed="rId1"/>
        <a:stretch>
          <a:fillRect/>
        </a:stretch>
      </xdr:blipFill>
      <xdr:spPr>
        <a:xfrm>
          <a:off x="600075" y="495300"/>
          <a:ext cx="17395078" cy="52966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556846</xdr:colOff>
      <xdr:row>6</xdr:row>
      <xdr:rowOff>30487</xdr:rowOff>
    </xdr:from>
    <xdr:to>
      <xdr:col>6</xdr:col>
      <xdr:colOff>1107115</xdr:colOff>
      <xdr:row>25</xdr:row>
      <xdr:rowOff>135624</xdr:rowOff>
    </xdr:to>
    <xdr:pic>
      <xdr:nvPicPr>
        <xdr:cNvPr id="4" name="Picture 3">
          <a:extLst>
            <a:ext uri="{FF2B5EF4-FFF2-40B4-BE49-F238E27FC236}">
              <a16:creationId xmlns:a16="http://schemas.microsoft.com/office/drawing/2014/main" id="{879BDEE8-69BC-745A-A5BB-CB03AB77C5D4}"/>
            </a:ext>
          </a:extLst>
        </xdr:cNvPr>
        <xdr:cNvPicPr>
          <a:picLocks noChangeAspect="1"/>
        </xdr:cNvPicPr>
      </xdr:nvPicPr>
      <xdr:blipFill>
        <a:blip xmlns:r="http://schemas.openxmlformats.org/officeDocument/2006/relationships" r:embed="rId1"/>
        <a:stretch>
          <a:fillRect/>
        </a:stretch>
      </xdr:blipFill>
      <xdr:spPr>
        <a:xfrm>
          <a:off x="556846" y="997641"/>
          <a:ext cx="7252574" cy="3167791"/>
        </a:xfrm>
        <a:prstGeom prst="rect">
          <a:avLst/>
        </a:prstGeom>
      </xdr:spPr>
    </xdr:pic>
    <xdr:clientData/>
  </xdr:twoCellAnchor>
  <xdr:twoCellAnchor editAs="oneCell">
    <xdr:from>
      <xdr:col>1</xdr:col>
      <xdr:colOff>20515</xdr:colOff>
      <xdr:row>34</xdr:row>
      <xdr:rowOff>64843</xdr:rowOff>
    </xdr:from>
    <xdr:to>
      <xdr:col>7</xdr:col>
      <xdr:colOff>86158</xdr:colOff>
      <xdr:row>58</xdr:row>
      <xdr:rowOff>104395</xdr:rowOff>
    </xdr:to>
    <xdr:pic>
      <xdr:nvPicPr>
        <xdr:cNvPr id="6" name="Picture 5">
          <a:extLst>
            <a:ext uri="{FF2B5EF4-FFF2-40B4-BE49-F238E27FC236}">
              <a16:creationId xmlns:a16="http://schemas.microsoft.com/office/drawing/2014/main" id="{0CE4BDEC-72C0-37E8-1A8A-4B8F7E87D80A}"/>
            </a:ext>
          </a:extLst>
        </xdr:cNvPr>
        <xdr:cNvPicPr>
          <a:picLocks noChangeAspect="1"/>
        </xdr:cNvPicPr>
      </xdr:nvPicPr>
      <xdr:blipFill>
        <a:blip xmlns:r="http://schemas.openxmlformats.org/officeDocument/2006/relationships" r:embed="rId2"/>
        <a:stretch>
          <a:fillRect/>
        </a:stretch>
      </xdr:blipFill>
      <xdr:spPr>
        <a:xfrm>
          <a:off x="639640" y="5579818"/>
          <a:ext cx="8123793" cy="3925752"/>
        </a:xfrm>
        <a:prstGeom prst="rect">
          <a:avLst/>
        </a:prstGeom>
      </xdr:spPr>
    </xdr:pic>
    <xdr:clientData/>
  </xdr:twoCellAnchor>
  <xdr:twoCellAnchor>
    <xdr:from>
      <xdr:col>0</xdr:col>
      <xdr:colOff>541826</xdr:colOff>
      <xdr:row>44</xdr:row>
      <xdr:rowOff>77665</xdr:rowOff>
    </xdr:from>
    <xdr:to>
      <xdr:col>2</xdr:col>
      <xdr:colOff>512886</xdr:colOff>
      <xdr:row>48</xdr:row>
      <xdr:rowOff>19050</xdr:rowOff>
    </xdr:to>
    <xdr:sp macro="" textlink="">
      <xdr:nvSpPr>
        <xdr:cNvPr id="7" name="Rectangle: Rounded Corners 6">
          <a:extLst>
            <a:ext uri="{FF2B5EF4-FFF2-40B4-BE49-F238E27FC236}">
              <a16:creationId xmlns:a16="http://schemas.microsoft.com/office/drawing/2014/main" id="{E730D98B-B079-42BC-B289-DD5CE3D4F266}"/>
            </a:ext>
          </a:extLst>
        </xdr:cNvPr>
        <xdr:cNvSpPr/>
      </xdr:nvSpPr>
      <xdr:spPr>
        <a:xfrm>
          <a:off x="541826" y="7211890"/>
          <a:ext cx="2066560" cy="589085"/>
        </a:xfrm>
        <a:prstGeom prst="roundRect">
          <a:avLst/>
        </a:prstGeom>
        <a:noFill/>
        <a:ln w="762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7</xdr:col>
      <xdr:colOff>609601</xdr:colOff>
      <xdr:row>34</xdr:row>
      <xdr:rowOff>76200</xdr:rowOff>
    </xdr:from>
    <xdr:to>
      <xdr:col>18</xdr:col>
      <xdr:colOff>9526</xdr:colOff>
      <xdr:row>59</xdr:row>
      <xdr:rowOff>35764</xdr:rowOff>
    </xdr:to>
    <xdr:pic>
      <xdr:nvPicPr>
        <xdr:cNvPr id="9" name="Picture 8">
          <a:extLst>
            <a:ext uri="{FF2B5EF4-FFF2-40B4-BE49-F238E27FC236}">
              <a16:creationId xmlns:a16="http://schemas.microsoft.com/office/drawing/2014/main" id="{FA39281E-19DA-1F9F-9740-1AEA274C784C}"/>
            </a:ext>
          </a:extLst>
        </xdr:cNvPr>
        <xdr:cNvPicPr>
          <a:picLocks noChangeAspect="1"/>
        </xdr:cNvPicPr>
      </xdr:nvPicPr>
      <xdr:blipFill>
        <a:blip xmlns:r="http://schemas.openxmlformats.org/officeDocument/2006/relationships" r:embed="rId3"/>
        <a:stretch>
          <a:fillRect/>
        </a:stretch>
      </xdr:blipFill>
      <xdr:spPr>
        <a:xfrm>
          <a:off x="609601" y="10125075"/>
          <a:ext cx="8172450" cy="4007689"/>
        </a:xfrm>
        <a:prstGeom prst="rect">
          <a:avLst/>
        </a:prstGeom>
      </xdr:spPr>
    </xdr:pic>
    <xdr:clientData/>
  </xdr:twoCellAnchor>
  <xdr:twoCellAnchor>
    <xdr:from>
      <xdr:col>7</xdr:col>
      <xdr:colOff>494201</xdr:colOff>
      <xdr:row>44</xdr:row>
      <xdr:rowOff>68140</xdr:rowOff>
    </xdr:from>
    <xdr:to>
      <xdr:col>9</xdr:col>
      <xdr:colOff>465261</xdr:colOff>
      <xdr:row>48</xdr:row>
      <xdr:rowOff>9525</xdr:rowOff>
    </xdr:to>
    <xdr:sp macro="" textlink="">
      <xdr:nvSpPr>
        <xdr:cNvPr id="10" name="Rectangle: Rounded Corners 9">
          <a:extLst>
            <a:ext uri="{FF2B5EF4-FFF2-40B4-BE49-F238E27FC236}">
              <a16:creationId xmlns:a16="http://schemas.microsoft.com/office/drawing/2014/main" id="{480263CE-B20A-4E54-B18D-EBAC960C73D7}"/>
            </a:ext>
          </a:extLst>
        </xdr:cNvPr>
        <xdr:cNvSpPr/>
      </xdr:nvSpPr>
      <xdr:spPr>
        <a:xfrm>
          <a:off x="494201" y="11736265"/>
          <a:ext cx="2066560" cy="589085"/>
        </a:xfrm>
        <a:prstGeom prst="roundRect">
          <a:avLst/>
        </a:prstGeom>
        <a:noFill/>
        <a:ln w="762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arverinc.local\gdata\Projects\2020\20T14065%20-%20ODOT%20CI-2250A%20TO5%20I-44%20US-75%20RAISE%202022\Planning\Funding%20Assistance\BCA\Final\BCA%20RAISE%202022_ODOT_51st%20Street%20Project_FINAL.xlsm" TargetMode="External"/><Relationship Id="rId1" Type="http://schemas.openxmlformats.org/officeDocument/2006/relationships/externalLinkPath" Target="https://garverengineers.sharepoint.com/Projects/2020/20T14065%20-%20ODOT%20CI-2250A%20TO5%20I-44%20US-75%20RAISE%202022/Planning/Funding%20Assistance/BCA/Final/BCA%20RAISE%202022_ODOT_51st%20Street%20Project_FINA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arverengineers.sharepoint.com/Users/mrbezanson/AppData/Local/Microsoft/Windows/INetCache/Content.Outlook/M7IZQ3LK/I-40%20Douglas%20Blvd%20Interchange_BCA_%202021%20INFRA_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Results"/>
      <sheetName val="Report Tables _Main"/>
      <sheetName val="Additional Tables"/>
      <sheetName val="Inputs"/>
      <sheetName val="PROJECT"/>
      <sheetName val="Vehicle Traffic"/>
      <sheetName val="Pedestrian Traffic"/>
      <sheetName val="Accident Data"/>
      <sheetName val="Traffic"/>
      <sheetName val="Calc-1"/>
      <sheetName val="Calc-2"/>
      <sheetName val="Calc-3"/>
      <sheetName val="Calc-4"/>
      <sheetName val="Calc-5"/>
      <sheetName val="Calc-6"/>
      <sheetName val="Calc-Costs"/>
      <sheetName val="Project Costs"/>
      <sheetName val="MOVES"/>
      <sheetName val="Fuel Prices"/>
      <sheetName val="US DOT BCA Guidance"/>
      <sheetName val="GDP Defla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Results"/>
      <sheetName val="Report Tables"/>
      <sheetName val="Inputs"/>
      <sheetName val="Accident Cost Saving"/>
      <sheetName val="Travel Time Savings"/>
      <sheetName val="Travel Time Saving-Interchanges"/>
      <sheetName val="Emissions"/>
      <sheetName val="Residual Value"/>
      <sheetName val="Project Data"/>
      <sheetName val="Project Costs"/>
      <sheetName val="Traffic Projection"/>
      <sheetName val="Emissions.Calc"/>
      <sheetName val="Costs for Emission"/>
      <sheetName val="Deflation Factors"/>
      <sheetName val="Emissions.Raw.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8" Type="http://schemas.openxmlformats.org/officeDocument/2006/relationships/hyperlink" Target="https://publictransportresearchgroup.info/portfolio-item/best-practice-approaches-to-public-transport-customer-amenity-valuation/" TargetMode="External"/><Relationship Id="rId13" Type="http://schemas.openxmlformats.org/officeDocument/2006/relationships/hyperlink" Target="https://www.transportation.gov/mission/office-secretary/office-policy/transportation-policy/benefit-cost-analysis-guidance" TargetMode="External"/><Relationship Id="rId3" Type="http://schemas.openxmlformats.org/officeDocument/2006/relationships/hyperlink" Target="https://newsroom.aaa.com/wp-content/uploads/2021/08/2021-YDC-Brochure-Live.pdf" TargetMode="External"/><Relationship Id="rId7" Type="http://schemas.openxmlformats.org/officeDocument/2006/relationships/hyperlink" Target="https://www.sfcta.org/sites/default/files/2019-03/BikeRouteChoiceModel.pdf" TargetMode="External"/><Relationship Id="rId12" Type="http://schemas.openxmlformats.org/officeDocument/2006/relationships/hyperlink" Target="https://www.fhwa.dot.gov/policy/otps/costallocation.cfm" TargetMode="External"/><Relationship Id="rId2" Type="http://schemas.openxmlformats.org/officeDocument/2006/relationships/hyperlink" Target="https://www.transportation.gov/office-policy/transportation-policy/revised-departmental-guidance-valuation-travel-time-economic" TargetMode="External"/><Relationship Id="rId1" Type="http://schemas.openxmlformats.org/officeDocument/2006/relationships/hyperlink" Target="https://www.transportation.gov/office-policy/transportation-policy/revised-departmental-guidance-on-valuation-of-a-statistical-life-in-economic-analysis" TargetMode="External"/><Relationship Id="rId6" Type="http://schemas.openxmlformats.org/officeDocument/2006/relationships/hyperlink" Target="https://www.sciencedirect.com/science/article/abs/pii/S136192090900039X" TargetMode="External"/><Relationship Id="rId11" Type="http://schemas.openxmlformats.org/officeDocument/2006/relationships/hyperlink" Target="https://www.euro.who.int/__data/assets/pdf_file/0010/352963/Heat.pdf" TargetMode="External"/><Relationship Id="rId5" Type="http://schemas.openxmlformats.org/officeDocument/2006/relationships/hyperlink" Target="https://apps.bea.gov/iTable/iTable.cfm?reqid=19&amp;step=3&amp;isuri=1&amp;1921=survey&amp;1903=11%23reqid%3D19&amp;step=3&amp;isuri=1&amp;1921=survey&amp;1903=11" TargetMode="External"/><Relationship Id="rId10" Type="http://schemas.openxmlformats.org/officeDocument/2006/relationships/hyperlink" Target="https://www.transit.dot.gov/funding/grant-programs/capital-investments/stops" TargetMode="External"/><Relationship Id="rId4" Type="http://schemas.openxmlformats.org/officeDocument/2006/relationships/hyperlink" Target="https://www.epa.gov/sites/default/files/2018-02/documents/sourceapportionmentbpttsd_2018.pdf" TargetMode="External"/><Relationship Id="rId9" Type="http://schemas.openxmlformats.org/officeDocument/2006/relationships/hyperlink" Target="https://publictransportresearchgroup.info/portfolio-item/best-practice-approaches-to-public-transport-customer-amenity-valuation/"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6.bin"/><Relationship Id="rId1" Type="http://schemas.openxmlformats.org/officeDocument/2006/relationships/hyperlink" Target="https://www.census.gov/quickfacts/fact/table/durantcityoklahoma/PST04522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apps.bea.gov/iTable/?reqid=19&amp;step=3&amp;isuri=1&amp;1921=survey&amp;1903=11%23reqid%3D19&amp;step=3&amp;isuri=1&amp;1921=survey&amp;1903=11"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s://www.eia.gov/outlooks/aeo/tables_ref.php"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A2EBB-1101-4E97-B029-0B50EAFE1EE0}">
  <sheetPr>
    <tabColor theme="0"/>
  </sheetPr>
  <dimension ref="A1:AV100"/>
  <sheetViews>
    <sheetView zoomScale="90" zoomScaleNormal="90" workbookViewId="0">
      <pane xSplit="5" ySplit="9" topLeftCell="F79" activePane="bottomRight" state="frozen"/>
      <selection pane="topRight" activeCell="F1" sqref="F1"/>
      <selection pane="bottomLeft" activeCell="A10" sqref="A10"/>
      <selection pane="bottomRight" activeCell="D45" sqref="D45"/>
    </sheetView>
  </sheetViews>
  <sheetFormatPr defaultColWidth="0" defaultRowHeight="14.25" x14ac:dyDescent="0.2"/>
  <cols>
    <col min="1" max="1" width="13.140625" style="1" customWidth="1"/>
    <col min="2" max="2" width="37.42578125" style="1" bestFit="1" customWidth="1"/>
    <col min="3" max="5" width="13.28515625" style="1" customWidth="1"/>
    <col min="6" max="6" width="12.7109375" style="1" bestFit="1" customWidth="1"/>
    <col min="7" max="44" width="13.7109375" style="1" customWidth="1"/>
    <col min="45" max="45" width="9.140625" style="1" customWidth="1"/>
    <col min="46" max="48" width="0" style="1" hidden="1" customWidth="1"/>
    <col min="49" max="16384" width="9.140625" style="1" hidden="1"/>
  </cols>
  <sheetData>
    <row r="1" spans="1:10" ht="19.5" x14ac:dyDescent="0.3">
      <c r="A1" s="10" t="s">
        <v>0</v>
      </c>
    </row>
    <row r="2" spans="1:10" ht="19.5" x14ac:dyDescent="0.3">
      <c r="A2" s="10" t="s">
        <v>1</v>
      </c>
    </row>
    <row r="3" spans="1:10" x14ac:dyDescent="0.2">
      <c r="A3" s="51">
        <f ca="1">TODAY()</f>
        <v>45156</v>
      </c>
    </row>
    <row r="4" spans="1:10" x14ac:dyDescent="0.2">
      <c r="A4" s="52" t="s">
        <v>2</v>
      </c>
    </row>
    <row r="5" spans="1:10" x14ac:dyDescent="0.2">
      <c r="A5" s="66" t="s">
        <v>774</v>
      </c>
    </row>
    <row r="6" spans="1:10" x14ac:dyDescent="0.2">
      <c r="A6" s="67" t="s">
        <v>3</v>
      </c>
      <c r="B6" s="21"/>
    </row>
    <row r="7" spans="1:10" x14ac:dyDescent="0.2">
      <c r="A7" s="68" t="s">
        <v>4</v>
      </c>
      <c r="B7" s="21"/>
    </row>
    <row r="8" spans="1:10" ht="15" thickBot="1" x14ac:dyDescent="0.25">
      <c r="A8" s="357" t="s">
        <v>5</v>
      </c>
      <c r="B8" s="290" t="s">
        <v>6</v>
      </c>
      <c r="C8" s="1" t="str">
        <f>IF(INPUTS!$B$179=0,"NO","YES")</f>
        <v>NO</v>
      </c>
    </row>
    <row r="9" spans="1:10" ht="20.25" thickBot="1" x14ac:dyDescent="0.35">
      <c r="B9" s="389" t="s">
        <v>7</v>
      </c>
      <c r="C9" s="390"/>
      <c r="D9" s="390"/>
      <c r="E9" s="186">
        <f>$E$36</f>
        <v>2.2715006289444686</v>
      </c>
      <c r="G9" s="185"/>
      <c r="H9" s="185"/>
      <c r="I9" s="185"/>
      <c r="J9" s="187"/>
    </row>
    <row r="10" spans="1:10" ht="9" customHeight="1" thickBot="1" x14ac:dyDescent="0.35">
      <c r="G10" s="185"/>
      <c r="H10" s="185"/>
      <c r="I10" s="185"/>
      <c r="J10" s="187"/>
    </row>
    <row r="11" spans="1:10" ht="15.75" thickBot="1" x14ac:dyDescent="0.3">
      <c r="A11" s="2"/>
      <c r="C11" s="391" t="s">
        <v>8</v>
      </c>
      <c r="D11" s="392"/>
      <c r="E11" s="393"/>
    </row>
    <row r="12" spans="1:10" ht="18" thickBot="1" x14ac:dyDescent="0.35">
      <c r="B12" s="47" t="s">
        <v>9</v>
      </c>
      <c r="C12" s="343">
        <v>0</v>
      </c>
      <c r="D12" s="48">
        <v>0.03</v>
      </c>
      <c r="E12" s="49">
        <v>7.0000000000000007E-2</v>
      </c>
      <c r="F12" s="223" t="s">
        <v>10</v>
      </c>
    </row>
    <row r="13" spans="1:10" x14ac:dyDescent="0.2">
      <c r="B13" s="44" t="s">
        <v>11</v>
      </c>
      <c r="C13" s="303">
        <f t="shared" ref="C13:C15" si="0">D42</f>
        <v>256.83471710960492</v>
      </c>
      <c r="D13" s="303">
        <f t="shared" ref="D13:D15" si="1">D63</f>
        <v>153.84793889085608</v>
      </c>
      <c r="E13" s="304">
        <f t="shared" ref="E13:E15" si="2">D84</f>
        <v>82.935278752578284</v>
      </c>
      <c r="F13" s="221">
        <f t="shared" ref="F13:F20" si="3">E13/$E$22</f>
        <v>0.24645358032473119</v>
      </c>
    </row>
    <row r="14" spans="1:10" x14ac:dyDescent="0.2">
      <c r="B14" s="45" t="s">
        <v>12</v>
      </c>
      <c r="C14" s="303">
        <f t="shared" si="0"/>
        <v>8.4464057229931058</v>
      </c>
      <c r="D14" s="303">
        <f t="shared" si="1"/>
        <v>4.9861333610118042</v>
      </c>
      <c r="E14" s="304">
        <f t="shared" si="2"/>
        <v>2.6320157768887875</v>
      </c>
      <c r="F14" s="221">
        <f t="shared" si="3"/>
        <v>7.8213966534145737E-3</v>
      </c>
    </row>
    <row r="15" spans="1:10" x14ac:dyDescent="0.2">
      <c r="B15" s="45" t="s">
        <v>13</v>
      </c>
      <c r="C15" s="303">
        <f t="shared" si="0"/>
        <v>0</v>
      </c>
      <c r="D15" s="303">
        <f t="shared" si="1"/>
        <v>0</v>
      </c>
      <c r="E15" s="304">
        <f t="shared" si="2"/>
        <v>0</v>
      </c>
      <c r="F15" s="221">
        <f t="shared" si="3"/>
        <v>0</v>
      </c>
    </row>
    <row r="16" spans="1:10" x14ac:dyDescent="0.2">
      <c r="B16" s="45" t="s">
        <v>14</v>
      </c>
      <c r="C16" s="303">
        <f t="shared" ref="C16:C21" si="4">D45</f>
        <v>0.21747443286249166</v>
      </c>
      <c r="D16" s="303">
        <f>D66</f>
        <v>0.12661323866589724</v>
      </c>
      <c r="E16" s="304">
        <f>D87</f>
        <v>6.5552220592955304E-2</v>
      </c>
      <c r="F16" s="221">
        <f t="shared" si="3"/>
        <v>1.9479743369004069E-4</v>
      </c>
    </row>
    <row r="17" spans="2:6" x14ac:dyDescent="0.2">
      <c r="B17" s="45" t="s">
        <v>15</v>
      </c>
      <c r="C17" s="303">
        <f t="shared" si="4"/>
        <v>1.6723568993102678E-2</v>
      </c>
      <c r="D17" s="303">
        <f>D67</f>
        <v>9.8448391827703121E-3</v>
      </c>
      <c r="E17" s="304">
        <f>D88</f>
        <v>5.3026028953657746E-3</v>
      </c>
      <c r="F17" s="221">
        <f t="shared" si="3"/>
        <v>1.5757413350016069E-5</v>
      </c>
    </row>
    <row r="18" spans="2:6" x14ac:dyDescent="0.2">
      <c r="B18" s="45" t="s">
        <v>16</v>
      </c>
      <c r="C18" s="303">
        <f t="shared" si="4"/>
        <v>0</v>
      </c>
      <c r="D18" s="303">
        <f>D68</f>
        <v>0</v>
      </c>
      <c r="E18" s="304">
        <f>D89</f>
        <v>0</v>
      </c>
      <c r="F18" s="221">
        <f t="shared" si="3"/>
        <v>0</v>
      </c>
    </row>
    <row r="19" spans="2:6" x14ac:dyDescent="0.2">
      <c r="B19" s="73" t="s">
        <v>17</v>
      </c>
      <c r="C19" s="303">
        <f t="shared" si="4"/>
        <v>0.25000000000000006</v>
      </c>
      <c r="D19" s="303">
        <f>D69</f>
        <v>0.15574563718547921</v>
      </c>
      <c r="E19" s="304">
        <f>D90</f>
        <v>8.824048764376316E-2</v>
      </c>
      <c r="F19" s="221">
        <f t="shared" si="3"/>
        <v>2.6221873774951967E-4</v>
      </c>
    </row>
    <row r="20" spans="2:6" x14ac:dyDescent="0.2">
      <c r="B20" s="73" t="s">
        <v>18</v>
      </c>
      <c r="C20" s="303">
        <f t="shared" si="4"/>
        <v>121</v>
      </c>
      <c r="D20" s="303">
        <f>D70</f>
        <v>56.10706202005904</v>
      </c>
      <c r="E20" s="304">
        <f>D91</f>
        <v>20.835654654384108</v>
      </c>
      <c r="F20" s="221">
        <f t="shared" si="3"/>
        <v>6.1916011680650147E-2</v>
      </c>
    </row>
    <row r="21" spans="2:6" x14ac:dyDescent="0.2">
      <c r="B21" s="73" t="s">
        <v>19</v>
      </c>
      <c r="C21" s="388">
        <f t="shared" si="4"/>
        <v>966.40434511956016</v>
      </c>
      <c r="D21" s="303">
        <f t="shared" ref="D21" si="5">D71</f>
        <v>513.11994920395284</v>
      </c>
      <c r="E21" s="304">
        <f t="shared" ref="E21" si="6">D92</f>
        <v>229.95276143034124</v>
      </c>
      <c r="F21" s="221">
        <f t="shared" ref="F21" si="7">E21/$E$22</f>
        <v>0.68333623775641461</v>
      </c>
    </row>
    <row r="22" spans="2:6" ht="15.75" thickBot="1" x14ac:dyDescent="0.3">
      <c r="B22" s="46" t="s">
        <v>20</v>
      </c>
      <c r="C22" s="305">
        <f>SUM(C13:C21)</f>
        <v>1353.1696659540139</v>
      </c>
      <c r="D22" s="305">
        <f>SUM(D13:D21)</f>
        <v>728.35328719091387</v>
      </c>
      <c r="E22" s="306">
        <f>SUM(E13:E21)</f>
        <v>336.51480592532448</v>
      </c>
      <c r="F22" s="222">
        <f>E22/$E$22</f>
        <v>1</v>
      </c>
    </row>
    <row r="23" spans="2:6" x14ac:dyDescent="0.2">
      <c r="B23" s="67" t="s">
        <v>21</v>
      </c>
    </row>
    <row r="24" spans="2:6" ht="15" thickBot="1" x14ac:dyDescent="0.25">
      <c r="B24" s="67"/>
    </row>
    <row r="25" spans="2:6" ht="15.75" customHeight="1" thickBot="1" x14ac:dyDescent="0.25">
      <c r="C25" s="391" t="s">
        <v>8</v>
      </c>
      <c r="D25" s="392"/>
      <c r="E25" s="393"/>
    </row>
    <row r="26" spans="2:6" ht="18" thickBot="1" x14ac:dyDescent="0.35">
      <c r="B26" s="47" t="s">
        <v>22</v>
      </c>
      <c r="C26" s="343">
        <v>0</v>
      </c>
      <c r="D26" s="48">
        <v>0.03</v>
      </c>
      <c r="E26" s="49">
        <v>7.0000000000000007E-2</v>
      </c>
    </row>
    <row r="27" spans="2:6" x14ac:dyDescent="0.2">
      <c r="B27" s="50" t="s">
        <v>23</v>
      </c>
      <c r="C27" s="152">
        <f>D54</f>
        <v>-214.39019221658853</v>
      </c>
      <c r="D27" s="152">
        <f>D75</f>
        <v>-185.94177949328446</v>
      </c>
      <c r="E27" s="153">
        <f>D96</f>
        <v>-154.97202848195451</v>
      </c>
    </row>
    <row r="28" spans="2:6" x14ac:dyDescent="0.2">
      <c r="B28" s="50" t="s">
        <v>24</v>
      </c>
      <c r="C28" s="152">
        <f>D55</f>
        <v>10.773789618830955</v>
      </c>
      <c r="D28" s="152">
        <f>D76</f>
        <v>8.8554090119827382</v>
      </c>
      <c r="E28" s="153">
        <f>D97</f>
        <v>6.8255557769490496</v>
      </c>
    </row>
    <row r="29" spans="2:6" ht="15.75" thickBot="1" x14ac:dyDescent="0.3">
      <c r="B29" s="46" t="s">
        <v>20</v>
      </c>
      <c r="C29" s="154">
        <f>SUM(C27:C28)</f>
        <v>-203.61640259775757</v>
      </c>
      <c r="D29" s="154">
        <f>SUM(D27:D28)</f>
        <v>-177.08637048130171</v>
      </c>
      <c r="E29" s="155">
        <f>SUM(E27:E28)</f>
        <v>-148.14647270500546</v>
      </c>
    </row>
    <row r="30" spans="2:6" ht="15" thickBot="1" x14ac:dyDescent="0.25"/>
    <row r="31" spans="2:6" ht="15.75" customHeight="1" thickBot="1" x14ac:dyDescent="0.25">
      <c r="C31" s="391" t="s">
        <v>8</v>
      </c>
      <c r="D31" s="392"/>
      <c r="E31" s="393"/>
    </row>
    <row r="32" spans="2:6" ht="18" thickBot="1" x14ac:dyDescent="0.35">
      <c r="B32" s="47" t="s">
        <v>25</v>
      </c>
      <c r="C32" s="343">
        <v>0</v>
      </c>
      <c r="D32" s="48">
        <v>0.03</v>
      </c>
      <c r="E32" s="49">
        <v>7.0000000000000007E-2</v>
      </c>
    </row>
    <row r="33" spans="1:44" x14ac:dyDescent="0.2">
      <c r="B33" s="44" t="s">
        <v>26</v>
      </c>
      <c r="C33" s="156">
        <f>C22</f>
        <v>1353.1696659540139</v>
      </c>
      <c r="D33" s="156">
        <f>D22</f>
        <v>728.35328719091387</v>
      </c>
      <c r="E33" s="157">
        <f>E22</f>
        <v>336.51480592532448</v>
      </c>
    </row>
    <row r="34" spans="1:44" x14ac:dyDescent="0.2">
      <c r="B34" s="45" t="s">
        <v>27</v>
      </c>
      <c r="C34" s="158">
        <f>C29</f>
        <v>-203.61640259775757</v>
      </c>
      <c r="D34" s="158">
        <f>D29</f>
        <v>-177.08637048130171</v>
      </c>
      <c r="E34" s="159">
        <f>E29</f>
        <v>-148.14647270500546</v>
      </c>
    </row>
    <row r="35" spans="1:44" x14ac:dyDescent="0.2">
      <c r="B35" s="45" t="s">
        <v>28</v>
      </c>
      <c r="C35" s="158">
        <f>C33+C34</f>
        <v>1149.5532633562564</v>
      </c>
      <c r="D35" s="158">
        <f>D33+D34</f>
        <v>551.26691670961213</v>
      </c>
      <c r="E35" s="159">
        <f>E33+E34</f>
        <v>188.36833322031902</v>
      </c>
    </row>
    <row r="36" spans="1:44" x14ac:dyDescent="0.2">
      <c r="B36" s="45" t="s">
        <v>29</v>
      </c>
      <c r="C36" s="183">
        <f>C33/-C34</f>
        <v>6.6456810389052441</v>
      </c>
      <c r="D36" s="183">
        <f>D33/-D34</f>
        <v>4.1129833154936088</v>
      </c>
      <c r="E36" s="184">
        <f>E33/-E34</f>
        <v>2.2715006289444686</v>
      </c>
      <c r="F36" s="84"/>
    </row>
    <row r="37" spans="1:44" ht="15" thickBot="1" x14ac:dyDescent="0.25">
      <c r="B37" s="45" t="s">
        <v>30</v>
      </c>
      <c r="C37" s="89">
        <f>-C35/C27</f>
        <v>5.3619675950237298</v>
      </c>
      <c r="D37" s="189">
        <f>-D35/D27</f>
        <v>2.9647286274869811</v>
      </c>
      <c r="E37" s="190">
        <f>-E35/E27</f>
        <v>1.2154989198083141</v>
      </c>
    </row>
    <row r="38" spans="1:44" ht="15" thickBot="1" x14ac:dyDescent="0.25">
      <c r="B38" s="148" t="s">
        <v>31</v>
      </c>
      <c r="C38" s="188">
        <f>IRR(F58:AR58)</f>
        <v>0.13227960121836646</v>
      </c>
      <c r="D38" s="150"/>
    </row>
    <row r="39" spans="1:44" x14ac:dyDescent="0.2">
      <c r="B39" s="151"/>
      <c r="C39" s="151"/>
    </row>
    <row r="40" spans="1:44" ht="15.75" thickBot="1" x14ac:dyDescent="0.3">
      <c r="A40" s="2" t="s">
        <v>32</v>
      </c>
    </row>
    <row r="41" spans="1:44" ht="18" thickBot="1" x14ac:dyDescent="0.35">
      <c r="B41" s="47" t="s">
        <v>33</v>
      </c>
      <c r="C41" s="48"/>
      <c r="D41" s="48" t="s">
        <v>34</v>
      </c>
      <c r="E41" s="48"/>
      <c r="F41" s="72">
        <f>INPUTS!E12</f>
        <v>2018</v>
      </c>
      <c r="G41" s="72">
        <f>F41+1</f>
        <v>2019</v>
      </c>
      <c r="H41" s="72">
        <f t="shared" ref="H41:AN41" si="8">G41+1</f>
        <v>2020</v>
      </c>
      <c r="I41" s="72">
        <f t="shared" si="8"/>
        <v>2021</v>
      </c>
      <c r="J41" s="72">
        <f t="shared" si="8"/>
        <v>2022</v>
      </c>
      <c r="K41" s="72">
        <f t="shared" si="8"/>
        <v>2023</v>
      </c>
      <c r="L41" s="72">
        <f t="shared" si="8"/>
        <v>2024</v>
      </c>
      <c r="M41" s="72">
        <f t="shared" si="8"/>
        <v>2025</v>
      </c>
      <c r="N41" s="72">
        <f t="shared" si="8"/>
        <v>2026</v>
      </c>
      <c r="O41" s="72">
        <f t="shared" si="8"/>
        <v>2027</v>
      </c>
      <c r="P41" s="72">
        <f t="shared" si="8"/>
        <v>2028</v>
      </c>
      <c r="Q41" s="72">
        <f t="shared" si="8"/>
        <v>2029</v>
      </c>
      <c r="R41" s="72">
        <f t="shared" si="8"/>
        <v>2030</v>
      </c>
      <c r="S41" s="72">
        <f t="shared" si="8"/>
        <v>2031</v>
      </c>
      <c r="T41" s="72">
        <f t="shared" si="8"/>
        <v>2032</v>
      </c>
      <c r="U41" s="72">
        <f t="shared" si="8"/>
        <v>2033</v>
      </c>
      <c r="V41" s="72">
        <f t="shared" si="8"/>
        <v>2034</v>
      </c>
      <c r="W41" s="72">
        <f t="shared" si="8"/>
        <v>2035</v>
      </c>
      <c r="X41" s="72">
        <f t="shared" si="8"/>
        <v>2036</v>
      </c>
      <c r="Y41" s="72">
        <f t="shared" si="8"/>
        <v>2037</v>
      </c>
      <c r="Z41" s="72">
        <f t="shared" si="8"/>
        <v>2038</v>
      </c>
      <c r="AA41" s="72">
        <f t="shared" si="8"/>
        <v>2039</v>
      </c>
      <c r="AB41" s="72">
        <f t="shared" si="8"/>
        <v>2040</v>
      </c>
      <c r="AC41" s="72">
        <f t="shared" si="8"/>
        <v>2041</v>
      </c>
      <c r="AD41" s="72">
        <f t="shared" si="8"/>
        <v>2042</v>
      </c>
      <c r="AE41" s="72">
        <f t="shared" si="8"/>
        <v>2043</v>
      </c>
      <c r="AF41" s="72">
        <f t="shared" si="8"/>
        <v>2044</v>
      </c>
      <c r="AG41" s="72">
        <f t="shared" si="8"/>
        <v>2045</v>
      </c>
      <c r="AH41" s="72">
        <f t="shared" si="8"/>
        <v>2046</v>
      </c>
      <c r="AI41" s="72">
        <f t="shared" si="8"/>
        <v>2047</v>
      </c>
      <c r="AJ41" s="72">
        <f t="shared" si="8"/>
        <v>2048</v>
      </c>
      <c r="AK41" s="72">
        <f t="shared" si="8"/>
        <v>2049</v>
      </c>
      <c r="AL41" s="72">
        <f t="shared" si="8"/>
        <v>2050</v>
      </c>
      <c r="AM41" s="72">
        <f t="shared" si="8"/>
        <v>2051</v>
      </c>
      <c r="AN41" s="72">
        <f t="shared" si="8"/>
        <v>2052</v>
      </c>
      <c r="AO41" s="72">
        <f t="shared" ref="AO41" si="9">AN41+1</f>
        <v>2053</v>
      </c>
      <c r="AP41" s="72">
        <f t="shared" ref="AP41" si="10">AO41+1</f>
        <v>2054</v>
      </c>
      <c r="AQ41" s="72">
        <f t="shared" ref="AQ41" si="11">AP41+1</f>
        <v>2055</v>
      </c>
      <c r="AR41" s="143">
        <f t="shared" ref="AR41" si="12">AQ41+1</f>
        <v>2056</v>
      </c>
    </row>
    <row r="42" spans="1:44" x14ac:dyDescent="0.2">
      <c r="B42" s="50" t="s">
        <v>11</v>
      </c>
      <c r="D42" s="160">
        <f>SUM(F42:AR42)</f>
        <v>256.83471710960492</v>
      </c>
      <c r="E42" s="160"/>
      <c r="F42" s="160">
        <f>'CALCS Safety'!F$101/1000000</f>
        <v>0</v>
      </c>
      <c r="G42" s="160">
        <f>'CALCS Safety'!G$101/1000000</f>
        <v>0</v>
      </c>
      <c r="H42" s="160">
        <f>'CALCS Safety'!H$101/1000000</f>
        <v>0</v>
      </c>
      <c r="I42" s="160">
        <f>'CALCS Safety'!I$101/1000000</f>
        <v>0</v>
      </c>
      <c r="J42" s="160">
        <f>'CALCS Safety'!J$101/1000000</f>
        <v>0</v>
      </c>
      <c r="K42" s="160">
        <f>'CALCS Safety'!K$101/1000000</f>
        <v>0</v>
      </c>
      <c r="L42" s="160">
        <f>'CALCS Safety'!L$101/1000000</f>
        <v>0</v>
      </c>
      <c r="M42" s="160">
        <f>'CALCS Safety'!M$101/1000000</f>
        <v>0</v>
      </c>
      <c r="N42" s="160">
        <f>'CALCS Safety'!N$101/1000000</f>
        <v>0</v>
      </c>
      <c r="O42" s="160">
        <f>'CALCS Safety'!O$101/1000000</f>
        <v>0</v>
      </c>
      <c r="P42" s="160">
        <f>'CALCS Safety'!P$101/1000000</f>
        <v>8.5430721687960869</v>
      </c>
      <c r="Q42" s="160">
        <f>'CALCS Safety'!Q$101/1000000</f>
        <v>8.8926426915968868</v>
      </c>
      <c r="R42" s="160">
        <f>'CALCS Safety'!R$101/1000000</f>
        <v>9.2565171495625567</v>
      </c>
      <c r="S42" s="160">
        <f>'CALCS Safety'!S$101/1000000</f>
        <v>9.6352808396442189</v>
      </c>
      <c r="T42" s="160">
        <f>'CALCS Safety'!T$101/1000000</f>
        <v>10.029543008322783</v>
      </c>
      <c r="U42" s="160">
        <f>'CALCS Safety'!U$101/1000000</f>
        <v>10.439937831590038</v>
      </c>
      <c r="V42" s="160">
        <f>'CALCS Safety'!V$101/1000000</f>
        <v>10.867125435029317</v>
      </c>
      <c r="W42" s="160">
        <f>'CALCS Safety'!W$101/1000000</f>
        <v>11.311792955636303</v>
      </c>
      <c r="X42" s="160">
        <f>'CALCS Safety'!X$101/1000000</f>
        <v>11.774655647088137</v>
      </c>
      <c r="Y42" s="160">
        <f>'CALCS Safety'!Y$101/1000000</f>
        <v>12.256458030238562</v>
      </c>
      <c r="Z42" s="160">
        <f>'CALCS Safety'!Z$101/1000000</f>
        <v>12.757975090689705</v>
      </c>
      <c r="AA42" s="160">
        <f>'CALCS Safety'!AA$101/1000000</f>
        <v>13.280013525366824</v>
      </c>
      <c r="AB42" s="160">
        <f>'CALCS Safety'!AB$101/1000000</f>
        <v>13.823413040101164</v>
      </c>
      <c r="AC42" s="160">
        <f>'CALCS Safety'!AC$101/1000000</f>
        <v>14.389047700308016</v>
      </c>
      <c r="AD42" s="160">
        <f>'CALCS Safety'!AD$101/1000000</f>
        <v>14.977827336932718</v>
      </c>
      <c r="AE42" s="160">
        <f>'CALCS Safety'!AE$101/1000000</f>
        <v>15.590699009925917</v>
      </c>
      <c r="AF42" s="160">
        <f>'CALCS Safety'!AF$101/1000000</f>
        <v>16.228648531602243</v>
      </c>
      <c r="AG42" s="160">
        <f>'CALCS Safety'!AG$101/1000000</f>
        <v>16.892702052332609</v>
      </c>
      <c r="AH42" s="160">
        <f>'CALCS Safety'!AH$101/1000000</f>
        <v>17.583927711120914</v>
      </c>
      <c r="AI42" s="160">
        <f>'CALCS Safety'!AI$101/1000000</f>
        <v>18.303437353719929</v>
      </c>
      <c r="AJ42" s="160">
        <f>'CALCS Safety'!AJ$101/1000000</f>
        <v>0</v>
      </c>
      <c r="AK42" s="160">
        <f>'CALCS Safety'!AK$101/1000000</f>
        <v>0</v>
      </c>
      <c r="AL42" s="160">
        <f>'CALCS Safety'!AL$101/1000000</f>
        <v>0</v>
      </c>
      <c r="AM42" s="160">
        <f>'CALCS Safety'!AM$101/1000000</f>
        <v>0</v>
      </c>
      <c r="AN42" s="160">
        <f>'CALCS Safety'!AN$101/1000000</f>
        <v>0</v>
      </c>
      <c r="AO42" s="160">
        <f>'CALCS Safety'!AO$101/1000000</f>
        <v>0</v>
      </c>
      <c r="AP42" s="160">
        <f>'CALCS Safety'!AP$101/1000000</f>
        <v>0</v>
      </c>
      <c r="AQ42" s="160">
        <f>'CALCS Safety'!AQ$101/1000000</f>
        <v>0</v>
      </c>
      <c r="AR42" s="160">
        <f>'CALCS Safety'!AR$101/1000000</f>
        <v>0</v>
      </c>
    </row>
    <row r="43" spans="1:44" x14ac:dyDescent="0.2">
      <c r="B43" s="45" t="s">
        <v>12</v>
      </c>
      <c r="D43" s="160">
        <f>SUM(F43:AR43)</f>
        <v>8.4464057229931058</v>
      </c>
      <c r="E43" s="160"/>
      <c r="F43" s="160">
        <f>'CALCS Time Savings'!F$115/1000000</f>
        <v>0</v>
      </c>
      <c r="G43" s="160">
        <f>'CALCS Time Savings'!G$115/1000000</f>
        <v>0</v>
      </c>
      <c r="H43" s="160">
        <f>'CALCS Time Savings'!H$115/1000000</f>
        <v>0</v>
      </c>
      <c r="I43" s="160">
        <f>'CALCS Time Savings'!I$115/1000000</f>
        <v>0</v>
      </c>
      <c r="J43" s="160">
        <f>'CALCS Time Savings'!J$115/1000000</f>
        <v>0</v>
      </c>
      <c r="K43" s="160">
        <f>'CALCS Time Savings'!K$115/1000000</f>
        <v>0</v>
      </c>
      <c r="L43" s="160">
        <f>'CALCS Time Savings'!L$115/1000000</f>
        <v>0</v>
      </c>
      <c r="M43" s="160">
        <f>'CALCS Time Savings'!M$115/1000000</f>
        <v>0</v>
      </c>
      <c r="N43" s="160">
        <f>'CALCS Time Savings'!N$115/1000000</f>
        <v>0</v>
      </c>
      <c r="O43" s="160">
        <f>'CALCS Time Savings'!O$115/1000000</f>
        <v>0</v>
      </c>
      <c r="P43" s="160">
        <f>'CALCS Time Savings'!P$115/1000000</f>
        <v>0.20709011333379312</v>
      </c>
      <c r="Q43" s="160">
        <f>'CALCS Time Savings'!Q$115/1000000</f>
        <v>0.22974592099862068</v>
      </c>
      <c r="R43" s="160">
        <f>'CALCS Time Savings'!R$115/1000000</f>
        <v>0.25240172866344812</v>
      </c>
      <c r="S43" s="160">
        <f>'CALCS Time Savings'!S$115/1000000</f>
        <v>0.2750575363282759</v>
      </c>
      <c r="T43" s="160">
        <f>'CALCS Time Savings'!T$115/1000000</f>
        <v>0.29771334399310373</v>
      </c>
      <c r="U43" s="160">
        <f>'CALCS Time Savings'!U$115/1000000</f>
        <v>0.32036915165793128</v>
      </c>
      <c r="V43" s="160">
        <f>'CALCS Time Savings'!V$115/1000000</f>
        <v>0.34302495932275873</v>
      </c>
      <c r="W43" s="160">
        <f>'CALCS Time Savings'!W$115/1000000</f>
        <v>0.36568076698758661</v>
      </c>
      <c r="X43" s="160">
        <f>'CALCS Time Savings'!X$115/1000000</f>
        <v>0.38833657465241428</v>
      </c>
      <c r="Y43" s="160">
        <f>'CALCS Time Savings'!Y$115/1000000</f>
        <v>0.410992382317242</v>
      </c>
      <c r="Z43" s="160">
        <f>'CALCS Time Savings'!Z$115/1000000</f>
        <v>0.43364818998206944</v>
      </c>
      <c r="AA43" s="160">
        <f>'CALCS Time Savings'!AA$115/1000000</f>
        <v>0.45630399764689689</v>
      </c>
      <c r="AB43" s="160">
        <f>'CALCS Time Savings'!AB$115/1000000</f>
        <v>0.47895980531172433</v>
      </c>
      <c r="AC43" s="160">
        <f>'CALCS Time Savings'!AC$115/1000000</f>
        <v>0.50161561297655222</v>
      </c>
      <c r="AD43" s="160">
        <f>'CALCS Time Savings'!AD$115/1000000</f>
        <v>0.52427142064137944</v>
      </c>
      <c r="AE43" s="160">
        <f>'CALCS Time Savings'!AE$115/1000000</f>
        <v>0.5469272283062071</v>
      </c>
      <c r="AF43" s="160">
        <f>'CALCS Time Savings'!AF$115/1000000</f>
        <v>0.5695830359710341</v>
      </c>
      <c r="AG43" s="160">
        <f>'CALCS Time Savings'!AG$115/1000000</f>
        <v>0.59223884363586154</v>
      </c>
      <c r="AH43" s="160">
        <f>'CALCS Time Savings'!AH$115/1000000</f>
        <v>0.61489465130068943</v>
      </c>
      <c r="AI43" s="160">
        <f>'CALCS Time Savings'!AI$115/1000000</f>
        <v>0.63755045896551643</v>
      </c>
      <c r="AJ43" s="160">
        <f>'CALCS Time Savings'!AJ$115/1000000</f>
        <v>0</v>
      </c>
      <c r="AK43" s="160">
        <f>'CALCS Time Savings'!AK$115/1000000</f>
        <v>0</v>
      </c>
      <c r="AL43" s="160">
        <f>'CALCS Time Savings'!AL$115/1000000</f>
        <v>0</v>
      </c>
      <c r="AM43" s="160">
        <f>'CALCS Time Savings'!AM$115/1000000</f>
        <v>0</v>
      </c>
      <c r="AN43" s="160">
        <f>'CALCS Time Savings'!AN$115/1000000</f>
        <v>0</v>
      </c>
      <c r="AO43" s="160">
        <f>'CALCS Time Savings'!AO$115/1000000</f>
        <v>0</v>
      </c>
      <c r="AP43" s="160">
        <f>'CALCS Time Savings'!AP$115/1000000</f>
        <v>0</v>
      </c>
      <c r="AQ43" s="160">
        <f>'CALCS Time Savings'!AQ$115/1000000</f>
        <v>0</v>
      </c>
      <c r="AR43" s="160">
        <f>'CALCS Time Savings'!AR$115/1000000</f>
        <v>0</v>
      </c>
    </row>
    <row r="44" spans="1:44" x14ac:dyDescent="0.2">
      <c r="B44" s="45" t="s">
        <v>13</v>
      </c>
      <c r="D44" s="160">
        <f>SUM(F44:AR44)</f>
        <v>0</v>
      </c>
      <c r="E44" s="160"/>
      <c r="F44" s="160">
        <f>'CALCS Time Savings'!F$110/1000000</f>
        <v>0</v>
      </c>
      <c r="G44" s="160">
        <f>'CALCS Time Savings'!G$110/1000000</f>
        <v>0</v>
      </c>
      <c r="H44" s="160">
        <f>'CALCS Time Savings'!H$110/1000000</f>
        <v>0</v>
      </c>
      <c r="I44" s="160">
        <f>'CALCS Time Savings'!I$110/1000000</f>
        <v>0</v>
      </c>
      <c r="J44" s="160">
        <f>'CALCS Time Savings'!J$110/1000000</f>
        <v>0</v>
      </c>
      <c r="K44" s="160">
        <f>'CALCS Time Savings'!K$110/1000000</f>
        <v>0</v>
      </c>
      <c r="L44" s="160">
        <f>'CALCS Time Savings'!L$110/1000000</f>
        <v>0</v>
      </c>
      <c r="M44" s="160">
        <f>'CALCS Time Savings'!M$110/1000000</f>
        <v>0</v>
      </c>
      <c r="N44" s="160">
        <f>'CALCS Time Savings'!N$110/1000000</f>
        <v>0</v>
      </c>
      <c r="O44" s="160">
        <f>'CALCS Time Savings'!O$110/1000000</f>
        <v>0</v>
      </c>
      <c r="P44" s="160">
        <f>'CALCS Time Savings'!P$110/1000000</f>
        <v>0</v>
      </c>
      <c r="Q44" s="160">
        <f>'CALCS Time Savings'!Q$110/1000000</f>
        <v>0</v>
      </c>
      <c r="R44" s="160">
        <f>'CALCS Time Savings'!R$110/1000000</f>
        <v>0</v>
      </c>
      <c r="S44" s="160">
        <f>'CALCS Time Savings'!S$110/1000000</f>
        <v>0</v>
      </c>
      <c r="T44" s="160">
        <f>'CALCS Time Savings'!T$110/1000000</f>
        <v>0</v>
      </c>
      <c r="U44" s="160">
        <f>'CALCS Time Savings'!U$110/1000000</f>
        <v>0</v>
      </c>
      <c r="V44" s="160">
        <f>'CALCS Time Savings'!V$110/1000000</f>
        <v>0</v>
      </c>
      <c r="W44" s="160">
        <f>'CALCS Time Savings'!W$110/1000000</f>
        <v>0</v>
      </c>
      <c r="X44" s="160">
        <f>'CALCS Time Savings'!X$110/1000000</f>
        <v>0</v>
      </c>
      <c r="Y44" s="160">
        <f>'CALCS Time Savings'!Y$110/1000000</f>
        <v>0</v>
      </c>
      <c r="Z44" s="160">
        <f>'CALCS Time Savings'!Z$110/1000000</f>
        <v>0</v>
      </c>
      <c r="AA44" s="160">
        <f>'CALCS Time Savings'!AA$110/1000000</f>
        <v>0</v>
      </c>
      <c r="AB44" s="160">
        <f>'CALCS Time Savings'!AB$110/1000000</f>
        <v>0</v>
      </c>
      <c r="AC44" s="160">
        <f>'CALCS Time Savings'!AC$110/1000000</f>
        <v>0</v>
      </c>
      <c r="AD44" s="160">
        <f>'CALCS Time Savings'!AD$110/1000000</f>
        <v>0</v>
      </c>
      <c r="AE44" s="160">
        <f>'CALCS Time Savings'!AE$110/1000000</f>
        <v>0</v>
      </c>
      <c r="AF44" s="160">
        <f>'CALCS Time Savings'!AF$110/1000000</f>
        <v>0</v>
      </c>
      <c r="AG44" s="160">
        <f>'CALCS Time Savings'!AG$110/1000000</f>
        <v>0</v>
      </c>
      <c r="AH44" s="160">
        <f>'CALCS Time Savings'!AH$110/1000000</f>
        <v>0</v>
      </c>
      <c r="AI44" s="160">
        <f>'CALCS Time Savings'!AI$110/1000000</f>
        <v>0</v>
      </c>
      <c r="AJ44" s="160">
        <f>'CALCS Time Savings'!AJ$110/1000000</f>
        <v>0</v>
      </c>
      <c r="AK44" s="160">
        <f>'CALCS Time Savings'!AK$110/1000000</f>
        <v>0</v>
      </c>
      <c r="AL44" s="160">
        <f>'CALCS Time Savings'!AL$110/1000000</f>
        <v>0</v>
      </c>
      <c r="AM44" s="160">
        <f>'CALCS Time Savings'!AM$110/1000000</f>
        <v>0</v>
      </c>
      <c r="AN44" s="160">
        <f>'CALCS Time Savings'!AN$110/1000000</f>
        <v>0</v>
      </c>
      <c r="AO44" s="160">
        <f>'CALCS Time Savings'!AO$110/1000000</f>
        <v>0</v>
      </c>
      <c r="AP44" s="160">
        <f>'CALCS Time Savings'!AP$110/1000000</f>
        <v>0</v>
      </c>
      <c r="AQ44" s="160">
        <f>'CALCS Time Savings'!AQ$110/1000000</f>
        <v>0</v>
      </c>
      <c r="AR44" s="160">
        <f>'CALCS Time Savings'!AR$110/1000000</f>
        <v>0</v>
      </c>
    </row>
    <row r="45" spans="1:44" x14ac:dyDescent="0.2">
      <c r="B45" s="45" t="s">
        <v>14</v>
      </c>
      <c r="D45" s="160">
        <f t="shared" ref="D45:D51" si="13">SUM(F45:AR45)</f>
        <v>0.21747443286249166</v>
      </c>
      <c r="E45" s="160"/>
      <c r="F45" s="160">
        <f>'CALCS Veh Op Costs'!F$76/1000000</f>
        <v>0</v>
      </c>
      <c r="G45" s="160">
        <f>'CALCS Veh Op Costs'!G$76/1000000</f>
        <v>0</v>
      </c>
      <c r="H45" s="160">
        <f>'CALCS Veh Op Costs'!H$76/1000000</f>
        <v>0</v>
      </c>
      <c r="I45" s="160">
        <f>'CALCS Veh Op Costs'!I$76/1000000</f>
        <v>0</v>
      </c>
      <c r="J45" s="160">
        <f>'CALCS Veh Op Costs'!J$76/1000000</f>
        <v>0</v>
      </c>
      <c r="K45" s="160">
        <f>'CALCS Veh Op Costs'!K$76/1000000</f>
        <v>0</v>
      </c>
      <c r="L45" s="160">
        <f>'CALCS Veh Op Costs'!L$76/1000000</f>
        <v>0</v>
      </c>
      <c r="M45" s="160">
        <f>'CALCS Veh Op Costs'!M$76/1000000</f>
        <v>0</v>
      </c>
      <c r="N45" s="160">
        <f>'CALCS Veh Op Costs'!N$76/1000000</f>
        <v>0</v>
      </c>
      <c r="O45" s="160">
        <f>'CALCS Veh Op Costs'!O$76/1000000</f>
        <v>0</v>
      </c>
      <c r="P45" s="160">
        <f>'CALCS Veh Op Costs'!P$76/1000000</f>
        <v>4.101601279908617E-3</v>
      </c>
      <c r="Q45" s="160">
        <f>'CALCS Veh Op Costs'!Q$76/1000000</f>
        <v>4.7233648926331079E-3</v>
      </c>
      <c r="R45" s="160">
        <f>'CALCS Veh Op Costs'!R$76/1000000</f>
        <v>5.4268061683782724E-3</v>
      </c>
      <c r="S45" s="160">
        <f>'CALCS Veh Op Costs'!S$76/1000000</f>
        <v>6.2200638255527014E-3</v>
      </c>
      <c r="T45" s="160">
        <f>'CALCS Veh Op Costs'!T$76/1000000</f>
        <v>6.910773793511093E-3</v>
      </c>
      <c r="U45" s="160">
        <f>'CALCS Veh Op Costs'!U$76/1000000</f>
        <v>7.5985149312153225E-3</v>
      </c>
      <c r="V45" s="160">
        <f>'CALCS Veh Op Costs'!V$76/1000000</f>
        <v>8.2958597607663831E-3</v>
      </c>
      <c r="W45" s="160">
        <f>'CALCS Veh Op Costs'!W$76/1000000</f>
        <v>8.9686214500184873E-3</v>
      </c>
      <c r="X45" s="160">
        <f>'CALCS Veh Op Costs'!X$76/1000000</f>
        <v>9.6806134627655839E-3</v>
      </c>
      <c r="Y45" s="160">
        <f>'CALCS Veh Op Costs'!Y$76/1000000</f>
        <v>1.0398812522310414E-2</v>
      </c>
      <c r="Z45" s="160">
        <f>'CALCS Veh Op Costs'!Z$76/1000000</f>
        <v>1.1167039476075443E-2</v>
      </c>
      <c r="AA45" s="160">
        <f>'CALCS Veh Op Costs'!AA$76/1000000</f>
        <v>1.1835434802667587E-2</v>
      </c>
      <c r="AB45" s="160">
        <f>'CALCS Veh Op Costs'!AB$76/1000000</f>
        <v>1.2592671264581383E-2</v>
      </c>
      <c r="AC45" s="160">
        <f>'CALCS Veh Op Costs'!AC$76/1000000</f>
        <v>1.3339836851761443E-2</v>
      </c>
      <c r="AD45" s="160">
        <f>'CALCS Veh Op Costs'!AD$76/1000000</f>
        <v>1.4028338059179135E-2</v>
      </c>
      <c r="AE45" s="160">
        <f>'CALCS Veh Op Costs'!AE$76/1000000</f>
        <v>1.4850067346057389E-2</v>
      </c>
      <c r="AF45" s="160">
        <f>'CALCS Veh Op Costs'!AF$76/1000000</f>
        <v>1.5682514508829102E-2</v>
      </c>
      <c r="AG45" s="160">
        <f>'CALCS Veh Op Costs'!AG$76/1000000</f>
        <v>1.6419412323882221E-2</v>
      </c>
      <c r="AH45" s="160">
        <f>'CALCS Veh Op Costs'!AH$76/1000000</f>
        <v>1.7244002620882239E-2</v>
      </c>
      <c r="AI45" s="160">
        <f>'CALCS Veh Op Costs'!AI$76/1000000</f>
        <v>1.7990083521515713E-2</v>
      </c>
      <c r="AJ45" s="160">
        <f>'CALCS Veh Op Costs'!AJ$76/1000000</f>
        <v>0</v>
      </c>
      <c r="AK45" s="160">
        <f>'CALCS Veh Op Costs'!AK$76/1000000</f>
        <v>0</v>
      </c>
      <c r="AL45" s="160">
        <f>'CALCS Veh Op Costs'!AL$76/1000000</f>
        <v>0</v>
      </c>
      <c r="AM45" s="160">
        <f>'CALCS Veh Op Costs'!AM$76/1000000</f>
        <v>0</v>
      </c>
      <c r="AN45" s="160">
        <f>'CALCS Veh Op Costs'!AN$76/1000000</f>
        <v>0</v>
      </c>
      <c r="AO45" s="160">
        <f>'CALCS Veh Op Costs'!AO$76/1000000</f>
        <v>0</v>
      </c>
      <c r="AP45" s="160">
        <f>'CALCS Veh Op Costs'!AP$76/1000000</f>
        <v>0</v>
      </c>
      <c r="AQ45" s="160">
        <f>'CALCS Veh Op Costs'!AQ$76/1000000</f>
        <v>0</v>
      </c>
      <c r="AR45" s="160">
        <f>'CALCS Veh Op Costs'!AR$76/1000000</f>
        <v>0</v>
      </c>
    </row>
    <row r="46" spans="1:44" x14ac:dyDescent="0.2">
      <c r="B46" s="45" t="s">
        <v>35</v>
      </c>
      <c r="D46" s="160">
        <f t="shared" si="13"/>
        <v>1.6723568993102678E-2</v>
      </c>
      <c r="E46" s="160"/>
      <c r="F46" s="160">
        <f>'CALCS Emissions'!F$98/1000000</f>
        <v>0</v>
      </c>
      <c r="G46" s="160">
        <f>'CALCS Emissions'!G$98/1000000</f>
        <v>0</v>
      </c>
      <c r="H46" s="160">
        <f>'CALCS Emissions'!H$98/1000000</f>
        <v>0</v>
      </c>
      <c r="I46" s="160">
        <f>'CALCS Emissions'!I$98/1000000</f>
        <v>0</v>
      </c>
      <c r="J46" s="160">
        <f>'CALCS Emissions'!J$98/1000000</f>
        <v>0</v>
      </c>
      <c r="K46" s="160">
        <f>'CALCS Emissions'!K$98/1000000</f>
        <v>0</v>
      </c>
      <c r="L46" s="160">
        <f>'CALCS Emissions'!L$98/1000000</f>
        <v>0</v>
      </c>
      <c r="M46" s="160">
        <f>'CALCS Emissions'!M$98/1000000</f>
        <v>0</v>
      </c>
      <c r="N46" s="160">
        <f>'CALCS Emissions'!N$98/1000000</f>
        <v>0</v>
      </c>
      <c r="O46" s="160">
        <f>'CALCS Emissions'!O$98/1000000</f>
        <v>0</v>
      </c>
      <c r="P46" s="160">
        <f>'CALCS Emissions'!P$98/1000000</f>
        <v>3.7942580689654277E-4</v>
      </c>
      <c r="Q46" s="160">
        <f>'CALCS Emissions'!Q$98/1000000</f>
        <v>4.3327413103447178E-4</v>
      </c>
      <c r="R46" s="160">
        <f>'CALCS Emissions'!R$98/1000000</f>
        <v>4.8672120689653822E-4</v>
      </c>
      <c r="S46" s="160">
        <f>'CALCS Emissions'!S$98/1000000</f>
        <v>5.3321666896550591E-4</v>
      </c>
      <c r="T46" s="160">
        <f>'CALCS Emissions'!T$98/1000000</f>
        <v>5.7974636551722501E-4</v>
      </c>
      <c r="U46" s="160">
        <f>'CALCS Emissions'!U$98/1000000</f>
        <v>6.2631029655170283E-4</v>
      </c>
      <c r="V46" s="160">
        <f>'CALCS Emissions'!V$98/1000000</f>
        <v>6.7290846206895369E-4</v>
      </c>
      <c r="W46" s="160">
        <f>'CALCS Emissions'!W$98/1000000</f>
        <v>7.1954086206895589E-4</v>
      </c>
      <c r="X46" s="160">
        <f>'CALCS Emissions'!X$98/1000000</f>
        <v>7.6647885517239049E-4</v>
      </c>
      <c r="Y46" s="160">
        <f>'CALCS Emissions'!Y$98/1000000</f>
        <v>8.1319684137928566E-4</v>
      </c>
      <c r="Z46" s="160">
        <f>'CALCS Emissions'!Z$98/1000000</f>
        <v>8.5994906206893933E-4</v>
      </c>
      <c r="AA46" s="160">
        <f>'CALCS Emissions'!AA$98/1000000</f>
        <v>9.0673551724135173E-4</v>
      </c>
      <c r="AB46" s="160">
        <f>'CALCS Emissions'!AB$98/1000000</f>
        <v>9.5355620689649369E-4</v>
      </c>
      <c r="AC46" s="160">
        <f>'CALCS Emissions'!AC$98/1000000</f>
        <v>1.0007680758620263E-3</v>
      </c>
      <c r="AD46" s="160">
        <f>'CALCS Emissions'!AD$98/1000000</f>
        <v>1.047674351724083E-3</v>
      </c>
      <c r="AE46" s="160">
        <f>'CALCS Emissions'!AE$98/1000000</f>
        <v>1.0946148620689055E-3</v>
      </c>
      <c r="AF46" s="160">
        <f>'CALCS Emissions'!AF$98/1000000</f>
        <v>1.1415896068964939E-3</v>
      </c>
      <c r="AG46" s="160">
        <f>'CALCS Emissions'!AG$98/1000000</f>
        <v>1.1885985862067901E-3</v>
      </c>
      <c r="AH46" s="160">
        <f>'CALCS Emissions'!AH$98/1000000</f>
        <v>1.2360843310343917E-3</v>
      </c>
      <c r="AI46" s="160">
        <f>'CALCS Emissions'!AI$98/1000000</f>
        <v>1.2831788965516316E-3</v>
      </c>
      <c r="AJ46" s="160">
        <f>'CALCS Emissions'!AJ$98/1000000</f>
        <v>0</v>
      </c>
      <c r="AK46" s="160">
        <f>'CALCS Emissions'!AK$98/1000000</f>
        <v>0</v>
      </c>
      <c r="AL46" s="160">
        <f>'CALCS Emissions'!AL$98/1000000</f>
        <v>0</v>
      </c>
      <c r="AM46" s="160">
        <f>'CALCS Emissions'!AM$98/1000000</f>
        <v>0</v>
      </c>
      <c r="AN46" s="160">
        <f>'CALCS Emissions'!AN$98/1000000</f>
        <v>0</v>
      </c>
      <c r="AO46" s="160">
        <f>'CALCS Emissions'!AO$98/1000000</f>
        <v>0</v>
      </c>
      <c r="AP46" s="160">
        <f>'CALCS Emissions'!AP$98/1000000</f>
        <v>0</v>
      </c>
      <c r="AQ46" s="160">
        <f>'CALCS Emissions'!AQ$98/1000000</f>
        <v>0</v>
      </c>
      <c r="AR46" s="160">
        <f>'CALCS Emissions'!AR$98/1000000</f>
        <v>0</v>
      </c>
    </row>
    <row r="47" spans="1:44" x14ac:dyDescent="0.2">
      <c r="B47" s="45" t="s">
        <v>36</v>
      </c>
      <c r="D47" s="160">
        <f t="shared" si="13"/>
        <v>0</v>
      </c>
      <c r="E47" s="160"/>
      <c r="F47" s="160">
        <f>'CALCS Pedestrian'!F$58/1000000</f>
        <v>0</v>
      </c>
      <c r="G47" s="160">
        <f>'CALCS Pedestrian'!G$58/1000000</f>
        <v>0</v>
      </c>
      <c r="H47" s="160">
        <f>'CALCS Pedestrian'!H$58/1000000</f>
        <v>0</v>
      </c>
      <c r="I47" s="160">
        <f>'CALCS Pedestrian'!I$58/1000000</f>
        <v>0</v>
      </c>
      <c r="J47" s="160">
        <f>'CALCS Pedestrian'!J$58/1000000</f>
        <v>0</v>
      </c>
      <c r="K47" s="160">
        <f>'CALCS Pedestrian'!K$58/1000000</f>
        <v>0</v>
      </c>
      <c r="L47" s="160">
        <f>'CALCS Pedestrian'!L$58/1000000</f>
        <v>0</v>
      </c>
      <c r="M47" s="160">
        <f>'CALCS Pedestrian'!M$58/1000000</f>
        <v>0</v>
      </c>
      <c r="N47" s="160">
        <f>'CALCS Pedestrian'!N$58/1000000</f>
        <v>0</v>
      </c>
      <c r="O47" s="160">
        <f>'CALCS Pedestrian'!O$58/1000000</f>
        <v>0</v>
      </c>
      <c r="P47" s="160">
        <f>'CALCS Pedestrian'!P$58/1000000</f>
        <v>0</v>
      </c>
      <c r="Q47" s="160">
        <f>'CALCS Pedestrian'!Q$58/1000000</f>
        <v>0</v>
      </c>
      <c r="R47" s="160">
        <f>'CALCS Pedestrian'!R$58/1000000</f>
        <v>0</v>
      </c>
      <c r="S47" s="160">
        <f>'CALCS Pedestrian'!S$58/1000000</f>
        <v>0</v>
      </c>
      <c r="T47" s="160">
        <f>'CALCS Pedestrian'!T$58/1000000</f>
        <v>0</v>
      </c>
      <c r="U47" s="160">
        <f>'CALCS Pedestrian'!U$58/1000000</f>
        <v>0</v>
      </c>
      <c r="V47" s="160">
        <f>'CALCS Pedestrian'!V$58/1000000</f>
        <v>0</v>
      </c>
      <c r="W47" s="160">
        <f>'CALCS Pedestrian'!W$58/1000000</f>
        <v>0</v>
      </c>
      <c r="X47" s="160">
        <f>'CALCS Pedestrian'!X$58/1000000</f>
        <v>0</v>
      </c>
      <c r="Y47" s="160">
        <f>'CALCS Pedestrian'!Y$58/1000000</f>
        <v>0</v>
      </c>
      <c r="Z47" s="160">
        <f>'CALCS Pedestrian'!Z$58/1000000</f>
        <v>0</v>
      </c>
      <c r="AA47" s="160">
        <f>'CALCS Pedestrian'!AA$58/1000000</f>
        <v>0</v>
      </c>
      <c r="AB47" s="160">
        <f>'CALCS Pedestrian'!AB$58/1000000</f>
        <v>0</v>
      </c>
      <c r="AC47" s="160">
        <f>'CALCS Pedestrian'!AC$58/1000000</f>
        <v>0</v>
      </c>
      <c r="AD47" s="160">
        <f>'CALCS Pedestrian'!AD$58/1000000</f>
        <v>0</v>
      </c>
      <c r="AE47" s="160">
        <f>'CALCS Pedestrian'!AE$58/1000000</f>
        <v>0</v>
      </c>
      <c r="AF47" s="160">
        <f>'CALCS Pedestrian'!AF$58/1000000</f>
        <v>0</v>
      </c>
      <c r="AG47" s="160">
        <f>'CALCS Pedestrian'!AG$58/1000000</f>
        <v>0</v>
      </c>
      <c r="AH47" s="160">
        <f>'CALCS Pedestrian'!AH$58/1000000</f>
        <v>0</v>
      </c>
      <c r="AI47" s="160">
        <f>'CALCS Pedestrian'!AI$58/1000000</f>
        <v>0</v>
      </c>
      <c r="AJ47" s="160">
        <f>'CALCS Pedestrian'!AJ$58/1000000</f>
        <v>0</v>
      </c>
      <c r="AK47" s="160">
        <f>'CALCS Pedestrian'!AK$58/1000000</f>
        <v>0</v>
      </c>
      <c r="AL47" s="160">
        <f>'CALCS Pedestrian'!AL$58/1000000</f>
        <v>0</v>
      </c>
      <c r="AM47" s="160">
        <f>'CALCS Pedestrian'!AM$58/1000000</f>
        <v>0</v>
      </c>
      <c r="AN47" s="160">
        <f>'CALCS Pedestrian'!AN$58/1000000</f>
        <v>0</v>
      </c>
      <c r="AO47" s="160">
        <f>'CALCS Pedestrian'!AO$58/1000000</f>
        <v>0</v>
      </c>
      <c r="AP47" s="160">
        <f>'CALCS Pedestrian'!AP$58/1000000</f>
        <v>0</v>
      </c>
      <c r="AQ47" s="160">
        <f>'CALCS Pedestrian'!AQ$58/1000000</f>
        <v>0</v>
      </c>
      <c r="AR47" s="160">
        <f>'CALCS Pedestrian'!AR$58/1000000</f>
        <v>0</v>
      </c>
    </row>
    <row r="48" spans="1:44" x14ac:dyDescent="0.2">
      <c r="B48" s="73" t="s">
        <v>17</v>
      </c>
      <c r="D48" s="160">
        <f t="shared" si="13"/>
        <v>0.25000000000000006</v>
      </c>
      <c r="E48" s="160"/>
      <c r="F48" s="160">
        <f>'CALCS Bridge Hits'!F$45/1000000</f>
        <v>0</v>
      </c>
      <c r="G48" s="160">
        <f>'CALCS Bridge Hits'!G$45/1000000</f>
        <v>0</v>
      </c>
      <c r="H48" s="160">
        <f>'CALCS Bridge Hits'!H$45/1000000</f>
        <v>0</v>
      </c>
      <c r="I48" s="160">
        <f>'CALCS Bridge Hits'!I$45/1000000</f>
        <v>0</v>
      </c>
      <c r="J48" s="160">
        <f>'CALCS Bridge Hits'!J$45/1000000</f>
        <v>0</v>
      </c>
      <c r="K48" s="160">
        <f>'CALCS Bridge Hits'!K$45/1000000</f>
        <v>0</v>
      </c>
      <c r="L48" s="160">
        <f>'CALCS Bridge Hits'!L$45/1000000</f>
        <v>0</v>
      </c>
      <c r="M48" s="160">
        <f>'CALCS Bridge Hits'!M$45/1000000</f>
        <v>0</v>
      </c>
      <c r="N48" s="160">
        <f>'CALCS Bridge Hits'!N$45/1000000</f>
        <v>0</v>
      </c>
      <c r="O48" s="160">
        <f>'CALCS Bridge Hits'!O$45/1000000</f>
        <v>0</v>
      </c>
      <c r="P48" s="160">
        <f>'CALCS Bridge Hits'!P$45/1000000</f>
        <v>1.2500000000000001E-2</v>
      </c>
      <c r="Q48" s="160">
        <f>'CALCS Bridge Hits'!Q$45/1000000</f>
        <v>1.2500000000000001E-2</v>
      </c>
      <c r="R48" s="160">
        <f>'CALCS Bridge Hits'!R$45/1000000</f>
        <v>1.2500000000000001E-2</v>
      </c>
      <c r="S48" s="160">
        <f>'CALCS Bridge Hits'!S$45/1000000</f>
        <v>1.2500000000000001E-2</v>
      </c>
      <c r="T48" s="160">
        <f>'CALCS Bridge Hits'!T$45/1000000</f>
        <v>1.2500000000000001E-2</v>
      </c>
      <c r="U48" s="160">
        <f>'CALCS Bridge Hits'!U$45/1000000</f>
        <v>1.2500000000000001E-2</v>
      </c>
      <c r="V48" s="160">
        <f>'CALCS Bridge Hits'!V$45/1000000</f>
        <v>1.2500000000000001E-2</v>
      </c>
      <c r="W48" s="160">
        <f>'CALCS Bridge Hits'!W$45/1000000</f>
        <v>1.2500000000000001E-2</v>
      </c>
      <c r="X48" s="160">
        <f>'CALCS Bridge Hits'!X$45/1000000</f>
        <v>1.2500000000000001E-2</v>
      </c>
      <c r="Y48" s="160">
        <f>'CALCS Bridge Hits'!Y$45/1000000</f>
        <v>1.2500000000000001E-2</v>
      </c>
      <c r="Z48" s="160">
        <f>'CALCS Bridge Hits'!Z$45/1000000</f>
        <v>1.2500000000000001E-2</v>
      </c>
      <c r="AA48" s="160">
        <f>'CALCS Bridge Hits'!AA$45/1000000</f>
        <v>1.2500000000000001E-2</v>
      </c>
      <c r="AB48" s="160">
        <f>'CALCS Bridge Hits'!AB$45/1000000</f>
        <v>1.2500000000000001E-2</v>
      </c>
      <c r="AC48" s="160">
        <f>'CALCS Bridge Hits'!AC$45/1000000</f>
        <v>1.2500000000000001E-2</v>
      </c>
      <c r="AD48" s="160">
        <f>'CALCS Bridge Hits'!AD$45/1000000</f>
        <v>1.2500000000000001E-2</v>
      </c>
      <c r="AE48" s="160">
        <f>'CALCS Bridge Hits'!AE$45/1000000</f>
        <v>1.2500000000000001E-2</v>
      </c>
      <c r="AF48" s="160">
        <f>'CALCS Bridge Hits'!AF$45/1000000</f>
        <v>1.2500000000000001E-2</v>
      </c>
      <c r="AG48" s="160">
        <f>'CALCS Bridge Hits'!AG$45/1000000</f>
        <v>1.2500000000000001E-2</v>
      </c>
      <c r="AH48" s="160">
        <f>'CALCS Bridge Hits'!AH$45/1000000</f>
        <v>1.2500000000000001E-2</v>
      </c>
      <c r="AI48" s="160">
        <f>'CALCS Bridge Hits'!AI$45/1000000</f>
        <v>1.2500000000000001E-2</v>
      </c>
      <c r="AJ48" s="160">
        <f>'CALCS Bridge Hits'!AJ$45/1000000</f>
        <v>0</v>
      </c>
      <c r="AK48" s="160">
        <f>'CALCS Bridge Hits'!AK$45/1000000</f>
        <v>0</v>
      </c>
      <c r="AL48" s="160">
        <f>'CALCS Bridge Hits'!AL$45/1000000</f>
        <v>0</v>
      </c>
      <c r="AM48" s="160">
        <f>'CALCS Bridge Hits'!AM$45/1000000</f>
        <v>0</v>
      </c>
      <c r="AN48" s="160">
        <f>'CALCS Bridge Hits'!AN$45/1000000</f>
        <v>0</v>
      </c>
      <c r="AO48" s="160">
        <f>'CALCS Bridge Hits'!AO$45/1000000</f>
        <v>0</v>
      </c>
      <c r="AP48" s="160">
        <f>'CALCS Bridge Hits'!AP$45/1000000</f>
        <v>0</v>
      </c>
      <c r="AQ48" s="160">
        <f>'CALCS Bridge Hits'!AQ$45/1000000</f>
        <v>0</v>
      </c>
      <c r="AR48" s="160">
        <f>'CALCS Bridge Hits'!AR$45/1000000</f>
        <v>0</v>
      </c>
    </row>
    <row r="49" spans="1:44" x14ac:dyDescent="0.2">
      <c r="B49" s="73" t="s">
        <v>18</v>
      </c>
      <c r="D49" s="160">
        <f>SUM(F49:AR49)</f>
        <v>121</v>
      </c>
      <c r="E49" s="160"/>
      <c r="F49" s="160">
        <f>'CALCS Residual Value'!F$54/1000000</f>
        <v>0</v>
      </c>
      <c r="G49" s="160">
        <f>'CALCS Residual Value'!G$54/1000000</f>
        <v>0</v>
      </c>
      <c r="H49" s="160">
        <f>'CALCS Residual Value'!H$54/1000000</f>
        <v>0</v>
      </c>
      <c r="I49" s="160">
        <f>'CALCS Residual Value'!I$54/1000000</f>
        <v>0</v>
      </c>
      <c r="J49" s="160">
        <f>'CALCS Residual Value'!J$54/1000000</f>
        <v>0</v>
      </c>
      <c r="K49" s="160">
        <f>'CALCS Residual Value'!K$54/1000000</f>
        <v>0</v>
      </c>
      <c r="L49" s="160">
        <f>'CALCS Residual Value'!L$54/1000000</f>
        <v>0</v>
      </c>
      <c r="M49" s="160">
        <f>'CALCS Residual Value'!M$54/1000000</f>
        <v>0</v>
      </c>
      <c r="N49" s="160">
        <f>'CALCS Residual Value'!N$54/1000000</f>
        <v>0</v>
      </c>
      <c r="O49" s="160">
        <f>'CALCS Residual Value'!O$54/1000000</f>
        <v>0</v>
      </c>
      <c r="P49" s="160">
        <f>'CALCS Residual Value'!P$54/1000000</f>
        <v>0</v>
      </c>
      <c r="Q49" s="160">
        <f>'CALCS Residual Value'!Q$54/1000000</f>
        <v>0</v>
      </c>
      <c r="R49" s="160">
        <f>'CALCS Residual Value'!R$54/1000000</f>
        <v>0</v>
      </c>
      <c r="S49" s="160">
        <f>'CALCS Residual Value'!S$54/1000000</f>
        <v>0</v>
      </c>
      <c r="T49" s="160">
        <f>'CALCS Residual Value'!T$54/1000000</f>
        <v>0</v>
      </c>
      <c r="U49" s="160">
        <f>'CALCS Residual Value'!U$54/1000000</f>
        <v>0</v>
      </c>
      <c r="V49" s="160">
        <f>'CALCS Residual Value'!V$54/1000000</f>
        <v>0</v>
      </c>
      <c r="W49" s="160">
        <f>'CALCS Residual Value'!W$54/1000000</f>
        <v>0</v>
      </c>
      <c r="X49" s="160">
        <f>'CALCS Residual Value'!X$54/1000000</f>
        <v>0</v>
      </c>
      <c r="Y49" s="160">
        <f>'CALCS Residual Value'!Y$54/1000000</f>
        <v>0</v>
      </c>
      <c r="Z49" s="160">
        <f>'CALCS Residual Value'!Z$54/1000000</f>
        <v>0</v>
      </c>
      <c r="AA49" s="160">
        <f>'CALCS Residual Value'!AA$54/1000000</f>
        <v>0</v>
      </c>
      <c r="AB49" s="160">
        <f>'CALCS Residual Value'!AB$54/1000000</f>
        <v>0</v>
      </c>
      <c r="AC49" s="160">
        <f>'CALCS Residual Value'!AC$54/1000000</f>
        <v>0</v>
      </c>
      <c r="AD49" s="160">
        <f>'CALCS Residual Value'!AD$54/1000000</f>
        <v>0</v>
      </c>
      <c r="AE49" s="160">
        <f>'CALCS Residual Value'!AE$54/1000000</f>
        <v>0</v>
      </c>
      <c r="AF49" s="160">
        <f>'CALCS Residual Value'!AF$54/1000000</f>
        <v>0</v>
      </c>
      <c r="AG49" s="160">
        <f>'CALCS Residual Value'!AG$54/1000000</f>
        <v>0</v>
      </c>
      <c r="AH49" s="160">
        <f>'CALCS Residual Value'!AH$54/1000000</f>
        <v>0</v>
      </c>
      <c r="AI49" s="160">
        <f>'CALCS Residual Value'!AI$54/1000000</f>
        <v>121</v>
      </c>
      <c r="AJ49" s="160">
        <f>'CALCS Residual Value'!AJ$54/1000000</f>
        <v>0</v>
      </c>
      <c r="AK49" s="160">
        <f>'CALCS Residual Value'!AK$54/1000000</f>
        <v>0</v>
      </c>
      <c r="AL49" s="160">
        <f>'CALCS Residual Value'!AL$54/1000000</f>
        <v>0</v>
      </c>
      <c r="AM49" s="160">
        <f>'CALCS Residual Value'!AM$54/1000000</f>
        <v>0</v>
      </c>
      <c r="AN49" s="160">
        <f>'CALCS Residual Value'!AN$54/1000000</f>
        <v>0</v>
      </c>
      <c r="AO49" s="160">
        <f>'CALCS Residual Value'!AO$54/1000000</f>
        <v>0</v>
      </c>
      <c r="AP49" s="160">
        <f>'CALCS Residual Value'!AP$54/1000000</f>
        <v>0</v>
      </c>
      <c r="AQ49" s="160">
        <f>'CALCS Residual Value'!AQ$54/1000000</f>
        <v>0</v>
      </c>
      <c r="AR49" s="160">
        <f>'CALCS Residual Value'!AR$54/1000000</f>
        <v>0</v>
      </c>
    </row>
    <row r="50" spans="1:44" x14ac:dyDescent="0.2">
      <c r="B50" s="73" t="s">
        <v>19</v>
      </c>
      <c r="D50" s="160">
        <f>SUM(F50:AR50)</f>
        <v>966.40434511956016</v>
      </c>
      <c r="E50" s="160"/>
      <c r="F50" s="160">
        <f>'CALCS Avoided Detour'!F$66/1000000</f>
        <v>0</v>
      </c>
      <c r="G50" s="160">
        <f>'CALCS Avoided Detour'!G$66/1000000</f>
        <v>0</v>
      </c>
      <c r="H50" s="160">
        <f>'CALCS Avoided Detour'!H$66/1000000</f>
        <v>0</v>
      </c>
      <c r="I50" s="160">
        <f>'CALCS Avoided Detour'!I$66/1000000</f>
        <v>0</v>
      </c>
      <c r="J50" s="160">
        <f>'CALCS Avoided Detour'!J$66/1000000</f>
        <v>0</v>
      </c>
      <c r="K50" s="160">
        <f>'CALCS Avoided Detour'!K$66/1000000</f>
        <v>0</v>
      </c>
      <c r="L50" s="160">
        <f>'CALCS Avoided Detour'!L$66/1000000</f>
        <v>0</v>
      </c>
      <c r="M50" s="160">
        <f>'CALCS Avoided Detour'!M$66/1000000</f>
        <v>0</v>
      </c>
      <c r="N50" s="160">
        <f>'CALCS Avoided Detour'!N$66/1000000</f>
        <v>0</v>
      </c>
      <c r="O50" s="160">
        <f>'CALCS Avoided Detour'!O$66/1000000</f>
        <v>0</v>
      </c>
      <c r="P50" s="160">
        <f>'CALCS Avoided Detour'!P$66/1000000</f>
        <v>6.6304987272051086E-2</v>
      </c>
      <c r="Q50" s="160">
        <f>'CALCS Avoided Detour'!Q$66/1000000</f>
        <v>6.9018094291051935E-2</v>
      </c>
      <c r="R50" s="160">
        <f>'CALCS Avoided Detour'!R$66/1000000</f>
        <v>7.1842217841378703E-2</v>
      </c>
      <c r="S50" s="160">
        <f>'CALCS Avoided Detour'!S$66/1000000</f>
        <v>7.4781900563679671E-2</v>
      </c>
      <c r="T50" s="160">
        <f>'CALCS Avoided Detour'!T$66/1000000</f>
        <v>7.78418709770827E-2</v>
      </c>
      <c r="U50" s="160">
        <f>'CALCS Avoided Detour'!U$66/1000000</f>
        <v>5.9427537031142386</v>
      </c>
      <c r="V50" s="160">
        <f>'CALCS Avoided Detour'!V$66/1000000</f>
        <v>6.1859228438903031</v>
      </c>
      <c r="W50" s="160">
        <f>'CALCS Avoided Detour'!W$66/1000000</f>
        <v>6.4390421246149199</v>
      </c>
      <c r="X50" s="160">
        <f>'CALCS Avoided Detour'!X$66/1000000</f>
        <v>6.7025186910495957</v>
      </c>
      <c r="Y50" s="160">
        <f>'CALCS Avoided Detour'!Y$66/1000000</f>
        <v>6.9767763487889569</v>
      </c>
      <c r="Z50" s="160">
        <f>'CALCS Avoided Detour'!Z$66/1000000</f>
        <v>77.446171623390711</v>
      </c>
      <c r="AA50" s="160">
        <f>'CALCS Avoided Detour'!AA$66/1000000</f>
        <v>80.615160269207621</v>
      </c>
      <c r="AB50" s="160">
        <f>'CALCS Avoided Detour'!AB$66/1000000</f>
        <v>83.913819482682186</v>
      </c>
      <c r="AC50" s="160">
        <f>'CALCS Avoided Detour'!AC$66/1000000</f>
        <v>87.347455201448113</v>
      </c>
      <c r="AD50" s="160">
        <f>'CALCS Avoided Detour'!AD$66/1000000</f>
        <v>90.921590474660107</v>
      </c>
      <c r="AE50" s="160">
        <f>'CALCS Avoided Detour'!AE$66/1000000</f>
        <v>94.641974346892624</v>
      </c>
      <c r="AF50" s="160">
        <f>'CALCS Avoided Detour'!AF$66/1000000</f>
        <v>98.514591105555198</v>
      </c>
      <c r="AG50" s="160">
        <f>'CALCS Avoided Detour'!AG$66/1000000</f>
        <v>102.54566990669908</v>
      </c>
      <c r="AH50" s="160">
        <f>'CALCS Avoided Detour'!AH$66/1000000</f>
        <v>106.74169479469847</v>
      </c>
      <c r="AI50" s="160">
        <f>'CALCS Avoided Detour'!AI$66/1000000</f>
        <v>111.10941513192287</v>
      </c>
      <c r="AJ50" s="160">
        <f>'CALCS Avoided Detour'!AJ$66/1000000</f>
        <v>0</v>
      </c>
      <c r="AK50" s="160">
        <f>'CALCS Avoided Detour'!AK$66/1000000</f>
        <v>0</v>
      </c>
      <c r="AL50" s="160">
        <f>'CALCS Avoided Detour'!AL$66/1000000</f>
        <v>0</v>
      </c>
      <c r="AM50" s="160">
        <f>'CALCS Avoided Detour'!AM$66/1000000</f>
        <v>0</v>
      </c>
      <c r="AN50" s="160">
        <f>'CALCS Avoided Detour'!AN$66/1000000</f>
        <v>0</v>
      </c>
      <c r="AO50" s="160">
        <f>'CALCS Avoided Detour'!AO$66/1000000</f>
        <v>0</v>
      </c>
      <c r="AP50" s="160">
        <f>'CALCS Avoided Detour'!AP$66/1000000</f>
        <v>0</v>
      </c>
      <c r="AQ50" s="160">
        <f>'CALCS Avoided Detour'!AQ$66/1000000</f>
        <v>0</v>
      </c>
      <c r="AR50" s="160">
        <f>'CALCS Avoided Detour'!AR$66/1000000</f>
        <v>0</v>
      </c>
    </row>
    <row r="51" spans="1:44" ht="15.75" thickBot="1" x14ac:dyDescent="0.3">
      <c r="B51" s="142" t="s">
        <v>26</v>
      </c>
      <c r="C51" s="144"/>
      <c r="D51" s="161">
        <f t="shared" si="13"/>
        <v>1353.1696659540139</v>
      </c>
      <c r="E51" s="161"/>
      <c r="F51" s="161">
        <f t="shared" ref="F51:AR51" si="14">SUM(F42:F50)</f>
        <v>0</v>
      </c>
      <c r="G51" s="161">
        <f t="shared" si="14"/>
        <v>0</v>
      </c>
      <c r="H51" s="161">
        <f t="shared" si="14"/>
        <v>0</v>
      </c>
      <c r="I51" s="161">
        <f t="shared" si="14"/>
        <v>0</v>
      </c>
      <c r="J51" s="161">
        <f t="shared" si="14"/>
        <v>0</v>
      </c>
      <c r="K51" s="161">
        <f t="shared" si="14"/>
        <v>0</v>
      </c>
      <c r="L51" s="161">
        <f t="shared" si="14"/>
        <v>0</v>
      </c>
      <c r="M51" s="161">
        <f t="shared" si="14"/>
        <v>0</v>
      </c>
      <c r="N51" s="161">
        <f t="shared" si="14"/>
        <v>0</v>
      </c>
      <c r="O51" s="161">
        <f t="shared" si="14"/>
        <v>0</v>
      </c>
      <c r="P51" s="161">
        <f t="shared" si="14"/>
        <v>8.8334482964887346</v>
      </c>
      <c r="Q51" s="161">
        <f t="shared" si="14"/>
        <v>9.2090633459102271</v>
      </c>
      <c r="R51" s="161">
        <f t="shared" si="14"/>
        <v>9.5991746234426589</v>
      </c>
      <c r="S51" s="161">
        <f t="shared" si="14"/>
        <v>10.004373557030693</v>
      </c>
      <c r="T51" s="161">
        <f t="shared" si="14"/>
        <v>10.425088743451996</v>
      </c>
      <c r="U51" s="161">
        <f t="shared" si="14"/>
        <v>16.723785511589973</v>
      </c>
      <c r="V51" s="161">
        <f t="shared" si="14"/>
        <v>17.417542006465212</v>
      </c>
      <c r="W51" s="161">
        <f t="shared" si="14"/>
        <v>18.138704009550896</v>
      </c>
      <c r="X51" s="161">
        <f t="shared" si="14"/>
        <v>18.888458005108085</v>
      </c>
      <c r="Y51" s="161">
        <f t="shared" si="14"/>
        <v>19.667938770708449</v>
      </c>
      <c r="Z51" s="161">
        <f t="shared" si="14"/>
        <v>90.66232189260063</v>
      </c>
      <c r="AA51" s="161">
        <f t="shared" si="14"/>
        <v>94.376719962541245</v>
      </c>
      <c r="AB51" s="161">
        <f t="shared" si="14"/>
        <v>98.242238555566558</v>
      </c>
      <c r="AC51" s="161">
        <f t="shared" si="14"/>
        <v>102.2649591196603</v>
      </c>
      <c r="AD51" s="161">
        <f t="shared" si="14"/>
        <v>106.4512652446451</v>
      </c>
      <c r="AE51" s="161">
        <f t="shared" si="14"/>
        <v>110.80804526733287</v>
      </c>
      <c r="AF51" s="161">
        <f t="shared" si="14"/>
        <v>115.3421467772442</v>
      </c>
      <c r="AG51" s="161">
        <f t="shared" si="14"/>
        <v>120.06071881357764</v>
      </c>
      <c r="AH51" s="161">
        <f t="shared" si="14"/>
        <v>124.971497244072</v>
      </c>
      <c r="AI51" s="161">
        <f t="shared" si="14"/>
        <v>251.08217620702638</v>
      </c>
      <c r="AJ51" s="161">
        <f t="shared" si="14"/>
        <v>0</v>
      </c>
      <c r="AK51" s="161">
        <f t="shared" si="14"/>
        <v>0</v>
      </c>
      <c r="AL51" s="161">
        <f t="shared" si="14"/>
        <v>0</v>
      </c>
      <c r="AM51" s="161">
        <f t="shared" si="14"/>
        <v>0</v>
      </c>
      <c r="AN51" s="161">
        <f t="shared" si="14"/>
        <v>0</v>
      </c>
      <c r="AO51" s="161">
        <f t="shared" si="14"/>
        <v>0</v>
      </c>
      <c r="AP51" s="161">
        <f t="shared" si="14"/>
        <v>0</v>
      </c>
      <c r="AQ51" s="161">
        <f t="shared" si="14"/>
        <v>0</v>
      </c>
      <c r="AR51" s="162">
        <f t="shared" si="14"/>
        <v>0</v>
      </c>
    </row>
    <row r="52" spans="1:44" ht="15" thickBot="1" x14ac:dyDescent="0.25">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row>
    <row r="53" spans="1:44" ht="18" thickBot="1" x14ac:dyDescent="0.35">
      <c r="B53" s="47" t="s">
        <v>37</v>
      </c>
      <c r="C53" s="48"/>
      <c r="D53" s="48" t="s">
        <v>34</v>
      </c>
      <c r="E53" s="48"/>
      <c r="F53" s="72">
        <f t="shared" ref="F53:AR53" si="15">F41</f>
        <v>2018</v>
      </c>
      <c r="G53" s="72">
        <f t="shared" si="15"/>
        <v>2019</v>
      </c>
      <c r="H53" s="72">
        <f t="shared" si="15"/>
        <v>2020</v>
      </c>
      <c r="I53" s="72">
        <f t="shared" si="15"/>
        <v>2021</v>
      </c>
      <c r="J53" s="72">
        <f t="shared" si="15"/>
        <v>2022</v>
      </c>
      <c r="K53" s="72">
        <f t="shared" si="15"/>
        <v>2023</v>
      </c>
      <c r="L53" s="72">
        <f t="shared" si="15"/>
        <v>2024</v>
      </c>
      <c r="M53" s="72">
        <f t="shared" si="15"/>
        <v>2025</v>
      </c>
      <c r="N53" s="72">
        <f t="shared" si="15"/>
        <v>2026</v>
      </c>
      <c r="O53" s="72">
        <f t="shared" si="15"/>
        <v>2027</v>
      </c>
      <c r="P53" s="72">
        <f t="shared" si="15"/>
        <v>2028</v>
      </c>
      <c r="Q53" s="72">
        <f t="shared" si="15"/>
        <v>2029</v>
      </c>
      <c r="R53" s="72">
        <f t="shared" si="15"/>
        <v>2030</v>
      </c>
      <c r="S53" s="72">
        <f t="shared" si="15"/>
        <v>2031</v>
      </c>
      <c r="T53" s="72">
        <f t="shared" si="15"/>
        <v>2032</v>
      </c>
      <c r="U53" s="72">
        <f t="shared" si="15"/>
        <v>2033</v>
      </c>
      <c r="V53" s="72">
        <f t="shared" si="15"/>
        <v>2034</v>
      </c>
      <c r="W53" s="72">
        <f t="shared" si="15"/>
        <v>2035</v>
      </c>
      <c r="X53" s="72">
        <f t="shared" si="15"/>
        <v>2036</v>
      </c>
      <c r="Y53" s="72">
        <f t="shared" si="15"/>
        <v>2037</v>
      </c>
      <c r="Z53" s="72">
        <f t="shared" si="15"/>
        <v>2038</v>
      </c>
      <c r="AA53" s="72">
        <f t="shared" si="15"/>
        <v>2039</v>
      </c>
      <c r="AB53" s="72">
        <f t="shared" si="15"/>
        <v>2040</v>
      </c>
      <c r="AC53" s="72">
        <f t="shared" si="15"/>
        <v>2041</v>
      </c>
      <c r="AD53" s="72">
        <f t="shared" si="15"/>
        <v>2042</v>
      </c>
      <c r="AE53" s="72">
        <f t="shared" si="15"/>
        <v>2043</v>
      </c>
      <c r="AF53" s="72">
        <f t="shared" si="15"/>
        <v>2044</v>
      </c>
      <c r="AG53" s="72">
        <f t="shared" si="15"/>
        <v>2045</v>
      </c>
      <c r="AH53" s="72">
        <f t="shared" si="15"/>
        <v>2046</v>
      </c>
      <c r="AI53" s="72">
        <f t="shared" si="15"/>
        <v>2047</v>
      </c>
      <c r="AJ53" s="72">
        <f t="shared" si="15"/>
        <v>2048</v>
      </c>
      <c r="AK53" s="72">
        <f t="shared" si="15"/>
        <v>2049</v>
      </c>
      <c r="AL53" s="72">
        <f t="shared" si="15"/>
        <v>2050</v>
      </c>
      <c r="AM53" s="72">
        <f t="shared" si="15"/>
        <v>2051</v>
      </c>
      <c r="AN53" s="72">
        <f t="shared" si="15"/>
        <v>2052</v>
      </c>
      <c r="AO53" s="72">
        <f t="shared" si="15"/>
        <v>2053</v>
      </c>
      <c r="AP53" s="72">
        <f t="shared" si="15"/>
        <v>2054</v>
      </c>
      <c r="AQ53" s="72">
        <f t="shared" si="15"/>
        <v>2055</v>
      </c>
      <c r="AR53" s="143">
        <f t="shared" si="15"/>
        <v>2056</v>
      </c>
    </row>
    <row r="54" spans="1:44" x14ac:dyDescent="0.2">
      <c r="B54" s="50" t="s">
        <v>23</v>
      </c>
      <c r="D54" s="160">
        <f>SUM(F54:AR54)</f>
        <v>-214.39019221658853</v>
      </c>
      <c r="E54" s="160"/>
      <c r="F54" s="160">
        <f>-'CALCS Project Costs'!F$67/1000000</f>
        <v>0</v>
      </c>
      <c r="G54" s="160">
        <f>-'CALCS Project Costs'!G$67/1000000</f>
        <v>0</v>
      </c>
      <c r="H54" s="160">
        <f>-'CALCS Project Costs'!H$67/1000000</f>
        <v>0</v>
      </c>
      <c r="I54" s="160">
        <f>-'CALCS Project Costs'!I$67/1000000</f>
        <v>0</v>
      </c>
      <c r="J54" s="160">
        <f>-'CALCS Project Costs'!J$67/1000000</f>
        <v>-2.8852451200612266</v>
      </c>
      <c r="K54" s="160">
        <f>-'CALCS Project Costs'!K$67/1000000</f>
        <v>0</v>
      </c>
      <c r="L54" s="160">
        <f>-'CALCS Project Costs'!L$67/1000000</f>
        <v>-11.271155840428587</v>
      </c>
      <c r="M54" s="160">
        <f>-'CALCS Project Costs'!M$67/1000000</f>
        <v>-64.752221052967244</v>
      </c>
      <c r="N54" s="160">
        <f>-'CALCS Project Costs'!N$67/1000000</f>
        <v>-72.864037756306004</v>
      </c>
      <c r="O54" s="160">
        <f>-'CALCS Project Costs'!O$67/1000000</f>
        <v>-62.617532446825471</v>
      </c>
      <c r="P54" s="160">
        <f>-'CALCS Project Costs'!P$67/1000000</f>
        <v>0</v>
      </c>
      <c r="Q54" s="160">
        <f>-'CALCS Project Costs'!Q$67/1000000</f>
        <v>0</v>
      </c>
      <c r="R54" s="160">
        <f>-'CALCS Project Costs'!R$67/1000000</f>
        <v>0</v>
      </c>
      <c r="S54" s="160">
        <f>-'CALCS Project Costs'!S$67/1000000</f>
        <v>0</v>
      </c>
      <c r="T54" s="160">
        <f>-'CALCS Project Costs'!T$67/1000000</f>
        <v>0</v>
      </c>
      <c r="U54" s="160">
        <f>-'CALCS Project Costs'!U$67/1000000</f>
        <v>0</v>
      </c>
      <c r="V54" s="160">
        <f>-'CALCS Project Costs'!V$67/1000000</f>
        <v>0</v>
      </c>
      <c r="W54" s="160">
        <f>-'CALCS Project Costs'!W$67/1000000</f>
        <v>0</v>
      </c>
      <c r="X54" s="160">
        <f>-'CALCS Project Costs'!X$67/1000000</f>
        <v>0</v>
      </c>
      <c r="Y54" s="160">
        <f>-'CALCS Project Costs'!Y$67/1000000</f>
        <v>0</v>
      </c>
      <c r="Z54" s="160">
        <f>-'CALCS Project Costs'!Z$67/1000000</f>
        <v>0</v>
      </c>
      <c r="AA54" s="160">
        <f>-'CALCS Project Costs'!AA$67/1000000</f>
        <v>0</v>
      </c>
      <c r="AB54" s="160">
        <f>-'CALCS Project Costs'!AB$67/1000000</f>
        <v>0</v>
      </c>
      <c r="AC54" s="160">
        <f>-'CALCS Project Costs'!AC$67/1000000</f>
        <v>0</v>
      </c>
      <c r="AD54" s="160">
        <f>-'CALCS Project Costs'!AD$67/1000000</f>
        <v>0</v>
      </c>
      <c r="AE54" s="160">
        <f>-'CALCS Project Costs'!AE$67/1000000</f>
        <v>0</v>
      </c>
      <c r="AF54" s="160">
        <f>-'CALCS Project Costs'!AF$67/1000000</f>
        <v>0</v>
      </c>
      <c r="AG54" s="160">
        <f>-'CALCS Project Costs'!AG$67/1000000</f>
        <v>0</v>
      </c>
      <c r="AH54" s="160">
        <f>-'CALCS Project Costs'!AH$67/1000000</f>
        <v>0</v>
      </c>
      <c r="AI54" s="160">
        <f>-'CALCS Project Costs'!AI$67/1000000</f>
        <v>0</v>
      </c>
      <c r="AJ54" s="160">
        <f>-'CALCS Project Costs'!AJ$67/1000000</f>
        <v>0</v>
      </c>
      <c r="AK54" s="160">
        <f>-'CALCS Project Costs'!AK$67/1000000</f>
        <v>0</v>
      </c>
      <c r="AL54" s="160">
        <f>-'CALCS Project Costs'!AL$67/1000000</f>
        <v>0</v>
      </c>
      <c r="AM54" s="160">
        <f>-'CALCS Project Costs'!AM$67/1000000</f>
        <v>0</v>
      </c>
      <c r="AN54" s="160">
        <f>-'CALCS Project Costs'!AN$67/1000000</f>
        <v>0</v>
      </c>
      <c r="AO54" s="160">
        <f>-'CALCS Project Costs'!AO$67/1000000</f>
        <v>0</v>
      </c>
      <c r="AP54" s="160">
        <f>-'CALCS Project Costs'!AP$67/1000000</f>
        <v>0</v>
      </c>
      <c r="AQ54" s="160">
        <f>-'CALCS Project Costs'!AQ$67/1000000</f>
        <v>0</v>
      </c>
      <c r="AR54" s="160">
        <f>-'CALCS Project Costs'!AR$67/1000000</f>
        <v>0</v>
      </c>
    </row>
    <row r="55" spans="1:44" ht="15" thickBot="1" x14ac:dyDescent="0.25">
      <c r="B55" s="148" t="s">
        <v>24</v>
      </c>
      <c r="D55" s="160">
        <f>SUM(F55:AR55)</f>
        <v>10.773789618830955</v>
      </c>
      <c r="E55" s="160"/>
      <c r="F55" s="160">
        <f>-'CALCS Project Costs'!F$72/1000000</f>
        <v>0</v>
      </c>
      <c r="G55" s="160">
        <f>-'CALCS Project Costs'!G$72/1000000</f>
        <v>0</v>
      </c>
      <c r="H55" s="160">
        <f>-'CALCS Project Costs'!H$72/1000000</f>
        <v>0</v>
      </c>
      <c r="I55" s="160">
        <f>-'CALCS Project Costs'!I$72/1000000</f>
        <v>0</v>
      </c>
      <c r="J55" s="160">
        <f>-'CALCS Project Costs'!J$72/1000000</f>
        <v>0</v>
      </c>
      <c r="K55" s="160">
        <f>-'CALCS Project Costs'!K$72/1000000</f>
        <v>0</v>
      </c>
      <c r="L55" s="160">
        <f>-'CALCS Project Costs'!L$72/1000000</f>
        <v>0</v>
      </c>
      <c r="M55" s="160">
        <f>-'CALCS Project Costs'!M$72/1000000</f>
        <v>0</v>
      </c>
      <c r="N55" s="160">
        <f>-'CALCS Project Costs'!N$72/1000000</f>
        <v>0</v>
      </c>
      <c r="O55" s="160">
        <f>-'CALCS Project Costs'!O$72/1000000</f>
        <v>0</v>
      </c>
      <c r="P55" s="160">
        <f>-'CALCS Project Costs'!P$72/1000000</f>
        <v>10.860584349805798</v>
      </c>
      <c r="Q55" s="160">
        <f>-'CALCS Project Costs'!Q$72/1000000</f>
        <v>2.5616263273701329E-2</v>
      </c>
      <c r="R55" s="160">
        <f>-'CALCS Project Costs'!R$72/1000000</f>
        <v>4.2693772122835552E-2</v>
      </c>
      <c r="S55" s="160">
        <f>-'CALCS Project Costs'!S$72/1000000</f>
        <v>2.5616263273701329E-2</v>
      </c>
      <c r="T55" s="160">
        <f>-'CALCS Project Costs'!T$72/1000000</f>
        <v>4.2693772122835552E-2</v>
      </c>
      <c r="U55" s="160">
        <f>-'CALCS Project Costs'!U$72/1000000</f>
        <v>2.5616263273701329E-2</v>
      </c>
      <c r="V55" s="160">
        <f>-'CALCS Project Costs'!V$72/1000000</f>
        <v>4.2693772122835552E-2</v>
      </c>
      <c r="W55" s="160">
        <f>-'CALCS Project Costs'!W$72/1000000</f>
        <v>2.5616263273701329E-2</v>
      </c>
      <c r="X55" s="160">
        <f>-'CALCS Project Costs'!X$72/1000000</f>
        <v>0</v>
      </c>
      <c r="Y55" s="160">
        <f>-'CALCS Project Costs'!Y$72/1000000</f>
        <v>0</v>
      </c>
      <c r="Z55" s="160">
        <f>-'CALCS Project Costs'!Z$72/1000000</f>
        <v>0</v>
      </c>
      <c r="AA55" s="160">
        <f>-'CALCS Project Costs'!AA$72/1000000</f>
        <v>0</v>
      </c>
      <c r="AB55" s="160">
        <f>-'CALCS Project Costs'!AB$72/1000000</f>
        <v>0.17931384291590935</v>
      </c>
      <c r="AC55" s="160">
        <f>-'CALCS Project Costs'!AC$72/1000000</f>
        <v>0</v>
      </c>
      <c r="AD55" s="160">
        <f>-'CALCS Project Costs'!AD$72/1000000</f>
        <v>0</v>
      </c>
      <c r="AE55" s="160">
        <f>-'CALCS Project Costs'!AE$72/1000000</f>
        <v>0</v>
      </c>
      <c r="AF55" s="160">
        <f>-'CALCS Project Costs'!AF$72/1000000</f>
        <v>0</v>
      </c>
      <c r="AG55" s="160">
        <f>-'CALCS Project Costs'!AG$72/1000000</f>
        <v>-0.49665494335406113</v>
      </c>
      <c r="AH55" s="160">
        <f>-'CALCS Project Costs'!AH$72/1000000</f>
        <v>0</v>
      </c>
      <c r="AI55" s="160">
        <f>-'CALCS Project Costs'!AI$72/1000000</f>
        <v>0</v>
      </c>
      <c r="AJ55" s="160">
        <f>-'CALCS Project Costs'!AJ$72/1000000</f>
        <v>0</v>
      </c>
      <c r="AK55" s="160">
        <f>-'CALCS Project Costs'!AK$72/1000000</f>
        <v>0</v>
      </c>
      <c r="AL55" s="160">
        <f>-'CALCS Project Costs'!AL$72/1000000</f>
        <v>0</v>
      </c>
      <c r="AM55" s="160">
        <f>-'CALCS Project Costs'!AM$72/1000000</f>
        <v>0</v>
      </c>
      <c r="AN55" s="160">
        <f>-'CALCS Project Costs'!AN$72/1000000</f>
        <v>0</v>
      </c>
      <c r="AO55" s="160">
        <f>-'CALCS Project Costs'!AO$72/1000000</f>
        <v>0</v>
      </c>
      <c r="AP55" s="160">
        <f>-'CALCS Project Costs'!AP$72/1000000</f>
        <v>0</v>
      </c>
      <c r="AQ55" s="160">
        <f>-'CALCS Project Costs'!AQ$72/1000000</f>
        <v>0</v>
      </c>
      <c r="AR55" s="160">
        <f>-'CALCS Project Costs'!AR$72/1000000</f>
        <v>0</v>
      </c>
    </row>
    <row r="56" spans="1:44" ht="15.75" thickBot="1" x14ac:dyDescent="0.3">
      <c r="B56" s="149" t="s">
        <v>27</v>
      </c>
      <c r="C56" s="147"/>
      <c r="D56" s="163">
        <f t="shared" ref="D56:D58" si="16">SUM(F56:AR56)</f>
        <v>-203.61640259775757</v>
      </c>
      <c r="E56" s="163"/>
      <c r="F56" s="163">
        <f>SUM(F54:F55)</f>
        <v>0</v>
      </c>
      <c r="G56" s="163">
        <f t="shared" ref="G56:AR56" si="17">SUM(G54:G55)</f>
        <v>0</v>
      </c>
      <c r="H56" s="163">
        <f t="shared" si="17"/>
        <v>0</v>
      </c>
      <c r="I56" s="163">
        <f t="shared" si="17"/>
        <v>0</v>
      </c>
      <c r="J56" s="163">
        <f t="shared" si="17"/>
        <v>-2.8852451200612266</v>
      </c>
      <c r="K56" s="163">
        <f t="shared" si="17"/>
        <v>0</v>
      </c>
      <c r="L56" s="163">
        <f t="shared" si="17"/>
        <v>-11.271155840428587</v>
      </c>
      <c r="M56" s="163">
        <f t="shared" si="17"/>
        <v>-64.752221052967244</v>
      </c>
      <c r="N56" s="163">
        <f t="shared" si="17"/>
        <v>-72.864037756306004</v>
      </c>
      <c r="O56" s="163">
        <f t="shared" si="17"/>
        <v>-62.617532446825471</v>
      </c>
      <c r="P56" s="163">
        <f t="shared" si="17"/>
        <v>10.860584349805798</v>
      </c>
      <c r="Q56" s="163">
        <f t="shared" si="17"/>
        <v>2.5616263273701329E-2</v>
      </c>
      <c r="R56" s="163">
        <f t="shared" si="17"/>
        <v>4.2693772122835552E-2</v>
      </c>
      <c r="S56" s="163">
        <f t="shared" si="17"/>
        <v>2.5616263273701329E-2</v>
      </c>
      <c r="T56" s="163">
        <f t="shared" si="17"/>
        <v>4.2693772122835552E-2</v>
      </c>
      <c r="U56" s="163">
        <f t="shared" si="17"/>
        <v>2.5616263273701329E-2</v>
      </c>
      <c r="V56" s="163">
        <f t="shared" si="17"/>
        <v>4.2693772122835552E-2</v>
      </c>
      <c r="W56" s="163">
        <f t="shared" si="17"/>
        <v>2.5616263273701329E-2</v>
      </c>
      <c r="X56" s="163">
        <f t="shared" si="17"/>
        <v>0</v>
      </c>
      <c r="Y56" s="163">
        <f t="shared" si="17"/>
        <v>0</v>
      </c>
      <c r="Z56" s="163">
        <f t="shared" si="17"/>
        <v>0</v>
      </c>
      <c r="AA56" s="163">
        <f t="shared" si="17"/>
        <v>0</v>
      </c>
      <c r="AB56" s="163">
        <f t="shared" si="17"/>
        <v>0.17931384291590935</v>
      </c>
      <c r="AC56" s="163">
        <f t="shared" si="17"/>
        <v>0</v>
      </c>
      <c r="AD56" s="163">
        <f t="shared" si="17"/>
        <v>0</v>
      </c>
      <c r="AE56" s="163">
        <f t="shared" si="17"/>
        <v>0</v>
      </c>
      <c r="AF56" s="163">
        <f t="shared" si="17"/>
        <v>0</v>
      </c>
      <c r="AG56" s="163">
        <f t="shared" si="17"/>
        <v>-0.49665494335406113</v>
      </c>
      <c r="AH56" s="163">
        <f t="shared" si="17"/>
        <v>0</v>
      </c>
      <c r="AI56" s="163">
        <f t="shared" si="17"/>
        <v>0</v>
      </c>
      <c r="AJ56" s="163">
        <f t="shared" si="17"/>
        <v>0</v>
      </c>
      <c r="AK56" s="163">
        <f t="shared" si="17"/>
        <v>0</v>
      </c>
      <c r="AL56" s="163">
        <f t="shared" si="17"/>
        <v>0</v>
      </c>
      <c r="AM56" s="163">
        <f t="shared" si="17"/>
        <v>0</v>
      </c>
      <c r="AN56" s="163">
        <f t="shared" si="17"/>
        <v>0</v>
      </c>
      <c r="AO56" s="163">
        <f t="shared" si="17"/>
        <v>0</v>
      </c>
      <c r="AP56" s="163">
        <f t="shared" si="17"/>
        <v>0</v>
      </c>
      <c r="AQ56" s="163">
        <f t="shared" si="17"/>
        <v>0</v>
      </c>
      <c r="AR56" s="164">
        <f t="shared" si="17"/>
        <v>0</v>
      </c>
    </row>
    <row r="57" spans="1:44" ht="15.75" thickBot="1" x14ac:dyDescent="0.3">
      <c r="B57" s="2"/>
      <c r="C57" s="2"/>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c r="AP57" s="165"/>
      <c r="AQ57" s="165"/>
      <c r="AR57" s="165"/>
    </row>
    <row r="58" spans="1:44" ht="15.75" thickBot="1" x14ac:dyDescent="0.3">
      <c r="B58" s="146" t="s">
        <v>38</v>
      </c>
      <c r="C58" s="147"/>
      <c r="D58" s="163">
        <f t="shared" si="16"/>
        <v>1149.5532633562564</v>
      </c>
      <c r="E58" s="163"/>
      <c r="F58" s="163">
        <f t="shared" ref="F58" si="18">F51+F56</f>
        <v>0</v>
      </c>
      <c r="G58" s="163">
        <f>G51+G56</f>
        <v>0</v>
      </c>
      <c r="H58" s="163">
        <f t="shared" ref="H58:AR58" si="19">H51+H56</f>
        <v>0</v>
      </c>
      <c r="I58" s="163">
        <f t="shared" si="19"/>
        <v>0</v>
      </c>
      <c r="J58" s="163">
        <f t="shared" si="19"/>
        <v>-2.8852451200612266</v>
      </c>
      <c r="K58" s="163">
        <f t="shared" si="19"/>
        <v>0</v>
      </c>
      <c r="L58" s="163">
        <f t="shared" si="19"/>
        <v>-11.271155840428587</v>
      </c>
      <c r="M58" s="163">
        <f t="shared" si="19"/>
        <v>-64.752221052967244</v>
      </c>
      <c r="N58" s="163">
        <f t="shared" si="19"/>
        <v>-72.864037756306004</v>
      </c>
      <c r="O58" s="163">
        <f t="shared" si="19"/>
        <v>-62.617532446825471</v>
      </c>
      <c r="P58" s="163">
        <f t="shared" si="19"/>
        <v>19.694032646294531</v>
      </c>
      <c r="Q58" s="163">
        <f t="shared" si="19"/>
        <v>9.2346796091839281</v>
      </c>
      <c r="R58" s="163">
        <f t="shared" si="19"/>
        <v>9.6418683955654938</v>
      </c>
      <c r="S58" s="163">
        <f t="shared" si="19"/>
        <v>10.029989820304394</v>
      </c>
      <c r="T58" s="163">
        <f t="shared" si="19"/>
        <v>10.467782515574831</v>
      </c>
      <c r="U58" s="163">
        <f t="shared" si="19"/>
        <v>16.749401774863674</v>
      </c>
      <c r="V58" s="163">
        <f t="shared" si="19"/>
        <v>17.460235778588046</v>
      </c>
      <c r="W58" s="163">
        <f t="shared" si="19"/>
        <v>18.164320272824597</v>
      </c>
      <c r="X58" s="163">
        <f t="shared" si="19"/>
        <v>18.888458005108085</v>
      </c>
      <c r="Y58" s="163">
        <f t="shared" si="19"/>
        <v>19.667938770708449</v>
      </c>
      <c r="Z58" s="163">
        <f t="shared" si="19"/>
        <v>90.66232189260063</v>
      </c>
      <c r="AA58" s="163">
        <f t="shared" si="19"/>
        <v>94.376719962541245</v>
      </c>
      <c r="AB58" s="163">
        <f t="shared" si="19"/>
        <v>98.421552398482461</v>
      </c>
      <c r="AC58" s="163">
        <f t="shared" si="19"/>
        <v>102.2649591196603</v>
      </c>
      <c r="AD58" s="163">
        <f t="shared" si="19"/>
        <v>106.4512652446451</v>
      </c>
      <c r="AE58" s="163">
        <f t="shared" si="19"/>
        <v>110.80804526733287</v>
      </c>
      <c r="AF58" s="163">
        <f t="shared" si="19"/>
        <v>115.3421467772442</v>
      </c>
      <c r="AG58" s="163">
        <f t="shared" si="19"/>
        <v>119.56406387022358</v>
      </c>
      <c r="AH58" s="163">
        <f t="shared" si="19"/>
        <v>124.971497244072</v>
      </c>
      <c r="AI58" s="163">
        <f t="shared" si="19"/>
        <v>251.08217620702638</v>
      </c>
      <c r="AJ58" s="163">
        <f t="shared" si="19"/>
        <v>0</v>
      </c>
      <c r="AK58" s="163">
        <f t="shared" si="19"/>
        <v>0</v>
      </c>
      <c r="AL58" s="163">
        <f t="shared" si="19"/>
        <v>0</v>
      </c>
      <c r="AM58" s="163">
        <f t="shared" si="19"/>
        <v>0</v>
      </c>
      <c r="AN58" s="163">
        <f t="shared" si="19"/>
        <v>0</v>
      </c>
      <c r="AO58" s="163">
        <f t="shared" si="19"/>
        <v>0</v>
      </c>
      <c r="AP58" s="163">
        <f t="shared" si="19"/>
        <v>0</v>
      </c>
      <c r="AQ58" s="163">
        <f t="shared" si="19"/>
        <v>0</v>
      </c>
      <c r="AR58" s="163">
        <f t="shared" si="19"/>
        <v>0</v>
      </c>
    </row>
    <row r="60" spans="1:44" x14ac:dyDescent="0.2">
      <c r="A60" s="64"/>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row>
    <row r="61" spans="1:44" ht="15.75" thickBot="1" x14ac:dyDescent="0.3">
      <c r="A61" s="2" t="s">
        <v>39</v>
      </c>
    </row>
    <row r="62" spans="1:44" ht="18" thickBot="1" x14ac:dyDescent="0.35">
      <c r="B62" s="47" t="s">
        <v>33</v>
      </c>
      <c r="C62" s="48"/>
      <c r="D62" s="48" t="s">
        <v>34</v>
      </c>
      <c r="E62" s="48"/>
      <c r="F62" s="72">
        <f t="shared" ref="F62:AR62" si="20">F41</f>
        <v>2018</v>
      </c>
      <c r="G62" s="72">
        <f t="shared" si="20"/>
        <v>2019</v>
      </c>
      <c r="H62" s="72">
        <f t="shared" si="20"/>
        <v>2020</v>
      </c>
      <c r="I62" s="72">
        <f t="shared" si="20"/>
        <v>2021</v>
      </c>
      <c r="J62" s="72">
        <f t="shared" si="20"/>
        <v>2022</v>
      </c>
      <c r="K62" s="72">
        <f t="shared" si="20"/>
        <v>2023</v>
      </c>
      <c r="L62" s="72">
        <f t="shared" si="20"/>
        <v>2024</v>
      </c>
      <c r="M62" s="72">
        <f t="shared" si="20"/>
        <v>2025</v>
      </c>
      <c r="N62" s="72">
        <f t="shared" si="20"/>
        <v>2026</v>
      </c>
      <c r="O62" s="72">
        <f t="shared" si="20"/>
        <v>2027</v>
      </c>
      <c r="P62" s="72">
        <f t="shared" si="20"/>
        <v>2028</v>
      </c>
      <c r="Q62" s="72">
        <f t="shared" si="20"/>
        <v>2029</v>
      </c>
      <c r="R62" s="72">
        <f t="shared" si="20"/>
        <v>2030</v>
      </c>
      <c r="S62" s="72">
        <f t="shared" si="20"/>
        <v>2031</v>
      </c>
      <c r="T62" s="72">
        <f t="shared" si="20"/>
        <v>2032</v>
      </c>
      <c r="U62" s="72">
        <f t="shared" si="20"/>
        <v>2033</v>
      </c>
      <c r="V62" s="72">
        <f t="shared" si="20"/>
        <v>2034</v>
      </c>
      <c r="W62" s="72">
        <f t="shared" si="20"/>
        <v>2035</v>
      </c>
      <c r="X62" s="72">
        <f t="shared" si="20"/>
        <v>2036</v>
      </c>
      <c r="Y62" s="72">
        <f t="shared" si="20"/>
        <v>2037</v>
      </c>
      <c r="Z62" s="72">
        <f t="shared" si="20"/>
        <v>2038</v>
      </c>
      <c r="AA62" s="72">
        <f t="shared" si="20"/>
        <v>2039</v>
      </c>
      <c r="AB62" s="72">
        <f t="shared" si="20"/>
        <v>2040</v>
      </c>
      <c r="AC62" s="72">
        <f t="shared" si="20"/>
        <v>2041</v>
      </c>
      <c r="AD62" s="72">
        <f t="shared" si="20"/>
        <v>2042</v>
      </c>
      <c r="AE62" s="72">
        <f t="shared" si="20"/>
        <v>2043</v>
      </c>
      <c r="AF62" s="72">
        <f t="shared" si="20"/>
        <v>2044</v>
      </c>
      <c r="AG62" s="72">
        <f t="shared" si="20"/>
        <v>2045</v>
      </c>
      <c r="AH62" s="72">
        <f t="shared" si="20"/>
        <v>2046</v>
      </c>
      <c r="AI62" s="72">
        <f t="shared" si="20"/>
        <v>2047</v>
      </c>
      <c r="AJ62" s="72">
        <f t="shared" si="20"/>
        <v>2048</v>
      </c>
      <c r="AK62" s="72">
        <f t="shared" si="20"/>
        <v>2049</v>
      </c>
      <c r="AL62" s="72">
        <f t="shared" si="20"/>
        <v>2050</v>
      </c>
      <c r="AM62" s="72">
        <f t="shared" si="20"/>
        <v>2051</v>
      </c>
      <c r="AN62" s="72">
        <f t="shared" si="20"/>
        <v>2052</v>
      </c>
      <c r="AO62" s="72">
        <f t="shared" si="20"/>
        <v>2053</v>
      </c>
      <c r="AP62" s="72">
        <f t="shared" si="20"/>
        <v>2054</v>
      </c>
      <c r="AQ62" s="72">
        <f t="shared" si="20"/>
        <v>2055</v>
      </c>
      <c r="AR62" s="72">
        <f t="shared" si="20"/>
        <v>2056</v>
      </c>
    </row>
    <row r="63" spans="1:44" x14ac:dyDescent="0.2">
      <c r="B63" s="50" t="s">
        <v>11</v>
      </c>
      <c r="D63" s="160">
        <f>SUM(F63:AR63)</f>
        <v>153.84793889085608</v>
      </c>
      <c r="E63" s="160"/>
      <c r="F63" s="160">
        <f>'CALCS Safety'!F$102/1000000</f>
        <v>0</v>
      </c>
      <c r="G63" s="160">
        <f>'CALCS Safety'!G$102/1000000</f>
        <v>0</v>
      </c>
      <c r="H63" s="160">
        <f>'CALCS Safety'!H$102/1000000</f>
        <v>0</v>
      </c>
      <c r="I63" s="160">
        <f>'CALCS Safety'!I$102/1000000</f>
        <v>0</v>
      </c>
      <c r="J63" s="160">
        <f>'CALCS Safety'!J$102/1000000</f>
        <v>0</v>
      </c>
      <c r="K63" s="160">
        <f>'CALCS Safety'!K$102/1000000</f>
        <v>0</v>
      </c>
      <c r="L63" s="160">
        <f>'CALCS Safety'!L$102/1000000</f>
        <v>0</v>
      </c>
      <c r="M63" s="160">
        <f>'CALCS Safety'!M$102/1000000</f>
        <v>0</v>
      </c>
      <c r="N63" s="160">
        <f>'CALCS Safety'!N$102/1000000</f>
        <v>0</v>
      </c>
      <c r="O63" s="160">
        <f>'CALCS Safety'!O$102/1000000</f>
        <v>0</v>
      </c>
      <c r="P63" s="160">
        <f>'CALCS Safety'!P$102/1000000</f>
        <v>6.946299461241753</v>
      </c>
      <c r="Q63" s="160">
        <f>'CALCS Safety'!Q$102/1000000</f>
        <v>7.019934258200915</v>
      </c>
      <c r="R63" s="160">
        <f>'CALCS Safety'!R$102/1000000</f>
        <v>7.0943496266504784</v>
      </c>
      <c r="S63" s="160">
        <f>'CALCS Safety'!S$102/1000000</f>
        <v>7.1695538411002726</v>
      </c>
      <c r="T63" s="160">
        <f>'CALCS Safety'!T$102/1000000</f>
        <v>7.2455552637747358</v>
      </c>
      <c r="U63" s="160">
        <f>'CALCS Safety'!U$102/1000000</f>
        <v>7.3223623455427091</v>
      </c>
      <c r="V63" s="160">
        <f>'CALCS Safety'!V$102/1000000</f>
        <v>7.3999836268571597</v>
      </c>
      <c r="W63" s="160">
        <f>'CALCS Safety'!W$102/1000000</f>
        <v>7.4784277387047871</v>
      </c>
      <c r="X63" s="160">
        <f>'CALCS Safety'!X$102/1000000</f>
        <v>7.5577034035657498</v>
      </c>
      <c r="Y63" s="160">
        <f>'CALCS Safety'!Y$102/1000000</f>
        <v>7.6378194363835554</v>
      </c>
      <c r="Z63" s="160">
        <f>'CALCS Safety'!Z$102/1000000</f>
        <v>7.7187847455452072</v>
      </c>
      <c r="AA63" s="160">
        <f>'CALCS Safety'!AA$102/1000000</f>
        <v>7.8006083338717724</v>
      </c>
      <c r="AB63" s="160">
        <f>'CALCS Safety'!AB$102/1000000</f>
        <v>7.8832992996194458</v>
      </c>
      <c r="AC63" s="160">
        <f>'CALCS Safety'!AC$102/1000000</f>
        <v>7.9668668374911888</v>
      </c>
      <c r="AD63" s="160">
        <f>'CALCS Safety'!AD$102/1000000</f>
        <v>8.0513202396591534</v>
      </c>
      <c r="AE63" s="160">
        <f>'CALCS Safety'!AE$102/1000000</f>
        <v>8.1366688967978877</v>
      </c>
      <c r="AF63" s="160">
        <f>'CALCS Safety'!AF$102/1000000</f>
        <v>8.2229222991285376</v>
      </c>
      <c r="AG63" s="160">
        <f>'CALCS Safety'!AG$102/1000000</f>
        <v>8.3100900374740796</v>
      </c>
      <c r="AH63" s="160">
        <f>'CALCS Safety'!AH$102/1000000</f>
        <v>8.3981818043257768</v>
      </c>
      <c r="AI63" s="160">
        <f>'CALCS Safety'!AI$102/1000000</f>
        <v>8.4872073949209046</v>
      </c>
      <c r="AJ63" s="160">
        <f>'CALCS Safety'!AJ$102/1000000</f>
        <v>0</v>
      </c>
      <c r="AK63" s="160">
        <f>'CALCS Safety'!AK$102/1000000</f>
        <v>0</v>
      </c>
      <c r="AL63" s="160">
        <f>'CALCS Safety'!AL$102/1000000</f>
        <v>0</v>
      </c>
      <c r="AM63" s="160">
        <f>'CALCS Safety'!AM$102/1000000</f>
        <v>0</v>
      </c>
      <c r="AN63" s="160">
        <f>'CALCS Safety'!AN$102/1000000</f>
        <v>0</v>
      </c>
      <c r="AO63" s="160">
        <f>'CALCS Safety'!AO$102/1000000</f>
        <v>0</v>
      </c>
      <c r="AP63" s="160">
        <f>'CALCS Safety'!AP$102/1000000</f>
        <v>0</v>
      </c>
      <c r="AQ63" s="160">
        <f>'CALCS Safety'!AQ$102/1000000</f>
        <v>0</v>
      </c>
      <c r="AR63" s="160">
        <f>'CALCS Safety'!AR$102/1000000</f>
        <v>0</v>
      </c>
    </row>
    <row r="64" spans="1:44" x14ac:dyDescent="0.2">
      <c r="B64" s="45" t="s">
        <v>12</v>
      </c>
      <c r="D64" s="160">
        <f>SUM(F64:AR64)</f>
        <v>4.9861333610118042</v>
      </c>
      <c r="E64" s="160"/>
      <c r="F64" s="160">
        <f>'CALCS Time Savings'!F$116/1000000</f>
        <v>0</v>
      </c>
      <c r="G64" s="160">
        <f>'CALCS Time Savings'!G$116/1000000</f>
        <v>0</v>
      </c>
      <c r="H64" s="160">
        <f>'CALCS Time Savings'!H$116/1000000</f>
        <v>0</v>
      </c>
      <c r="I64" s="160">
        <f>'CALCS Time Savings'!I$116/1000000</f>
        <v>0</v>
      </c>
      <c r="J64" s="160">
        <f>'CALCS Time Savings'!J$116/1000000</f>
        <v>0</v>
      </c>
      <c r="K64" s="160">
        <f>'CALCS Time Savings'!K$116/1000000</f>
        <v>0</v>
      </c>
      <c r="L64" s="160">
        <f>'CALCS Time Savings'!L$116/1000000</f>
        <v>0</v>
      </c>
      <c r="M64" s="160">
        <f>'CALCS Time Savings'!M$116/1000000</f>
        <v>0</v>
      </c>
      <c r="N64" s="160">
        <f>'CALCS Time Savings'!N$116/1000000</f>
        <v>0</v>
      </c>
      <c r="O64" s="160">
        <f>'CALCS Time Savings'!O$116/1000000</f>
        <v>0</v>
      </c>
      <c r="P64" s="160">
        <f>'CALCS Time Savings'!P$116/1000000</f>
        <v>0.16838321323484029</v>
      </c>
      <c r="Q64" s="160">
        <f>'CALCS Time Savings'!Q$116/1000000</f>
        <v>0.1813635515822711</v>
      </c>
      <c r="R64" s="160">
        <f>'CALCS Time Savings'!R$116/1000000</f>
        <v>0.19344490812012269</v>
      </c>
      <c r="S64" s="160">
        <f>'CALCS Time Savings'!S$116/1000000</f>
        <v>0.20466863902835505</v>
      </c>
      <c r="T64" s="160">
        <f>'CALCS Time Savings'!T$116/1000000</f>
        <v>0.21507445402798447</v>
      </c>
      <c r="U64" s="160">
        <f>'CALCS Time Savings'!U$116/1000000</f>
        <v>0.2247004772073643</v>
      </c>
      <c r="V64" s="160">
        <f>'CALCS Time Savings'!V$116/1000000</f>
        <v>0.23358330570193792</v>
      </c>
      <c r="W64" s="160">
        <f>'CALCS Time Savings'!W$116/1000000</f>
        <v>0.24175806630090305</v>
      </c>
      <c r="X64" s="160">
        <f>'CALCS Time Savings'!X$116/1000000</f>
        <v>0.24925847005176946</v>
      </c>
      <c r="Y64" s="160">
        <f>'CALCS Time Savings'!Y$116/1000000</f>
        <v>0.25611686493141872</v>
      </c>
      <c r="Z64" s="160">
        <f>'CALCS Time Savings'!Z$116/1000000</f>
        <v>0.26236428664996975</v>
      </c>
      <c r="AA64" s="160">
        <f>'CALCS Time Savings'!AA$116/1000000</f>
        <v>0.26803050765154018</v>
      </c>
      <c r="AB64" s="160">
        <f>'CALCS Time Savings'!AB$116/1000000</f>
        <v>0.27314408437383636</v>
      </c>
      <c r="AC64" s="160">
        <f>'CALCS Time Savings'!AC$116/1000000</f>
        <v>0.27773240282643324</v>
      </c>
      <c r="AD64" s="160">
        <f>'CALCS Time Savings'!AD$116/1000000</f>
        <v>0.28182172254558929</v>
      </c>
      <c r="AE64" s="160">
        <f>'CALCS Time Savings'!AE$116/1000000</f>
        <v>0.28543721898150726</v>
      </c>
      <c r="AF64" s="160">
        <f>'CALCS Time Savings'!AF$116/1000000</f>
        <v>0.28860302437205693</v>
      </c>
      <c r="AG64" s="160">
        <f>'CALCS Time Savings'!AG$116/1000000</f>
        <v>0.29134226715517986</v>
      </c>
      <c r="AH64" s="160">
        <f>'CALCS Time Savings'!AH$116/1000000</f>
        <v>0.29367710997041546</v>
      </c>
      <c r="AI64" s="160">
        <f>'CALCS Time Savings'!AI$116/1000000</f>
        <v>0.29562878629830858</v>
      </c>
      <c r="AJ64" s="160">
        <f>'CALCS Time Savings'!AJ$116/1000000</f>
        <v>0</v>
      </c>
      <c r="AK64" s="160">
        <f>'CALCS Time Savings'!AK$116/1000000</f>
        <v>0</v>
      </c>
      <c r="AL64" s="160">
        <f>'CALCS Time Savings'!AL$116/1000000</f>
        <v>0</v>
      </c>
      <c r="AM64" s="160">
        <f>'CALCS Time Savings'!AM$116/1000000</f>
        <v>0</v>
      </c>
      <c r="AN64" s="160">
        <f>'CALCS Time Savings'!AN$116/1000000</f>
        <v>0</v>
      </c>
      <c r="AO64" s="160">
        <f>'CALCS Time Savings'!AO$116/1000000</f>
        <v>0</v>
      </c>
      <c r="AP64" s="160">
        <f>'CALCS Time Savings'!AP$116/1000000</f>
        <v>0</v>
      </c>
      <c r="AQ64" s="160">
        <f>'CALCS Time Savings'!AQ$116/1000000</f>
        <v>0</v>
      </c>
      <c r="AR64" s="160">
        <f>'CALCS Time Savings'!AR$116/1000000</f>
        <v>0</v>
      </c>
    </row>
    <row r="65" spans="2:44" x14ac:dyDescent="0.2">
      <c r="B65" s="45" t="s">
        <v>13</v>
      </c>
      <c r="D65" s="160">
        <f>SUM(F65:AR65)</f>
        <v>0</v>
      </c>
      <c r="E65" s="160"/>
      <c r="F65" s="160">
        <f>'CALCS Time Savings'!F$111/1000000</f>
        <v>0</v>
      </c>
      <c r="G65" s="160">
        <f>'CALCS Time Savings'!G$111/1000000</f>
        <v>0</v>
      </c>
      <c r="H65" s="160">
        <f>'CALCS Time Savings'!H$111/1000000</f>
        <v>0</v>
      </c>
      <c r="I65" s="160">
        <f>'CALCS Time Savings'!I$111/1000000</f>
        <v>0</v>
      </c>
      <c r="J65" s="160">
        <f>'CALCS Time Savings'!J$111/1000000</f>
        <v>0</v>
      </c>
      <c r="K65" s="160">
        <f>'CALCS Time Savings'!K$111/1000000</f>
        <v>0</v>
      </c>
      <c r="L65" s="160">
        <f>'CALCS Time Savings'!L$111/1000000</f>
        <v>0</v>
      </c>
      <c r="M65" s="160">
        <f>'CALCS Time Savings'!M$111/1000000</f>
        <v>0</v>
      </c>
      <c r="N65" s="160">
        <f>'CALCS Time Savings'!N$111/1000000</f>
        <v>0</v>
      </c>
      <c r="O65" s="160">
        <f>'CALCS Time Savings'!O$111/1000000</f>
        <v>0</v>
      </c>
      <c r="P65" s="160">
        <f>'CALCS Time Savings'!P$111/1000000</f>
        <v>0</v>
      </c>
      <c r="Q65" s="160">
        <f>'CALCS Time Savings'!Q$111/1000000</f>
        <v>0</v>
      </c>
      <c r="R65" s="160">
        <f>'CALCS Time Savings'!R$111/1000000</f>
        <v>0</v>
      </c>
      <c r="S65" s="160">
        <f>'CALCS Time Savings'!S$111/1000000</f>
        <v>0</v>
      </c>
      <c r="T65" s="160">
        <f>'CALCS Time Savings'!T$111/1000000</f>
        <v>0</v>
      </c>
      <c r="U65" s="160">
        <f>'CALCS Time Savings'!U$111/1000000</f>
        <v>0</v>
      </c>
      <c r="V65" s="160">
        <f>'CALCS Time Savings'!V$111/1000000</f>
        <v>0</v>
      </c>
      <c r="W65" s="160">
        <f>'CALCS Time Savings'!W$111/1000000</f>
        <v>0</v>
      </c>
      <c r="X65" s="160">
        <f>'CALCS Time Savings'!X$111/1000000</f>
        <v>0</v>
      </c>
      <c r="Y65" s="160">
        <f>'CALCS Time Savings'!Y$111/1000000</f>
        <v>0</v>
      </c>
      <c r="Z65" s="160">
        <f>'CALCS Time Savings'!Z$111/1000000</f>
        <v>0</v>
      </c>
      <c r="AA65" s="160">
        <f>'CALCS Time Savings'!AA$111/1000000</f>
        <v>0</v>
      </c>
      <c r="AB65" s="160">
        <f>'CALCS Time Savings'!AB$111/1000000</f>
        <v>0</v>
      </c>
      <c r="AC65" s="160">
        <f>'CALCS Time Savings'!AC$111/1000000</f>
        <v>0</v>
      </c>
      <c r="AD65" s="160">
        <f>'CALCS Time Savings'!AD$111/1000000</f>
        <v>0</v>
      </c>
      <c r="AE65" s="160">
        <f>'CALCS Time Savings'!AE$111/1000000</f>
        <v>0</v>
      </c>
      <c r="AF65" s="160">
        <f>'CALCS Time Savings'!AF$111/1000000</f>
        <v>0</v>
      </c>
      <c r="AG65" s="160">
        <f>'CALCS Time Savings'!AG$111/1000000</f>
        <v>0</v>
      </c>
      <c r="AH65" s="160">
        <f>'CALCS Time Savings'!AH$111/1000000</f>
        <v>0</v>
      </c>
      <c r="AI65" s="160">
        <f>'CALCS Time Savings'!AI$111/1000000</f>
        <v>0</v>
      </c>
      <c r="AJ65" s="160">
        <f>'CALCS Time Savings'!AJ$111/1000000</f>
        <v>0</v>
      </c>
      <c r="AK65" s="160">
        <f>'CALCS Time Savings'!AK$111/1000000</f>
        <v>0</v>
      </c>
      <c r="AL65" s="160">
        <f>'CALCS Time Savings'!AL$111/1000000</f>
        <v>0</v>
      </c>
      <c r="AM65" s="160">
        <f>'CALCS Time Savings'!AM$111/1000000</f>
        <v>0</v>
      </c>
      <c r="AN65" s="160">
        <f>'CALCS Time Savings'!AN$111/1000000</f>
        <v>0</v>
      </c>
      <c r="AO65" s="160">
        <f>'CALCS Time Savings'!AO$111/1000000</f>
        <v>0</v>
      </c>
      <c r="AP65" s="160">
        <f>'CALCS Time Savings'!AP$111/1000000</f>
        <v>0</v>
      </c>
      <c r="AQ65" s="160">
        <f>'CALCS Time Savings'!AQ$111/1000000</f>
        <v>0</v>
      </c>
      <c r="AR65" s="160">
        <f>'CALCS Time Savings'!AR$111/1000000</f>
        <v>0</v>
      </c>
    </row>
    <row r="66" spans="2:44" x14ac:dyDescent="0.2">
      <c r="B66" s="45" t="s">
        <v>14</v>
      </c>
      <c r="D66" s="160">
        <f t="shared" ref="D66:D72" si="21">SUM(F66:AR66)</f>
        <v>0.12661323866589724</v>
      </c>
      <c r="E66" s="160"/>
      <c r="F66" s="160">
        <f>'CALCS Veh Op Costs'!F$77/1000000</f>
        <v>0</v>
      </c>
      <c r="G66" s="160">
        <f>'CALCS Veh Op Costs'!G$77/1000000</f>
        <v>0</v>
      </c>
      <c r="H66" s="160">
        <f>'CALCS Veh Op Costs'!H$77/1000000</f>
        <v>0</v>
      </c>
      <c r="I66" s="160">
        <f>'CALCS Veh Op Costs'!I$77/1000000</f>
        <v>0</v>
      </c>
      <c r="J66" s="160">
        <f>'CALCS Veh Op Costs'!J$77/1000000</f>
        <v>0</v>
      </c>
      <c r="K66" s="160">
        <f>'CALCS Veh Op Costs'!K$77/1000000</f>
        <v>0</v>
      </c>
      <c r="L66" s="160">
        <f>'CALCS Veh Op Costs'!L$77/1000000</f>
        <v>0</v>
      </c>
      <c r="M66" s="160">
        <f>'CALCS Veh Op Costs'!M$77/1000000</f>
        <v>0</v>
      </c>
      <c r="N66" s="160">
        <f>'CALCS Veh Op Costs'!N$77/1000000</f>
        <v>0</v>
      </c>
      <c r="O66" s="160">
        <f>'CALCS Veh Op Costs'!O$77/1000000</f>
        <v>0</v>
      </c>
      <c r="P66" s="160">
        <f>'CALCS Veh Op Costs'!P$77/1000000</f>
        <v>3.3349771836087313E-3</v>
      </c>
      <c r="Q66" s="160">
        <f>'CALCS Veh Op Costs'!Q$77/1000000</f>
        <v>3.7286678632788271E-3</v>
      </c>
      <c r="R66" s="160">
        <f>'CALCS Veh Op Costs'!R$77/1000000</f>
        <v>4.1591950506307141E-3</v>
      </c>
      <c r="S66" s="160">
        <f>'CALCS Veh Op Costs'!S$77/1000000</f>
        <v>4.6283116428630098E-3</v>
      </c>
      <c r="T66" s="160">
        <f>'CALCS Veh Op Costs'!T$77/1000000</f>
        <v>4.9924900261935556E-3</v>
      </c>
      <c r="U66" s="160">
        <f>'CALCS Veh Op Costs'!U$77/1000000</f>
        <v>5.3294454921003218E-3</v>
      </c>
      <c r="V66" s="160">
        <f>'CALCS Veh Op Costs'!V$77/1000000</f>
        <v>5.6490768204893529E-3</v>
      </c>
      <c r="W66" s="160">
        <f>'CALCS Veh Op Costs'!W$77/1000000</f>
        <v>5.9293153342540256E-3</v>
      </c>
      <c r="X66" s="160">
        <f>'CALCS Veh Op Costs'!X$77/1000000</f>
        <v>6.2136174092056011E-3</v>
      </c>
      <c r="Y66" s="160">
        <f>'CALCS Veh Op Costs'!Y$77/1000000</f>
        <v>6.4801961710519778E-3</v>
      </c>
      <c r="Z66" s="160">
        <f>'CALCS Veh Op Costs'!Z$77/1000000</f>
        <v>6.7562425344234204E-3</v>
      </c>
      <c r="AA66" s="160">
        <f>'CALCS Veh Op Costs'!AA$77/1000000</f>
        <v>6.9520705818810237E-3</v>
      </c>
      <c r="AB66" s="160">
        <f>'CALCS Veh Op Costs'!AB$77/1000000</f>
        <v>7.1814244624268152E-3</v>
      </c>
      <c r="AC66" s="160">
        <f>'CALCS Veh Op Costs'!AC$77/1000000</f>
        <v>7.3859442296216812E-3</v>
      </c>
      <c r="AD66" s="160">
        <f>'CALCS Veh Op Costs'!AD$77/1000000</f>
        <v>7.5409229659192962E-3</v>
      </c>
      <c r="AE66" s="160">
        <f>'CALCS Veh Op Costs'!AE$77/1000000</f>
        <v>7.7501387855087103E-3</v>
      </c>
      <c r="AF66" s="160">
        <f>'CALCS Veh Op Costs'!AF$77/1000000</f>
        <v>7.9462006962526723E-3</v>
      </c>
      <c r="AG66" s="160">
        <f>'CALCS Veh Op Costs'!AG$77/1000000</f>
        <v>8.077262852986369E-3</v>
      </c>
      <c r="AH66" s="160">
        <f>'CALCS Veh Op Costs'!AH$77/1000000</f>
        <v>8.2358316880960115E-3</v>
      </c>
      <c r="AI66" s="160">
        <f>'CALCS Veh Op Costs'!AI$77/1000000</f>
        <v>8.3419068751051598E-3</v>
      </c>
      <c r="AJ66" s="160">
        <f>'CALCS Veh Op Costs'!AJ$77/1000000</f>
        <v>0</v>
      </c>
      <c r="AK66" s="160">
        <f>'CALCS Veh Op Costs'!AK$77/1000000</f>
        <v>0</v>
      </c>
      <c r="AL66" s="160">
        <f>'CALCS Veh Op Costs'!AL$77/1000000</f>
        <v>0</v>
      </c>
      <c r="AM66" s="160">
        <f>'CALCS Veh Op Costs'!AM$77/1000000</f>
        <v>0</v>
      </c>
      <c r="AN66" s="160">
        <f>'CALCS Veh Op Costs'!AN$77/1000000</f>
        <v>0</v>
      </c>
      <c r="AO66" s="160">
        <f>'CALCS Veh Op Costs'!AO$77/1000000</f>
        <v>0</v>
      </c>
      <c r="AP66" s="160">
        <f>'CALCS Veh Op Costs'!AP$77/1000000</f>
        <v>0</v>
      </c>
      <c r="AQ66" s="160">
        <f>'CALCS Veh Op Costs'!AQ$77/1000000</f>
        <v>0</v>
      </c>
      <c r="AR66" s="160">
        <f>'CALCS Veh Op Costs'!AR$77/1000000</f>
        <v>0</v>
      </c>
    </row>
    <row r="67" spans="2:44" x14ac:dyDescent="0.2">
      <c r="B67" s="45" t="s">
        <v>35</v>
      </c>
      <c r="D67" s="160">
        <f t="shared" si="21"/>
        <v>9.8448391827703121E-3</v>
      </c>
      <c r="E67" s="160"/>
      <c r="F67" s="160">
        <f>'CALCS Emissions'!F$99/1000000</f>
        <v>0</v>
      </c>
      <c r="G67" s="160">
        <f>'CALCS Emissions'!G$99/1000000</f>
        <v>0</v>
      </c>
      <c r="H67" s="160">
        <f>'CALCS Emissions'!H$99/1000000</f>
        <v>0</v>
      </c>
      <c r="I67" s="160">
        <f>'CALCS Emissions'!I$99/1000000</f>
        <v>0</v>
      </c>
      <c r="J67" s="160">
        <f>'CALCS Emissions'!J$99/1000000</f>
        <v>0</v>
      </c>
      <c r="K67" s="160">
        <f>'CALCS Emissions'!K$99/1000000</f>
        <v>0</v>
      </c>
      <c r="L67" s="160">
        <f>'CALCS Emissions'!L$99/1000000</f>
        <v>0</v>
      </c>
      <c r="M67" s="160">
        <f>'CALCS Emissions'!M$99/1000000</f>
        <v>0</v>
      </c>
      <c r="N67" s="160">
        <f>'CALCS Emissions'!N$99/1000000</f>
        <v>0</v>
      </c>
      <c r="O67" s="160">
        <f>'CALCS Emissions'!O$99/1000000</f>
        <v>0</v>
      </c>
      <c r="P67" s="160">
        <f>'CALCS Emissions'!P$99/1000000</f>
        <v>3.0850790277218147E-4</v>
      </c>
      <c r="Q67" s="160">
        <f>'CALCS Emissions'!Q$99/1000000</f>
        <v>3.4203060002795826E-4</v>
      </c>
      <c r="R67" s="160">
        <f>'CALCS Emissions'!R$99/1000000</f>
        <v>3.7303127695199119E-4</v>
      </c>
      <c r="S67" s="160">
        <f>'CALCS Emissions'!S$99/1000000</f>
        <v>3.9676327869873446E-4</v>
      </c>
      <c r="T67" s="160">
        <f>'CALCS Emissions'!T$99/1000000</f>
        <v>4.188211094804464E-4</v>
      </c>
      <c r="U67" s="160">
        <f>'CALCS Emissions'!U$99/1000000</f>
        <v>4.3928144075905883E-4</v>
      </c>
      <c r="V67" s="160">
        <f>'CALCS Emissions'!V$99/1000000</f>
        <v>4.5821791893860253E-4</v>
      </c>
      <c r="W67" s="160">
        <f>'CALCS Emissions'!W$99/1000000</f>
        <v>4.7570127592786587E-4</v>
      </c>
      <c r="X67" s="160">
        <f>'CALCS Emissions'!X$99/1000000</f>
        <v>4.9197361061935731E-4</v>
      </c>
      <c r="Y67" s="160">
        <f>'CALCS Emissions'!Y$99/1000000</f>
        <v>5.0675738662579425E-4</v>
      </c>
      <c r="Z67" s="160">
        <f>'CALCS Emissions'!Z$99/1000000</f>
        <v>5.2028332514049425E-4</v>
      </c>
      <c r="AA67" s="160">
        <f>'CALCS Emissions'!AA$99/1000000</f>
        <v>5.32611553361731E-4</v>
      </c>
      <c r="AB67" s="160">
        <f>'CALCS Emissions'!AB$99/1000000</f>
        <v>5.4379978057285134E-4</v>
      </c>
      <c r="AC67" s="160">
        <f>'CALCS Emissions'!AC$99/1000000</f>
        <v>5.5410101916851463E-4</v>
      </c>
      <c r="AD67" s="160">
        <f>'CALCS Emissions'!AD$99/1000000</f>
        <v>5.6317658915777788E-4</v>
      </c>
      <c r="AE67" s="160">
        <f>'CALCS Emissions'!AE$99/1000000</f>
        <v>5.7127128786838748E-4</v>
      </c>
      <c r="AF67" s="160">
        <f>'CALCS Emissions'!AF$99/1000000</f>
        <v>5.784340339075524E-4</v>
      </c>
      <c r="AG67" s="160">
        <f>'CALCS Emissions'!AG$99/1000000</f>
        <v>5.8471174352056469E-4</v>
      </c>
      <c r="AH67" s="160">
        <f>'CALCS Emissions'!AH$99/1000000</f>
        <v>5.9036076057909835E-4</v>
      </c>
      <c r="AI67" s="160">
        <f>'CALCS Emissions'!AI$99/1000000</f>
        <v>5.9500328869134978E-4</v>
      </c>
      <c r="AJ67" s="160">
        <f>'CALCS Emissions'!AJ$99/1000000</f>
        <v>0</v>
      </c>
      <c r="AK67" s="160">
        <f>'CALCS Emissions'!AK$99/1000000</f>
        <v>0</v>
      </c>
      <c r="AL67" s="160">
        <f>'CALCS Emissions'!AL$99/1000000</f>
        <v>0</v>
      </c>
      <c r="AM67" s="160">
        <f>'CALCS Emissions'!AM$99/1000000</f>
        <v>0</v>
      </c>
      <c r="AN67" s="160">
        <f>'CALCS Emissions'!AN$99/1000000</f>
        <v>0</v>
      </c>
      <c r="AO67" s="160">
        <f>'CALCS Emissions'!AO$99/1000000</f>
        <v>0</v>
      </c>
      <c r="AP67" s="160">
        <f>'CALCS Emissions'!AP$99/1000000</f>
        <v>0</v>
      </c>
      <c r="AQ67" s="160">
        <f>'CALCS Emissions'!AQ$99/1000000</f>
        <v>0</v>
      </c>
      <c r="AR67" s="160">
        <f>'CALCS Emissions'!AR$99/1000000</f>
        <v>0</v>
      </c>
    </row>
    <row r="68" spans="2:44" x14ac:dyDescent="0.2">
      <c r="B68" s="45" t="s">
        <v>36</v>
      </c>
      <c r="D68" s="160">
        <f t="shared" si="21"/>
        <v>0</v>
      </c>
      <c r="E68" s="160"/>
      <c r="F68" s="160">
        <f>'CALCS Pedestrian'!F$59/1000000</f>
        <v>0</v>
      </c>
      <c r="G68" s="160">
        <f>'CALCS Pedestrian'!G$59/1000000</f>
        <v>0</v>
      </c>
      <c r="H68" s="160">
        <f>'CALCS Pedestrian'!H$59/1000000</f>
        <v>0</v>
      </c>
      <c r="I68" s="160">
        <f>'CALCS Pedestrian'!I$59/1000000</f>
        <v>0</v>
      </c>
      <c r="J68" s="160">
        <f>'CALCS Pedestrian'!J$59/1000000</f>
        <v>0</v>
      </c>
      <c r="K68" s="160">
        <f>'CALCS Pedestrian'!K$59/1000000</f>
        <v>0</v>
      </c>
      <c r="L68" s="160">
        <f>'CALCS Pedestrian'!L$59/1000000</f>
        <v>0</v>
      </c>
      <c r="M68" s="160">
        <f>'CALCS Pedestrian'!M$59/1000000</f>
        <v>0</v>
      </c>
      <c r="N68" s="160">
        <f>'CALCS Pedestrian'!N$59/1000000</f>
        <v>0</v>
      </c>
      <c r="O68" s="160">
        <f>'CALCS Pedestrian'!O$59/1000000</f>
        <v>0</v>
      </c>
      <c r="P68" s="160">
        <f>'CALCS Pedestrian'!P$59/1000000</f>
        <v>0</v>
      </c>
      <c r="Q68" s="160">
        <f>'CALCS Pedestrian'!Q$59/1000000</f>
        <v>0</v>
      </c>
      <c r="R68" s="160">
        <f>'CALCS Pedestrian'!R$59/1000000</f>
        <v>0</v>
      </c>
      <c r="S68" s="160">
        <f>'CALCS Pedestrian'!S$59/1000000</f>
        <v>0</v>
      </c>
      <c r="T68" s="160">
        <f>'CALCS Pedestrian'!T$59/1000000</f>
        <v>0</v>
      </c>
      <c r="U68" s="160">
        <f>'CALCS Pedestrian'!U$59/1000000</f>
        <v>0</v>
      </c>
      <c r="V68" s="160">
        <f>'CALCS Pedestrian'!V$59/1000000</f>
        <v>0</v>
      </c>
      <c r="W68" s="160">
        <f>'CALCS Pedestrian'!W$59/1000000</f>
        <v>0</v>
      </c>
      <c r="X68" s="160">
        <f>'CALCS Pedestrian'!X$59/1000000</f>
        <v>0</v>
      </c>
      <c r="Y68" s="160">
        <f>'CALCS Pedestrian'!Y$59/1000000</f>
        <v>0</v>
      </c>
      <c r="Z68" s="160">
        <f>'CALCS Pedestrian'!Z$59/1000000</f>
        <v>0</v>
      </c>
      <c r="AA68" s="160">
        <f>'CALCS Pedestrian'!AA$59/1000000</f>
        <v>0</v>
      </c>
      <c r="AB68" s="160">
        <f>'CALCS Pedestrian'!AB$59/1000000</f>
        <v>0</v>
      </c>
      <c r="AC68" s="160">
        <f>'CALCS Pedestrian'!AC$59/1000000</f>
        <v>0</v>
      </c>
      <c r="AD68" s="160">
        <f>'CALCS Pedestrian'!AD$59/1000000</f>
        <v>0</v>
      </c>
      <c r="AE68" s="160">
        <f>'CALCS Pedestrian'!AE$59/1000000</f>
        <v>0</v>
      </c>
      <c r="AF68" s="160">
        <f>'CALCS Pedestrian'!AF$59/1000000</f>
        <v>0</v>
      </c>
      <c r="AG68" s="160">
        <f>'CALCS Pedestrian'!AG$59/1000000</f>
        <v>0</v>
      </c>
      <c r="AH68" s="160">
        <f>'CALCS Pedestrian'!AH$59/1000000</f>
        <v>0</v>
      </c>
      <c r="AI68" s="160">
        <f>'CALCS Pedestrian'!AI$59/1000000</f>
        <v>0</v>
      </c>
      <c r="AJ68" s="160">
        <f>'CALCS Pedestrian'!AJ$59/1000000</f>
        <v>0</v>
      </c>
      <c r="AK68" s="160">
        <f>'CALCS Pedestrian'!AK$59/1000000</f>
        <v>0</v>
      </c>
      <c r="AL68" s="160">
        <f>'CALCS Pedestrian'!AL$59/1000000</f>
        <v>0</v>
      </c>
      <c r="AM68" s="160">
        <f>'CALCS Pedestrian'!AM$59/1000000</f>
        <v>0</v>
      </c>
      <c r="AN68" s="160">
        <f>'CALCS Pedestrian'!AN$59/1000000</f>
        <v>0</v>
      </c>
      <c r="AO68" s="160">
        <f>'CALCS Pedestrian'!AO$59/1000000</f>
        <v>0</v>
      </c>
      <c r="AP68" s="160">
        <f>'CALCS Pedestrian'!AP$59/1000000</f>
        <v>0</v>
      </c>
      <c r="AQ68" s="160">
        <f>'CALCS Pedestrian'!AQ$59/1000000</f>
        <v>0</v>
      </c>
      <c r="AR68" s="160">
        <f>'CALCS Pedestrian'!AR$59/1000000</f>
        <v>0</v>
      </c>
    </row>
    <row r="69" spans="2:44" x14ac:dyDescent="0.2">
      <c r="B69" s="73" t="s">
        <v>17</v>
      </c>
      <c r="D69" s="160">
        <f t="shared" si="21"/>
        <v>0.15574563718547921</v>
      </c>
      <c r="E69" s="160"/>
      <c r="F69" s="160">
        <f>'CALCS Bridge Hits'!F$46/1000000</f>
        <v>0</v>
      </c>
      <c r="G69" s="160">
        <f>'CALCS Bridge Hits'!G$46/1000000</f>
        <v>0</v>
      </c>
      <c r="H69" s="160">
        <f>'CALCS Bridge Hits'!H$46/1000000</f>
        <v>0</v>
      </c>
      <c r="I69" s="160">
        <f>'CALCS Bridge Hits'!I$46/1000000</f>
        <v>0</v>
      </c>
      <c r="J69" s="160">
        <f>'CALCS Bridge Hits'!J$46/1000000</f>
        <v>0</v>
      </c>
      <c r="K69" s="160">
        <f>'CALCS Bridge Hits'!K$46/1000000</f>
        <v>0</v>
      </c>
      <c r="L69" s="160">
        <f>'CALCS Bridge Hits'!L$46/1000000</f>
        <v>0</v>
      </c>
      <c r="M69" s="160">
        <f>'CALCS Bridge Hits'!M$46/1000000</f>
        <v>0</v>
      </c>
      <c r="N69" s="160">
        <f>'CALCS Bridge Hits'!N$46/1000000</f>
        <v>0</v>
      </c>
      <c r="O69" s="160">
        <f>'CALCS Bridge Hits'!O$46/1000000</f>
        <v>0</v>
      </c>
      <c r="P69" s="160">
        <f>'CALCS Bridge Hits'!P$46/1000000</f>
        <v>1.0163643891791922E-2</v>
      </c>
      <c r="Q69" s="160">
        <f>'CALCS Bridge Hits'!Q$46/1000000</f>
        <v>9.8676154289241962E-3</v>
      </c>
      <c r="R69" s="160">
        <f>'CALCS Bridge Hits'!R$46/1000000</f>
        <v>9.5802091542953362E-3</v>
      </c>
      <c r="S69" s="160">
        <f>'CALCS Bridge Hits'!S$46/1000000</f>
        <v>9.3011739362090645E-3</v>
      </c>
      <c r="T69" s="160">
        <f>'CALCS Bridge Hits'!T$46/1000000</f>
        <v>9.03026595748453E-3</v>
      </c>
      <c r="U69" s="160">
        <f>'CALCS Bridge Hits'!U$46/1000000</f>
        <v>8.7672485024121657E-3</v>
      </c>
      <c r="V69" s="160">
        <f>'CALCS Bridge Hits'!V$46/1000000</f>
        <v>8.5118917499147247E-3</v>
      </c>
      <c r="W69" s="160">
        <f>'CALCS Bridge Hits'!W$46/1000000</f>
        <v>8.2639725727327411E-3</v>
      </c>
      <c r="X69" s="160">
        <f>'CALCS Bridge Hits'!X$46/1000000</f>
        <v>8.0232743424589713E-3</v>
      </c>
      <c r="Y69" s="160">
        <f>'CALCS Bridge Hits'!Y$46/1000000</f>
        <v>7.7895867402514299E-3</v>
      </c>
      <c r="Z69" s="160">
        <f>'CALCS Bridge Hits'!Z$46/1000000</f>
        <v>7.56270557305964E-3</v>
      </c>
      <c r="AA69" s="160">
        <f>'CALCS Bridge Hits'!AA$46/1000000</f>
        <v>7.3424325952035343E-3</v>
      </c>
      <c r="AB69" s="160">
        <f>'CALCS Bridge Hits'!AB$46/1000000</f>
        <v>7.128575335149062E-3</v>
      </c>
      <c r="AC69" s="160">
        <f>'CALCS Bridge Hits'!AC$46/1000000</f>
        <v>6.9209469273291873E-3</v>
      </c>
      <c r="AD69" s="160">
        <f>'CALCS Bridge Hits'!AD$46/1000000</f>
        <v>6.719365948863288E-3</v>
      </c>
      <c r="AE69" s="160">
        <f>'CALCS Bridge Hits'!AE$46/1000000</f>
        <v>6.5236562610323191E-3</v>
      </c>
      <c r="AF69" s="160">
        <f>'CALCS Bridge Hits'!AF$46/1000000</f>
        <v>6.3336468553711828E-3</v>
      </c>
      <c r="AG69" s="160">
        <f>'CALCS Bridge Hits'!AG$46/1000000</f>
        <v>6.1491717042438674E-3</v>
      </c>
      <c r="AH69" s="160">
        <f>'CALCS Bridge Hits'!AH$46/1000000</f>
        <v>5.9700696157707449E-3</v>
      </c>
      <c r="AI69" s="160">
        <f>'CALCS Bridge Hits'!AI$46/1000000</f>
        <v>5.796184092981306E-3</v>
      </c>
      <c r="AJ69" s="160">
        <f>'CALCS Bridge Hits'!AJ$46/1000000</f>
        <v>0</v>
      </c>
      <c r="AK69" s="160">
        <f>'CALCS Bridge Hits'!AK$46/1000000</f>
        <v>0</v>
      </c>
      <c r="AL69" s="160">
        <f>'CALCS Bridge Hits'!AL$46/1000000</f>
        <v>0</v>
      </c>
      <c r="AM69" s="160">
        <f>'CALCS Bridge Hits'!AM$46/1000000</f>
        <v>0</v>
      </c>
      <c r="AN69" s="160">
        <f>'CALCS Bridge Hits'!AN$46/1000000</f>
        <v>0</v>
      </c>
      <c r="AO69" s="160">
        <f>'CALCS Bridge Hits'!AO$46/1000000</f>
        <v>0</v>
      </c>
      <c r="AP69" s="160">
        <f>'CALCS Bridge Hits'!AP$46/1000000</f>
        <v>0</v>
      </c>
      <c r="AQ69" s="160">
        <f>'CALCS Bridge Hits'!AQ$46/1000000</f>
        <v>0</v>
      </c>
      <c r="AR69" s="160">
        <f>'CALCS Bridge Hits'!AR$46/1000000</f>
        <v>0</v>
      </c>
    </row>
    <row r="70" spans="2:44" x14ac:dyDescent="0.2">
      <c r="B70" s="73" t="s">
        <v>18</v>
      </c>
      <c r="D70" s="160">
        <f>SUM(F70:AR70)</f>
        <v>56.10706202005904</v>
      </c>
      <c r="E70" s="160"/>
      <c r="F70" s="160">
        <f>'CALCS Residual Value'!F$55/1000000</f>
        <v>0</v>
      </c>
      <c r="G70" s="160">
        <f>'CALCS Residual Value'!G$55/1000000</f>
        <v>0</v>
      </c>
      <c r="H70" s="160">
        <f>'CALCS Residual Value'!H$55/1000000</f>
        <v>0</v>
      </c>
      <c r="I70" s="160">
        <f>'CALCS Residual Value'!I$55/1000000</f>
        <v>0</v>
      </c>
      <c r="J70" s="160">
        <f>'CALCS Residual Value'!J$55/1000000</f>
        <v>0</v>
      </c>
      <c r="K70" s="160">
        <f>'CALCS Residual Value'!K$55/1000000</f>
        <v>0</v>
      </c>
      <c r="L70" s="160">
        <f>'CALCS Residual Value'!L$55/1000000</f>
        <v>0</v>
      </c>
      <c r="M70" s="160">
        <f>'CALCS Residual Value'!M$55/1000000</f>
        <v>0</v>
      </c>
      <c r="N70" s="160">
        <f>'CALCS Residual Value'!N$55/1000000</f>
        <v>0</v>
      </c>
      <c r="O70" s="160">
        <f>'CALCS Residual Value'!O$55/1000000</f>
        <v>0</v>
      </c>
      <c r="P70" s="160">
        <f>'CALCS Residual Value'!P$55/1000000</f>
        <v>0</v>
      </c>
      <c r="Q70" s="160">
        <f>'CALCS Residual Value'!Q$55/1000000</f>
        <v>0</v>
      </c>
      <c r="R70" s="160">
        <f>'CALCS Residual Value'!R$55/1000000</f>
        <v>0</v>
      </c>
      <c r="S70" s="160">
        <f>'CALCS Residual Value'!S$55/1000000</f>
        <v>0</v>
      </c>
      <c r="T70" s="160">
        <f>'CALCS Residual Value'!T$55/1000000</f>
        <v>0</v>
      </c>
      <c r="U70" s="160">
        <f>'CALCS Residual Value'!U$55/1000000</f>
        <v>0</v>
      </c>
      <c r="V70" s="160">
        <f>'CALCS Residual Value'!V$55/1000000</f>
        <v>0</v>
      </c>
      <c r="W70" s="160">
        <f>'CALCS Residual Value'!W$55/1000000</f>
        <v>0</v>
      </c>
      <c r="X70" s="160">
        <f>'CALCS Residual Value'!X$55/1000000</f>
        <v>0</v>
      </c>
      <c r="Y70" s="160">
        <f>'CALCS Residual Value'!Y$55/1000000</f>
        <v>0</v>
      </c>
      <c r="Z70" s="160">
        <f>'CALCS Residual Value'!Z$55/1000000</f>
        <v>0</v>
      </c>
      <c r="AA70" s="160">
        <f>'CALCS Residual Value'!AA$55/1000000</f>
        <v>0</v>
      </c>
      <c r="AB70" s="160">
        <f>'CALCS Residual Value'!AB$55/1000000</f>
        <v>0</v>
      </c>
      <c r="AC70" s="160">
        <f>'CALCS Residual Value'!AC$55/1000000</f>
        <v>0</v>
      </c>
      <c r="AD70" s="160">
        <f>'CALCS Residual Value'!AD$55/1000000</f>
        <v>0</v>
      </c>
      <c r="AE70" s="160">
        <f>'CALCS Residual Value'!AE$55/1000000</f>
        <v>0</v>
      </c>
      <c r="AF70" s="160">
        <f>'CALCS Residual Value'!AF$55/1000000</f>
        <v>0</v>
      </c>
      <c r="AG70" s="160">
        <f>'CALCS Residual Value'!AG$55/1000000</f>
        <v>0</v>
      </c>
      <c r="AH70" s="160">
        <f>'CALCS Residual Value'!AH$55/1000000</f>
        <v>0</v>
      </c>
      <c r="AI70" s="160">
        <f>'CALCS Residual Value'!AI$55/1000000</f>
        <v>56.10706202005904</v>
      </c>
      <c r="AJ70" s="160">
        <f>'CALCS Residual Value'!AJ$55/1000000</f>
        <v>0</v>
      </c>
      <c r="AK70" s="160">
        <f>'CALCS Residual Value'!AK$55/1000000</f>
        <v>0</v>
      </c>
      <c r="AL70" s="160">
        <f>'CALCS Residual Value'!AL$55/1000000</f>
        <v>0</v>
      </c>
      <c r="AM70" s="160">
        <f>'CALCS Residual Value'!AM$55/1000000</f>
        <v>0</v>
      </c>
      <c r="AN70" s="160">
        <f>'CALCS Residual Value'!AN$55/1000000</f>
        <v>0</v>
      </c>
      <c r="AO70" s="160">
        <f>'CALCS Residual Value'!AO$55/1000000</f>
        <v>0</v>
      </c>
      <c r="AP70" s="160">
        <f>'CALCS Residual Value'!AP$55/1000000</f>
        <v>0</v>
      </c>
      <c r="AQ70" s="160">
        <f>'CALCS Residual Value'!AQ$55/1000000</f>
        <v>0</v>
      </c>
      <c r="AR70" s="160">
        <f>'CALCS Residual Value'!AR$55/1000000</f>
        <v>0</v>
      </c>
    </row>
    <row r="71" spans="2:44" x14ac:dyDescent="0.2">
      <c r="B71" s="73" t="s">
        <v>19</v>
      </c>
      <c r="D71" s="160">
        <f>SUM(F71:AR71)</f>
        <v>513.11994920395284</v>
      </c>
      <c r="E71" s="160"/>
      <c r="F71" s="160">
        <f>'CALCS Avoided Detour'!F$67/1000000</f>
        <v>0</v>
      </c>
      <c r="G71" s="160">
        <f>'CALCS Avoided Detour'!G$67/1000000</f>
        <v>0</v>
      </c>
      <c r="H71" s="160">
        <f>'CALCS Avoided Detour'!H$67/1000000</f>
        <v>0</v>
      </c>
      <c r="I71" s="160">
        <f>'CALCS Avoided Detour'!I$67/1000000</f>
        <v>0</v>
      </c>
      <c r="J71" s="160">
        <f>'CALCS Avoided Detour'!J$67/1000000</f>
        <v>0</v>
      </c>
      <c r="K71" s="160">
        <f>'CALCS Avoided Detour'!K$67/1000000</f>
        <v>0</v>
      </c>
      <c r="L71" s="160">
        <f>'CALCS Avoided Detour'!L$67/1000000</f>
        <v>0</v>
      </c>
      <c r="M71" s="160">
        <f>'CALCS Avoided Detour'!M$67/1000000</f>
        <v>0</v>
      </c>
      <c r="N71" s="160">
        <f>'CALCS Avoided Detour'!N$67/1000000</f>
        <v>0</v>
      </c>
      <c r="O71" s="160">
        <f>'CALCS Avoided Detour'!O$67/1000000</f>
        <v>0</v>
      </c>
      <c r="P71" s="160">
        <f>'CALCS Avoided Detour'!P$67/1000000</f>
        <v>5.3912022310633863E-2</v>
      </c>
      <c r="Q71" s="160">
        <f>'CALCS Avoided Detour'!Q$67/1000000</f>
        <v>5.4483520968106325E-2</v>
      </c>
      <c r="R71" s="160">
        <f>'CALCS Avoided Detour'!R$67/1000000</f>
        <v>5.5061077842308487E-2</v>
      </c>
      <c r="S71" s="160">
        <f>'CALCS Avoided Detour'!S$67/1000000</f>
        <v>5.5644757153846015E-2</v>
      </c>
      <c r="T71" s="160">
        <f>'CALCS Avoided Detour'!T$67/1000000</f>
        <v>5.6234623804100228E-2</v>
      </c>
      <c r="U71" s="160">
        <f>'CALCS Avoided Detour'!U$67/1000000</f>
        <v>4.1681278803066126</v>
      </c>
      <c r="V71" s="160">
        <f>'CALCS Avoided Detour'!V$67/1000000</f>
        <v>4.2123124496415114</v>
      </c>
      <c r="W71" s="160">
        <f>'CALCS Avoided Detour'!W$67/1000000</f>
        <v>4.2569654009990758</v>
      </c>
      <c r="X71" s="160">
        <f>'CALCS Avoided Detour'!X$67/1000000</f>
        <v>4.3020916994999929</v>
      </c>
      <c r="Y71" s="160">
        <f>'CALCS Avoided Detour'!Y$67/1000000</f>
        <v>4.3476963628980991</v>
      </c>
      <c r="Z71" s="160">
        <f>'CALCS Avoided Detour'!Z$67/1000000</f>
        <v>46.85620749986802</v>
      </c>
      <c r="AA71" s="160">
        <f>'CALCS Avoided Detour'!AA$67/1000000</f>
        <v>47.352910434254959</v>
      </c>
      <c r="AB71" s="160">
        <f>'CALCS Avoided Detour'!AB$67/1000000</f>
        <v>47.854878707391926</v>
      </c>
      <c r="AC71" s="160">
        <f>'CALCS Avoided Detour'!AC$67/1000000</f>
        <v>48.362168134918889</v>
      </c>
      <c r="AD71" s="160">
        <f>'CALCS Avoided Detour'!AD$67/1000000</f>
        <v>48.874835124153911</v>
      </c>
      <c r="AE71" s="160">
        <f>'CALCS Avoided Detour'!AE$67/1000000</f>
        <v>49.392936680365295</v>
      </c>
      <c r="AF71" s="160">
        <f>'CALCS Avoided Detour'!AF$67/1000000</f>
        <v>49.916530413110202</v>
      </c>
      <c r="AG71" s="160">
        <f>'CALCS Avoided Detour'!AG$67/1000000</f>
        <v>50.445674542640468</v>
      </c>
      <c r="AH71" s="160">
        <f>'CALCS Avoided Detour'!AH$67/1000000</f>
        <v>50.980427906376292</v>
      </c>
      <c r="AI71" s="160">
        <f>'CALCS Avoided Detour'!AI$67/1000000</f>
        <v>51.520849965448619</v>
      </c>
      <c r="AJ71" s="160">
        <f>'CALCS Avoided Detour'!AJ$67/1000000</f>
        <v>0</v>
      </c>
      <c r="AK71" s="160">
        <f>'CALCS Avoided Detour'!AK$67/1000000</f>
        <v>0</v>
      </c>
      <c r="AL71" s="160">
        <f>'CALCS Avoided Detour'!AL$67/1000000</f>
        <v>0</v>
      </c>
      <c r="AM71" s="160">
        <f>'CALCS Avoided Detour'!AM$67/1000000</f>
        <v>0</v>
      </c>
      <c r="AN71" s="160">
        <f>'CALCS Avoided Detour'!AN$67/1000000</f>
        <v>0</v>
      </c>
      <c r="AO71" s="160">
        <f>'CALCS Avoided Detour'!AO$67/1000000</f>
        <v>0</v>
      </c>
      <c r="AP71" s="160">
        <f>'CALCS Avoided Detour'!AP$67/1000000</f>
        <v>0</v>
      </c>
      <c r="AQ71" s="160">
        <f>'CALCS Avoided Detour'!AQ$67/1000000</f>
        <v>0</v>
      </c>
      <c r="AR71" s="160">
        <f>'CALCS Avoided Detour'!AR$67/1000000</f>
        <v>0</v>
      </c>
    </row>
    <row r="72" spans="2:44" ht="15.75" thickBot="1" x14ac:dyDescent="0.3">
      <c r="B72" s="142" t="s">
        <v>26</v>
      </c>
      <c r="C72" s="144"/>
      <c r="D72" s="161">
        <f t="shared" si="21"/>
        <v>728.35328719091376</v>
      </c>
      <c r="E72" s="161"/>
      <c r="F72" s="161">
        <f t="shared" ref="F72:AR72" si="22">SUM(F63:F71)</f>
        <v>0</v>
      </c>
      <c r="G72" s="161">
        <f t="shared" si="22"/>
        <v>0</v>
      </c>
      <c r="H72" s="161">
        <f t="shared" si="22"/>
        <v>0</v>
      </c>
      <c r="I72" s="161">
        <f t="shared" si="22"/>
        <v>0</v>
      </c>
      <c r="J72" s="161">
        <f t="shared" si="22"/>
        <v>0</v>
      </c>
      <c r="K72" s="161">
        <f t="shared" si="22"/>
        <v>0</v>
      </c>
      <c r="L72" s="161">
        <f t="shared" si="22"/>
        <v>0</v>
      </c>
      <c r="M72" s="161">
        <f t="shared" si="22"/>
        <v>0</v>
      </c>
      <c r="N72" s="161">
        <f t="shared" si="22"/>
        <v>0</v>
      </c>
      <c r="O72" s="161">
        <f t="shared" si="22"/>
        <v>0</v>
      </c>
      <c r="P72" s="161">
        <f t="shared" si="22"/>
        <v>7.1824018257653988</v>
      </c>
      <c r="Q72" s="161">
        <f t="shared" si="22"/>
        <v>7.2697196446435237</v>
      </c>
      <c r="R72" s="161">
        <f t="shared" si="22"/>
        <v>7.3569680480947879</v>
      </c>
      <c r="S72" s="161">
        <f t="shared" si="22"/>
        <v>7.4441934861402448</v>
      </c>
      <c r="T72" s="161">
        <f t="shared" si="22"/>
        <v>7.5313059186999789</v>
      </c>
      <c r="U72" s="161">
        <f t="shared" si="22"/>
        <v>11.729726678491957</v>
      </c>
      <c r="V72" s="161">
        <f t="shared" si="22"/>
        <v>11.860498568689952</v>
      </c>
      <c r="W72" s="161">
        <f t="shared" si="22"/>
        <v>11.991820195187682</v>
      </c>
      <c r="X72" s="161">
        <f t="shared" si="22"/>
        <v>12.123782438479795</v>
      </c>
      <c r="Y72" s="161">
        <f t="shared" si="22"/>
        <v>12.256409204511002</v>
      </c>
      <c r="Z72" s="161">
        <f t="shared" si="22"/>
        <v>54.852195763495821</v>
      </c>
      <c r="AA72" s="161">
        <f t="shared" si="22"/>
        <v>55.43637639050872</v>
      </c>
      <c r="AB72" s="161">
        <f t="shared" si="22"/>
        <v>56.026175890963358</v>
      </c>
      <c r="AC72" s="161">
        <f t="shared" si="22"/>
        <v>56.621628367412633</v>
      </c>
      <c r="AD72" s="161">
        <f t="shared" si="22"/>
        <v>57.222800551862591</v>
      </c>
      <c r="AE72" s="161">
        <f t="shared" si="22"/>
        <v>57.829887862479097</v>
      </c>
      <c r="AF72" s="161">
        <f t="shared" si="22"/>
        <v>58.442914018196326</v>
      </c>
      <c r="AG72" s="161">
        <f t="shared" si="22"/>
        <v>59.061917993570475</v>
      </c>
      <c r="AH72" s="161">
        <f t="shared" si="22"/>
        <v>59.687083082736933</v>
      </c>
      <c r="AI72" s="161">
        <f t="shared" si="22"/>
        <v>116.42548126098364</v>
      </c>
      <c r="AJ72" s="161">
        <f t="shared" si="22"/>
        <v>0</v>
      </c>
      <c r="AK72" s="161">
        <f t="shared" si="22"/>
        <v>0</v>
      </c>
      <c r="AL72" s="161">
        <f t="shared" si="22"/>
        <v>0</v>
      </c>
      <c r="AM72" s="161">
        <f t="shared" si="22"/>
        <v>0</v>
      </c>
      <c r="AN72" s="161">
        <f t="shared" si="22"/>
        <v>0</v>
      </c>
      <c r="AO72" s="161">
        <f t="shared" si="22"/>
        <v>0</v>
      </c>
      <c r="AP72" s="161">
        <f t="shared" si="22"/>
        <v>0</v>
      </c>
      <c r="AQ72" s="161">
        <f t="shared" si="22"/>
        <v>0</v>
      </c>
      <c r="AR72" s="162">
        <f t="shared" si="22"/>
        <v>0</v>
      </c>
    </row>
    <row r="73" spans="2:44" ht="15" thickBot="1" x14ac:dyDescent="0.25">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row>
    <row r="74" spans="2:44" ht="18" thickBot="1" x14ac:dyDescent="0.35">
      <c r="B74" s="47" t="s">
        <v>37</v>
      </c>
      <c r="C74" s="48"/>
      <c r="D74" s="48" t="s">
        <v>34</v>
      </c>
      <c r="E74" s="48"/>
      <c r="F74" s="72">
        <f t="shared" ref="F74:AR74" si="23">F62</f>
        <v>2018</v>
      </c>
      <c r="G74" s="72">
        <f t="shared" si="23"/>
        <v>2019</v>
      </c>
      <c r="H74" s="72">
        <f t="shared" si="23"/>
        <v>2020</v>
      </c>
      <c r="I74" s="72">
        <f t="shared" si="23"/>
        <v>2021</v>
      </c>
      <c r="J74" s="72">
        <f t="shared" si="23"/>
        <v>2022</v>
      </c>
      <c r="K74" s="72">
        <f t="shared" si="23"/>
        <v>2023</v>
      </c>
      <c r="L74" s="72">
        <f t="shared" si="23"/>
        <v>2024</v>
      </c>
      <c r="M74" s="72">
        <f t="shared" si="23"/>
        <v>2025</v>
      </c>
      <c r="N74" s="72">
        <f t="shared" si="23"/>
        <v>2026</v>
      </c>
      <c r="O74" s="72">
        <f t="shared" si="23"/>
        <v>2027</v>
      </c>
      <c r="P74" s="72">
        <f t="shared" si="23"/>
        <v>2028</v>
      </c>
      <c r="Q74" s="72">
        <f t="shared" si="23"/>
        <v>2029</v>
      </c>
      <c r="R74" s="72">
        <f t="shared" si="23"/>
        <v>2030</v>
      </c>
      <c r="S74" s="72">
        <f t="shared" si="23"/>
        <v>2031</v>
      </c>
      <c r="T74" s="72">
        <f t="shared" si="23"/>
        <v>2032</v>
      </c>
      <c r="U74" s="72">
        <f t="shared" si="23"/>
        <v>2033</v>
      </c>
      <c r="V74" s="72">
        <f t="shared" si="23"/>
        <v>2034</v>
      </c>
      <c r="W74" s="72">
        <f t="shared" si="23"/>
        <v>2035</v>
      </c>
      <c r="X74" s="72">
        <f t="shared" si="23"/>
        <v>2036</v>
      </c>
      <c r="Y74" s="72">
        <f t="shared" si="23"/>
        <v>2037</v>
      </c>
      <c r="Z74" s="72">
        <f t="shared" si="23"/>
        <v>2038</v>
      </c>
      <c r="AA74" s="72">
        <f t="shared" si="23"/>
        <v>2039</v>
      </c>
      <c r="AB74" s="72">
        <f t="shared" si="23"/>
        <v>2040</v>
      </c>
      <c r="AC74" s="72">
        <f t="shared" si="23"/>
        <v>2041</v>
      </c>
      <c r="AD74" s="72">
        <f t="shared" si="23"/>
        <v>2042</v>
      </c>
      <c r="AE74" s="72">
        <f t="shared" si="23"/>
        <v>2043</v>
      </c>
      <c r="AF74" s="72">
        <f t="shared" si="23"/>
        <v>2044</v>
      </c>
      <c r="AG74" s="72">
        <f t="shared" si="23"/>
        <v>2045</v>
      </c>
      <c r="AH74" s="72">
        <f t="shared" si="23"/>
        <v>2046</v>
      </c>
      <c r="AI74" s="72">
        <f t="shared" si="23"/>
        <v>2047</v>
      </c>
      <c r="AJ74" s="72">
        <f t="shared" si="23"/>
        <v>2048</v>
      </c>
      <c r="AK74" s="72">
        <f t="shared" si="23"/>
        <v>2049</v>
      </c>
      <c r="AL74" s="72">
        <f t="shared" si="23"/>
        <v>2050</v>
      </c>
      <c r="AM74" s="72">
        <f t="shared" si="23"/>
        <v>2051</v>
      </c>
      <c r="AN74" s="72">
        <f t="shared" si="23"/>
        <v>2052</v>
      </c>
      <c r="AO74" s="72">
        <f t="shared" si="23"/>
        <v>2053</v>
      </c>
      <c r="AP74" s="72">
        <f t="shared" si="23"/>
        <v>2054</v>
      </c>
      <c r="AQ74" s="72">
        <f t="shared" si="23"/>
        <v>2055</v>
      </c>
      <c r="AR74" s="143">
        <f t="shared" si="23"/>
        <v>2056</v>
      </c>
    </row>
    <row r="75" spans="2:44" x14ac:dyDescent="0.2">
      <c r="B75" s="50" t="s">
        <v>23</v>
      </c>
      <c r="D75" s="160">
        <f>SUM(F75:AR75)</f>
        <v>-185.94177949328446</v>
      </c>
      <c r="E75" s="160"/>
      <c r="F75" s="160">
        <f>-'CALCS Project Costs'!F$68/1000000</f>
        <v>0</v>
      </c>
      <c r="G75" s="160">
        <f>-'CALCS Project Costs'!G$68/1000000</f>
        <v>0</v>
      </c>
      <c r="H75" s="160">
        <f>-'CALCS Project Costs'!H$68/1000000</f>
        <v>0</v>
      </c>
      <c r="I75" s="160">
        <f>-'CALCS Project Costs'!I$68/1000000</f>
        <v>0</v>
      </c>
      <c r="J75" s="160">
        <f>-'CALCS Project Costs'!J$68/1000000</f>
        <v>-2.8012088544283755</v>
      </c>
      <c r="K75" s="160">
        <f>-'CALCS Project Costs'!K$68/1000000</f>
        <v>0</v>
      </c>
      <c r="L75" s="160">
        <f>-'CALCS Project Costs'!L$68/1000000</f>
        <v>-10.314704258637873</v>
      </c>
      <c r="M75" s="160">
        <f>-'CALCS Project Costs'!M$68/1000000</f>
        <v>-57.531509729334999</v>
      </c>
      <c r="N75" s="160">
        <f>-'CALCS Project Costs'!N$68/1000000</f>
        <v>-62.853159034288964</v>
      </c>
      <c r="O75" s="160">
        <f>-'CALCS Project Costs'!O$68/1000000</f>
        <v>-52.441197616594245</v>
      </c>
      <c r="P75" s="160">
        <f>-'CALCS Project Costs'!P$68/1000000</f>
        <v>0</v>
      </c>
      <c r="Q75" s="160">
        <f>-'CALCS Project Costs'!Q$68/1000000</f>
        <v>0</v>
      </c>
      <c r="R75" s="160">
        <f>-'CALCS Project Costs'!R$68/1000000</f>
        <v>0</v>
      </c>
      <c r="S75" s="160">
        <f>-'CALCS Project Costs'!S$68/1000000</f>
        <v>0</v>
      </c>
      <c r="T75" s="160">
        <f>-'CALCS Project Costs'!T$68/1000000</f>
        <v>0</v>
      </c>
      <c r="U75" s="160">
        <f>-'CALCS Project Costs'!U$68/1000000</f>
        <v>0</v>
      </c>
      <c r="V75" s="160">
        <f>-'CALCS Project Costs'!V$68/1000000</f>
        <v>0</v>
      </c>
      <c r="W75" s="160">
        <f>-'CALCS Project Costs'!W$68/1000000</f>
        <v>0</v>
      </c>
      <c r="X75" s="160">
        <f>-'CALCS Project Costs'!X$68/1000000</f>
        <v>0</v>
      </c>
      <c r="Y75" s="160">
        <f>-'CALCS Project Costs'!Y$68/1000000</f>
        <v>0</v>
      </c>
      <c r="Z75" s="160">
        <f>-'CALCS Project Costs'!Z$68/1000000</f>
        <v>0</v>
      </c>
      <c r="AA75" s="160">
        <f>-'CALCS Project Costs'!AA$68/1000000</f>
        <v>0</v>
      </c>
      <c r="AB75" s="160">
        <f>-'CALCS Project Costs'!AB$68/1000000</f>
        <v>0</v>
      </c>
      <c r="AC75" s="160">
        <f>-'CALCS Project Costs'!AC$68/1000000</f>
        <v>0</v>
      </c>
      <c r="AD75" s="160">
        <f>-'CALCS Project Costs'!AD$68/1000000</f>
        <v>0</v>
      </c>
      <c r="AE75" s="160">
        <f>-'CALCS Project Costs'!AE$68/1000000</f>
        <v>0</v>
      </c>
      <c r="AF75" s="160">
        <f>-'CALCS Project Costs'!AF$68/1000000</f>
        <v>0</v>
      </c>
      <c r="AG75" s="160">
        <f>-'CALCS Project Costs'!AG$68/1000000</f>
        <v>0</v>
      </c>
      <c r="AH75" s="160">
        <f>-'CALCS Project Costs'!AH$68/1000000</f>
        <v>0</v>
      </c>
      <c r="AI75" s="160">
        <f>-'CALCS Project Costs'!AI$68/1000000</f>
        <v>0</v>
      </c>
      <c r="AJ75" s="160">
        <f>-'CALCS Project Costs'!AJ$68/1000000</f>
        <v>0</v>
      </c>
      <c r="AK75" s="160">
        <f>-'CALCS Project Costs'!AK$68/1000000</f>
        <v>0</v>
      </c>
      <c r="AL75" s="160">
        <f>-'CALCS Project Costs'!AL$68/1000000</f>
        <v>0</v>
      </c>
      <c r="AM75" s="160">
        <f>-'CALCS Project Costs'!AM$68/1000000</f>
        <v>0</v>
      </c>
      <c r="AN75" s="160">
        <f>-'CALCS Project Costs'!AN$68/1000000</f>
        <v>0</v>
      </c>
      <c r="AO75" s="160">
        <f>-'CALCS Project Costs'!AO$68/1000000</f>
        <v>0</v>
      </c>
      <c r="AP75" s="160">
        <f>-'CALCS Project Costs'!AP$68/1000000</f>
        <v>0</v>
      </c>
      <c r="AQ75" s="160">
        <f>-'CALCS Project Costs'!AQ$68/1000000</f>
        <v>0</v>
      </c>
      <c r="AR75" s="160">
        <f>-'CALCS Project Costs'!AR$68/1000000</f>
        <v>0</v>
      </c>
    </row>
    <row r="76" spans="2:44" ht="15" thickBot="1" x14ac:dyDescent="0.25">
      <c r="B76" s="148" t="s">
        <v>24</v>
      </c>
      <c r="D76" s="160">
        <f>SUM(F76:AR76)</f>
        <v>8.8554090119827382</v>
      </c>
      <c r="E76" s="160"/>
      <c r="F76" s="160">
        <f>-'CALCS Project Costs'!F$73/1000000</f>
        <v>0</v>
      </c>
      <c r="G76" s="160">
        <f>-'CALCS Project Costs'!G$73/1000000</f>
        <v>0</v>
      </c>
      <c r="H76" s="160">
        <f>-'CALCS Project Costs'!H$73/1000000</f>
        <v>0</v>
      </c>
      <c r="I76" s="160">
        <f>-'CALCS Project Costs'!I$73/1000000</f>
        <v>0</v>
      </c>
      <c r="J76" s="160">
        <f>-'CALCS Project Costs'!J$73/1000000</f>
        <v>0</v>
      </c>
      <c r="K76" s="160">
        <f>-'CALCS Project Costs'!K$73/1000000</f>
        <v>0</v>
      </c>
      <c r="L76" s="160">
        <f>-'CALCS Project Costs'!L$73/1000000</f>
        <v>0</v>
      </c>
      <c r="M76" s="160">
        <f>-'CALCS Project Costs'!M$73/1000000</f>
        <v>0</v>
      </c>
      <c r="N76" s="160">
        <f>-'CALCS Project Costs'!N$73/1000000</f>
        <v>0</v>
      </c>
      <c r="O76" s="160">
        <f>-'CALCS Project Costs'!O$73/1000000</f>
        <v>0</v>
      </c>
      <c r="P76" s="160">
        <f>-'CALCS Project Costs'!P$73/1000000</f>
        <v>8.8306489430555715</v>
      </c>
      <c r="Q76" s="160">
        <f>-'CALCS Project Costs'!Q$73/1000000</f>
        <v>2.0221714776876763E-2</v>
      </c>
      <c r="R76" s="160">
        <f>-'CALCS Project Costs'!R$73/1000000</f>
        <v>3.2721221321807055E-2</v>
      </c>
      <c r="S76" s="160">
        <f>-'CALCS Project Costs'!S$73/1000000</f>
        <v>1.9060905624353624E-2</v>
      </c>
      <c r="T76" s="160">
        <f>-'CALCS Project Costs'!T$73/1000000</f>
        <v>3.0842889359795511E-2</v>
      </c>
      <c r="U76" s="160">
        <f>-'CALCS Project Costs'!U$73/1000000</f>
        <v>1.7966731665900296E-2</v>
      </c>
      <c r="V76" s="160">
        <f>-'CALCS Project Costs'!V$73/1000000</f>
        <v>2.9072381336408253E-2</v>
      </c>
      <c r="W76" s="160">
        <f>-'CALCS Project Costs'!W$73/1000000</f>
        <v>1.6935367768781504E-2</v>
      </c>
      <c r="X76" s="160">
        <f>-'CALCS Project Costs'!X$73/1000000</f>
        <v>0</v>
      </c>
      <c r="Y76" s="160">
        <f>-'CALCS Project Costs'!Y$73/1000000</f>
        <v>0</v>
      </c>
      <c r="Z76" s="160">
        <f>-'CALCS Project Costs'!Z$73/1000000</f>
        <v>0</v>
      </c>
      <c r="AA76" s="160">
        <f>-'CALCS Project Costs'!AA$73/1000000</f>
        <v>0</v>
      </c>
      <c r="AB76" s="160">
        <f>-'CALCS Project Costs'!AB$73/1000000</f>
        <v>0.10226017902889156</v>
      </c>
      <c r="AC76" s="160">
        <f>-'CALCS Project Costs'!AC$73/1000000</f>
        <v>0</v>
      </c>
      <c r="AD76" s="160">
        <f>-'CALCS Project Costs'!AD$73/1000000</f>
        <v>0</v>
      </c>
      <c r="AE76" s="160">
        <f>-'CALCS Project Costs'!AE$73/1000000</f>
        <v>0</v>
      </c>
      <c r="AF76" s="160">
        <f>-'CALCS Project Costs'!AF$73/1000000</f>
        <v>0</v>
      </c>
      <c r="AG76" s="160">
        <f>-'CALCS Project Costs'!AG$73/1000000</f>
        <v>-0.24432132195565065</v>
      </c>
      <c r="AH76" s="160">
        <f>-'CALCS Project Costs'!AH$73/1000000</f>
        <v>0</v>
      </c>
      <c r="AI76" s="160">
        <f>-'CALCS Project Costs'!AI$73/1000000</f>
        <v>0</v>
      </c>
      <c r="AJ76" s="160">
        <f>-'CALCS Project Costs'!AJ$73/1000000</f>
        <v>0</v>
      </c>
      <c r="AK76" s="160">
        <f>-'CALCS Project Costs'!AK$73/1000000</f>
        <v>0</v>
      </c>
      <c r="AL76" s="160">
        <f>-'CALCS Project Costs'!AL$73/1000000</f>
        <v>0</v>
      </c>
      <c r="AM76" s="160">
        <f>-'CALCS Project Costs'!AM$73/1000000</f>
        <v>0</v>
      </c>
      <c r="AN76" s="160">
        <f>-'CALCS Project Costs'!AN$73/1000000</f>
        <v>0</v>
      </c>
      <c r="AO76" s="160">
        <f>-'CALCS Project Costs'!AO$73/1000000</f>
        <v>0</v>
      </c>
      <c r="AP76" s="160">
        <f>-'CALCS Project Costs'!AP$73/1000000</f>
        <v>0</v>
      </c>
      <c r="AQ76" s="160">
        <f>-'CALCS Project Costs'!AQ$73/1000000</f>
        <v>0</v>
      </c>
      <c r="AR76" s="160">
        <f>-'CALCS Project Costs'!AR$73/1000000</f>
        <v>0</v>
      </c>
    </row>
    <row r="77" spans="2:44" ht="15.75" thickBot="1" x14ac:dyDescent="0.3">
      <c r="B77" s="149" t="s">
        <v>27</v>
      </c>
      <c r="C77" s="147"/>
      <c r="D77" s="163">
        <f t="shared" ref="D77" si="24">SUM(F77:AR77)</f>
        <v>-177.08637048130174</v>
      </c>
      <c r="E77" s="163"/>
      <c r="F77" s="163">
        <f>SUM(F75:F76)</f>
        <v>0</v>
      </c>
      <c r="G77" s="163">
        <f t="shared" ref="G77" si="25">SUM(G75:G76)</f>
        <v>0</v>
      </c>
      <c r="H77" s="163">
        <f t="shared" ref="H77" si="26">SUM(H75:H76)</f>
        <v>0</v>
      </c>
      <c r="I77" s="163">
        <f t="shared" ref="I77" si="27">SUM(I75:I76)</f>
        <v>0</v>
      </c>
      <c r="J77" s="163">
        <f t="shared" ref="J77" si="28">SUM(J75:J76)</f>
        <v>-2.8012088544283755</v>
      </c>
      <c r="K77" s="163">
        <f t="shared" ref="K77" si="29">SUM(K75:K76)</f>
        <v>0</v>
      </c>
      <c r="L77" s="163">
        <f t="shared" ref="L77" si="30">SUM(L75:L76)</f>
        <v>-10.314704258637873</v>
      </c>
      <c r="M77" s="163">
        <f t="shared" ref="M77" si="31">SUM(M75:M76)</f>
        <v>-57.531509729334999</v>
      </c>
      <c r="N77" s="163">
        <f t="shared" ref="N77" si="32">SUM(N75:N76)</f>
        <v>-62.853159034288964</v>
      </c>
      <c r="O77" s="163">
        <f t="shared" ref="O77" si="33">SUM(O75:O76)</f>
        <v>-52.441197616594245</v>
      </c>
      <c r="P77" s="163">
        <f t="shared" ref="P77" si="34">SUM(P75:P76)</f>
        <v>8.8306489430555715</v>
      </c>
      <c r="Q77" s="163">
        <f t="shared" ref="Q77" si="35">SUM(Q75:Q76)</f>
        <v>2.0221714776876763E-2</v>
      </c>
      <c r="R77" s="163">
        <f t="shared" ref="R77" si="36">SUM(R75:R76)</f>
        <v>3.2721221321807055E-2</v>
      </c>
      <c r="S77" s="163">
        <f t="shared" ref="S77" si="37">SUM(S75:S76)</f>
        <v>1.9060905624353624E-2</v>
      </c>
      <c r="T77" s="163">
        <f t="shared" ref="T77" si="38">SUM(T75:T76)</f>
        <v>3.0842889359795511E-2</v>
      </c>
      <c r="U77" s="163">
        <f t="shared" ref="U77" si="39">SUM(U75:U76)</f>
        <v>1.7966731665900296E-2</v>
      </c>
      <c r="V77" s="163">
        <f t="shared" ref="V77" si="40">SUM(V75:V76)</f>
        <v>2.9072381336408253E-2</v>
      </c>
      <c r="W77" s="163">
        <f t="shared" ref="W77" si="41">SUM(W75:W76)</f>
        <v>1.6935367768781504E-2</v>
      </c>
      <c r="X77" s="163">
        <f t="shared" ref="X77" si="42">SUM(X75:X76)</f>
        <v>0</v>
      </c>
      <c r="Y77" s="163">
        <f t="shared" ref="Y77" si="43">SUM(Y75:Y76)</f>
        <v>0</v>
      </c>
      <c r="Z77" s="163">
        <f t="shared" ref="Z77" si="44">SUM(Z75:Z76)</f>
        <v>0</v>
      </c>
      <c r="AA77" s="163">
        <f t="shared" ref="AA77" si="45">SUM(AA75:AA76)</f>
        <v>0</v>
      </c>
      <c r="AB77" s="163">
        <f t="shared" ref="AB77" si="46">SUM(AB75:AB76)</f>
        <v>0.10226017902889156</v>
      </c>
      <c r="AC77" s="163">
        <f t="shared" ref="AC77" si="47">SUM(AC75:AC76)</f>
        <v>0</v>
      </c>
      <c r="AD77" s="163">
        <f t="shared" ref="AD77" si="48">SUM(AD75:AD76)</f>
        <v>0</v>
      </c>
      <c r="AE77" s="163">
        <f t="shared" ref="AE77" si="49">SUM(AE75:AE76)</f>
        <v>0</v>
      </c>
      <c r="AF77" s="163">
        <f t="shared" ref="AF77" si="50">SUM(AF75:AF76)</f>
        <v>0</v>
      </c>
      <c r="AG77" s="163">
        <f t="shared" ref="AG77" si="51">SUM(AG75:AG76)</f>
        <v>-0.24432132195565065</v>
      </c>
      <c r="AH77" s="163">
        <f t="shared" ref="AH77" si="52">SUM(AH75:AH76)</f>
        <v>0</v>
      </c>
      <c r="AI77" s="163">
        <f t="shared" ref="AI77" si="53">SUM(AI75:AI76)</f>
        <v>0</v>
      </c>
      <c r="AJ77" s="163">
        <f t="shared" ref="AJ77" si="54">SUM(AJ75:AJ76)</f>
        <v>0</v>
      </c>
      <c r="AK77" s="163">
        <f t="shared" ref="AK77" si="55">SUM(AK75:AK76)</f>
        <v>0</v>
      </c>
      <c r="AL77" s="163">
        <f t="shared" ref="AL77" si="56">SUM(AL75:AL76)</f>
        <v>0</v>
      </c>
      <c r="AM77" s="163">
        <f t="shared" ref="AM77" si="57">SUM(AM75:AM76)</f>
        <v>0</v>
      </c>
      <c r="AN77" s="163">
        <f t="shared" ref="AN77" si="58">SUM(AN75:AN76)</f>
        <v>0</v>
      </c>
      <c r="AO77" s="163">
        <f t="shared" ref="AO77" si="59">SUM(AO75:AO76)</f>
        <v>0</v>
      </c>
      <c r="AP77" s="163">
        <f t="shared" ref="AP77" si="60">SUM(AP75:AP76)</f>
        <v>0</v>
      </c>
      <c r="AQ77" s="163">
        <f t="shared" ref="AQ77" si="61">SUM(AQ75:AQ76)</f>
        <v>0</v>
      </c>
      <c r="AR77" s="164">
        <f t="shared" ref="AR77" si="62">SUM(AR75:AR76)</f>
        <v>0</v>
      </c>
    </row>
    <row r="78" spans="2:44" ht="15.75" thickBot="1" x14ac:dyDescent="0.3">
      <c r="B78" s="2"/>
      <c r="C78" s="2"/>
      <c r="D78" s="145"/>
      <c r="E78" s="145"/>
      <c r="F78" s="145"/>
      <c r="G78" s="145"/>
      <c r="H78" s="145"/>
      <c r="I78" s="145"/>
      <c r="J78" s="145"/>
      <c r="K78" s="145"/>
      <c r="L78" s="145"/>
      <c r="M78" s="145"/>
      <c r="N78" s="145"/>
      <c r="O78" s="145"/>
      <c r="P78" s="145"/>
      <c r="Q78" s="145"/>
      <c r="R78" s="145"/>
      <c r="S78" s="145"/>
      <c r="T78" s="145"/>
      <c r="U78" s="145"/>
      <c r="V78" s="145"/>
      <c r="W78" s="145"/>
      <c r="X78" s="145"/>
      <c r="Y78" s="145"/>
      <c r="Z78" s="145"/>
      <c r="AA78" s="145"/>
      <c r="AB78" s="145"/>
      <c r="AC78" s="145"/>
      <c r="AD78" s="145"/>
      <c r="AE78" s="145"/>
      <c r="AF78" s="145"/>
      <c r="AG78" s="145"/>
      <c r="AH78" s="145"/>
      <c r="AI78" s="145"/>
      <c r="AJ78" s="145"/>
      <c r="AK78" s="145"/>
      <c r="AL78" s="145"/>
      <c r="AM78" s="145"/>
      <c r="AN78" s="145"/>
      <c r="AO78" s="145"/>
      <c r="AP78" s="145"/>
      <c r="AQ78" s="145"/>
      <c r="AR78" s="145"/>
    </row>
    <row r="79" spans="2:44" ht="15.75" thickBot="1" x14ac:dyDescent="0.3">
      <c r="B79" s="146" t="s">
        <v>38</v>
      </c>
      <c r="C79" s="147"/>
      <c r="D79" s="163">
        <f t="shared" ref="D79" si="63">SUM(F79:AR79)</f>
        <v>551.26691670961213</v>
      </c>
      <c r="E79" s="163"/>
      <c r="F79" s="163">
        <f t="shared" ref="F79:K79" si="64">F72+F77</f>
        <v>0</v>
      </c>
      <c r="G79" s="163">
        <f t="shared" si="64"/>
        <v>0</v>
      </c>
      <c r="H79" s="163">
        <f t="shared" si="64"/>
        <v>0</v>
      </c>
      <c r="I79" s="163">
        <f t="shared" si="64"/>
        <v>0</v>
      </c>
      <c r="J79" s="163">
        <f t="shared" si="64"/>
        <v>-2.8012088544283755</v>
      </c>
      <c r="K79" s="163">
        <f t="shared" si="64"/>
        <v>0</v>
      </c>
      <c r="L79" s="163">
        <f>L72+L77</f>
        <v>-10.314704258637873</v>
      </c>
      <c r="M79" s="163">
        <f t="shared" ref="M79:AR79" si="65">M72+M77</f>
        <v>-57.531509729334999</v>
      </c>
      <c r="N79" s="163">
        <f t="shared" si="65"/>
        <v>-62.853159034288964</v>
      </c>
      <c r="O79" s="163">
        <f t="shared" si="65"/>
        <v>-52.441197616594245</v>
      </c>
      <c r="P79" s="163">
        <f t="shared" si="65"/>
        <v>16.013050768820971</v>
      </c>
      <c r="Q79" s="163">
        <f t="shared" si="65"/>
        <v>7.2899413594204008</v>
      </c>
      <c r="R79" s="163">
        <f t="shared" si="65"/>
        <v>7.3896892694165945</v>
      </c>
      <c r="S79" s="163">
        <f t="shared" si="65"/>
        <v>7.4632543917645986</v>
      </c>
      <c r="T79" s="163">
        <f t="shared" si="65"/>
        <v>7.5621488080597743</v>
      </c>
      <c r="U79" s="163">
        <f t="shared" si="65"/>
        <v>11.747693410157858</v>
      </c>
      <c r="V79" s="163">
        <f t="shared" si="65"/>
        <v>11.889570950026361</v>
      </c>
      <c r="W79" s="163">
        <f t="shared" si="65"/>
        <v>12.008755562956463</v>
      </c>
      <c r="X79" s="163">
        <f t="shared" si="65"/>
        <v>12.123782438479795</v>
      </c>
      <c r="Y79" s="163">
        <f t="shared" si="65"/>
        <v>12.256409204511002</v>
      </c>
      <c r="Z79" s="163">
        <f t="shared" si="65"/>
        <v>54.852195763495821</v>
      </c>
      <c r="AA79" s="163">
        <f t="shared" si="65"/>
        <v>55.43637639050872</v>
      </c>
      <c r="AB79" s="163">
        <f t="shared" si="65"/>
        <v>56.128436069992247</v>
      </c>
      <c r="AC79" s="163">
        <f t="shared" si="65"/>
        <v>56.621628367412633</v>
      </c>
      <c r="AD79" s="163">
        <f t="shared" si="65"/>
        <v>57.222800551862591</v>
      </c>
      <c r="AE79" s="163">
        <f t="shared" si="65"/>
        <v>57.829887862479097</v>
      </c>
      <c r="AF79" s="163">
        <f t="shared" si="65"/>
        <v>58.442914018196326</v>
      </c>
      <c r="AG79" s="163">
        <f t="shared" si="65"/>
        <v>58.817596671614822</v>
      </c>
      <c r="AH79" s="163">
        <f t="shared" si="65"/>
        <v>59.687083082736933</v>
      </c>
      <c r="AI79" s="163">
        <f t="shared" si="65"/>
        <v>116.42548126098364</v>
      </c>
      <c r="AJ79" s="163">
        <f t="shared" si="65"/>
        <v>0</v>
      </c>
      <c r="AK79" s="163">
        <f t="shared" si="65"/>
        <v>0</v>
      </c>
      <c r="AL79" s="163">
        <f t="shared" si="65"/>
        <v>0</v>
      </c>
      <c r="AM79" s="163">
        <f t="shared" si="65"/>
        <v>0</v>
      </c>
      <c r="AN79" s="163">
        <f t="shared" si="65"/>
        <v>0</v>
      </c>
      <c r="AO79" s="163">
        <f t="shared" si="65"/>
        <v>0</v>
      </c>
      <c r="AP79" s="163">
        <f t="shared" si="65"/>
        <v>0</v>
      </c>
      <c r="AQ79" s="163">
        <f t="shared" si="65"/>
        <v>0</v>
      </c>
      <c r="AR79" s="163">
        <f t="shared" si="65"/>
        <v>0</v>
      </c>
    </row>
    <row r="82" spans="1:44" ht="15.75" thickBot="1" x14ac:dyDescent="0.3">
      <c r="A82" s="2" t="s">
        <v>40</v>
      </c>
    </row>
    <row r="83" spans="1:44" ht="18" thickBot="1" x14ac:dyDescent="0.35">
      <c r="B83" s="47" t="s">
        <v>33</v>
      </c>
      <c r="C83" s="48"/>
      <c r="D83" s="48" t="s">
        <v>34</v>
      </c>
      <c r="E83" s="48"/>
      <c r="F83" s="72">
        <f t="shared" ref="F83:AR83" si="66">F62</f>
        <v>2018</v>
      </c>
      <c r="G83" s="72">
        <f t="shared" si="66"/>
        <v>2019</v>
      </c>
      <c r="H83" s="72">
        <f t="shared" si="66"/>
        <v>2020</v>
      </c>
      <c r="I83" s="72">
        <f t="shared" si="66"/>
        <v>2021</v>
      </c>
      <c r="J83" s="72">
        <f t="shared" si="66"/>
        <v>2022</v>
      </c>
      <c r="K83" s="72">
        <f t="shared" si="66"/>
        <v>2023</v>
      </c>
      <c r="L83" s="72">
        <f t="shared" si="66"/>
        <v>2024</v>
      </c>
      <c r="M83" s="72">
        <f t="shared" si="66"/>
        <v>2025</v>
      </c>
      <c r="N83" s="72">
        <f t="shared" si="66"/>
        <v>2026</v>
      </c>
      <c r="O83" s="72">
        <f t="shared" si="66"/>
        <v>2027</v>
      </c>
      <c r="P83" s="72">
        <f t="shared" si="66"/>
        <v>2028</v>
      </c>
      <c r="Q83" s="72">
        <f t="shared" si="66"/>
        <v>2029</v>
      </c>
      <c r="R83" s="72">
        <f t="shared" si="66"/>
        <v>2030</v>
      </c>
      <c r="S83" s="72">
        <f t="shared" si="66"/>
        <v>2031</v>
      </c>
      <c r="T83" s="72">
        <f t="shared" si="66"/>
        <v>2032</v>
      </c>
      <c r="U83" s="72">
        <f t="shared" si="66"/>
        <v>2033</v>
      </c>
      <c r="V83" s="72">
        <f t="shared" si="66"/>
        <v>2034</v>
      </c>
      <c r="W83" s="72">
        <f t="shared" si="66"/>
        <v>2035</v>
      </c>
      <c r="X83" s="72">
        <f t="shared" si="66"/>
        <v>2036</v>
      </c>
      <c r="Y83" s="72">
        <f t="shared" si="66"/>
        <v>2037</v>
      </c>
      <c r="Z83" s="72">
        <f t="shared" si="66"/>
        <v>2038</v>
      </c>
      <c r="AA83" s="72">
        <f t="shared" si="66"/>
        <v>2039</v>
      </c>
      <c r="AB83" s="72">
        <f t="shared" si="66"/>
        <v>2040</v>
      </c>
      <c r="AC83" s="72">
        <f t="shared" si="66"/>
        <v>2041</v>
      </c>
      <c r="AD83" s="72">
        <f t="shared" si="66"/>
        <v>2042</v>
      </c>
      <c r="AE83" s="72">
        <f t="shared" si="66"/>
        <v>2043</v>
      </c>
      <c r="AF83" s="72">
        <f t="shared" si="66"/>
        <v>2044</v>
      </c>
      <c r="AG83" s="72">
        <f t="shared" si="66"/>
        <v>2045</v>
      </c>
      <c r="AH83" s="72">
        <f t="shared" si="66"/>
        <v>2046</v>
      </c>
      <c r="AI83" s="72">
        <f t="shared" si="66"/>
        <v>2047</v>
      </c>
      <c r="AJ83" s="72">
        <f t="shared" si="66"/>
        <v>2048</v>
      </c>
      <c r="AK83" s="72">
        <f t="shared" si="66"/>
        <v>2049</v>
      </c>
      <c r="AL83" s="72">
        <f t="shared" si="66"/>
        <v>2050</v>
      </c>
      <c r="AM83" s="72">
        <f t="shared" si="66"/>
        <v>2051</v>
      </c>
      <c r="AN83" s="72">
        <f t="shared" si="66"/>
        <v>2052</v>
      </c>
      <c r="AO83" s="72">
        <f t="shared" si="66"/>
        <v>2053</v>
      </c>
      <c r="AP83" s="72">
        <f t="shared" si="66"/>
        <v>2054</v>
      </c>
      <c r="AQ83" s="72">
        <f t="shared" si="66"/>
        <v>2055</v>
      </c>
      <c r="AR83" s="72">
        <f t="shared" si="66"/>
        <v>2056</v>
      </c>
    </row>
    <row r="84" spans="1:44" x14ac:dyDescent="0.2">
      <c r="B84" s="50" t="s">
        <v>11</v>
      </c>
      <c r="D84" s="160">
        <f>SUM(F84:AR84)</f>
        <v>82.935278752578284</v>
      </c>
      <c r="E84" s="160"/>
      <c r="F84" s="160">
        <f>'CALCS Safety'!F$103/1000000</f>
        <v>0</v>
      </c>
      <c r="G84" s="160">
        <f>'CALCS Safety'!G$103/1000000</f>
        <v>0</v>
      </c>
      <c r="H84" s="160">
        <f>'CALCS Safety'!H$103/1000000</f>
        <v>0</v>
      </c>
      <c r="I84" s="160">
        <f>'CALCS Safety'!I$103/1000000</f>
        <v>0</v>
      </c>
      <c r="J84" s="160">
        <f>'CALCS Safety'!J$103/1000000</f>
        <v>0</v>
      </c>
      <c r="K84" s="160">
        <f>'CALCS Safety'!K$103/1000000</f>
        <v>0</v>
      </c>
      <c r="L84" s="160">
        <f>'CALCS Safety'!L$103/1000000</f>
        <v>0</v>
      </c>
      <c r="M84" s="160">
        <f>'CALCS Safety'!M$103/1000000</f>
        <v>0</v>
      </c>
      <c r="N84" s="160">
        <f>'CALCS Safety'!N$103/1000000</f>
        <v>0</v>
      </c>
      <c r="O84" s="160">
        <f>'CALCS Safety'!O$103/1000000</f>
        <v>0</v>
      </c>
      <c r="P84" s="160">
        <f>'CALCS Safety'!P$103/1000000</f>
        <v>5.3201959880191971</v>
      </c>
      <c r="Q84" s="160">
        <f>'CALCS Safety'!Q$103/1000000</f>
        <v>5.1755990101531362</v>
      </c>
      <c r="R84" s="160">
        <f>'CALCS Safety'!R$103/1000000</f>
        <v>5.0349320164559108</v>
      </c>
      <c r="S84" s="160">
        <f>'CALCS Safety'!S$103/1000000</f>
        <v>4.898088194352348</v>
      </c>
      <c r="T84" s="160">
        <f>'CALCS Safety'!T$103/1000000</f>
        <v>4.7649636343136397</v>
      </c>
      <c r="U84" s="160">
        <f>'CALCS Safety'!U$103/1000000</f>
        <v>4.6354572509557661</v>
      </c>
      <c r="V84" s="160">
        <f>'CALCS Safety'!V$103/1000000</f>
        <v>4.5094707062824249</v>
      </c>
      <c r="W84" s="160">
        <f>'CALCS Safety'!W$103/1000000</f>
        <v>4.3869083350140823</v>
      </c>
      <c r="X84" s="160">
        <f>'CALCS Safety'!X$103/1000000</f>
        <v>4.2676770719465278</v>
      </c>
      <c r="Y84" s="160">
        <f>'CALCS Safety'!Y$103/1000000</f>
        <v>4.1516863812837412</v>
      </c>
      <c r="Z84" s="160">
        <f>'CALCS Safety'!Z$103/1000000</f>
        <v>4.0388481878913938</v>
      </c>
      <c r="AA84" s="160">
        <f>'CALCS Safety'!AA$103/1000000</f>
        <v>3.9290768104188234</v>
      </c>
      <c r="AB84" s="160">
        <f>'CALCS Safety'!AB$103/1000000</f>
        <v>3.8222888962386734</v>
      </c>
      <c r="AC84" s="160">
        <f>'CALCS Safety'!AC$103/1000000</f>
        <v>3.718403358154788</v>
      </c>
      <c r="AD84" s="160">
        <f>'CALCS Safety'!AD$103/1000000</f>
        <v>3.617341312830332</v>
      </c>
      <c r="AE84" s="160">
        <f>'CALCS Safety'!AE$103/1000000</f>
        <v>3.5190260208893576</v>
      </c>
      <c r="AF84" s="160">
        <f>'CALCS Safety'!AF$103/1000000</f>
        <v>3.4233828286463459</v>
      </c>
      <c r="AG84" s="160">
        <f>'CALCS Safety'!AG$103/1000000</f>
        <v>3.3303391114194696</v>
      </c>
      <c r="AH84" s="160">
        <f>'CALCS Safety'!AH$103/1000000</f>
        <v>3.2398242183845452</v>
      </c>
      <c r="AI84" s="160">
        <f>'CALCS Safety'!AI$103/1000000</f>
        <v>3.1517694189277892</v>
      </c>
      <c r="AJ84" s="160">
        <f>'CALCS Safety'!AJ$103/1000000</f>
        <v>0</v>
      </c>
      <c r="AK84" s="160">
        <f>'CALCS Safety'!AK$103/1000000</f>
        <v>0</v>
      </c>
      <c r="AL84" s="160">
        <f>'CALCS Safety'!AL$103/1000000</f>
        <v>0</v>
      </c>
      <c r="AM84" s="160">
        <f>'CALCS Safety'!AM$103/1000000</f>
        <v>0</v>
      </c>
      <c r="AN84" s="160">
        <f>'CALCS Safety'!AN$103/1000000</f>
        <v>0</v>
      </c>
      <c r="AO84" s="160">
        <f>'CALCS Safety'!AO$103/1000000</f>
        <v>0</v>
      </c>
      <c r="AP84" s="160">
        <f>'CALCS Safety'!AP$103/1000000</f>
        <v>0</v>
      </c>
      <c r="AQ84" s="160">
        <f>'CALCS Safety'!AQ$103/1000000</f>
        <v>0</v>
      </c>
      <c r="AR84" s="160">
        <f>'CALCS Safety'!AR$103/1000000</f>
        <v>0</v>
      </c>
    </row>
    <row r="85" spans="1:44" x14ac:dyDescent="0.2">
      <c r="B85" s="45" t="s">
        <v>12</v>
      </c>
      <c r="D85" s="160">
        <f>SUM(F85:AR85)</f>
        <v>2.6320157768887875</v>
      </c>
      <c r="E85" s="160"/>
      <c r="F85" s="160">
        <f>'CALCS Time Savings'!F$117/1000000</f>
        <v>0</v>
      </c>
      <c r="G85" s="160">
        <f>'CALCS Time Savings'!G$117/1000000</f>
        <v>0</v>
      </c>
      <c r="H85" s="160">
        <f>'CALCS Time Savings'!H$117/1000000</f>
        <v>0</v>
      </c>
      <c r="I85" s="160">
        <f>'CALCS Time Savings'!I$117/1000000</f>
        <v>0</v>
      </c>
      <c r="J85" s="160">
        <f>'CALCS Time Savings'!J$117/1000000</f>
        <v>0</v>
      </c>
      <c r="K85" s="160">
        <f>'CALCS Time Savings'!K$117/1000000</f>
        <v>0</v>
      </c>
      <c r="L85" s="160">
        <f>'CALCS Time Savings'!L$117/1000000</f>
        <v>0</v>
      </c>
      <c r="M85" s="160">
        <f>'CALCS Time Savings'!M$117/1000000</f>
        <v>0</v>
      </c>
      <c r="N85" s="160">
        <f>'CALCS Time Savings'!N$117/1000000</f>
        <v>0</v>
      </c>
      <c r="O85" s="160">
        <f>'CALCS Time Savings'!O$117/1000000</f>
        <v>0</v>
      </c>
      <c r="P85" s="160">
        <f>'CALCS Time Savings'!P$117/1000000</f>
        <v>0.1289653146254704</v>
      </c>
      <c r="Q85" s="160">
        <f>'CALCS Time Savings'!Q$117/1000000</f>
        <v>0.13371421775787729</v>
      </c>
      <c r="R85" s="160">
        <f>'CALCS Time Savings'!R$117/1000000</f>
        <v>0.13728981690661798</v>
      </c>
      <c r="S85" s="160">
        <f>'CALCS Time Savings'!S$117/1000000</f>
        <v>0.13982530388879849</v>
      </c>
      <c r="T85" s="160">
        <f>'CALCS Time Savings'!T$117/1000000</f>
        <v>0.14144146511958319</v>
      </c>
      <c r="U85" s="160">
        <f>'CALCS Time Savings'!U$117/1000000</f>
        <v>0.14224773470793034</v>
      </c>
      <c r="V85" s="160">
        <f>'CALCS Time Savings'!V$117/1000000</f>
        <v>0.14234316285735663</v>
      </c>
      <c r="W85" s="160">
        <f>'CALCS Time Savings'!W$117/1000000</f>
        <v>0.14181730614622512</v>
      </c>
      <c r="X85" s="160">
        <f>'CALCS Time Savings'!X$117/1000000</f>
        <v>0.14075104576431563</v>
      </c>
      <c r="Y85" s="160">
        <f>'CALCS Time Savings'!Y$117/1000000</f>
        <v>0.13921733932169655</v>
      </c>
      <c r="Z85" s="160">
        <f>'CALCS Time Savings'!Z$117/1000000</f>
        <v>0.1372819114194383</v>
      </c>
      <c r="AA85" s="160">
        <f>'CALCS Time Savings'!AA$117/1000000</f>
        <v>0.13500388777701225</v>
      </c>
      <c r="AB85" s="160">
        <f>'CALCS Time Savings'!AB$117/1000000</f>
        <v>0.1324363773459411</v>
      </c>
      <c r="AC85" s="160">
        <f>'CALCS Time Savings'!AC$117/1000000</f>
        <v>0.12962700650126813</v>
      </c>
      <c r="AD85" s="160">
        <f>'CALCS Time Savings'!AD$117/1000000</f>
        <v>0.12661840908967809</v>
      </c>
      <c r="AE85" s="160">
        <f>'CALCS Time Savings'!AE$117/1000000</f>
        <v>0.12344867582377775</v>
      </c>
      <c r="AF85" s="160">
        <f>'CALCS Time Savings'!AF$117/1000000</f>
        <v>0.12015176624439348</v>
      </c>
      <c r="AG85" s="160">
        <f>'CALCS Time Savings'!AG$117/1000000</f>
        <v>0.11675788622519383</v>
      </c>
      <c r="AH85" s="160">
        <f>'CALCS Time Savings'!AH$117/1000000</f>
        <v>0.11329383376497633</v>
      </c>
      <c r="AI85" s="160">
        <f>'CALCS Time Savings'!AI$117/1000000</f>
        <v>0.10978331560123623</v>
      </c>
      <c r="AJ85" s="160">
        <f>'CALCS Time Savings'!AJ$117/1000000</f>
        <v>0</v>
      </c>
      <c r="AK85" s="160">
        <f>'CALCS Time Savings'!AK$117/1000000</f>
        <v>0</v>
      </c>
      <c r="AL85" s="160">
        <f>'CALCS Time Savings'!AL$117/1000000</f>
        <v>0</v>
      </c>
      <c r="AM85" s="160">
        <f>'CALCS Time Savings'!AM$117/1000000</f>
        <v>0</v>
      </c>
      <c r="AN85" s="160">
        <f>'CALCS Time Savings'!AN$117/1000000</f>
        <v>0</v>
      </c>
      <c r="AO85" s="160">
        <f>'CALCS Time Savings'!AO$117/1000000</f>
        <v>0</v>
      </c>
      <c r="AP85" s="160">
        <f>'CALCS Time Savings'!AP$117/1000000</f>
        <v>0</v>
      </c>
      <c r="AQ85" s="160">
        <f>'CALCS Time Savings'!AQ$117/1000000</f>
        <v>0</v>
      </c>
      <c r="AR85" s="160">
        <f>'CALCS Time Savings'!AR$117/1000000</f>
        <v>0</v>
      </c>
    </row>
    <row r="86" spans="1:44" x14ac:dyDescent="0.2">
      <c r="B86" s="45" t="s">
        <v>13</v>
      </c>
      <c r="D86" s="160">
        <f>SUM(F86:AR86)</f>
        <v>0</v>
      </c>
      <c r="E86" s="160"/>
      <c r="F86" s="160">
        <f>'CALCS Time Savings'!F$112/1000000</f>
        <v>0</v>
      </c>
      <c r="G86" s="160">
        <f>'CALCS Time Savings'!G$112/1000000</f>
        <v>0</v>
      </c>
      <c r="H86" s="160">
        <f>'CALCS Time Savings'!H$112/1000000</f>
        <v>0</v>
      </c>
      <c r="I86" s="160">
        <f>'CALCS Time Savings'!I$112/1000000</f>
        <v>0</v>
      </c>
      <c r="J86" s="160">
        <f>'CALCS Time Savings'!J$112/1000000</f>
        <v>0</v>
      </c>
      <c r="K86" s="160">
        <f>'CALCS Time Savings'!K$112/1000000</f>
        <v>0</v>
      </c>
      <c r="L86" s="160">
        <f>'CALCS Time Savings'!L$112/1000000</f>
        <v>0</v>
      </c>
      <c r="M86" s="160">
        <f>'CALCS Time Savings'!M$112/1000000</f>
        <v>0</v>
      </c>
      <c r="N86" s="160">
        <f>'CALCS Time Savings'!N$112/1000000</f>
        <v>0</v>
      </c>
      <c r="O86" s="160">
        <f>'CALCS Time Savings'!O$112/1000000</f>
        <v>0</v>
      </c>
      <c r="P86" s="160">
        <f>'CALCS Time Savings'!P$112/1000000</f>
        <v>0</v>
      </c>
      <c r="Q86" s="160">
        <f>'CALCS Time Savings'!Q$112/1000000</f>
        <v>0</v>
      </c>
      <c r="R86" s="160">
        <f>'CALCS Time Savings'!R$112/1000000</f>
        <v>0</v>
      </c>
      <c r="S86" s="160">
        <f>'CALCS Time Savings'!S$112/1000000</f>
        <v>0</v>
      </c>
      <c r="T86" s="160">
        <f>'CALCS Time Savings'!T$112/1000000</f>
        <v>0</v>
      </c>
      <c r="U86" s="160">
        <f>'CALCS Time Savings'!U$112/1000000</f>
        <v>0</v>
      </c>
      <c r="V86" s="160">
        <f>'CALCS Time Savings'!V$112/1000000</f>
        <v>0</v>
      </c>
      <c r="W86" s="160">
        <f>'CALCS Time Savings'!W$112/1000000</f>
        <v>0</v>
      </c>
      <c r="X86" s="160">
        <f>'CALCS Time Savings'!X$112/1000000</f>
        <v>0</v>
      </c>
      <c r="Y86" s="160">
        <f>'CALCS Time Savings'!Y$112/1000000</f>
        <v>0</v>
      </c>
      <c r="Z86" s="160">
        <f>'CALCS Time Savings'!Z$112/1000000</f>
        <v>0</v>
      </c>
      <c r="AA86" s="160">
        <f>'CALCS Time Savings'!AA$112/1000000</f>
        <v>0</v>
      </c>
      <c r="AB86" s="160">
        <f>'CALCS Time Savings'!AB$112/1000000</f>
        <v>0</v>
      </c>
      <c r="AC86" s="160">
        <f>'CALCS Time Savings'!AC$112/1000000</f>
        <v>0</v>
      </c>
      <c r="AD86" s="160">
        <f>'CALCS Time Savings'!AD$112/1000000</f>
        <v>0</v>
      </c>
      <c r="AE86" s="160">
        <f>'CALCS Time Savings'!AE$112/1000000</f>
        <v>0</v>
      </c>
      <c r="AF86" s="160">
        <f>'CALCS Time Savings'!AF$112/1000000</f>
        <v>0</v>
      </c>
      <c r="AG86" s="160">
        <f>'CALCS Time Savings'!AG$112/1000000</f>
        <v>0</v>
      </c>
      <c r="AH86" s="160">
        <f>'CALCS Time Savings'!AH$112/1000000</f>
        <v>0</v>
      </c>
      <c r="AI86" s="160">
        <f>'CALCS Time Savings'!AI$112/1000000</f>
        <v>0</v>
      </c>
      <c r="AJ86" s="160">
        <f>'CALCS Time Savings'!AJ$112/1000000</f>
        <v>0</v>
      </c>
      <c r="AK86" s="160">
        <f>'CALCS Time Savings'!AK$112/1000000</f>
        <v>0</v>
      </c>
      <c r="AL86" s="160">
        <f>'CALCS Time Savings'!AL$112/1000000</f>
        <v>0</v>
      </c>
      <c r="AM86" s="160">
        <f>'CALCS Time Savings'!AM$112/1000000</f>
        <v>0</v>
      </c>
      <c r="AN86" s="160">
        <f>'CALCS Time Savings'!AN$112/1000000</f>
        <v>0</v>
      </c>
      <c r="AO86" s="160">
        <f>'CALCS Time Savings'!AO$112/1000000</f>
        <v>0</v>
      </c>
      <c r="AP86" s="160">
        <f>'CALCS Time Savings'!AP$112/1000000</f>
        <v>0</v>
      </c>
      <c r="AQ86" s="160">
        <f>'CALCS Time Savings'!AQ$112/1000000</f>
        <v>0</v>
      </c>
      <c r="AR86" s="160">
        <f>'CALCS Time Savings'!AR$112/1000000</f>
        <v>0</v>
      </c>
    </row>
    <row r="87" spans="1:44" x14ac:dyDescent="0.2">
      <c r="B87" s="45" t="s">
        <v>14</v>
      </c>
      <c r="D87" s="160">
        <f t="shared" ref="D87:D93" si="67">SUM(F87:AR87)</f>
        <v>6.5552220592955304E-2</v>
      </c>
      <c r="E87" s="160"/>
      <c r="F87" s="160">
        <f>'CALCS Veh Op Costs'!F$78/1000000</f>
        <v>0</v>
      </c>
      <c r="G87" s="160">
        <f>'CALCS Veh Op Costs'!G$78/1000000</f>
        <v>0</v>
      </c>
      <c r="H87" s="160">
        <f>'CALCS Veh Op Costs'!H$78/1000000</f>
        <v>0</v>
      </c>
      <c r="I87" s="160">
        <f>'CALCS Veh Op Costs'!I$78/1000000</f>
        <v>0</v>
      </c>
      <c r="J87" s="160">
        <f>'CALCS Veh Op Costs'!J$78/1000000</f>
        <v>0</v>
      </c>
      <c r="K87" s="160">
        <f>'CALCS Veh Op Costs'!K$78/1000000</f>
        <v>0</v>
      </c>
      <c r="L87" s="160">
        <f>'CALCS Veh Op Costs'!L$78/1000000</f>
        <v>0</v>
      </c>
      <c r="M87" s="160">
        <f>'CALCS Veh Op Costs'!M$78/1000000</f>
        <v>0</v>
      </c>
      <c r="N87" s="160">
        <f>'CALCS Veh Op Costs'!N$78/1000000</f>
        <v>0</v>
      </c>
      <c r="O87" s="160">
        <f>'CALCS Veh Op Costs'!O$78/1000000</f>
        <v>0</v>
      </c>
      <c r="P87" s="160">
        <f>'CALCS Veh Op Costs'!P$78/1000000</f>
        <v>2.5542711383765996E-3</v>
      </c>
      <c r="Q87" s="160">
        <f>'CALCS Veh Op Costs'!Q$78/1000000</f>
        <v>2.749041371695334E-3</v>
      </c>
      <c r="R87" s="160">
        <f>'CALCS Veh Op Costs'!R$78/1000000</f>
        <v>2.9518229894447343E-3</v>
      </c>
      <c r="S87" s="160">
        <f>'CALCS Veh Op Costs'!S$78/1000000</f>
        <v>3.1619650427524805E-3</v>
      </c>
      <c r="T87" s="160">
        <f>'CALCS Veh Op Costs'!T$78/1000000</f>
        <v>3.2832588467612356E-3</v>
      </c>
      <c r="U87" s="160">
        <f>'CALCS Veh Op Costs'!U$78/1000000</f>
        <v>3.3738315019288963E-3</v>
      </c>
      <c r="V87" s="160">
        <f>'CALCS Veh Op Costs'!V$78/1000000</f>
        <v>3.4424868653871576E-3</v>
      </c>
      <c r="W87" s="160">
        <f>'CALCS Veh Op Costs'!W$78/1000000</f>
        <v>3.4781860264749692E-3</v>
      </c>
      <c r="X87" s="160">
        <f>'CALCS Veh Op Costs'!X$78/1000000</f>
        <v>3.5086998172756266E-3</v>
      </c>
      <c r="Y87" s="160">
        <f>'CALCS Veh Op Costs'!Y$78/1000000</f>
        <v>3.5224375773070435E-3</v>
      </c>
      <c r="Z87" s="160">
        <f>'CALCS Veh Op Costs'!Z$78/1000000</f>
        <v>3.5351987154272398E-3</v>
      </c>
      <c r="AA87" s="160">
        <f>'CALCS Veh Op Costs'!AA$78/1000000</f>
        <v>3.5016780920861749E-3</v>
      </c>
      <c r="AB87" s="160">
        <f>'CALCS Veh Op Costs'!AB$78/1000000</f>
        <v>3.4819785395228983E-3</v>
      </c>
      <c r="AC87" s="160">
        <f>'CALCS Veh Op Costs'!AC$78/1000000</f>
        <v>3.4472673369318899E-3</v>
      </c>
      <c r="AD87" s="160">
        <f>'CALCS Veh Op Costs'!AD$78/1000000</f>
        <v>3.3880272265316958E-3</v>
      </c>
      <c r="AE87" s="160">
        <f>'CALCS Veh Op Costs'!AE$78/1000000</f>
        <v>3.3518557038055238E-3</v>
      </c>
      <c r="AF87" s="160">
        <f>'CALCS Veh Op Costs'!AF$78/1000000</f>
        <v>3.308177558653569E-3</v>
      </c>
      <c r="AG87" s="160">
        <f>'CALCS Veh Op Costs'!AG$78/1000000</f>
        <v>3.2370316411989915E-3</v>
      </c>
      <c r="AH87" s="160">
        <f>'CALCS Veh Op Costs'!AH$78/1000000</f>
        <v>3.1771933000888956E-3</v>
      </c>
      <c r="AI87" s="160">
        <f>'CALCS Veh Op Costs'!AI$78/1000000</f>
        <v>3.0978113013043606E-3</v>
      </c>
      <c r="AJ87" s="160">
        <f>'CALCS Veh Op Costs'!AJ$78/1000000</f>
        <v>0</v>
      </c>
      <c r="AK87" s="160">
        <f>'CALCS Veh Op Costs'!AK$78/1000000</f>
        <v>0</v>
      </c>
      <c r="AL87" s="160">
        <f>'CALCS Veh Op Costs'!AL$78/1000000</f>
        <v>0</v>
      </c>
      <c r="AM87" s="160">
        <f>'CALCS Veh Op Costs'!AM$78/1000000</f>
        <v>0</v>
      </c>
      <c r="AN87" s="160">
        <f>'CALCS Veh Op Costs'!AN$78/1000000</f>
        <v>0</v>
      </c>
      <c r="AO87" s="160">
        <f>'CALCS Veh Op Costs'!AO$78/1000000</f>
        <v>0</v>
      </c>
      <c r="AP87" s="160">
        <f>'CALCS Veh Op Costs'!AP$78/1000000</f>
        <v>0</v>
      </c>
      <c r="AQ87" s="160">
        <f>'CALCS Veh Op Costs'!AQ$78/1000000</f>
        <v>0</v>
      </c>
      <c r="AR87" s="160">
        <f>'CALCS Veh Op Costs'!AR$78/1000000</f>
        <v>0</v>
      </c>
    </row>
    <row r="88" spans="1:44" x14ac:dyDescent="0.2">
      <c r="B88" s="45" t="s">
        <v>35</v>
      </c>
      <c r="D88" s="160">
        <f t="shared" si="67"/>
        <v>5.3026028953657746E-3</v>
      </c>
      <c r="E88" s="160"/>
      <c r="F88" s="160">
        <f>'CALCS Emissions'!F$100/1000000</f>
        <v>0</v>
      </c>
      <c r="G88" s="160">
        <f>'CALCS Emissions'!G$100/1000000</f>
        <v>0</v>
      </c>
      <c r="H88" s="160">
        <f>'CALCS Emissions'!H$100/1000000</f>
        <v>0</v>
      </c>
      <c r="I88" s="160">
        <f>'CALCS Emissions'!I$100/1000000</f>
        <v>0</v>
      </c>
      <c r="J88" s="160">
        <f>'CALCS Emissions'!J$100/1000000</f>
        <v>0</v>
      </c>
      <c r="K88" s="160">
        <f>'CALCS Emissions'!K$100/1000000</f>
        <v>0</v>
      </c>
      <c r="L88" s="160">
        <f>'CALCS Emissions'!L$100/1000000</f>
        <v>0</v>
      </c>
      <c r="M88" s="160">
        <f>'CALCS Emissions'!M$100/1000000</f>
        <v>0</v>
      </c>
      <c r="N88" s="160">
        <f>'CALCS Emissions'!N$100/1000000</f>
        <v>0</v>
      </c>
      <c r="O88" s="160">
        <f>'CALCS Emissions'!O$100/1000000</f>
        <v>0</v>
      </c>
      <c r="P88" s="160">
        <f>'CALCS Emissions'!P$100/1000000</f>
        <v>2.3787364736826581E-4</v>
      </c>
      <c r="Q88" s="160">
        <f>'CALCS Emissions'!Q$100/1000000</f>
        <v>2.5414951518774734E-4</v>
      </c>
      <c r="R88" s="160">
        <f>'CALCS Emissions'!R$100/1000000</f>
        <v>2.6718307661711564E-4</v>
      </c>
      <c r="S88" s="160">
        <f>'CALCS Emissions'!S$100/1000000</f>
        <v>2.73950776165256E-4</v>
      </c>
      <c r="T88" s="160">
        <f>'CALCS Emissions'!T$100/1000000</f>
        <v>2.7879540812343373E-4</v>
      </c>
      <c r="U88" s="160">
        <f>'CALCS Emissions'!U$100/1000000</f>
        <v>2.8193960665869332E-4</v>
      </c>
      <c r="V88" s="160">
        <f>'CALCS Emissions'!V$100/1000000</f>
        <v>2.8358505040386651E-4</v>
      </c>
      <c r="W88" s="160">
        <f>'CALCS Emissions'!W$100/1000000</f>
        <v>2.839142538061049E-4</v>
      </c>
      <c r="X88" s="160">
        <f>'CALCS Emissions'!X$100/1000000</f>
        <v>2.8326638849156618E-4</v>
      </c>
      <c r="Y88" s="160">
        <f>'CALCS Emissions'!Y$100/1000000</f>
        <v>2.8144769113122592E-4</v>
      </c>
      <c r="Z88" s="160">
        <f>'CALCS Emissions'!Z$100/1000000</f>
        <v>2.7876064696694553E-4</v>
      </c>
      <c r="AA88" s="160">
        <f>'CALCS Emissions'!AA$100/1000000</f>
        <v>2.7532631894258117E-4</v>
      </c>
      <c r="AB88" s="160">
        <f>'CALCS Emissions'!AB$100/1000000</f>
        <v>2.7125360330809473E-4</v>
      </c>
      <c r="AC88" s="160">
        <f>'CALCS Emissions'!AC$100/1000000</f>
        <v>2.6683793708877926E-4</v>
      </c>
      <c r="AD88" s="160">
        <f>'CALCS Emissions'!AD$100/1000000</f>
        <v>2.617752034285094E-4</v>
      </c>
      <c r="AE88" s="160">
        <f>'CALCS Emissions'!AE$100/1000000</f>
        <v>2.5633772343226389E-4</v>
      </c>
      <c r="AF88" s="160">
        <f>'CALCS Emissions'!AF$100/1000000</f>
        <v>2.505956499310326E-4</v>
      </c>
      <c r="AG88" s="160">
        <f>'CALCS Emissions'!AG$100/1000000</f>
        <v>2.4461152718461572E-4</v>
      </c>
      <c r="AH88" s="160">
        <f>'CALCS Emissions'!AH$100/1000000</f>
        <v>2.3865234317193505E-4</v>
      </c>
      <c r="AI88" s="160">
        <f>'CALCS Emissions'!AI$100/1000000</f>
        <v>2.3234652795774111E-4</v>
      </c>
      <c r="AJ88" s="160">
        <f>'CALCS Emissions'!AJ$100/1000000</f>
        <v>0</v>
      </c>
      <c r="AK88" s="160">
        <f>'CALCS Emissions'!AK$100/1000000</f>
        <v>0</v>
      </c>
      <c r="AL88" s="160">
        <f>'CALCS Emissions'!AL$100/1000000</f>
        <v>0</v>
      </c>
      <c r="AM88" s="160">
        <f>'CALCS Emissions'!AM$100/1000000</f>
        <v>0</v>
      </c>
      <c r="AN88" s="160">
        <f>'CALCS Emissions'!AN$100/1000000</f>
        <v>0</v>
      </c>
      <c r="AO88" s="160">
        <f>'CALCS Emissions'!AO$100/1000000</f>
        <v>0</v>
      </c>
      <c r="AP88" s="160">
        <f>'CALCS Emissions'!AP$100/1000000</f>
        <v>0</v>
      </c>
      <c r="AQ88" s="160">
        <f>'CALCS Emissions'!AQ$100/1000000</f>
        <v>0</v>
      </c>
      <c r="AR88" s="160">
        <f>'CALCS Emissions'!AR$100/1000000</f>
        <v>0</v>
      </c>
    </row>
    <row r="89" spans="1:44" x14ac:dyDescent="0.2">
      <c r="B89" s="45" t="s">
        <v>36</v>
      </c>
      <c r="D89" s="160">
        <f t="shared" si="67"/>
        <v>0</v>
      </c>
      <c r="E89" s="160"/>
      <c r="F89" s="160">
        <f>'CALCS Pedestrian'!F$60/1000000</f>
        <v>0</v>
      </c>
      <c r="G89" s="160">
        <f>'CALCS Pedestrian'!G$60/1000000</f>
        <v>0</v>
      </c>
      <c r="H89" s="160">
        <f>'CALCS Pedestrian'!H$60/1000000</f>
        <v>0</v>
      </c>
      <c r="I89" s="160">
        <f>'CALCS Pedestrian'!I$60/1000000</f>
        <v>0</v>
      </c>
      <c r="J89" s="160">
        <f>'CALCS Pedestrian'!J$60/1000000</f>
        <v>0</v>
      </c>
      <c r="K89" s="160">
        <f>'CALCS Pedestrian'!K$60/1000000</f>
        <v>0</v>
      </c>
      <c r="L89" s="160">
        <f>'CALCS Pedestrian'!L$60/1000000</f>
        <v>0</v>
      </c>
      <c r="M89" s="160">
        <f>'CALCS Pedestrian'!M$60/1000000</f>
        <v>0</v>
      </c>
      <c r="N89" s="160">
        <f>'CALCS Pedestrian'!N$60/1000000</f>
        <v>0</v>
      </c>
      <c r="O89" s="160">
        <f>'CALCS Pedestrian'!O$60/1000000</f>
        <v>0</v>
      </c>
      <c r="P89" s="160">
        <f>'CALCS Pedestrian'!P$60/1000000</f>
        <v>0</v>
      </c>
      <c r="Q89" s="160">
        <f>'CALCS Pedestrian'!Q$60/1000000</f>
        <v>0</v>
      </c>
      <c r="R89" s="160">
        <f>'CALCS Pedestrian'!R$60/1000000</f>
        <v>0</v>
      </c>
      <c r="S89" s="160">
        <f>'CALCS Pedestrian'!S$60/1000000</f>
        <v>0</v>
      </c>
      <c r="T89" s="160">
        <f>'CALCS Pedestrian'!T$60/1000000</f>
        <v>0</v>
      </c>
      <c r="U89" s="160">
        <f>'CALCS Pedestrian'!U$60/1000000</f>
        <v>0</v>
      </c>
      <c r="V89" s="160">
        <f>'CALCS Pedestrian'!V$60/1000000</f>
        <v>0</v>
      </c>
      <c r="W89" s="160">
        <f>'CALCS Pedestrian'!W$60/1000000</f>
        <v>0</v>
      </c>
      <c r="X89" s="160">
        <f>'CALCS Pedestrian'!X$60/1000000</f>
        <v>0</v>
      </c>
      <c r="Y89" s="160">
        <f>'CALCS Pedestrian'!Y$60/1000000</f>
        <v>0</v>
      </c>
      <c r="Z89" s="160">
        <f>'CALCS Pedestrian'!Z$60/1000000</f>
        <v>0</v>
      </c>
      <c r="AA89" s="160">
        <f>'CALCS Pedestrian'!AA$60/1000000</f>
        <v>0</v>
      </c>
      <c r="AB89" s="160">
        <f>'CALCS Pedestrian'!AB$60/1000000</f>
        <v>0</v>
      </c>
      <c r="AC89" s="160">
        <f>'CALCS Pedestrian'!AC$60/1000000</f>
        <v>0</v>
      </c>
      <c r="AD89" s="160">
        <f>'CALCS Pedestrian'!AD$60/1000000</f>
        <v>0</v>
      </c>
      <c r="AE89" s="160">
        <f>'CALCS Pedestrian'!AE$60/1000000</f>
        <v>0</v>
      </c>
      <c r="AF89" s="160">
        <f>'CALCS Pedestrian'!AF$60/1000000</f>
        <v>0</v>
      </c>
      <c r="AG89" s="160">
        <f>'CALCS Pedestrian'!AG$60/1000000</f>
        <v>0</v>
      </c>
      <c r="AH89" s="160">
        <f>'CALCS Pedestrian'!AH$60/1000000</f>
        <v>0</v>
      </c>
      <c r="AI89" s="160">
        <f>'CALCS Pedestrian'!AI$60/1000000</f>
        <v>0</v>
      </c>
      <c r="AJ89" s="160">
        <f>'CALCS Pedestrian'!AJ$60/1000000</f>
        <v>0</v>
      </c>
      <c r="AK89" s="160">
        <f>'CALCS Pedestrian'!AK$60/1000000</f>
        <v>0</v>
      </c>
      <c r="AL89" s="160">
        <f>'CALCS Pedestrian'!AL$60/1000000</f>
        <v>0</v>
      </c>
      <c r="AM89" s="160">
        <f>'CALCS Pedestrian'!AM$60/1000000</f>
        <v>0</v>
      </c>
      <c r="AN89" s="160">
        <f>'CALCS Pedestrian'!AN$60/1000000</f>
        <v>0</v>
      </c>
      <c r="AO89" s="160">
        <f>'CALCS Pedestrian'!AO$60/1000000</f>
        <v>0</v>
      </c>
      <c r="AP89" s="160">
        <f>'CALCS Pedestrian'!AP$60/1000000</f>
        <v>0</v>
      </c>
      <c r="AQ89" s="160">
        <f>'CALCS Pedestrian'!AQ$60/1000000</f>
        <v>0</v>
      </c>
      <c r="AR89" s="160">
        <f>'CALCS Pedestrian'!AR$60/1000000</f>
        <v>0</v>
      </c>
    </row>
    <row r="90" spans="1:44" x14ac:dyDescent="0.2">
      <c r="B90" s="73" t="s">
        <v>17</v>
      </c>
      <c r="D90" s="160">
        <f t="shared" si="67"/>
        <v>8.824048764376316E-2</v>
      </c>
      <c r="E90" s="160"/>
      <c r="F90" s="160">
        <f>'CALCS Bridge Hits'!F$47/1000000</f>
        <v>0</v>
      </c>
      <c r="G90" s="160">
        <f>'CALCS Bridge Hits'!G$47/1000000</f>
        <v>0</v>
      </c>
      <c r="H90" s="160">
        <f>'CALCS Bridge Hits'!H$47/1000000</f>
        <v>0</v>
      </c>
      <c r="I90" s="160">
        <f>'CALCS Bridge Hits'!I$47/1000000</f>
        <v>0</v>
      </c>
      <c r="J90" s="160">
        <f>'CALCS Bridge Hits'!J$47/1000000</f>
        <v>0</v>
      </c>
      <c r="K90" s="160">
        <f>'CALCS Bridge Hits'!K$47/1000000</f>
        <v>0</v>
      </c>
      <c r="L90" s="160">
        <f>'CALCS Bridge Hits'!L$47/1000000</f>
        <v>0</v>
      </c>
      <c r="M90" s="160">
        <f>'CALCS Bridge Hits'!M$47/1000000</f>
        <v>0</v>
      </c>
      <c r="N90" s="160">
        <f>'CALCS Bridge Hits'!N$47/1000000</f>
        <v>0</v>
      </c>
      <c r="O90" s="160">
        <f>'CALCS Bridge Hits'!O$47/1000000</f>
        <v>0</v>
      </c>
      <c r="P90" s="160">
        <f>'CALCS Bridge Hits'!P$47/1000000</f>
        <v>7.7843717735573883E-3</v>
      </c>
      <c r="Q90" s="160">
        <f>'CALCS Bridge Hits'!Q$47/1000000</f>
        <v>7.2751138070629804E-3</v>
      </c>
      <c r="R90" s="160">
        <f>'CALCS Bridge Hits'!R$47/1000000</f>
        <v>6.7991717823018506E-3</v>
      </c>
      <c r="S90" s="160">
        <f>'CALCS Bridge Hits'!S$47/1000000</f>
        <v>6.3543661516839729E-3</v>
      </c>
      <c r="T90" s="160">
        <f>'CALCS Bridge Hits'!T$47/1000000</f>
        <v>5.9386599548448332E-3</v>
      </c>
      <c r="U90" s="160">
        <f>'CALCS Bridge Hits'!U$47/1000000</f>
        <v>5.5501494905091913E-3</v>
      </c>
      <c r="V90" s="160">
        <f>'CALCS Bridge Hits'!V$47/1000000</f>
        <v>5.1870555986067201E-3</v>
      </c>
      <c r="W90" s="160">
        <f>'CALCS Bridge Hits'!W$47/1000000</f>
        <v>4.8477155127165618E-3</v>
      </c>
      <c r="X90" s="160">
        <f>'CALCS Bridge Hits'!X$47/1000000</f>
        <v>4.5305752455294963E-3</v>
      </c>
      <c r="Y90" s="160">
        <f>'CALCS Bridge Hits'!Y$47/1000000</f>
        <v>4.2341824724574737E-3</v>
      </c>
      <c r="Z90" s="160">
        <f>'CALCS Bridge Hits'!Z$47/1000000</f>
        <v>3.9571798808013771E-3</v>
      </c>
      <c r="AA90" s="160">
        <f>'CALCS Bridge Hits'!AA$47/1000000</f>
        <v>3.6982989540199781E-3</v>
      </c>
      <c r="AB90" s="160">
        <f>'CALCS Bridge Hits'!AB$47/1000000</f>
        <v>3.4563541626354936E-3</v>
      </c>
      <c r="AC90" s="160">
        <f>'CALCS Bridge Hits'!AC$47/1000000</f>
        <v>3.2302375351733591E-3</v>
      </c>
      <c r="AD90" s="160">
        <f>'CALCS Bridge Hits'!AD$47/1000000</f>
        <v>3.018913584274167E-3</v>
      </c>
      <c r="AE90" s="160">
        <f>'CALCS Bridge Hits'!AE$47/1000000</f>
        <v>2.8214145647422126E-3</v>
      </c>
      <c r="AF90" s="160">
        <f>'CALCS Bridge Hits'!AF$47/1000000</f>
        <v>2.6368360418151516E-3</v>
      </c>
      <c r="AG90" s="160">
        <f>'CALCS Bridge Hits'!AG$47/1000000</f>
        <v>2.4643327493599544E-3</v>
      </c>
      <c r="AH90" s="160">
        <f>'CALCS Bridge Hits'!AH$47/1000000</f>
        <v>2.3031147190279949E-3</v>
      </c>
      <c r="AI90" s="160">
        <f>'CALCS Bridge Hits'!AI$47/1000000</f>
        <v>2.152443662642986E-3</v>
      </c>
      <c r="AJ90" s="160">
        <f>'CALCS Bridge Hits'!AJ$47/1000000</f>
        <v>0</v>
      </c>
      <c r="AK90" s="160">
        <f>'CALCS Bridge Hits'!AK$47/1000000</f>
        <v>0</v>
      </c>
      <c r="AL90" s="160">
        <f>'CALCS Bridge Hits'!AL$47/1000000</f>
        <v>0</v>
      </c>
      <c r="AM90" s="160">
        <f>'CALCS Bridge Hits'!AM$47/1000000</f>
        <v>0</v>
      </c>
      <c r="AN90" s="160">
        <f>'CALCS Bridge Hits'!AN$47/1000000</f>
        <v>0</v>
      </c>
      <c r="AO90" s="160">
        <f>'CALCS Bridge Hits'!AO$47/1000000</f>
        <v>0</v>
      </c>
      <c r="AP90" s="160">
        <f>'CALCS Bridge Hits'!AP$47/1000000</f>
        <v>0</v>
      </c>
      <c r="AQ90" s="160">
        <f>'CALCS Bridge Hits'!AQ$47/1000000</f>
        <v>0</v>
      </c>
      <c r="AR90" s="160">
        <f>'CALCS Bridge Hits'!AR$47/1000000</f>
        <v>0</v>
      </c>
    </row>
    <row r="91" spans="1:44" x14ac:dyDescent="0.2">
      <c r="B91" s="73" t="s">
        <v>18</v>
      </c>
      <c r="D91" s="160">
        <f>SUM(F91:AR91)</f>
        <v>20.835654654384108</v>
      </c>
      <c r="E91" s="160"/>
      <c r="F91" s="160">
        <f>'CALCS Residual Value'!F$56/1000000</f>
        <v>0</v>
      </c>
      <c r="G91" s="160">
        <f>'CALCS Residual Value'!G$56/1000000</f>
        <v>0</v>
      </c>
      <c r="H91" s="160">
        <f>'CALCS Residual Value'!H$56/1000000</f>
        <v>0</v>
      </c>
      <c r="I91" s="160">
        <f>'CALCS Residual Value'!I$56/1000000</f>
        <v>0</v>
      </c>
      <c r="J91" s="160">
        <f>'CALCS Residual Value'!J$56/1000000</f>
        <v>0</v>
      </c>
      <c r="K91" s="160">
        <f>'CALCS Residual Value'!K$56/1000000</f>
        <v>0</v>
      </c>
      <c r="L91" s="160">
        <f>'CALCS Residual Value'!L$56/1000000</f>
        <v>0</v>
      </c>
      <c r="M91" s="160">
        <f>'CALCS Residual Value'!M$56/1000000</f>
        <v>0</v>
      </c>
      <c r="N91" s="160">
        <f>'CALCS Residual Value'!N$56/1000000</f>
        <v>0</v>
      </c>
      <c r="O91" s="160">
        <f>'CALCS Residual Value'!O$56/1000000</f>
        <v>0</v>
      </c>
      <c r="P91" s="160">
        <f>'CALCS Residual Value'!P$56/1000000</f>
        <v>0</v>
      </c>
      <c r="Q91" s="160">
        <f>'CALCS Residual Value'!Q$56/1000000</f>
        <v>0</v>
      </c>
      <c r="R91" s="160">
        <f>'CALCS Residual Value'!R$56/1000000</f>
        <v>0</v>
      </c>
      <c r="S91" s="160">
        <f>'CALCS Residual Value'!S$56/1000000</f>
        <v>0</v>
      </c>
      <c r="T91" s="160">
        <f>'CALCS Residual Value'!T$56/1000000</f>
        <v>0</v>
      </c>
      <c r="U91" s="160">
        <f>'CALCS Residual Value'!U$56/1000000</f>
        <v>0</v>
      </c>
      <c r="V91" s="160">
        <f>'CALCS Residual Value'!V$56/1000000</f>
        <v>0</v>
      </c>
      <c r="W91" s="160">
        <f>'CALCS Residual Value'!W$56/1000000</f>
        <v>0</v>
      </c>
      <c r="X91" s="160">
        <f>'CALCS Residual Value'!X$56/1000000</f>
        <v>0</v>
      </c>
      <c r="Y91" s="160">
        <f>'CALCS Residual Value'!Y$56/1000000</f>
        <v>0</v>
      </c>
      <c r="Z91" s="160">
        <f>'CALCS Residual Value'!Z$56/1000000</f>
        <v>0</v>
      </c>
      <c r="AA91" s="160">
        <f>'CALCS Residual Value'!AA$56/1000000</f>
        <v>0</v>
      </c>
      <c r="AB91" s="160">
        <f>'CALCS Residual Value'!AB$56/1000000</f>
        <v>0</v>
      </c>
      <c r="AC91" s="160">
        <f>'CALCS Residual Value'!AC$56/1000000</f>
        <v>0</v>
      </c>
      <c r="AD91" s="160">
        <f>'CALCS Residual Value'!AD$56/1000000</f>
        <v>0</v>
      </c>
      <c r="AE91" s="160">
        <f>'CALCS Residual Value'!AE$56/1000000</f>
        <v>0</v>
      </c>
      <c r="AF91" s="160">
        <f>'CALCS Residual Value'!AF$56/1000000</f>
        <v>0</v>
      </c>
      <c r="AG91" s="160">
        <f>'CALCS Residual Value'!AG$56/1000000</f>
        <v>0</v>
      </c>
      <c r="AH91" s="160">
        <f>'CALCS Residual Value'!AH$56/1000000</f>
        <v>0</v>
      </c>
      <c r="AI91" s="160">
        <f>'CALCS Residual Value'!AI$56/1000000</f>
        <v>20.835654654384108</v>
      </c>
      <c r="AJ91" s="160">
        <f>'CALCS Residual Value'!AJ$56/1000000</f>
        <v>0</v>
      </c>
      <c r="AK91" s="160">
        <f>'CALCS Residual Value'!AK$56/1000000</f>
        <v>0</v>
      </c>
      <c r="AL91" s="160">
        <f>'CALCS Residual Value'!AL$56/1000000</f>
        <v>0</v>
      </c>
      <c r="AM91" s="160">
        <f>'CALCS Residual Value'!AM$56/1000000</f>
        <v>0</v>
      </c>
      <c r="AN91" s="160">
        <f>'CALCS Residual Value'!AN$56/1000000</f>
        <v>0</v>
      </c>
      <c r="AO91" s="160">
        <f>'CALCS Residual Value'!AO$56/1000000</f>
        <v>0</v>
      </c>
      <c r="AP91" s="160">
        <f>'CALCS Residual Value'!AP$56/1000000</f>
        <v>0</v>
      </c>
      <c r="AQ91" s="160">
        <f>'CALCS Residual Value'!AQ$56/1000000</f>
        <v>0</v>
      </c>
      <c r="AR91" s="160">
        <f>'CALCS Residual Value'!AR$56/1000000</f>
        <v>0</v>
      </c>
    </row>
    <row r="92" spans="1:44" x14ac:dyDescent="0.2">
      <c r="B92" s="73" t="s">
        <v>19</v>
      </c>
      <c r="D92" s="160">
        <f>SUM(F92:AR92)</f>
        <v>229.95276143034124</v>
      </c>
      <c r="E92" s="160"/>
      <c r="F92" s="160">
        <f>'CALCS Avoided Detour'!F$68/1000000</f>
        <v>0</v>
      </c>
      <c r="G92" s="160">
        <f>'CALCS Avoided Detour'!G$68/1000000</f>
        <v>0</v>
      </c>
      <c r="H92" s="160">
        <f>'CALCS Avoided Detour'!H$68/1000000</f>
        <v>0</v>
      </c>
      <c r="I92" s="160">
        <f>'CALCS Avoided Detour'!I$68/1000000</f>
        <v>0</v>
      </c>
      <c r="J92" s="160">
        <f>'CALCS Avoided Detour'!J$68/1000000</f>
        <v>0</v>
      </c>
      <c r="K92" s="160">
        <f>'CALCS Avoided Detour'!K$68/1000000</f>
        <v>0</v>
      </c>
      <c r="L92" s="160">
        <f>'CALCS Avoided Detour'!L$68/1000000</f>
        <v>0</v>
      </c>
      <c r="M92" s="160">
        <f>'CALCS Avoided Detour'!M$68/1000000</f>
        <v>0</v>
      </c>
      <c r="N92" s="160">
        <f>'CALCS Avoided Detour'!N$68/1000000</f>
        <v>0</v>
      </c>
      <c r="O92" s="160">
        <f>'CALCS Avoided Detour'!O$68/1000000</f>
        <v>0</v>
      </c>
      <c r="P92" s="160">
        <f>'CALCS Avoided Detour'!P$68/1000000</f>
        <v>4.1291413709330912E-2</v>
      </c>
      <c r="Q92" s="160">
        <f>'CALCS Avoided Detour'!Q$68/1000000</f>
        <v>4.0169159257120522E-2</v>
      </c>
      <c r="R92" s="160">
        <f>'CALCS Avoided Detour'!R$68/1000000</f>
        <v>3.9077406426006774E-2</v>
      </c>
      <c r="S92" s="160">
        <f>'CALCS Avoided Detour'!S$68/1000000</f>
        <v>3.8015326216035414E-2</v>
      </c>
      <c r="T92" s="160">
        <f>'CALCS Avoided Detour'!T$68/1000000</f>
        <v>3.6982112158543939E-2</v>
      </c>
      <c r="U92" s="160">
        <f>'CALCS Avoided Detour'!U$68/1000000</f>
        <v>2.6386537150048879</v>
      </c>
      <c r="V92" s="160">
        <f>'CALCS Avoided Detour'!V$68/1000000</f>
        <v>2.5669380575960319</v>
      </c>
      <c r="W92" s="160">
        <f>'CALCS Avoided Detour'!W$68/1000000</f>
        <v>2.4971715515624919</v>
      </c>
      <c r="X92" s="160">
        <f>'CALCS Avoided Detour'!X$68/1000000</f>
        <v>2.4293012211494447</v>
      </c>
      <c r="Y92" s="160">
        <f>'CALCS Avoided Detour'!Y$68/1000000</f>
        <v>2.3632755304238438</v>
      </c>
      <c r="Z92" s="160">
        <f>'CALCS Avoided Detour'!Z$68/1000000</f>
        <v>24.517474575453775</v>
      </c>
      <c r="AA92" s="160">
        <f>'CALCS Avoided Detour'!AA$68/1000000</f>
        <v>23.851117032141079</v>
      </c>
      <c r="AB92" s="160">
        <f>'CALCS Avoided Detour'!AB$68/1000000</f>
        <v>23.202870341728957</v>
      </c>
      <c r="AC92" s="160">
        <f>'CALCS Avoided Detour'!AC$68/1000000</f>
        <v>22.572242271487291</v>
      </c>
      <c r="AD92" s="160">
        <f>'CALCS Avoided Detour'!AD$68/1000000</f>
        <v>21.958753967021131</v>
      </c>
      <c r="AE92" s="160">
        <f>'CALCS Avoided Detour'!AE$68/1000000</f>
        <v>21.361939588662533</v>
      </c>
      <c r="AF92" s="160">
        <f>'CALCS Avoided Detour'!AF$68/1000000</f>
        <v>20.781345957744822</v>
      </c>
      <c r="AG92" s="160">
        <f>'CALCS Avoided Detour'!AG$68/1000000</f>
        <v>20.216532212490726</v>
      </c>
      <c r="AH92" s="160">
        <f>'CALCS Avoided Detour'!AH$68/1000000</f>
        <v>19.667069473253115</v>
      </c>
      <c r="AI92" s="160">
        <f>'CALCS Avoided Detour'!AI$68/1000000</f>
        <v>19.132540516854085</v>
      </c>
      <c r="AJ92" s="160">
        <f>'CALCS Avoided Detour'!AJ$68/1000000</f>
        <v>0</v>
      </c>
      <c r="AK92" s="160">
        <f>'CALCS Avoided Detour'!AK$68/1000000</f>
        <v>0</v>
      </c>
      <c r="AL92" s="160">
        <f>'CALCS Avoided Detour'!AL$68/1000000</f>
        <v>0</v>
      </c>
      <c r="AM92" s="160">
        <f>'CALCS Avoided Detour'!AM$68/1000000</f>
        <v>0</v>
      </c>
      <c r="AN92" s="160">
        <f>'CALCS Avoided Detour'!AN$68/1000000</f>
        <v>0</v>
      </c>
      <c r="AO92" s="160">
        <f>'CALCS Avoided Detour'!AO$68/1000000</f>
        <v>0</v>
      </c>
      <c r="AP92" s="160">
        <f>'CALCS Avoided Detour'!AP$68/1000000</f>
        <v>0</v>
      </c>
      <c r="AQ92" s="160">
        <f>'CALCS Avoided Detour'!AQ$68/1000000</f>
        <v>0</v>
      </c>
      <c r="AR92" s="160">
        <f>'CALCS Avoided Detour'!AR$68/1000000</f>
        <v>0</v>
      </c>
    </row>
    <row r="93" spans="1:44" ht="15.75" thickBot="1" x14ac:dyDescent="0.3">
      <c r="B93" s="142" t="s">
        <v>26</v>
      </c>
      <c r="C93" s="144"/>
      <c r="D93" s="161">
        <f t="shared" si="67"/>
        <v>336.51480592532459</v>
      </c>
      <c r="E93" s="161"/>
      <c r="F93" s="161">
        <f t="shared" ref="F93:AR93" si="68">SUM(F84:F92)</f>
        <v>0</v>
      </c>
      <c r="G93" s="161">
        <f t="shared" si="68"/>
        <v>0</v>
      </c>
      <c r="H93" s="161">
        <f t="shared" si="68"/>
        <v>0</v>
      </c>
      <c r="I93" s="161">
        <f t="shared" si="68"/>
        <v>0</v>
      </c>
      <c r="J93" s="161">
        <f t="shared" si="68"/>
        <v>0</v>
      </c>
      <c r="K93" s="161">
        <f t="shared" si="68"/>
        <v>0</v>
      </c>
      <c r="L93" s="161">
        <f t="shared" si="68"/>
        <v>0</v>
      </c>
      <c r="M93" s="161">
        <f t="shared" si="68"/>
        <v>0</v>
      </c>
      <c r="N93" s="161">
        <f t="shared" si="68"/>
        <v>0</v>
      </c>
      <c r="O93" s="161">
        <f t="shared" si="68"/>
        <v>0</v>
      </c>
      <c r="P93" s="161">
        <f t="shared" si="68"/>
        <v>5.501029232913301</v>
      </c>
      <c r="Q93" s="161">
        <f t="shared" si="68"/>
        <v>5.3597606918620802</v>
      </c>
      <c r="R93" s="161">
        <f t="shared" si="68"/>
        <v>5.2213174176368993</v>
      </c>
      <c r="S93" s="161">
        <f t="shared" si="68"/>
        <v>5.085719106427784</v>
      </c>
      <c r="T93" s="161">
        <f t="shared" si="68"/>
        <v>4.9528879258014964</v>
      </c>
      <c r="U93" s="161">
        <f t="shared" si="68"/>
        <v>7.4255646212676805</v>
      </c>
      <c r="V93" s="161">
        <f t="shared" si="68"/>
        <v>7.2276650542502114</v>
      </c>
      <c r="W93" s="161">
        <f t="shared" si="68"/>
        <v>7.0345070085157975</v>
      </c>
      <c r="X93" s="161">
        <f t="shared" si="68"/>
        <v>6.8460518803115846</v>
      </c>
      <c r="Y93" s="161">
        <f t="shared" si="68"/>
        <v>6.6622173187701783</v>
      </c>
      <c r="Z93" s="161">
        <f t="shared" si="68"/>
        <v>28.701375814007804</v>
      </c>
      <c r="AA93" s="161">
        <f t="shared" si="68"/>
        <v>27.922673033701965</v>
      </c>
      <c r="AB93" s="161">
        <f t="shared" si="68"/>
        <v>27.164805201619039</v>
      </c>
      <c r="AC93" s="161">
        <f t="shared" si="68"/>
        <v>26.42721697895254</v>
      </c>
      <c r="AD93" s="161">
        <f t="shared" si="68"/>
        <v>25.709382404955377</v>
      </c>
      <c r="AE93" s="161">
        <f t="shared" si="68"/>
        <v>25.01084389336765</v>
      </c>
      <c r="AF93" s="161">
        <f t="shared" si="68"/>
        <v>24.33107616188596</v>
      </c>
      <c r="AG93" s="161">
        <f t="shared" si="68"/>
        <v>23.669575186053134</v>
      </c>
      <c r="AH93" s="161">
        <f t="shared" si="68"/>
        <v>23.025906485764924</v>
      </c>
      <c r="AI93" s="161">
        <f t="shared" si="68"/>
        <v>43.235230507259125</v>
      </c>
      <c r="AJ93" s="161">
        <f t="shared" si="68"/>
        <v>0</v>
      </c>
      <c r="AK93" s="161">
        <f t="shared" si="68"/>
        <v>0</v>
      </c>
      <c r="AL93" s="161">
        <f t="shared" si="68"/>
        <v>0</v>
      </c>
      <c r="AM93" s="161">
        <f t="shared" si="68"/>
        <v>0</v>
      </c>
      <c r="AN93" s="161">
        <f t="shared" si="68"/>
        <v>0</v>
      </c>
      <c r="AO93" s="161">
        <f t="shared" si="68"/>
        <v>0</v>
      </c>
      <c r="AP93" s="161">
        <f t="shared" si="68"/>
        <v>0</v>
      </c>
      <c r="AQ93" s="161">
        <f t="shared" si="68"/>
        <v>0</v>
      </c>
      <c r="AR93" s="162">
        <f t="shared" si="68"/>
        <v>0</v>
      </c>
    </row>
    <row r="94" spans="1:44" ht="15" thickBot="1" x14ac:dyDescent="0.25">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row>
    <row r="95" spans="1:44" ht="18" thickBot="1" x14ac:dyDescent="0.35">
      <c r="B95" s="47" t="s">
        <v>37</v>
      </c>
      <c r="C95" s="48"/>
      <c r="D95" s="48" t="s">
        <v>34</v>
      </c>
      <c r="E95" s="48"/>
      <c r="F95" s="72">
        <f t="shared" ref="F95:AR95" si="69">F83</f>
        <v>2018</v>
      </c>
      <c r="G95" s="72">
        <f t="shared" si="69"/>
        <v>2019</v>
      </c>
      <c r="H95" s="72">
        <f t="shared" si="69"/>
        <v>2020</v>
      </c>
      <c r="I95" s="72">
        <f t="shared" si="69"/>
        <v>2021</v>
      </c>
      <c r="J95" s="72">
        <f t="shared" si="69"/>
        <v>2022</v>
      </c>
      <c r="K95" s="72">
        <f t="shared" si="69"/>
        <v>2023</v>
      </c>
      <c r="L95" s="72">
        <f t="shared" si="69"/>
        <v>2024</v>
      </c>
      <c r="M95" s="72">
        <f t="shared" si="69"/>
        <v>2025</v>
      </c>
      <c r="N95" s="72">
        <f t="shared" si="69"/>
        <v>2026</v>
      </c>
      <c r="O95" s="72">
        <f t="shared" si="69"/>
        <v>2027</v>
      </c>
      <c r="P95" s="72">
        <f t="shared" si="69"/>
        <v>2028</v>
      </c>
      <c r="Q95" s="72">
        <f t="shared" si="69"/>
        <v>2029</v>
      </c>
      <c r="R95" s="72">
        <f t="shared" si="69"/>
        <v>2030</v>
      </c>
      <c r="S95" s="72">
        <f t="shared" si="69"/>
        <v>2031</v>
      </c>
      <c r="T95" s="72">
        <f t="shared" si="69"/>
        <v>2032</v>
      </c>
      <c r="U95" s="72">
        <f t="shared" si="69"/>
        <v>2033</v>
      </c>
      <c r="V95" s="72">
        <f t="shared" si="69"/>
        <v>2034</v>
      </c>
      <c r="W95" s="72">
        <f t="shared" si="69"/>
        <v>2035</v>
      </c>
      <c r="X95" s="72">
        <f t="shared" si="69"/>
        <v>2036</v>
      </c>
      <c r="Y95" s="72">
        <f t="shared" si="69"/>
        <v>2037</v>
      </c>
      <c r="Z95" s="72">
        <f t="shared" si="69"/>
        <v>2038</v>
      </c>
      <c r="AA95" s="72">
        <f t="shared" si="69"/>
        <v>2039</v>
      </c>
      <c r="AB95" s="72">
        <f t="shared" si="69"/>
        <v>2040</v>
      </c>
      <c r="AC95" s="72">
        <f t="shared" si="69"/>
        <v>2041</v>
      </c>
      <c r="AD95" s="72">
        <f t="shared" si="69"/>
        <v>2042</v>
      </c>
      <c r="AE95" s="72">
        <f t="shared" si="69"/>
        <v>2043</v>
      </c>
      <c r="AF95" s="72">
        <f t="shared" si="69"/>
        <v>2044</v>
      </c>
      <c r="AG95" s="72">
        <f t="shared" si="69"/>
        <v>2045</v>
      </c>
      <c r="AH95" s="72">
        <f t="shared" si="69"/>
        <v>2046</v>
      </c>
      <c r="AI95" s="72">
        <f t="shared" si="69"/>
        <v>2047</v>
      </c>
      <c r="AJ95" s="72">
        <f t="shared" si="69"/>
        <v>2048</v>
      </c>
      <c r="AK95" s="72">
        <f t="shared" si="69"/>
        <v>2049</v>
      </c>
      <c r="AL95" s="72">
        <f t="shared" si="69"/>
        <v>2050</v>
      </c>
      <c r="AM95" s="72">
        <f t="shared" si="69"/>
        <v>2051</v>
      </c>
      <c r="AN95" s="72">
        <f t="shared" si="69"/>
        <v>2052</v>
      </c>
      <c r="AO95" s="72">
        <f t="shared" si="69"/>
        <v>2053</v>
      </c>
      <c r="AP95" s="72">
        <f t="shared" si="69"/>
        <v>2054</v>
      </c>
      <c r="AQ95" s="72">
        <f t="shared" si="69"/>
        <v>2055</v>
      </c>
      <c r="AR95" s="143">
        <f t="shared" si="69"/>
        <v>2056</v>
      </c>
    </row>
    <row r="96" spans="1:44" x14ac:dyDescent="0.2">
      <c r="B96" s="50" t="s">
        <v>23</v>
      </c>
      <c r="D96" s="160">
        <f>SUM(F96:AR96)</f>
        <v>-154.97202848195451</v>
      </c>
      <c r="E96" s="160"/>
      <c r="F96" s="160">
        <f>-'CALCS Project Costs'!F$69/1000000</f>
        <v>0</v>
      </c>
      <c r="G96" s="160">
        <f>-'CALCS Project Costs'!G$69/1000000</f>
        <v>0</v>
      </c>
      <c r="H96" s="160">
        <f>-'CALCS Project Costs'!H$69/1000000</f>
        <v>0</v>
      </c>
      <c r="I96" s="160">
        <f>-'CALCS Project Costs'!I$69/1000000</f>
        <v>0</v>
      </c>
      <c r="J96" s="160">
        <f>-'CALCS Project Costs'!J$69/1000000</f>
        <v>-2.6964907664123614</v>
      </c>
      <c r="K96" s="160">
        <f>-'CALCS Project Costs'!K$69/1000000</f>
        <v>0</v>
      </c>
      <c r="L96" s="160">
        <f>-'CALCS Project Costs'!L$69/1000000</f>
        <v>-9.2006205826477796</v>
      </c>
      <c r="M96" s="160">
        <f>-'CALCS Project Costs'!M$69/1000000</f>
        <v>-49.399159410751679</v>
      </c>
      <c r="N96" s="160">
        <f>-'CALCS Project Costs'!N$69/1000000</f>
        <v>-51.951051901622385</v>
      </c>
      <c r="O96" s="160">
        <f>-'CALCS Project Costs'!O$69/1000000</f>
        <v>-41.72470582052032</v>
      </c>
      <c r="P96" s="160">
        <f>-'CALCS Project Costs'!P$69/1000000</f>
        <v>0</v>
      </c>
      <c r="Q96" s="160">
        <f>-'CALCS Project Costs'!Q$69/1000000</f>
        <v>0</v>
      </c>
      <c r="R96" s="160">
        <f>-'CALCS Project Costs'!R$69/1000000</f>
        <v>0</v>
      </c>
      <c r="S96" s="160">
        <f>-'CALCS Project Costs'!S$69/1000000</f>
        <v>0</v>
      </c>
      <c r="T96" s="160">
        <f>-'CALCS Project Costs'!T$69/1000000</f>
        <v>0</v>
      </c>
      <c r="U96" s="160">
        <f>-'CALCS Project Costs'!U$69/1000000</f>
        <v>0</v>
      </c>
      <c r="V96" s="160">
        <f>-'CALCS Project Costs'!V$69/1000000</f>
        <v>0</v>
      </c>
      <c r="W96" s="160">
        <f>-'CALCS Project Costs'!W$69/1000000</f>
        <v>0</v>
      </c>
      <c r="X96" s="160">
        <f>-'CALCS Project Costs'!X$69/1000000</f>
        <v>0</v>
      </c>
      <c r="Y96" s="160">
        <f>-'CALCS Project Costs'!Y$69/1000000</f>
        <v>0</v>
      </c>
      <c r="Z96" s="160">
        <f>-'CALCS Project Costs'!Z$69/1000000</f>
        <v>0</v>
      </c>
      <c r="AA96" s="160">
        <f>-'CALCS Project Costs'!AA$69/1000000</f>
        <v>0</v>
      </c>
      <c r="AB96" s="160">
        <f>-'CALCS Project Costs'!AB$69/1000000</f>
        <v>0</v>
      </c>
      <c r="AC96" s="160">
        <f>-'CALCS Project Costs'!AC$69/1000000</f>
        <v>0</v>
      </c>
      <c r="AD96" s="160">
        <f>-'CALCS Project Costs'!AD$69/1000000</f>
        <v>0</v>
      </c>
      <c r="AE96" s="160">
        <f>-'CALCS Project Costs'!AE$69/1000000</f>
        <v>0</v>
      </c>
      <c r="AF96" s="160">
        <f>-'CALCS Project Costs'!AF$69/1000000</f>
        <v>0</v>
      </c>
      <c r="AG96" s="160">
        <f>-'CALCS Project Costs'!AG$69/1000000</f>
        <v>0</v>
      </c>
      <c r="AH96" s="160">
        <f>-'CALCS Project Costs'!AH$69/1000000</f>
        <v>0</v>
      </c>
      <c r="AI96" s="160">
        <f>-'CALCS Project Costs'!AI$69/1000000</f>
        <v>0</v>
      </c>
      <c r="AJ96" s="160">
        <f>-'CALCS Project Costs'!AJ$69/1000000</f>
        <v>0</v>
      </c>
      <c r="AK96" s="160">
        <f>-'CALCS Project Costs'!AK$69/1000000</f>
        <v>0</v>
      </c>
      <c r="AL96" s="160">
        <f>-'CALCS Project Costs'!AL$69/1000000</f>
        <v>0</v>
      </c>
      <c r="AM96" s="160">
        <f>-'CALCS Project Costs'!AM$69/1000000</f>
        <v>0</v>
      </c>
      <c r="AN96" s="160">
        <f>-'CALCS Project Costs'!AN$69/1000000</f>
        <v>0</v>
      </c>
      <c r="AO96" s="160">
        <f>-'CALCS Project Costs'!AO$69/1000000</f>
        <v>0</v>
      </c>
      <c r="AP96" s="160">
        <f>-'CALCS Project Costs'!AP$69/1000000</f>
        <v>0</v>
      </c>
      <c r="AQ96" s="160">
        <f>-'CALCS Project Costs'!AQ$69/1000000</f>
        <v>0</v>
      </c>
      <c r="AR96" s="160">
        <f>-'CALCS Project Costs'!AR$69/1000000</f>
        <v>0</v>
      </c>
    </row>
    <row r="97" spans="2:44" ht="15" thickBot="1" x14ac:dyDescent="0.25">
      <c r="B97" s="148" t="s">
        <v>24</v>
      </c>
      <c r="D97" s="160">
        <f>SUM(F97:AR97)</f>
        <v>6.8255557769490496</v>
      </c>
      <c r="E97" s="160"/>
      <c r="F97" s="160">
        <f>-'CALCS Project Costs'!F$74/1000000</f>
        <v>0</v>
      </c>
      <c r="G97" s="160">
        <f>-'CALCS Project Costs'!G$74/1000000</f>
        <v>0</v>
      </c>
      <c r="H97" s="160">
        <f>-'CALCS Project Costs'!H$74/1000000</f>
        <v>0</v>
      </c>
      <c r="I97" s="160">
        <f>-'CALCS Project Costs'!I$74/1000000</f>
        <v>0</v>
      </c>
      <c r="J97" s="160">
        <f>-'CALCS Project Costs'!J$74/1000000</f>
        <v>0</v>
      </c>
      <c r="K97" s="160">
        <f>-'CALCS Project Costs'!K$74/1000000</f>
        <v>0</v>
      </c>
      <c r="L97" s="160">
        <f>-'CALCS Project Costs'!L$74/1000000</f>
        <v>0</v>
      </c>
      <c r="M97" s="160">
        <f>-'CALCS Project Costs'!M$74/1000000</f>
        <v>0</v>
      </c>
      <c r="N97" s="160">
        <f>-'CALCS Project Costs'!N$74/1000000</f>
        <v>0</v>
      </c>
      <c r="O97" s="160">
        <f>-'CALCS Project Costs'!O$74/1000000</f>
        <v>0</v>
      </c>
      <c r="P97" s="160">
        <f>-'CALCS Project Costs'!P$74/1000000</f>
        <v>6.7634261005573908</v>
      </c>
      <c r="Q97" s="160">
        <f>-'CALCS Project Costs'!Q$74/1000000</f>
        <v>1.4908898450229189E-2</v>
      </c>
      <c r="R97" s="160">
        <f>-'CALCS Project Costs'!R$74/1000000</f>
        <v>2.3222583255808709E-2</v>
      </c>
      <c r="S97" s="160">
        <f>-'CALCS Project Costs'!S$74/1000000</f>
        <v>1.302200930232264E-2</v>
      </c>
      <c r="T97" s="160">
        <f>-'CALCS Project Costs'!T$74/1000000</f>
        <v>2.0283503586172334E-2</v>
      </c>
      <c r="U97" s="160">
        <f>-'CALCS Project Costs'!U$74/1000000</f>
        <v>1.1373927244582619E-2</v>
      </c>
      <c r="V97" s="160">
        <f>-'CALCS Project Costs'!V$74/1000000</f>
        <v>1.771639757723149E-2</v>
      </c>
      <c r="W97" s="160">
        <f>-'CALCS Project Costs'!W$74/1000000</f>
        <v>9.9344285479802761E-3</v>
      </c>
      <c r="X97" s="160">
        <f>-'CALCS Project Costs'!X$74/1000000</f>
        <v>0</v>
      </c>
      <c r="Y97" s="160">
        <f>-'CALCS Project Costs'!Y$74/1000000</f>
        <v>0</v>
      </c>
      <c r="Z97" s="160">
        <f>-'CALCS Project Costs'!Z$74/1000000</f>
        <v>0</v>
      </c>
      <c r="AA97" s="160">
        <f>-'CALCS Project Costs'!AA$74/1000000</f>
        <v>0</v>
      </c>
      <c r="AB97" s="160">
        <f>-'CALCS Project Costs'!AB$74/1000000</f>
        <v>4.9581771790445622E-2</v>
      </c>
      <c r="AC97" s="160">
        <f>-'CALCS Project Costs'!AC$74/1000000</f>
        <v>0</v>
      </c>
      <c r="AD97" s="160">
        <f>-'CALCS Project Costs'!AD$74/1000000</f>
        <v>0</v>
      </c>
      <c r="AE97" s="160">
        <f>-'CALCS Project Costs'!AE$74/1000000</f>
        <v>0</v>
      </c>
      <c r="AF97" s="160">
        <f>-'CALCS Project Costs'!AF$74/1000000</f>
        <v>0</v>
      </c>
      <c r="AG97" s="160">
        <f>-'CALCS Project Costs'!AG$74/1000000</f>
        <v>-9.7913843363114081E-2</v>
      </c>
      <c r="AH97" s="160">
        <f>-'CALCS Project Costs'!AH$74/1000000</f>
        <v>0</v>
      </c>
      <c r="AI97" s="160">
        <f>-'CALCS Project Costs'!AI$74/1000000</f>
        <v>0</v>
      </c>
      <c r="AJ97" s="160">
        <f>-'CALCS Project Costs'!AJ$74/1000000</f>
        <v>0</v>
      </c>
      <c r="AK97" s="160">
        <f>-'CALCS Project Costs'!AK$74/1000000</f>
        <v>0</v>
      </c>
      <c r="AL97" s="160">
        <f>-'CALCS Project Costs'!AL$74/1000000</f>
        <v>0</v>
      </c>
      <c r="AM97" s="160">
        <f>-'CALCS Project Costs'!AM$74/1000000</f>
        <v>0</v>
      </c>
      <c r="AN97" s="160">
        <f>-'CALCS Project Costs'!AN$74/1000000</f>
        <v>0</v>
      </c>
      <c r="AO97" s="160">
        <f>-'CALCS Project Costs'!AO$74/1000000</f>
        <v>0</v>
      </c>
      <c r="AP97" s="160">
        <f>-'CALCS Project Costs'!AP$74/1000000</f>
        <v>0</v>
      </c>
      <c r="AQ97" s="160">
        <f>-'CALCS Project Costs'!AQ$74/1000000</f>
        <v>0</v>
      </c>
      <c r="AR97" s="160">
        <f>-'CALCS Project Costs'!AR$74/1000000</f>
        <v>0</v>
      </c>
    </row>
    <row r="98" spans="2:44" ht="15.75" thickBot="1" x14ac:dyDescent="0.3">
      <c r="B98" s="149" t="s">
        <v>27</v>
      </c>
      <c r="C98" s="147"/>
      <c r="D98" s="163">
        <f t="shared" ref="D98" si="70">SUM(F98:AR98)</f>
        <v>-148.14647270500546</v>
      </c>
      <c r="E98" s="163"/>
      <c r="F98" s="163">
        <f>SUM(F96:F97)</f>
        <v>0</v>
      </c>
      <c r="G98" s="163">
        <f t="shared" ref="G98" si="71">SUM(G96:G97)</f>
        <v>0</v>
      </c>
      <c r="H98" s="163">
        <f t="shared" ref="H98" si="72">SUM(H96:H97)</f>
        <v>0</v>
      </c>
      <c r="I98" s="163">
        <f t="shared" ref="I98" si="73">SUM(I96:I97)</f>
        <v>0</v>
      </c>
      <c r="J98" s="163">
        <f t="shared" ref="J98" si="74">SUM(J96:J97)</f>
        <v>-2.6964907664123614</v>
      </c>
      <c r="K98" s="163">
        <f t="shared" ref="K98" si="75">SUM(K96:K97)</f>
        <v>0</v>
      </c>
      <c r="L98" s="163">
        <f t="shared" ref="L98" si="76">SUM(L96:L97)</f>
        <v>-9.2006205826477796</v>
      </c>
      <c r="M98" s="163">
        <f t="shared" ref="M98" si="77">SUM(M96:M97)</f>
        <v>-49.399159410751679</v>
      </c>
      <c r="N98" s="163">
        <f t="shared" ref="N98" si="78">SUM(N96:N97)</f>
        <v>-51.951051901622385</v>
      </c>
      <c r="O98" s="163">
        <f t="shared" ref="O98" si="79">SUM(O96:O97)</f>
        <v>-41.72470582052032</v>
      </c>
      <c r="P98" s="163">
        <f t="shared" ref="P98" si="80">SUM(P96:P97)</f>
        <v>6.7634261005573908</v>
      </c>
      <c r="Q98" s="163">
        <f t="shared" ref="Q98" si="81">SUM(Q96:Q97)</f>
        <v>1.4908898450229189E-2</v>
      </c>
      <c r="R98" s="163">
        <f t="shared" ref="R98" si="82">SUM(R96:R97)</f>
        <v>2.3222583255808709E-2</v>
      </c>
      <c r="S98" s="163">
        <f t="shared" ref="S98" si="83">SUM(S96:S97)</f>
        <v>1.302200930232264E-2</v>
      </c>
      <c r="T98" s="163">
        <f t="shared" ref="T98" si="84">SUM(T96:T97)</f>
        <v>2.0283503586172334E-2</v>
      </c>
      <c r="U98" s="163">
        <f t="shared" ref="U98" si="85">SUM(U96:U97)</f>
        <v>1.1373927244582619E-2</v>
      </c>
      <c r="V98" s="163">
        <f t="shared" ref="V98" si="86">SUM(V96:V97)</f>
        <v>1.771639757723149E-2</v>
      </c>
      <c r="W98" s="163">
        <f t="shared" ref="W98" si="87">SUM(W96:W97)</f>
        <v>9.9344285479802761E-3</v>
      </c>
      <c r="X98" s="163">
        <f t="shared" ref="X98" si="88">SUM(X96:X97)</f>
        <v>0</v>
      </c>
      <c r="Y98" s="163">
        <f t="shared" ref="Y98" si="89">SUM(Y96:Y97)</f>
        <v>0</v>
      </c>
      <c r="Z98" s="163">
        <f t="shared" ref="Z98" si="90">SUM(Z96:Z97)</f>
        <v>0</v>
      </c>
      <c r="AA98" s="163">
        <f t="shared" ref="AA98" si="91">SUM(AA96:AA97)</f>
        <v>0</v>
      </c>
      <c r="AB98" s="163">
        <f t="shared" ref="AB98" si="92">SUM(AB96:AB97)</f>
        <v>4.9581771790445622E-2</v>
      </c>
      <c r="AC98" s="163">
        <f t="shared" ref="AC98" si="93">SUM(AC96:AC97)</f>
        <v>0</v>
      </c>
      <c r="AD98" s="163">
        <f t="shared" ref="AD98" si="94">SUM(AD96:AD97)</f>
        <v>0</v>
      </c>
      <c r="AE98" s="163">
        <f t="shared" ref="AE98" si="95">SUM(AE96:AE97)</f>
        <v>0</v>
      </c>
      <c r="AF98" s="163">
        <f t="shared" ref="AF98" si="96">SUM(AF96:AF97)</f>
        <v>0</v>
      </c>
      <c r="AG98" s="163">
        <f t="shared" ref="AG98" si="97">SUM(AG96:AG97)</f>
        <v>-9.7913843363114081E-2</v>
      </c>
      <c r="AH98" s="163">
        <f t="shared" ref="AH98" si="98">SUM(AH96:AH97)</f>
        <v>0</v>
      </c>
      <c r="AI98" s="163">
        <f t="shared" ref="AI98" si="99">SUM(AI96:AI97)</f>
        <v>0</v>
      </c>
      <c r="AJ98" s="163">
        <f t="shared" ref="AJ98" si="100">SUM(AJ96:AJ97)</f>
        <v>0</v>
      </c>
      <c r="AK98" s="163">
        <f t="shared" ref="AK98" si="101">SUM(AK96:AK97)</f>
        <v>0</v>
      </c>
      <c r="AL98" s="163">
        <f t="shared" ref="AL98" si="102">SUM(AL96:AL97)</f>
        <v>0</v>
      </c>
      <c r="AM98" s="163">
        <f t="shared" ref="AM98" si="103">SUM(AM96:AM97)</f>
        <v>0</v>
      </c>
      <c r="AN98" s="163">
        <f t="shared" ref="AN98" si="104">SUM(AN96:AN97)</f>
        <v>0</v>
      </c>
      <c r="AO98" s="163">
        <f t="shared" ref="AO98" si="105">SUM(AO96:AO97)</f>
        <v>0</v>
      </c>
      <c r="AP98" s="163">
        <f t="shared" ref="AP98" si="106">SUM(AP96:AP97)</f>
        <v>0</v>
      </c>
      <c r="AQ98" s="163">
        <f t="shared" ref="AQ98" si="107">SUM(AQ96:AQ97)</f>
        <v>0</v>
      </c>
      <c r="AR98" s="164">
        <f t="shared" ref="AR98" si="108">SUM(AR96:AR97)</f>
        <v>0</v>
      </c>
    </row>
    <row r="99" spans="2:44" ht="15.75" thickBot="1" x14ac:dyDescent="0.3">
      <c r="B99" s="2"/>
      <c r="C99" s="2"/>
      <c r="D99" s="145"/>
      <c r="E99" s="145"/>
      <c r="F99" s="145"/>
      <c r="G99" s="145"/>
      <c r="H99" s="145"/>
      <c r="I99" s="145"/>
      <c r="J99" s="145"/>
      <c r="K99" s="145"/>
      <c r="L99" s="145"/>
      <c r="M99" s="145"/>
      <c r="N99" s="145"/>
      <c r="O99" s="145"/>
      <c r="P99" s="145"/>
      <c r="Q99" s="145"/>
      <c r="R99" s="145"/>
      <c r="S99" s="145"/>
      <c r="T99" s="145"/>
      <c r="U99" s="145"/>
      <c r="V99" s="145"/>
      <c r="W99" s="145"/>
      <c r="X99" s="145"/>
      <c r="Y99" s="145"/>
      <c r="Z99" s="145"/>
      <c r="AA99" s="145"/>
      <c r="AB99" s="145"/>
      <c r="AC99" s="145"/>
      <c r="AD99" s="145"/>
      <c r="AE99" s="145"/>
      <c r="AF99" s="145"/>
      <c r="AG99" s="145"/>
      <c r="AH99" s="145"/>
      <c r="AI99" s="145"/>
      <c r="AJ99" s="145"/>
      <c r="AK99" s="145"/>
      <c r="AL99" s="145"/>
      <c r="AM99" s="145"/>
      <c r="AN99" s="145"/>
      <c r="AO99" s="145"/>
      <c r="AP99" s="145"/>
      <c r="AQ99" s="145"/>
      <c r="AR99" s="145"/>
    </row>
    <row r="100" spans="2:44" ht="15.75" thickBot="1" x14ac:dyDescent="0.3">
      <c r="B100" s="146" t="s">
        <v>38</v>
      </c>
      <c r="C100" s="147"/>
      <c r="D100" s="163">
        <f t="shared" ref="D100" si="109">SUM(F100:AR100)</f>
        <v>188.36833322031907</v>
      </c>
      <c r="E100" s="163"/>
      <c r="F100" s="163">
        <f t="shared" ref="F100:K100" si="110">F93+F98</f>
        <v>0</v>
      </c>
      <c r="G100" s="163">
        <f t="shared" si="110"/>
        <v>0</v>
      </c>
      <c r="H100" s="163">
        <f t="shared" si="110"/>
        <v>0</v>
      </c>
      <c r="I100" s="163">
        <f t="shared" si="110"/>
        <v>0</v>
      </c>
      <c r="J100" s="163">
        <f t="shared" si="110"/>
        <v>-2.6964907664123614</v>
      </c>
      <c r="K100" s="163">
        <f t="shared" si="110"/>
        <v>0</v>
      </c>
      <c r="L100" s="163">
        <f>L93+L98</f>
        <v>-9.2006205826477796</v>
      </c>
      <c r="M100" s="163">
        <f t="shared" ref="M100:AR100" si="111">M93+M98</f>
        <v>-49.399159410751679</v>
      </c>
      <c r="N100" s="163">
        <f t="shared" si="111"/>
        <v>-51.951051901622385</v>
      </c>
      <c r="O100" s="163">
        <f t="shared" si="111"/>
        <v>-41.72470582052032</v>
      </c>
      <c r="P100" s="163">
        <f t="shared" si="111"/>
        <v>12.264455333470693</v>
      </c>
      <c r="Q100" s="163">
        <f t="shared" si="111"/>
        <v>5.3746695903123092</v>
      </c>
      <c r="R100" s="163">
        <f t="shared" si="111"/>
        <v>5.2445400008927079</v>
      </c>
      <c r="S100" s="163">
        <f t="shared" si="111"/>
        <v>5.0987411157301068</v>
      </c>
      <c r="T100" s="163">
        <f t="shared" si="111"/>
        <v>4.9731714293876683</v>
      </c>
      <c r="U100" s="163">
        <f t="shared" si="111"/>
        <v>7.4369385485122628</v>
      </c>
      <c r="V100" s="163">
        <f t="shared" si="111"/>
        <v>7.2453814518274431</v>
      </c>
      <c r="W100" s="163">
        <f t="shared" si="111"/>
        <v>7.044441437063778</v>
      </c>
      <c r="X100" s="163">
        <f t="shared" si="111"/>
        <v>6.8460518803115846</v>
      </c>
      <c r="Y100" s="163">
        <f t="shared" si="111"/>
        <v>6.6622173187701783</v>
      </c>
      <c r="Z100" s="163">
        <f t="shared" si="111"/>
        <v>28.701375814007804</v>
      </c>
      <c r="AA100" s="163">
        <f t="shared" si="111"/>
        <v>27.922673033701965</v>
      </c>
      <c r="AB100" s="163">
        <f t="shared" si="111"/>
        <v>27.214386973409486</v>
      </c>
      <c r="AC100" s="163">
        <f t="shared" si="111"/>
        <v>26.42721697895254</v>
      </c>
      <c r="AD100" s="163">
        <f t="shared" si="111"/>
        <v>25.709382404955377</v>
      </c>
      <c r="AE100" s="163">
        <f t="shared" si="111"/>
        <v>25.01084389336765</v>
      </c>
      <c r="AF100" s="163">
        <f t="shared" si="111"/>
        <v>24.33107616188596</v>
      </c>
      <c r="AG100" s="163">
        <f t="shared" si="111"/>
        <v>23.571661342690021</v>
      </c>
      <c r="AH100" s="163">
        <f t="shared" si="111"/>
        <v>23.025906485764924</v>
      </c>
      <c r="AI100" s="163">
        <f t="shared" si="111"/>
        <v>43.235230507259125</v>
      </c>
      <c r="AJ100" s="163">
        <f t="shared" si="111"/>
        <v>0</v>
      </c>
      <c r="AK100" s="163">
        <f t="shared" si="111"/>
        <v>0</v>
      </c>
      <c r="AL100" s="163">
        <f t="shared" si="111"/>
        <v>0</v>
      </c>
      <c r="AM100" s="163">
        <f t="shared" si="111"/>
        <v>0</v>
      </c>
      <c r="AN100" s="163">
        <f t="shared" si="111"/>
        <v>0</v>
      </c>
      <c r="AO100" s="163">
        <f t="shared" si="111"/>
        <v>0</v>
      </c>
      <c r="AP100" s="163">
        <f t="shared" si="111"/>
        <v>0</v>
      </c>
      <c r="AQ100" s="163">
        <f t="shared" si="111"/>
        <v>0</v>
      </c>
      <c r="AR100" s="163">
        <f t="shared" si="111"/>
        <v>0</v>
      </c>
    </row>
  </sheetData>
  <mergeCells count="4">
    <mergeCell ref="B9:D9"/>
    <mergeCell ref="C31:E31"/>
    <mergeCell ref="C25:E25"/>
    <mergeCell ref="C11:E11"/>
  </mergeCells>
  <conditionalFormatting sqref="C8">
    <cfRule type="cellIs" dxfId="1" priority="1" operator="equal">
      <formula>"YES"</formula>
    </cfRule>
  </conditionalFormatting>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1A728-3FAD-4404-8B99-E8A684C40B66}">
  <sheetPr>
    <tabColor theme="9"/>
  </sheetPr>
  <dimension ref="A1:AS61"/>
  <sheetViews>
    <sheetView workbookViewId="0">
      <pane xSplit="4" ySplit="11" topLeftCell="E17" activePane="bottomRight" state="frozen"/>
      <selection pane="topRight" activeCell="E1" sqref="E1"/>
      <selection pane="bottomLeft" activeCell="A12" sqref="A12"/>
      <selection pane="bottomRight" activeCell="K41" sqref="K41"/>
    </sheetView>
  </sheetViews>
  <sheetFormatPr defaultColWidth="0" defaultRowHeight="14.25" x14ac:dyDescent="0.2"/>
  <cols>
    <col min="1" max="1" width="10.5703125" style="1" customWidth="1"/>
    <col min="2" max="2" width="32.5703125" style="1" bestFit="1" customWidth="1"/>
    <col min="3" max="3" width="22.28515625" style="1" bestFit="1" customWidth="1"/>
    <col min="4" max="4" width="15" style="1" bestFit="1" customWidth="1"/>
    <col min="5" max="5" width="1.5703125" style="1" customWidth="1"/>
    <col min="6" max="44" width="14.42578125" style="1" customWidth="1"/>
    <col min="45" max="45" width="9.140625" style="1" customWidth="1"/>
    <col min="46" max="16384" width="9.140625" style="1" hidden="1"/>
  </cols>
  <sheetData>
    <row r="1" spans="1:44" ht="19.5" x14ac:dyDescent="0.3">
      <c r="A1" s="6" t="str">
        <f>'OUTPUT Summary'!$A$1</f>
        <v>ODOT Roosevelt Memorial Bridge US-70</v>
      </c>
    </row>
    <row r="2" spans="1:44" ht="19.5" x14ac:dyDescent="0.3">
      <c r="A2" s="6" t="s">
        <v>330</v>
      </c>
      <c r="C2" s="11"/>
    </row>
    <row r="3" spans="1:44" x14ac:dyDescent="0.2">
      <c r="A3" s="51">
        <f ca="1">'OUTPUT Summary'!A3</f>
        <v>45156</v>
      </c>
      <c r="C3" s="11"/>
    </row>
    <row r="4" spans="1:44" x14ac:dyDescent="0.2">
      <c r="A4" s="52" t="str">
        <f>'OUTPUT Summary'!A4</f>
        <v>All $ values 2021, unless otherwise noted</v>
      </c>
      <c r="C4" s="11"/>
    </row>
    <row r="5" spans="1:44" x14ac:dyDescent="0.2">
      <c r="B5" s="66"/>
      <c r="C5" s="11"/>
    </row>
    <row r="6" spans="1:44" x14ac:dyDescent="0.2">
      <c r="C6" s="1" t="s">
        <v>44</v>
      </c>
      <c r="D6" s="1" t="s">
        <v>45</v>
      </c>
    </row>
    <row r="7" spans="1:44" s="8" customFormat="1" x14ac:dyDescent="0.2">
      <c r="A7" s="8" t="s">
        <v>224</v>
      </c>
      <c r="C7" s="226" t="s">
        <v>224</v>
      </c>
      <c r="F7" s="8">
        <f>INPUTS!$E$12</f>
        <v>2018</v>
      </c>
      <c r="G7" s="8">
        <f>F7+1</f>
        <v>2019</v>
      </c>
      <c r="H7" s="8">
        <f t="shared" ref="H7:W8" si="0">G7+1</f>
        <v>2020</v>
      </c>
      <c r="I7" s="8">
        <f t="shared" si="0"/>
        <v>2021</v>
      </c>
      <c r="J7" s="8">
        <f t="shared" si="0"/>
        <v>2022</v>
      </c>
      <c r="K7" s="8">
        <f t="shared" si="0"/>
        <v>2023</v>
      </c>
      <c r="L7" s="8">
        <f t="shared" si="0"/>
        <v>2024</v>
      </c>
      <c r="M7" s="8">
        <f t="shared" si="0"/>
        <v>2025</v>
      </c>
      <c r="N7" s="8">
        <f t="shared" si="0"/>
        <v>2026</v>
      </c>
      <c r="O7" s="8">
        <f t="shared" si="0"/>
        <v>2027</v>
      </c>
      <c r="P7" s="8">
        <f t="shared" si="0"/>
        <v>2028</v>
      </c>
      <c r="Q7" s="8">
        <f t="shared" si="0"/>
        <v>2029</v>
      </c>
      <c r="R7" s="8">
        <f t="shared" si="0"/>
        <v>2030</v>
      </c>
      <c r="S7" s="8">
        <f t="shared" si="0"/>
        <v>2031</v>
      </c>
      <c r="T7" s="8">
        <f t="shared" si="0"/>
        <v>2032</v>
      </c>
      <c r="U7" s="8">
        <f t="shared" si="0"/>
        <v>2033</v>
      </c>
      <c r="V7" s="8">
        <f t="shared" si="0"/>
        <v>2034</v>
      </c>
      <c r="W7" s="8">
        <f t="shared" si="0"/>
        <v>2035</v>
      </c>
      <c r="X7" s="8">
        <f t="shared" ref="X7:AM8" si="1">W7+1</f>
        <v>2036</v>
      </c>
      <c r="Y7" s="8">
        <f t="shared" si="1"/>
        <v>2037</v>
      </c>
      <c r="Z7" s="8">
        <f t="shared" si="1"/>
        <v>2038</v>
      </c>
      <c r="AA7" s="8">
        <f t="shared" si="1"/>
        <v>2039</v>
      </c>
      <c r="AB7" s="8">
        <f t="shared" si="1"/>
        <v>2040</v>
      </c>
      <c r="AC7" s="8">
        <f t="shared" si="1"/>
        <v>2041</v>
      </c>
      <c r="AD7" s="8">
        <f t="shared" si="1"/>
        <v>2042</v>
      </c>
      <c r="AE7" s="8">
        <f t="shared" si="1"/>
        <v>2043</v>
      </c>
      <c r="AF7" s="8">
        <f t="shared" si="1"/>
        <v>2044</v>
      </c>
      <c r="AG7" s="8">
        <f t="shared" si="1"/>
        <v>2045</v>
      </c>
      <c r="AH7" s="8">
        <f t="shared" si="1"/>
        <v>2046</v>
      </c>
      <c r="AI7" s="8">
        <f t="shared" si="1"/>
        <v>2047</v>
      </c>
      <c r="AJ7" s="8">
        <f t="shared" si="1"/>
        <v>2048</v>
      </c>
      <c r="AK7" s="8">
        <f t="shared" si="1"/>
        <v>2049</v>
      </c>
      <c r="AL7" s="8">
        <f t="shared" si="1"/>
        <v>2050</v>
      </c>
      <c r="AM7" s="8">
        <f t="shared" si="1"/>
        <v>2051</v>
      </c>
      <c r="AN7" s="8">
        <f t="shared" ref="AN7:AR8" si="2">AM7+1</f>
        <v>2052</v>
      </c>
      <c r="AO7" s="8">
        <f t="shared" si="2"/>
        <v>2053</v>
      </c>
      <c r="AP7" s="8">
        <f t="shared" si="2"/>
        <v>2054</v>
      </c>
      <c r="AQ7" s="8">
        <f t="shared" si="2"/>
        <v>2055</v>
      </c>
      <c r="AR7" s="8">
        <f t="shared" si="2"/>
        <v>2056</v>
      </c>
    </row>
    <row r="8" spans="1:44" x14ac:dyDescent="0.2">
      <c r="B8" s="1" t="s">
        <v>225</v>
      </c>
      <c r="C8" s="21" t="s">
        <v>50</v>
      </c>
      <c r="F8" s="1">
        <f>D8+1</f>
        <v>1</v>
      </c>
      <c r="G8" s="1">
        <f t="shared" ref="G8" si="3">F8+1</f>
        <v>2</v>
      </c>
      <c r="H8" s="1">
        <f t="shared" si="0"/>
        <v>3</v>
      </c>
      <c r="I8" s="1">
        <f t="shared" si="0"/>
        <v>4</v>
      </c>
      <c r="J8" s="1">
        <f t="shared" si="0"/>
        <v>5</v>
      </c>
      <c r="K8" s="1">
        <f t="shared" si="0"/>
        <v>6</v>
      </c>
      <c r="L8" s="1">
        <f t="shared" si="0"/>
        <v>7</v>
      </c>
      <c r="M8" s="1">
        <f t="shared" si="0"/>
        <v>8</v>
      </c>
      <c r="N8" s="1">
        <f t="shared" si="0"/>
        <v>9</v>
      </c>
      <c r="O8" s="1">
        <f t="shared" si="0"/>
        <v>10</v>
      </c>
      <c r="P8" s="1">
        <f t="shared" si="0"/>
        <v>11</v>
      </c>
      <c r="Q8" s="1">
        <f t="shared" si="0"/>
        <v>12</v>
      </c>
      <c r="R8" s="1">
        <f t="shared" si="0"/>
        <v>13</v>
      </c>
      <c r="S8" s="1">
        <f t="shared" si="0"/>
        <v>14</v>
      </c>
      <c r="T8" s="1">
        <f t="shared" si="0"/>
        <v>15</v>
      </c>
      <c r="U8" s="1">
        <f t="shared" si="0"/>
        <v>16</v>
      </c>
      <c r="V8" s="1">
        <f t="shared" si="0"/>
        <v>17</v>
      </c>
      <c r="W8" s="1">
        <f t="shared" si="0"/>
        <v>18</v>
      </c>
      <c r="X8" s="1">
        <f t="shared" si="1"/>
        <v>19</v>
      </c>
      <c r="Y8" s="1">
        <f t="shared" si="1"/>
        <v>20</v>
      </c>
      <c r="Z8" s="1">
        <f t="shared" si="1"/>
        <v>21</v>
      </c>
      <c r="AA8" s="1">
        <f t="shared" si="1"/>
        <v>22</v>
      </c>
      <c r="AB8" s="1">
        <f t="shared" si="1"/>
        <v>23</v>
      </c>
      <c r="AC8" s="1">
        <f t="shared" si="1"/>
        <v>24</v>
      </c>
      <c r="AD8" s="1">
        <f t="shared" si="1"/>
        <v>25</v>
      </c>
      <c r="AE8" s="1">
        <f t="shared" si="1"/>
        <v>26</v>
      </c>
      <c r="AF8" s="1">
        <f t="shared" si="1"/>
        <v>27</v>
      </c>
      <c r="AG8" s="1">
        <f t="shared" si="1"/>
        <v>28</v>
      </c>
      <c r="AH8" s="1">
        <f t="shared" si="1"/>
        <v>29</v>
      </c>
      <c r="AI8" s="1">
        <f t="shared" si="1"/>
        <v>30</v>
      </c>
      <c r="AJ8" s="1">
        <f t="shared" si="1"/>
        <v>31</v>
      </c>
      <c r="AK8" s="1">
        <f t="shared" si="1"/>
        <v>32</v>
      </c>
      <c r="AL8" s="1">
        <f t="shared" si="1"/>
        <v>33</v>
      </c>
      <c r="AM8" s="1">
        <f t="shared" si="1"/>
        <v>34</v>
      </c>
      <c r="AN8" s="1">
        <f t="shared" si="2"/>
        <v>35</v>
      </c>
      <c r="AO8" s="1">
        <f t="shared" si="2"/>
        <v>36</v>
      </c>
      <c r="AP8" s="1">
        <f t="shared" si="2"/>
        <v>37</v>
      </c>
      <c r="AQ8" s="1">
        <f t="shared" si="2"/>
        <v>38</v>
      </c>
      <c r="AR8" s="1">
        <f t="shared" si="2"/>
        <v>39</v>
      </c>
    </row>
    <row r="9" spans="1:44" x14ac:dyDescent="0.2">
      <c r="B9" s="1" t="s">
        <v>226</v>
      </c>
      <c r="C9" s="21" t="s">
        <v>227</v>
      </c>
      <c r="F9" s="1">
        <f>IF(F7=INPUTS!$E$13,1,0)</f>
        <v>0</v>
      </c>
      <c r="G9" s="1">
        <f>IF(G7=INPUTS!$E$13,1,0)</f>
        <v>0</v>
      </c>
      <c r="H9" s="1">
        <f>IF(H7=INPUTS!$E$13,1,0)</f>
        <v>0</v>
      </c>
      <c r="I9" s="1">
        <f>IF(I7=INPUTS!$E$13,1,0)</f>
        <v>1</v>
      </c>
      <c r="J9" s="1">
        <f>IF(J7=INPUTS!$E$13,1,0)</f>
        <v>0</v>
      </c>
      <c r="K9" s="1">
        <f>IF(K7=INPUTS!$E$13,1,0)</f>
        <v>0</v>
      </c>
      <c r="L9" s="1">
        <f>IF(L7=INPUTS!$E$13,1,0)</f>
        <v>0</v>
      </c>
      <c r="M9" s="1">
        <f>IF(M7=INPUTS!$E$13,1,0)</f>
        <v>0</v>
      </c>
      <c r="N9" s="1">
        <f>IF(N7=INPUTS!$E$13,1,0)</f>
        <v>0</v>
      </c>
      <c r="O9" s="1">
        <f>IF(O7=INPUTS!$E$13,1,0)</f>
        <v>0</v>
      </c>
      <c r="P9" s="1">
        <f>IF(P7=INPUTS!$E$13,1,0)</f>
        <v>0</v>
      </c>
      <c r="Q9" s="1">
        <f>IF(Q7=INPUTS!$E$13,1,0)</f>
        <v>0</v>
      </c>
      <c r="R9" s="1">
        <f>IF(R7=INPUTS!$E$13,1,0)</f>
        <v>0</v>
      </c>
      <c r="S9" s="1">
        <f>IF(S7=INPUTS!$E$13,1,0)</f>
        <v>0</v>
      </c>
      <c r="T9" s="1">
        <f>IF(T7=INPUTS!$E$13,1,0)</f>
        <v>0</v>
      </c>
      <c r="U9" s="1">
        <f>IF(U7=INPUTS!$E$13,1,0)</f>
        <v>0</v>
      </c>
      <c r="V9" s="1">
        <f>IF(V7=INPUTS!$E$13,1,0)</f>
        <v>0</v>
      </c>
      <c r="W9" s="1">
        <f>IF(W7=INPUTS!$E$13,1,0)</f>
        <v>0</v>
      </c>
      <c r="X9" s="1">
        <f>IF(X7=INPUTS!$E$13,1,0)</f>
        <v>0</v>
      </c>
      <c r="Y9" s="1">
        <f>IF(Y7=INPUTS!$E$13,1,0)</f>
        <v>0</v>
      </c>
      <c r="Z9" s="1">
        <f>IF(Z7=INPUTS!$E$13,1,0)</f>
        <v>0</v>
      </c>
      <c r="AA9" s="1">
        <f>IF(AA7=INPUTS!$E$13,1,0)</f>
        <v>0</v>
      </c>
      <c r="AB9" s="1">
        <f>IF(AB7=INPUTS!$E$13,1,0)</f>
        <v>0</v>
      </c>
      <c r="AC9" s="1">
        <f>IF(AC7=INPUTS!$E$13,1,0)</f>
        <v>0</v>
      </c>
      <c r="AD9" s="1">
        <f>IF(AD7=INPUTS!$E$13,1,0)</f>
        <v>0</v>
      </c>
      <c r="AE9" s="1">
        <f>IF(AE7=INPUTS!$E$13,1,0)</f>
        <v>0</v>
      </c>
      <c r="AF9" s="1">
        <f>IF(AF7=INPUTS!$E$13,1,0)</f>
        <v>0</v>
      </c>
      <c r="AG9" s="1">
        <f>IF(AG7=INPUTS!$E$13,1,0)</f>
        <v>0</v>
      </c>
      <c r="AH9" s="1">
        <f>IF(AH7=INPUTS!$E$13,1,0)</f>
        <v>0</v>
      </c>
      <c r="AI9" s="1">
        <f>IF(AI7=INPUTS!$E$13,1,0)</f>
        <v>0</v>
      </c>
      <c r="AJ9" s="1">
        <f>IF(AJ7=INPUTS!$E$13,1,0)</f>
        <v>0</v>
      </c>
      <c r="AK9" s="1">
        <f>IF(AK7=INPUTS!$E$13,1,0)</f>
        <v>0</v>
      </c>
      <c r="AL9" s="1">
        <f>IF(AL7=INPUTS!$E$13,1,0)</f>
        <v>0</v>
      </c>
      <c r="AM9" s="1">
        <f>IF(AM7=INPUTS!$E$13,1,0)</f>
        <v>0</v>
      </c>
      <c r="AN9" s="1">
        <f>IF(AN7=INPUTS!$E$13,1,0)</f>
        <v>0</v>
      </c>
      <c r="AO9" s="1">
        <f>IF(AO7=INPUTS!$E$13,1,0)</f>
        <v>0</v>
      </c>
      <c r="AP9" s="1">
        <f>IF(AP7=INPUTS!$E$13,1,0)</f>
        <v>0</v>
      </c>
      <c r="AQ9" s="1">
        <f>IF(AQ7=INPUTS!$E$13,1,0)</f>
        <v>0</v>
      </c>
      <c r="AR9" s="1">
        <f>IF(AR7=INPUTS!$E$13,1,0)</f>
        <v>0</v>
      </c>
    </row>
    <row r="10" spans="1:44" x14ac:dyDescent="0.2">
      <c r="B10" s="1" t="s">
        <v>228</v>
      </c>
      <c r="C10" s="21" t="s">
        <v>57</v>
      </c>
      <c r="F10" s="1">
        <f t="shared" ref="F10:H10" si="4">F7-$I$7+1</f>
        <v>-2</v>
      </c>
      <c r="G10" s="1">
        <f t="shared" si="4"/>
        <v>-1</v>
      </c>
      <c r="H10" s="1">
        <f t="shared" si="4"/>
        <v>0</v>
      </c>
      <c r="I10" s="1">
        <f>I7-$I$7+1</f>
        <v>1</v>
      </c>
      <c r="J10" s="1">
        <f t="shared" ref="J10:AR10" si="5">J7-$I$7+1</f>
        <v>2</v>
      </c>
      <c r="K10" s="1">
        <f t="shared" si="5"/>
        <v>3</v>
      </c>
      <c r="L10" s="1">
        <f t="shared" si="5"/>
        <v>4</v>
      </c>
      <c r="M10" s="1">
        <f t="shared" si="5"/>
        <v>5</v>
      </c>
      <c r="N10" s="1">
        <f t="shared" si="5"/>
        <v>6</v>
      </c>
      <c r="O10" s="1">
        <f t="shared" si="5"/>
        <v>7</v>
      </c>
      <c r="P10" s="1">
        <f t="shared" si="5"/>
        <v>8</v>
      </c>
      <c r="Q10" s="1">
        <f t="shared" si="5"/>
        <v>9</v>
      </c>
      <c r="R10" s="1">
        <f t="shared" si="5"/>
        <v>10</v>
      </c>
      <c r="S10" s="1">
        <f t="shared" si="5"/>
        <v>11</v>
      </c>
      <c r="T10" s="1">
        <f t="shared" si="5"/>
        <v>12</v>
      </c>
      <c r="U10" s="1">
        <f t="shared" si="5"/>
        <v>13</v>
      </c>
      <c r="V10" s="1">
        <f t="shared" si="5"/>
        <v>14</v>
      </c>
      <c r="W10" s="1">
        <f t="shared" si="5"/>
        <v>15</v>
      </c>
      <c r="X10" s="1">
        <f t="shared" si="5"/>
        <v>16</v>
      </c>
      <c r="Y10" s="1">
        <f t="shared" si="5"/>
        <v>17</v>
      </c>
      <c r="Z10" s="1">
        <f t="shared" si="5"/>
        <v>18</v>
      </c>
      <c r="AA10" s="1">
        <f t="shared" si="5"/>
        <v>19</v>
      </c>
      <c r="AB10" s="1">
        <f t="shared" si="5"/>
        <v>20</v>
      </c>
      <c r="AC10" s="1">
        <f t="shared" si="5"/>
        <v>21</v>
      </c>
      <c r="AD10" s="1">
        <f t="shared" si="5"/>
        <v>22</v>
      </c>
      <c r="AE10" s="1">
        <f t="shared" si="5"/>
        <v>23</v>
      </c>
      <c r="AF10" s="1">
        <f t="shared" si="5"/>
        <v>24</v>
      </c>
      <c r="AG10" s="1">
        <f t="shared" si="5"/>
        <v>25</v>
      </c>
      <c r="AH10" s="1">
        <f t="shared" si="5"/>
        <v>26</v>
      </c>
      <c r="AI10" s="1">
        <f t="shared" si="5"/>
        <v>27</v>
      </c>
      <c r="AJ10" s="1">
        <f t="shared" si="5"/>
        <v>28</v>
      </c>
      <c r="AK10" s="1">
        <f t="shared" si="5"/>
        <v>29</v>
      </c>
      <c r="AL10" s="1">
        <f t="shared" si="5"/>
        <v>30</v>
      </c>
      <c r="AM10" s="1">
        <f t="shared" si="5"/>
        <v>31</v>
      </c>
      <c r="AN10" s="1">
        <f t="shared" si="5"/>
        <v>32</v>
      </c>
      <c r="AO10" s="1">
        <f t="shared" si="5"/>
        <v>33</v>
      </c>
      <c r="AP10" s="1">
        <f t="shared" si="5"/>
        <v>34</v>
      </c>
      <c r="AQ10" s="1">
        <f t="shared" si="5"/>
        <v>35</v>
      </c>
      <c r="AR10" s="1">
        <f t="shared" si="5"/>
        <v>36</v>
      </c>
    </row>
    <row r="11" spans="1:44" x14ac:dyDescent="0.2">
      <c r="B11" s="1" t="s">
        <v>229</v>
      </c>
      <c r="C11" s="21" t="s">
        <v>227</v>
      </c>
      <c r="F11" s="1">
        <f>IF(AND(F7&gt;=INPUTS!$E$17,F7&lt;INPUTS!$E$21),1,0)</f>
        <v>0</v>
      </c>
      <c r="G11" s="1">
        <f>IF(AND(G7&gt;=INPUTS!$E$17,G7&lt;INPUTS!$E$21),1,0)</f>
        <v>0</v>
      </c>
      <c r="H11" s="1">
        <f>IF(AND(H7&gt;=INPUTS!$E$17,H7&lt;INPUTS!$E$21),1,0)</f>
        <v>0</v>
      </c>
      <c r="I11" s="1">
        <f>IF(AND(I7&gt;=INPUTS!$E$17,I7&lt;INPUTS!$E$21),1,0)</f>
        <v>0</v>
      </c>
      <c r="J11" s="1">
        <f>IF(AND(J7&gt;=INPUTS!$E$17,J7&lt;INPUTS!$E$21),1,0)</f>
        <v>0</v>
      </c>
      <c r="K11" s="1">
        <f>IF(AND(K7&gt;=INPUTS!$E$17,K7&lt;INPUTS!$E$21),1,0)</f>
        <v>0</v>
      </c>
      <c r="L11" s="1">
        <f>IF(AND(L7&gt;=INPUTS!$E$17,L7&lt;INPUTS!$E$21),1,0)</f>
        <v>0</v>
      </c>
      <c r="M11" s="1">
        <f>IF(AND(M7&gt;=INPUTS!$E$17,M7&lt;INPUTS!$E$21),1,0)</f>
        <v>0</v>
      </c>
      <c r="N11" s="1">
        <f>IF(AND(N7&gt;=INPUTS!$E$17,N7&lt;INPUTS!$E$21),1,0)</f>
        <v>0</v>
      </c>
      <c r="O11" s="1">
        <f>IF(AND(O7&gt;=INPUTS!$E$17,O7&lt;INPUTS!$E$21),1,0)</f>
        <v>0</v>
      </c>
      <c r="P11" s="1">
        <f>IF(AND(P7&gt;=INPUTS!$E$17,P7&lt;INPUTS!$E$21),1,0)</f>
        <v>1</v>
      </c>
      <c r="Q11" s="1">
        <f>IF(AND(Q7&gt;=INPUTS!$E$17,Q7&lt;INPUTS!$E$21),1,0)</f>
        <v>1</v>
      </c>
      <c r="R11" s="1">
        <f>IF(AND(R7&gt;=INPUTS!$E$17,R7&lt;INPUTS!$E$21),1,0)</f>
        <v>1</v>
      </c>
      <c r="S11" s="1">
        <f>IF(AND(S7&gt;=INPUTS!$E$17,S7&lt;INPUTS!$E$21),1,0)</f>
        <v>1</v>
      </c>
      <c r="T11" s="1">
        <f>IF(AND(T7&gt;=INPUTS!$E$17,T7&lt;INPUTS!$E$21),1,0)</f>
        <v>1</v>
      </c>
      <c r="U11" s="1">
        <f>IF(AND(U7&gt;=INPUTS!$E$17,U7&lt;INPUTS!$E$21),1,0)</f>
        <v>1</v>
      </c>
      <c r="V11" s="1">
        <f>IF(AND(V7&gt;=INPUTS!$E$17,V7&lt;INPUTS!$E$21),1,0)</f>
        <v>1</v>
      </c>
      <c r="W11" s="1">
        <f>IF(AND(W7&gt;=INPUTS!$E$17,W7&lt;INPUTS!$E$21),1,0)</f>
        <v>1</v>
      </c>
      <c r="X11" s="1">
        <f>IF(AND(X7&gt;=INPUTS!$E$17,X7&lt;INPUTS!$E$21),1,0)</f>
        <v>1</v>
      </c>
      <c r="Y11" s="1">
        <f>IF(AND(Y7&gt;=INPUTS!$E$17,Y7&lt;INPUTS!$E$21),1,0)</f>
        <v>1</v>
      </c>
      <c r="Z11" s="1">
        <f>IF(AND(Z7&gt;=INPUTS!$E$17,Z7&lt;INPUTS!$E$21),1,0)</f>
        <v>1</v>
      </c>
      <c r="AA11" s="1">
        <f>IF(AND(AA7&gt;=INPUTS!$E$17,AA7&lt;INPUTS!$E$21),1,0)</f>
        <v>1</v>
      </c>
      <c r="AB11" s="1">
        <f>IF(AND(AB7&gt;=INPUTS!$E$17,AB7&lt;INPUTS!$E$21),1,0)</f>
        <v>1</v>
      </c>
      <c r="AC11" s="1">
        <f>IF(AND(AC7&gt;=INPUTS!$E$17,AC7&lt;INPUTS!$E$21),1,0)</f>
        <v>1</v>
      </c>
      <c r="AD11" s="1">
        <f>IF(AND(AD7&gt;=INPUTS!$E$17,AD7&lt;INPUTS!$E$21),1,0)</f>
        <v>1</v>
      </c>
      <c r="AE11" s="1">
        <f>IF(AND(AE7&gt;=INPUTS!$E$17,AE7&lt;INPUTS!$E$21),1,0)</f>
        <v>1</v>
      </c>
      <c r="AF11" s="1">
        <f>IF(AND(AF7&gt;=INPUTS!$E$17,AF7&lt;INPUTS!$E$21),1,0)</f>
        <v>1</v>
      </c>
      <c r="AG11" s="1">
        <f>IF(AND(AG7&gt;=INPUTS!$E$17,AG7&lt;INPUTS!$E$21),1,0)</f>
        <v>1</v>
      </c>
      <c r="AH11" s="1">
        <f>IF(AND(AH7&gt;=INPUTS!$E$17,AH7&lt;INPUTS!$E$21),1,0)</f>
        <v>1</v>
      </c>
      <c r="AI11" s="1">
        <f>IF(AND(AI7&gt;=INPUTS!$E$17,AI7&lt;INPUTS!$E$21),1,0)</f>
        <v>1</v>
      </c>
      <c r="AJ11" s="1">
        <f>IF(AND(AJ7&gt;=INPUTS!$E$17,AJ7&lt;INPUTS!$E$21),1,0)</f>
        <v>0</v>
      </c>
      <c r="AK11" s="1">
        <f>IF(AND(AK7&gt;=INPUTS!$E$17,AK7&lt;INPUTS!$E$21),1,0)</f>
        <v>0</v>
      </c>
      <c r="AL11" s="1">
        <f>IF(AND(AL7&gt;=INPUTS!$E$17,AL7&lt;INPUTS!$E$21),1,0)</f>
        <v>0</v>
      </c>
      <c r="AM11" s="1">
        <f>IF(AND(AM7&gt;=INPUTS!$E$17,AM7&lt;INPUTS!$E$21),1,0)</f>
        <v>0</v>
      </c>
      <c r="AN11" s="1">
        <f>IF(AND(AN7&gt;=INPUTS!$E$17,AN7&lt;INPUTS!$E$21),1,0)</f>
        <v>0</v>
      </c>
      <c r="AO11" s="1">
        <f>IF(AND(AO7&gt;=INPUTS!$E$17,AO7&lt;INPUTS!$E$21),1,0)</f>
        <v>0</v>
      </c>
      <c r="AP11" s="1">
        <f>IF(AND(AP7&gt;=INPUTS!$E$17,AP7&lt;INPUTS!$E$21),1,0)</f>
        <v>0</v>
      </c>
      <c r="AQ11" s="1">
        <f>IF(AND(AQ7&gt;=INPUTS!$E$17,AQ7&lt;INPUTS!$E$21),1,0)</f>
        <v>0</v>
      </c>
      <c r="AR11" s="1">
        <f>IF(AND(AR7&gt;=INPUTS!$E$17,AR7&lt;INPUTS!$E$21),1,0)</f>
        <v>0</v>
      </c>
    </row>
    <row r="12" spans="1:44" ht="15" x14ac:dyDescent="0.25">
      <c r="A12" s="2" t="s">
        <v>230</v>
      </c>
      <c r="C12" s="21"/>
    </row>
    <row r="13" spans="1:44" x14ac:dyDescent="0.2">
      <c r="B13" s="1" t="s">
        <v>231</v>
      </c>
      <c r="C13" s="21" t="s">
        <v>50</v>
      </c>
      <c r="F13" s="1">
        <f>(F11+D13)*F11</f>
        <v>0</v>
      </c>
      <c r="G13" s="1">
        <f t="shared" ref="G13:AG13" si="6">(G11+F13)*G11</f>
        <v>0</v>
      </c>
      <c r="H13" s="1">
        <f t="shared" si="6"/>
        <v>0</v>
      </c>
      <c r="I13" s="1">
        <f t="shared" si="6"/>
        <v>0</v>
      </c>
      <c r="J13" s="1">
        <f t="shared" si="6"/>
        <v>0</v>
      </c>
      <c r="K13" s="1">
        <f t="shared" si="6"/>
        <v>0</v>
      </c>
      <c r="L13" s="1">
        <f t="shared" si="6"/>
        <v>0</v>
      </c>
      <c r="M13" s="1">
        <f t="shared" si="6"/>
        <v>0</v>
      </c>
      <c r="N13" s="1">
        <f t="shared" si="6"/>
        <v>0</v>
      </c>
      <c r="O13" s="1">
        <f t="shared" si="6"/>
        <v>0</v>
      </c>
      <c r="P13" s="1">
        <f t="shared" si="6"/>
        <v>1</v>
      </c>
      <c r="Q13" s="1">
        <f t="shared" si="6"/>
        <v>2</v>
      </c>
      <c r="R13" s="1">
        <f t="shared" si="6"/>
        <v>3</v>
      </c>
      <c r="S13" s="1">
        <f t="shared" si="6"/>
        <v>4</v>
      </c>
      <c r="T13" s="1">
        <f t="shared" si="6"/>
        <v>5</v>
      </c>
      <c r="U13" s="1">
        <f t="shared" si="6"/>
        <v>6</v>
      </c>
      <c r="V13" s="1">
        <f t="shared" si="6"/>
        <v>7</v>
      </c>
      <c r="W13" s="1">
        <f t="shared" si="6"/>
        <v>8</v>
      </c>
      <c r="X13" s="1">
        <f t="shared" si="6"/>
        <v>9</v>
      </c>
      <c r="Y13" s="1">
        <f t="shared" si="6"/>
        <v>10</v>
      </c>
      <c r="Z13" s="1">
        <f t="shared" si="6"/>
        <v>11</v>
      </c>
      <c r="AA13" s="1">
        <f t="shared" si="6"/>
        <v>12</v>
      </c>
      <c r="AB13" s="1">
        <f t="shared" si="6"/>
        <v>13</v>
      </c>
      <c r="AC13" s="1">
        <f t="shared" si="6"/>
        <v>14</v>
      </c>
      <c r="AD13" s="1">
        <f t="shared" si="6"/>
        <v>15</v>
      </c>
      <c r="AE13" s="1">
        <f t="shared" si="6"/>
        <v>16</v>
      </c>
      <c r="AF13" s="1">
        <f t="shared" si="6"/>
        <v>17</v>
      </c>
      <c r="AG13" s="1">
        <f t="shared" si="6"/>
        <v>18</v>
      </c>
      <c r="AH13" s="1">
        <f>(AH11+AG13)*AH11</f>
        <v>19</v>
      </c>
      <c r="AI13" s="1">
        <f t="shared" ref="AI13:AR13" si="7">(AI11+AH13)*AI11</f>
        <v>20</v>
      </c>
      <c r="AJ13" s="1">
        <f t="shared" si="7"/>
        <v>0</v>
      </c>
      <c r="AK13" s="1">
        <f t="shared" si="7"/>
        <v>0</v>
      </c>
      <c r="AL13" s="1">
        <f t="shared" si="7"/>
        <v>0</v>
      </c>
      <c r="AM13" s="1">
        <f t="shared" si="7"/>
        <v>0</v>
      </c>
      <c r="AN13" s="1">
        <f t="shared" si="7"/>
        <v>0</v>
      </c>
      <c r="AO13" s="1">
        <f t="shared" si="7"/>
        <v>0</v>
      </c>
      <c r="AP13" s="1">
        <f t="shared" si="7"/>
        <v>0</v>
      </c>
      <c r="AQ13" s="1">
        <f t="shared" si="7"/>
        <v>0</v>
      </c>
      <c r="AR13" s="1">
        <f t="shared" si="7"/>
        <v>0</v>
      </c>
    </row>
    <row r="14" spans="1:44" ht="15" x14ac:dyDescent="0.25">
      <c r="A14" s="2" t="s">
        <v>8</v>
      </c>
      <c r="C14" s="21"/>
    </row>
    <row r="15" spans="1:44" x14ac:dyDescent="0.2">
      <c r="B15" s="1" t="s">
        <v>67</v>
      </c>
      <c r="C15" s="21" t="s">
        <v>50</v>
      </c>
      <c r="D15" s="69">
        <f>INPUTS!E24</f>
        <v>0</v>
      </c>
      <c r="E15" s="69"/>
      <c r="F15" s="3">
        <f>1/(1+$D15)^(F$10-1)</f>
        <v>1</v>
      </c>
      <c r="G15" s="3">
        <f t="shared" ref="G15:AR15" si="8">1/(1+$D15)^(G$10-1)</f>
        <v>1</v>
      </c>
      <c r="H15" s="3">
        <f t="shared" si="8"/>
        <v>1</v>
      </c>
      <c r="I15" s="3">
        <f t="shared" si="8"/>
        <v>1</v>
      </c>
      <c r="J15" s="3">
        <f t="shared" si="8"/>
        <v>1</v>
      </c>
      <c r="K15" s="3">
        <f t="shared" si="8"/>
        <v>1</v>
      </c>
      <c r="L15" s="3">
        <f t="shared" si="8"/>
        <v>1</v>
      </c>
      <c r="M15" s="3">
        <f t="shared" si="8"/>
        <v>1</v>
      </c>
      <c r="N15" s="3">
        <f t="shared" si="8"/>
        <v>1</v>
      </c>
      <c r="O15" s="3">
        <f t="shared" si="8"/>
        <v>1</v>
      </c>
      <c r="P15" s="3">
        <f t="shared" si="8"/>
        <v>1</v>
      </c>
      <c r="Q15" s="3">
        <f t="shared" si="8"/>
        <v>1</v>
      </c>
      <c r="R15" s="3">
        <f t="shared" si="8"/>
        <v>1</v>
      </c>
      <c r="S15" s="3">
        <f t="shared" si="8"/>
        <v>1</v>
      </c>
      <c r="T15" s="3">
        <f t="shared" si="8"/>
        <v>1</v>
      </c>
      <c r="U15" s="3">
        <f t="shared" si="8"/>
        <v>1</v>
      </c>
      <c r="V15" s="3">
        <f t="shared" si="8"/>
        <v>1</v>
      </c>
      <c r="W15" s="3">
        <f t="shared" si="8"/>
        <v>1</v>
      </c>
      <c r="X15" s="3">
        <f t="shared" si="8"/>
        <v>1</v>
      </c>
      <c r="Y15" s="3">
        <f t="shared" si="8"/>
        <v>1</v>
      </c>
      <c r="Z15" s="3">
        <f t="shared" si="8"/>
        <v>1</v>
      </c>
      <c r="AA15" s="3">
        <f t="shared" si="8"/>
        <v>1</v>
      </c>
      <c r="AB15" s="3">
        <f t="shared" si="8"/>
        <v>1</v>
      </c>
      <c r="AC15" s="3">
        <f t="shared" si="8"/>
        <v>1</v>
      </c>
      <c r="AD15" s="3">
        <f t="shared" si="8"/>
        <v>1</v>
      </c>
      <c r="AE15" s="3">
        <f t="shared" si="8"/>
        <v>1</v>
      </c>
      <c r="AF15" s="3">
        <f t="shared" si="8"/>
        <v>1</v>
      </c>
      <c r="AG15" s="3">
        <f t="shared" si="8"/>
        <v>1</v>
      </c>
      <c r="AH15" s="3">
        <f t="shared" si="8"/>
        <v>1</v>
      </c>
      <c r="AI15" s="3">
        <f t="shared" si="8"/>
        <v>1</v>
      </c>
      <c r="AJ15" s="3">
        <f t="shared" si="8"/>
        <v>1</v>
      </c>
      <c r="AK15" s="3">
        <f t="shared" si="8"/>
        <v>1</v>
      </c>
      <c r="AL15" s="3">
        <f t="shared" si="8"/>
        <v>1</v>
      </c>
      <c r="AM15" s="3">
        <f t="shared" si="8"/>
        <v>1</v>
      </c>
      <c r="AN15" s="3">
        <f t="shared" si="8"/>
        <v>1</v>
      </c>
      <c r="AO15" s="3">
        <f t="shared" si="8"/>
        <v>1</v>
      </c>
      <c r="AP15" s="3">
        <f t="shared" si="8"/>
        <v>1</v>
      </c>
      <c r="AQ15" s="3">
        <f t="shared" si="8"/>
        <v>1</v>
      </c>
      <c r="AR15" s="3">
        <f t="shared" si="8"/>
        <v>1</v>
      </c>
    </row>
    <row r="16" spans="1:44" x14ac:dyDescent="0.2">
      <c r="B16" s="1" t="s">
        <v>69</v>
      </c>
      <c r="C16" s="21" t="s">
        <v>50</v>
      </c>
      <c r="D16" s="69">
        <f>INPUTS!E25</f>
        <v>0.03</v>
      </c>
      <c r="E16" s="69"/>
      <c r="F16" s="3">
        <f t="shared" ref="F16:G16" si="9">MIN(1,IF(F10=0,1,1/(1+$D16)^(F$10-1)))</f>
        <v>1</v>
      </c>
      <c r="G16" s="3">
        <f t="shared" si="9"/>
        <v>1</v>
      </c>
      <c r="H16" s="3">
        <f>MIN(1,IF(H10=0,1,1/(1+$D16)^(H$10-1)))</f>
        <v>1</v>
      </c>
      <c r="I16" s="3">
        <f t="shared" ref="I16:AR16" si="10">MIN(1,IF(I10=0,1,1/(1+$D16)^(I$10-1)))</f>
        <v>1</v>
      </c>
      <c r="J16" s="3">
        <f t="shared" si="10"/>
        <v>0.970873786407767</v>
      </c>
      <c r="K16" s="3">
        <f t="shared" si="10"/>
        <v>0.94259590913375435</v>
      </c>
      <c r="L16" s="3">
        <f t="shared" si="10"/>
        <v>0.91514165935315961</v>
      </c>
      <c r="M16" s="3">
        <f t="shared" si="10"/>
        <v>0.888487047915689</v>
      </c>
      <c r="N16" s="3">
        <f t="shared" si="10"/>
        <v>0.86260878438416411</v>
      </c>
      <c r="O16" s="3">
        <f t="shared" si="10"/>
        <v>0.83748425668365445</v>
      </c>
      <c r="P16" s="3">
        <f t="shared" si="10"/>
        <v>0.81309151134335378</v>
      </c>
      <c r="Q16" s="3">
        <f t="shared" si="10"/>
        <v>0.78940923431393573</v>
      </c>
      <c r="R16" s="3">
        <f t="shared" si="10"/>
        <v>0.76641673234362695</v>
      </c>
      <c r="S16" s="3">
        <f t="shared" si="10"/>
        <v>0.74409391489672516</v>
      </c>
      <c r="T16" s="3">
        <f t="shared" si="10"/>
        <v>0.72242127659876232</v>
      </c>
      <c r="U16" s="3">
        <f t="shared" si="10"/>
        <v>0.70137988019297326</v>
      </c>
      <c r="V16" s="3">
        <f t="shared" si="10"/>
        <v>0.68095133999317792</v>
      </c>
      <c r="W16" s="3">
        <f t="shared" si="10"/>
        <v>0.66111780581861923</v>
      </c>
      <c r="X16" s="3">
        <f t="shared" si="10"/>
        <v>0.64186194739671765</v>
      </c>
      <c r="Y16" s="3">
        <f t="shared" si="10"/>
        <v>0.62316693922011435</v>
      </c>
      <c r="Z16" s="3">
        <f t="shared" si="10"/>
        <v>0.60501644584477121</v>
      </c>
      <c r="AA16" s="3">
        <f t="shared" si="10"/>
        <v>0.5873946076162827</v>
      </c>
      <c r="AB16" s="3">
        <f t="shared" si="10"/>
        <v>0.57028602681192497</v>
      </c>
      <c r="AC16" s="3">
        <f t="shared" si="10"/>
        <v>0.55367575418633497</v>
      </c>
      <c r="AD16" s="3">
        <f t="shared" si="10"/>
        <v>0.5375492759090631</v>
      </c>
      <c r="AE16" s="3">
        <f t="shared" si="10"/>
        <v>0.52189250088258554</v>
      </c>
      <c r="AF16" s="3">
        <f t="shared" si="10"/>
        <v>0.50669174842969467</v>
      </c>
      <c r="AG16" s="3">
        <f t="shared" si="10"/>
        <v>0.49193373633950943</v>
      </c>
      <c r="AH16" s="3">
        <f t="shared" si="10"/>
        <v>0.47760556926165965</v>
      </c>
      <c r="AI16" s="3">
        <f t="shared" si="10"/>
        <v>0.46369472743850448</v>
      </c>
      <c r="AJ16" s="3">
        <f t="shared" si="10"/>
        <v>0.45018905576553836</v>
      </c>
      <c r="AK16" s="3">
        <f t="shared" si="10"/>
        <v>0.4370767531704256</v>
      </c>
      <c r="AL16" s="3">
        <f t="shared" si="10"/>
        <v>0.42434636230138412</v>
      </c>
      <c r="AM16" s="3">
        <f t="shared" si="10"/>
        <v>0.41198675951590691</v>
      </c>
      <c r="AN16" s="3">
        <f t="shared" si="10"/>
        <v>0.39998714516107459</v>
      </c>
      <c r="AO16" s="3">
        <f t="shared" si="10"/>
        <v>0.38833703413696569</v>
      </c>
      <c r="AP16" s="3">
        <f t="shared" si="10"/>
        <v>0.37702624673491814</v>
      </c>
      <c r="AQ16" s="3">
        <f t="shared" si="10"/>
        <v>0.36604489974263904</v>
      </c>
      <c r="AR16" s="3">
        <f t="shared" si="10"/>
        <v>0.35538339780838735</v>
      </c>
    </row>
    <row r="17" spans="1:44" x14ac:dyDescent="0.2">
      <c r="B17" s="1" t="s">
        <v>70</v>
      </c>
      <c r="C17" s="21" t="s">
        <v>50</v>
      </c>
      <c r="D17" s="69">
        <f>INPUTS!E26</f>
        <v>7.0000000000000007E-2</v>
      </c>
      <c r="E17" s="69"/>
      <c r="F17" s="3">
        <f t="shared" ref="F17:G17" si="11">MIN(1,IF(F10=0,1,1/(1+$D17)^(F$10-1)))</f>
        <v>1</v>
      </c>
      <c r="G17" s="3">
        <f t="shared" si="11"/>
        <v>1</v>
      </c>
      <c r="H17" s="3">
        <f>MIN(1,IF(H10=0,1,1/(1+$D17)^(H$10-1)))</f>
        <v>1</v>
      </c>
      <c r="I17" s="3">
        <f t="shared" ref="I17:AR17" si="12">MIN(1,IF(I10=0,1,1/(1+$D17)^(I$10-1)))</f>
        <v>1</v>
      </c>
      <c r="J17" s="3">
        <f t="shared" si="12"/>
        <v>0.93457943925233644</v>
      </c>
      <c r="K17" s="3">
        <f t="shared" si="12"/>
        <v>0.87343872827321156</v>
      </c>
      <c r="L17" s="3">
        <f t="shared" si="12"/>
        <v>0.81629787689085187</v>
      </c>
      <c r="M17" s="3">
        <f t="shared" si="12"/>
        <v>0.7628952120475252</v>
      </c>
      <c r="N17" s="3">
        <f t="shared" si="12"/>
        <v>0.71298617948366838</v>
      </c>
      <c r="O17" s="3">
        <f t="shared" si="12"/>
        <v>0.66634222381651254</v>
      </c>
      <c r="P17" s="3">
        <f t="shared" si="12"/>
        <v>0.62274974188459109</v>
      </c>
      <c r="Q17" s="3">
        <f t="shared" si="12"/>
        <v>0.5820091045650384</v>
      </c>
      <c r="R17" s="3">
        <f t="shared" si="12"/>
        <v>0.54393374258414806</v>
      </c>
      <c r="S17" s="3">
        <f t="shared" si="12"/>
        <v>0.5083492921347178</v>
      </c>
      <c r="T17" s="3">
        <f t="shared" si="12"/>
        <v>0.47509279638758667</v>
      </c>
      <c r="U17" s="3">
        <f t="shared" si="12"/>
        <v>0.44401195924073528</v>
      </c>
      <c r="V17" s="3">
        <f t="shared" si="12"/>
        <v>0.41496444788853759</v>
      </c>
      <c r="W17" s="3">
        <f t="shared" si="12"/>
        <v>0.3878172410173249</v>
      </c>
      <c r="X17" s="3">
        <f t="shared" si="12"/>
        <v>0.36244601964235967</v>
      </c>
      <c r="Y17" s="3">
        <f t="shared" si="12"/>
        <v>0.33873459779659787</v>
      </c>
      <c r="Z17" s="3">
        <f t="shared" si="12"/>
        <v>0.31657439046411018</v>
      </c>
      <c r="AA17" s="3">
        <f t="shared" si="12"/>
        <v>0.29586391632159825</v>
      </c>
      <c r="AB17" s="3">
        <f t="shared" si="12"/>
        <v>0.27650833301083949</v>
      </c>
      <c r="AC17" s="3">
        <f t="shared" si="12"/>
        <v>0.2584190028138687</v>
      </c>
      <c r="AD17" s="3">
        <f t="shared" si="12"/>
        <v>0.24151308674193336</v>
      </c>
      <c r="AE17" s="3">
        <f t="shared" si="12"/>
        <v>0.22571316517937698</v>
      </c>
      <c r="AF17" s="3">
        <f t="shared" si="12"/>
        <v>0.21094688334521211</v>
      </c>
      <c r="AG17" s="3">
        <f t="shared" si="12"/>
        <v>0.19714661994879637</v>
      </c>
      <c r="AH17" s="3">
        <f t="shared" si="12"/>
        <v>0.18424917752223957</v>
      </c>
      <c r="AI17" s="3">
        <f t="shared" si="12"/>
        <v>0.17219549301143888</v>
      </c>
      <c r="AJ17" s="3">
        <f t="shared" si="12"/>
        <v>0.16093036730041013</v>
      </c>
      <c r="AK17" s="3">
        <f t="shared" si="12"/>
        <v>0.15040221243028987</v>
      </c>
      <c r="AL17" s="3">
        <f t="shared" si="12"/>
        <v>0.1405628153554111</v>
      </c>
      <c r="AM17" s="3">
        <f t="shared" si="12"/>
        <v>0.13136711715458982</v>
      </c>
      <c r="AN17" s="3">
        <f t="shared" si="12"/>
        <v>0.1227730066865325</v>
      </c>
      <c r="AO17" s="3">
        <f t="shared" si="12"/>
        <v>0.11474112774442291</v>
      </c>
      <c r="AP17" s="3">
        <f t="shared" si="12"/>
        <v>0.10723469882656347</v>
      </c>
      <c r="AQ17" s="3">
        <f t="shared" si="12"/>
        <v>0.10021934469772288</v>
      </c>
      <c r="AR17" s="3">
        <f t="shared" si="12"/>
        <v>9.366293896983445E-2</v>
      </c>
    </row>
    <row r="18" spans="1:44" x14ac:dyDescent="0.2">
      <c r="C18" s="20"/>
    </row>
    <row r="19" spans="1:44" x14ac:dyDescent="0.2">
      <c r="B19" s="1" t="s">
        <v>232</v>
      </c>
      <c r="C19" s="1" t="s">
        <v>44</v>
      </c>
      <c r="D19" s="1" t="s">
        <v>45</v>
      </c>
    </row>
    <row r="20" spans="1:44" s="8" customFormat="1" x14ac:dyDescent="0.2">
      <c r="A20" s="7" t="s">
        <v>233</v>
      </c>
    </row>
    <row r="21" spans="1:44" ht="15" x14ac:dyDescent="0.25">
      <c r="A21" s="2" t="s">
        <v>258</v>
      </c>
      <c r="C21" s="21"/>
      <c r="D21" s="17"/>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row>
    <row r="22" spans="1:44" ht="15" x14ac:dyDescent="0.25">
      <c r="A22" s="2"/>
      <c r="B22" s="1" t="s">
        <v>331</v>
      </c>
      <c r="C22" s="71"/>
      <c r="D22" s="70"/>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row>
    <row r="23" spans="1:44" ht="15" x14ac:dyDescent="0.25">
      <c r="A23" s="2"/>
      <c r="B23" s="1" t="s">
        <v>332</v>
      </c>
      <c r="C23" s="71"/>
      <c r="D23" s="70"/>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row>
    <row r="24" spans="1:44" ht="15" x14ac:dyDescent="0.25">
      <c r="A24" s="2"/>
      <c r="B24" s="1" t="s">
        <v>333</v>
      </c>
      <c r="C24" s="71"/>
      <c r="D24" s="70"/>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row>
    <row r="25" spans="1:44" x14ac:dyDescent="0.2">
      <c r="B25" s="1" t="s">
        <v>298</v>
      </c>
      <c r="C25" s="21" t="s">
        <v>289</v>
      </c>
      <c r="D25" s="70">
        <f>SUM(F25:AR25)</f>
        <v>0</v>
      </c>
      <c r="F25" s="18">
        <v>0</v>
      </c>
      <c r="G25" s="18">
        <v>0</v>
      </c>
      <c r="H25" s="18">
        <v>0</v>
      </c>
      <c r="I25" s="18">
        <v>0</v>
      </c>
      <c r="J25" s="18">
        <v>0</v>
      </c>
      <c r="K25" s="18">
        <v>0</v>
      </c>
      <c r="L25" s="18">
        <v>0</v>
      </c>
      <c r="M25" s="18">
        <v>0</v>
      </c>
      <c r="N25" s="18">
        <v>0</v>
      </c>
      <c r="O25" s="18">
        <v>0</v>
      </c>
      <c r="P25" s="18">
        <v>0</v>
      </c>
      <c r="Q25" s="18">
        <v>0</v>
      </c>
      <c r="R25" s="18">
        <v>0</v>
      </c>
      <c r="S25" s="18">
        <v>0</v>
      </c>
      <c r="T25" s="18">
        <v>0</v>
      </c>
      <c r="U25" s="18">
        <v>0</v>
      </c>
      <c r="V25" s="18">
        <v>0</v>
      </c>
      <c r="W25" s="18">
        <v>0</v>
      </c>
      <c r="X25" s="18">
        <v>0</v>
      </c>
      <c r="Y25" s="18">
        <v>0</v>
      </c>
      <c r="Z25" s="18">
        <v>0</v>
      </c>
      <c r="AA25" s="18">
        <v>0</v>
      </c>
      <c r="AB25" s="18">
        <v>0</v>
      </c>
      <c r="AC25" s="18">
        <v>0</v>
      </c>
      <c r="AD25" s="18">
        <v>0</v>
      </c>
      <c r="AE25" s="18">
        <v>0</v>
      </c>
      <c r="AF25" s="18">
        <v>0</v>
      </c>
      <c r="AG25" s="18">
        <v>0</v>
      </c>
      <c r="AH25" s="18">
        <v>0</v>
      </c>
      <c r="AI25" s="18">
        <v>0</v>
      </c>
      <c r="AJ25" s="18">
        <v>0</v>
      </c>
      <c r="AK25" s="18">
        <v>0</v>
      </c>
      <c r="AL25" s="18">
        <v>0</v>
      </c>
      <c r="AM25" s="18">
        <v>0</v>
      </c>
      <c r="AN25" s="18">
        <v>0</v>
      </c>
      <c r="AO25" s="18">
        <v>0</v>
      </c>
      <c r="AP25" s="18">
        <v>0</v>
      </c>
      <c r="AQ25" s="18">
        <v>0</v>
      </c>
      <c r="AR25" s="18">
        <v>0</v>
      </c>
    </row>
    <row r="26" spans="1:44" x14ac:dyDescent="0.2">
      <c r="C26" s="11"/>
    </row>
    <row r="27" spans="1:44" s="8" customFormat="1" x14ac:dyDescent="0.2">
      <c r="A27" s="7" t="s">
        <v>245</v>
      </c>
      <c r="B27" s="12"/>
      <c r="C27" s="12"/>
    </row>
    <row r="28" spans="1:44" ht="15" x14ac:dyDescent="0.25">
      <c r="A28" s="2" t="s">
        <v>261</v>
      </c>
      <c r="C28" s="21"/>
      <c r="D28" s="17"/>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row>
    <row r="29" spans="1:44" ht="15" x14ac:dyDescent="0.25">
      <c r="A29" s="2"/>
      <c r="B29" s="1" t="str">
        <f>'CALCS Traffic'!$B$37</f>
        <v>Pedestrian Forecast</v>
      </c>
      <c r="C29" s="21" t="s">
        <v>187</v>
      </c>
      <c r="D29" s="17"/>
      <c r="F29" s="18">
        <f>'CALCS Traffic'!F$37</f>
        <v>0</v>
      </c>
      <c r="G29" s="18">
        <f>'CALCS Traffic'!G$37</f>
        <v>0</v>
      </c>
      <c r="H29" s="18">
        <f>'CALCS Traffic'!H$37</f>
        <v>0</v>
      </c>
      <c r="I29" s="18">
        <f>'CALCS Traffic'!I$37</f>
        <v>0</v>
      </c>
      <c r="J29" s="18">
        <f>'CALCS Traffic'!J$37</f>
        <v>0</v>
      </c>
      <c r="K29" s="18">
        <f>'CALCS Traffic'!K$37</f>
        <v>0</v>
      </c>
      <c r="L29" s="18">
        <f>'CALCS Traffic'!L$37</f>
        <v>0</v>
      </c>
      <c r="M29" s="18">
        <f>'CALCS Traffic'!M$37</f>
        <v>0</v>
      </c>
      <c r="N29" s="18">
        <f>'CALCS Traffic'!N$37</f>
        <v>0</v>
      </c>
      <c r="O29" s="18">
        <f>'CALCS Traffic'!O$37</f>
        <v>0</v>
      </c>
      <c r="P29" s="18">
        <f>'CALCS Traffic'!P$37</f>
        <v>0</v>
      </c>
      <c r="Q29" s="18">
        <f>'CALCS Traffic'!Q$37</f>
        <v>0</v>
      </c>
      <c r="R29" s="18">
        <f>'CALCS Traffic'!R$37</f>
        <v>0</v>
      </c>
      <c r="S29" s="18">
        <f>'CALCS Traffic'!S$37</f>
        <v>0</v>
      </c>
      <c r="T29" s="18">
        <f>'CALCS Traffic'!T$37</f>
        <v>0</v>
      </c>
      <c r="U29" s="18">
        <f>'CALCS Traffic'!U$37</f>
        <v>0</v>
      </c>
      <c r="V29" s="18">
        <f>'CALCS Traffic'!V$37</f>
        <v>0</v>
      </c>
      <c r="W29" s="18">
        <f>'CALCS Traffic'!W$37</f>
        <v>0</v>
      </c>
      <c r="X29" s="18">
        <f>'CALCS Traffic'!X$37</f>
        <v>0</v>
      </c>
      <c r="Y29" s="18">
        <f>'CALCS Traffic'!Y$37</f>
        <v>0</v>
      </c>
      <c r="Z29" s="18">
        <f>'CALCS Traffic'!Z$37</f>
        <v>0</v>
      </c>
      <c r="AA29" s="18">
        <f>'CALCS Traffic'!AA$37</f>
        <v>0</v>
      </c>
      <c r="AB29" s="18">
        <f>'CALCS Traffic'!AB$37</f>
        <v>0</v>
      </c>
      <c r="AC29" s="18">
        <f>'CALCS Traffic'!AC$37</f>
        <v>0</v>
      </c>
      <c r="AD29" s="18">
        <f>'CALCS Traffic'!AD$37</f>
        <v>0</v>
      </c>
      <c r="AE29" s="18">
        <f>'CALCS Traffic'!AE$37</f>
        <v>0</v>
      </c>
      <c r="AF29" s="18">
        <f>'CALCS Traffic'!AF$37</f>
        <v>0</v>
      </c>
      <c r="AG29" s="18">
        <f>'CALCS Traffic'!AG$37</f>
        <v>0</v>
      </c>
      <c r="AH29" s="18">
        <f>'CALCS Traffic'!AH$37</f>
        <v>0</v>
      </c>
      <c r="AI29" s="18">
        <f>'CALCS Traffic'!AI$37</f>
        <v>0</v>
      </c>
      <c r="AJ29" s="18">
        <f>'CALCS Traffic'!AJ$37</f>
        <v>0</v>
      </c>
      <c r="AK29" s="18">
        <f>'CALCS Traffic'!AK$37</f>
        <v>0</v>
      </c>
      <c r="AL29" s="18">
        <f>'CALCS Traffic'!AL$37</f>
        <v>0</v>
      </c>
      <c r="AM29" s="18">
        <f>'CALCS Traffic'!AM$37</f>
        <v>0</v>
      </c>
      <c r="AN29" s="18">
        <f>'CALCS Traffic'!AN$37</f>
        <v>0</v>
      </c>
      <c r="AO29" s="18">
        <f>'CALCS Traffic'!AO$37</f>
        <v>0</v>
      </c>
      <c r="AP29" s="18">
        <f>'CALCS Traffic'!AP$37</f>
        <v>0</v>
      </c>
      <c r="AQ29" s="18">
        <f>'CALCS Traffic'!AQ$37</f>
        <v>0</v>
      </c>
      <c r="AR29" s="18">
        <f>'CALCS Traffic'!AR$37</f>
        <v>0</v>
      </c>
    </row>
    <row r="30" spans="1:44" ht="15" x14ac:dyDescent="0.25">
      <c r="A30" s="2"/>
      <c r="B30" s="1" t="s">
        <v>334</v>
      </c>
      <c r="C30" s="21" t="s">
        <v>101</v>
      </c>
      <c r="D30" s="17">
        <f>INPUTS!$E$51</f>
        <v>0</v>
      </c>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row>
    <row r="31" spans="1:44" ht="15" x14ac:dyDescent="0.25">
      <c r="A31" s="2"/>
      <c r="B31" s="1" t="s">
        <v>335</v>
      </c>
      <c r="C31" s="21" t="s">
        <v>336</v>
      </c>
      <c r="D31" s="17"/>
      <c r="F31" s="18">
        <f t="shared" ref="F31:AR31" si="13">F29*$D$30</f>
        <v>0</v>
      </c>
      <c r="G31" s="18">
        <f t="shared" si="13"/>
        <v>0</v>
      </c>
      <c r="H31" s="18">
        <f t="shared" si="13"/>
        <v>0</v>
      </c>
      <c r="I31" s="18">
        <f t="shared" si="13"/>
        <v>0</v>
      </c>
      <c r="J31" s="18">
        <f t="shared" si="13"/>
        <v>0</v>
      </c>
      <c r="K31" s="18">
        <f t="shared" si="13"/>
        <v>0</v>
      </c>
      <c r="L31" s="18">
        <f t="shared" si="13"/>
        <v>0</v>
      </c>
      <c r="M31" s="18">
        <f t="shared" si="13"/>
        <v>0</v>
      </c>
      <c r="N31" s="18">
        <f t="shared" si="13"/>
        <v>0</v>
      </c>
      <c r="O31" s="18">
        <f t="shared" si="13"/>
        <v>0</v>
      </c>
      <c r="P31" s="18">
        <f t="shared" si="13"/>
        <v>0</v>
      </c>
      <c r="Q31" s="18">
        <f t="shared" si="13"/>
        <v>0</v>
      </c>
      <c r="R31" s="18">
        <f t="shared" si="13"/>
        <v>0</v>
      </c>
      <c r="S31" s="18">
        <f t="shared" si="13"/>
        <v>0</v>
      </c>
      <c r="T31" s="18">
        <f t="shared" si="13"/>
        <v>0</v>
      </c>
      <c r="U31" s="18">
        <f t="shared" si="13"/>
        <v>0</v>
      </c>
      <c r="V31" s="18">
        <f t="shared" si="13"/>
        <v>0</v>
      </c>
      <c r="W31" s="18">
        <f t="shared" si="13"/>
        <v>0</v>
      </c>
      <c r="X31" s="18">
        <f t="shared" si="13"/>
        <v>0</v>
      </c>
      <c r="Y31" s="18">
        <f t="shared" si="13"/>
        <v>0</v>
      </c>
      <c r="Z31" s="18">
        <f t="shared" si="13"/>
        <v>0</v>
      </c>
      <c r="AA31" s="18">
        <f t="shared" si="13"/>
        <v>0</v>
      </c>
      <c r="AB31" s="18">
        <f t="shared" si="13"/>
        <v>0</v>
      </c>
      <c r="AC31" s="18">
        <f t="shared" si="13"/>
        <v>0</v>
      </c>
      <c r="AD31" s="18">
        <f t="shared" si="13"/>
        <v>0</v>
      </c>
      <c r="AE31" s="18">
        <f t="shared" si="13"/>
        <v>0</v>
      </c>
      <c r="AF31" s="18">
        <f t="shared" si="13"/>
        <v>0</v>
      </c>
      <c r="AG31" s="18">
        <f t="shared" si="13"/>
        <v>0</v>
      </c>
      <c r="AH31" s="18">
        <f t="shared" si="13"/>
        <v>0</v>
      </c>
      <c r="AI31" s="18">
        <f t="shared" si="13"/>
        <v>0</v>
      </c>
      <c r="AJ31" s="18">
        <f t="shared" si="13"/>
        <v>0</v>
      </c>
      <c r="AK31" s="18">
        <f t="shared" si="13"/>
        <v>0</v>
      </c>
      <c r="AL31" s="18">
        <f t="shared" si="13"/>
        <v>0</v>
      </c>
      <c r="AM31" s="18">
        <f t="shared" si="13"/>
        <v>0</v>
      </c>
      <c r="AN31" s="18">
        <f t="shared" si="13"/>
        <v>0</v>
      </c>
      <c r="AO31" s="18">
        <f t="shared" si="13"/>
        <v>0</v>
      </c>
      <c r="AP31" s="18">
        <f t="shared" si="13"/>
        <v>0</v>
      </c>
      <c r="AQ31" s="18">
        <f t="shared" si="13"/>
        <v>0</v>
      </c>
      <c r="AR31" s="18">
        <f t="shared" si="13"/>
        <v>0</v>
      </c>
    </row>
    <row r="32" spans="1:44" ht="15" x14ac:dyDescent="0.25">
      <c r="A32" s="2" t="s">
        <v>337</v>
      </c>
      <c r="C32" s="21"/>
      <c r="D32" s="17"/>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row>
    <row r="33" spans="1:44" ht="15" x14ac:dyDescent="0.25">
      <c r="A33" s="2"/>
      <c r="B33" s="1" t="s">
        <v>95</v>
      </c>
      <c r="C33" s="21" t="s">
        <v>96</v>
      </c>
      <c r="D33" s="242">
        <f>INPUTS!$E$48</f>
        <v>0</v>
      </c>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row>
    <row r="34" spans="1:44" ht="15" x14ac:dyDescent="0.25">
      <c r="A34" s="2"/>
      <c r="B34" s="1" t="s">
        <v>338</v>
      </c>
      <c r="C34" s="21" t="s">
        <v>192</v>
      </c>
      <c r="D34" s="247">
        <f>INPUTS!$E$152</f>
        <v>0.11</v>
      </c>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row>
    <row r="35" spans="1:44" x14ac:dyDescent="0.2">
      <c r="B35" s="1" t="s">
        <v>339</v>
      </c>
      <c r="C35" s="21" t="s">
        <v>297</v>
      </c>
      <c r="D35" s="70">
        <f>SUM(F35:AR35)</f>
        <v>0</v>
      </c>
      <c r="F35" s="18">
        <f t="shared" ref="F35:AR35" si="14">F31*$D$33*$D$34</f>
        <v>0</v>
      </c>
      <c r="G35" s="18">
        <f t="shared" si="14"/>
        <v>0</v>
      </c>
      <c r="H35" s="18">
        <f t="shared" si="14"/>
        <v>0</v>
      </c>
      <c r="I35" s="18">
        <f t="shared" si="14"/>
        <v>0</v>
      </c>
      <c r="J35" s="18">
        <f t="shared" si="14"/>
        <v>0</v>
      </c>
      <c r="K35" s="18">
        <f t="shared" si="14"/>
        <v>0</v>
      </c>
      <c r="L35" s="18">
        <f t="shared" si="14"/>
        <v>0</v>
      </c>
      <c r="M35" s="18">
        <f t="shared" si="14"/>
        <v>0</v>
      </c>
      <c r="N35" s="18">
        <f t="shared" si="14"/>
        <v>0</v>
      </c>
      <c r="O35" s="18">
        <f t="shared" si="14"/>
        <v>0</v>
      </c>
      <c r="P35" s="18">
        <f t="shared" si="14"/>
        <v>0</v>
      </c>
      <c r="Q35" s="18">
        <f t="shared" si="14"/>
        <v>0</v>
      </c>
      <c r="R35" s="18">
        <f t="shared" si="14"/>
        <v>0</v>
      </c>
      <c r="S35" s="18">
        <f t="shared" si="14"/>
        <v>0</v>
      </c>
      <c r="T35" s="18">
        <f t="shared" si="14"/>
        <v>0</v>
      </c>
      <c r="U35" s="18">
        <f t="shared" si="14"/>
        <v>0</v>
      </c>
      <c r="V35" s="18">
        <f t="shared" si="14"/>
        <v>0</v>
      </c>
      <c r="W35" s="18">
        <f t="shared" si="14"/>
        <v>0</v>
      </c>
      <c r="X35" s="18">
        <f t="shared" si="14"/>
        <v>0</v>
      </c>
      <c r="Y35" s="18">
        <f t="shared" si="14"/>
        <v>0</v>
      </c>
      <c r="Z35" s="18">
        <f t="shared" si="14"/>
        <v>0</v>
      </c>
      <c r="AA35" s="18">
        <f t="shared" si="14"/>
        <v>0</v>
      </c>
      <c r="AB35" s="18">
        <f t="shared" si="14"/>
        <v>0</v>
      </c>
      <c r="AC35" s="18">
        <f t="shared" si="14"/>
        <v>0</v>
      </c>
      <c r="AD35" s="18">
        <f t="shared" si="14"/>
        <v>0</v>
      </c>
      <c r="AE35" s="18">
        <f t="shared" si="14"/>
        <v>0</v>
      </c>
      <c r="AF35" s="18">
        <f t="shared" si="14"/>
        <v>0</v>
      </c>
      <c r="AG35" s="18">
        <f t="shared" si="14"/>
        <v>0</v>
      </c>
      <c r="AH35" s="18">
        <f t="shared" si="14"/>
        <v>0</v>
      </c>
      <c r="AI35" s="18">
        <f t="shared" si="14"/>
        <v>0</v>
      </c>
      <c r="AJ35" s="18">
        <f t="shared" si="14"/>
        <v>0</v>
      </c>
      <c r="AK35" s="18">
        <f t="shared" si="14"/>
        <v>0</v>
      </c>
      <c r="AL35" s="18">
        <f t="shared" si="14"/>
        <v>0</v>
      </c>
      <c r="AM35" s="18">
        <f t="shared" si="14"/>
        <v>0</v>
      </c>
      <c r="AN35" s="18">
        <f t="shared" si="14"/>
        <v>0</v>
      </c>
      <c r="AO35" s="18">
        <f t="shared" si="14"/>
        <v>0</v>
      </c>
      <c r="AP35" s="18">
        <f t="shared" si="14"/>
        <v>0</v>
      </c>
      <c r="AQ35" s="18">
        <f t="shared" si="14"/>
        <v>0</v>
      </c>
      <c r="AR35" s="18">
        <f t="shared" si="14"/>
        <v>0</v>
      </c>
    </row>
    <row r="36" spans="1:44" x14ac:dyDescent="0.2">
      <c r="B36" s="1" t="s">
        <v>71</v>
      </c>
      <c r="C36" s="71" t="s">
        <v>72</v>
      </c>
      <c r="D36" s="70">
        <f>INPUTS!$E$27</f>
        <v>365</v>
      </c>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row>
    <row r="37" spans="1:44" x14ac:dyDescent="0.2">
      <c r="B37" s="1" t="s">
        <v>339</v>
      </c>
      <c r="C37" s="21" t="s">
        <v>289</v>
      </c>
      <c r="D37" s="70">
        <f>SUM(F37:AR37)</f>
        <v>0</v>
      </c>
      <c r="F37" s="18">
        <f>F35*$D$36</f>
        <v>0</v>
      </c>
      <c r="G37" s="18">
        <f t="shared" ref="G37:AR37" si="15">G35*$D$36</f>
        <v>0</v>
      </c>
      <c r="H37" s="18">
        <f t="shared" si="15"/>
        <v>0</v>
      </c>
      <c r="I37" s="18">
        <f t="shared" si="15"/>
        <v>0</v>
      </c>
      <c r="J37" s="18">
        <f t="shared" si="15"/>
        <v>0</v>
      </c>
      <c r="K37" s="18">
        <f t="shared" si="15"/>
        <v>0</v>
      </c>
      <c r="L37" s="18">
        <f t="shared" si="15"/>
        <v>0</v>
      </c>
      <c r="M37" s="18">
        <f t="shared" si="15"/>
        <v>0</v>
      </c>
      <c r="N37" s="18">
        <f t="shared" si="15"/>
        <v>0</v>
      </c>
      <c r="O37" s="18">
        <f t="shared" si="15"/>
        <v>0</v>
      </c>
      <c r="P37" s="18">
        <f t="shared" si="15"/>
        <v>0</v>
      </c>
      <c r="Q37" s="18">
        <f t="shared" si="15"/>
        <v>0</v>
      </c>
      <c r="R37" s="18">
        <f t="shared" si="15"/>
        <v>0</v>
      </c>
      <c r="S37" s="18">
        <f t="shared" si="15"/>
        <v>0</v>
      </c>
      <c r="T37" s="18">
        <f t="shared" si="15"/>
        <v>0</v>
      </c>
      <c r="U37" s="18">
        <f t="shared" si="15"/>
        <v>0</v>
      </c>
      <c r="V37" s="18">
        <f t="shared" si="15"/>
        <v>0</v>
      </c>
      <c r="W37" s="18">
        <f t="shared" si="15"/>
        <v>0</v>
      </c>
      <c r="X37" s="18">
        <f t="shared" si="15"/>
        <v>0</v>
      </c>
      <c r="Y37" s="18">
        <f t="shared" si="15"/>
        <v>0</v>
      </c>
      <c r="Z37" s="18">
        <f t="shared" si="15"/>
        <v>0</v>
      </c>
      <c r="AA37" s="18">
        <f t="shared" si="15"/>
        <v>0</v>
      </c>
      <c r="AB37" s="18">
        <f t="shared" si="15"/>
        <v>0</v>
      </c>
      <c r="AC37" s="18">
        <f t="shared" si="15"/>
        <v>0</v>
      </c>
      <c r="AD37" s="18">
        <f t="shared" si="15"/>
        <v>0</v>
      </c>
      <c r="AE37" s="18">
        <f t="shared" si="15"/>
        <v>0</v>
      </c>
      <c r="AF37" s="18">
        <f t="shared" si="15"/>
        <v>0</v>
      </c>
      <c r="AG37" s="18">
        <f t="shared" si="15"/>
        <v>0</v>
      </c>
      <c r="AH37" s="18">
        <f t="shared" si="15"/>
        <v>0</v>
      </c>
      <c r="AI37" s="18">
        <f t="shared" si="15"/>
        <v>0</v>
      </c>
      <c r="AJ37" s="18">
        <f t="shared" si="15"/>
        <v>0</v>
      </c>
      <c r="AK37" s="18">
        <f t="shared" si="15"/>
        <v>0</v>
      </c>
      <c r="AL37" s="18">
        <f t="shared" si="15"/>
        <v>0</v>
      </c>
      <c r="AM37" s="18">
        <f t="shared" si="15"/>
        <v>0</v>
      </c>
      <c r="AN37" s="18">
        <f t="shared" si="15"/>
        <v>0</v>
      </c>
      <c r="AO37" s="18">
        <f t="shared" si="15"/>
        <v>0</v>
      </c>
      <c r="AP37" s="18">
        <f t="shared" si="15"/>
        <v>0</v>
      </c>
      <c r="AQ37" s="18">
        <f t="shared" si="15"/>
        <v>0</v>
      </c>
      <c r="AR37" s="18">
        <f t="shared" si="15"/>
        <v>0</v>
      </c>
    </row>
    <row r="38" spans="1:44" x14ac:dyDescent="0.2">
      <c r="C38" s="21"/>
      <c r="D38" s="70"/>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row>
    <row r="39" spans="1:44" ht="15" x14ac:dyDescent="0.25">
      <c r="A39" s="2" t="s">
        <v>340</v>
      </c>
      <c r="C39" s="21"/>
      <c r="D39" s="17"/>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row>
    <row r="40" spans="1:44" ht="15" x14ac:dyDescent="0.25">
      <c r="A40" s="2"/>
      <c r="B40" s="1" t="s">
        <v>341</v>
      </c>
      <c r="C40" s="21" t="s">
        <v>98</v>
      </c>
      <c r="D40" s="229">
        <f>INPUTS!$E$49</f>
        <v>0</v>
      </c>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row>
    <row r="41" spans="1:44" ht="15" x14ac:dyDescent="0.25">
      <c r="A41" s="2"/>
      <c r="B41" s="1" t="s">
        <v>341</v>
      </c>
      <c r="C41" s="21" t="s">
        <v>342</v>
      </c>
      <c r="D41" s="248">
        <f>INPUTS!$E$153</f>
        <v>0.18</v>
      </c>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row>
    <row r="42" spans="1:44" x14ac:dyDescent="0.2">
      <c r="B42" s="1" t="s">
        <v>339</v>
      </c>
      <c r="C42" s="21" t="s">
        <v>297</v>
      </c>
      <c r="D42" s="70">
        <f>SUM(F42:AR42)</f>
        <v>0</v>
      </c>
      <c r="F42" s="18">
        <f>$D$40*$D$41*F$29</f>
        <v>0</v>
      </c>
      <c r="G42" s="18">
        <f t="shared" ref="G42:AR42" si="16">$D$40*$D$41*G$29</f>
        <v>0</v>
      </c>
      <c r="H42" s="18">
        <f t="shared" si="16"/>
        <v>0</v>
      </c>
      <c r="I42" s="18">
        <f t="shared" si="16"/>
        <v>0</v>
      </c>
      <c r="J42" s="18">
        <f t="shared" si="16"/>
        <v>0</v>
      </c>
      <c r="K42" s="18">
        <f t="shared" si="16"/>
        <v>0</v>
      </c>
      <c r="L42" s="18">
        <f t="shared" si="16"/>
        <v>0</v>
      </c>
      <c r="M42" s="18">
        <f t="shared" si="16"/>
        <v>0</v>
      </c>
      <c r="N42" s="18">
        <f t="shared" si="16"/>
        <v>0</v>
      </c>
      <c r="O42" s="18">
        <f t="shared" si="16"/>
        <v>0</v>
      </c>
      <c r="P42" s="18">
        <f t="shared" si="16"/>
        <v>0</v>
      </c>
      <c r="Q42" s="18">
        <f t="shared" si="16"/>
        <v>0</v>
      </c>
      <c r="R42" s="18">
        <f t="shared" si="16"/>
        <v>0</v>
      </c>
      <c r="S42" s="18">
        <f t="shared" si="16"/>
        <v>0</v>
      </c>
      <c r="T42" s="18">
        <f t="shared" si="16"/>
        <v>0</v>
      </c>
      <c r="U42" s="18">
        <f t="shared" si="16"/>
        <v>0</v>
      </c>
      <c r="V42" s="18">
        <f t="shared" si="16"/>
        <v>0</v>
      </c>
      <c r="W42" s="18">
        <f t="shared" si="16"/>
        <v>0</v>
      </c>
      <c r="X42" s="18">
        <f t="shared" si="16"/>
        <v>0</v>
      </c>
      <c r="Y42" s="18">
        <f t="shared" si="16"/>
        <v>0</v>
      </c>
      <c r="Z42" s="18">
        <f t="shared" si="16"/>
        <v>0</v>
      </c>
      <c r="AA42" s="18">
        <f t="shared" si="16"/>
        <v>0</v>
      </c>
      <c r="AB42" s="18">
        <f t="shared" si="16"/>
        <v>0</v>
      </c>
      <c r="AC42" s="18">
        <f t="shared" si="16"/>
        <v>0</v>
      </c>
      <c r="AD42" s="18">
        <f t="shared" si="16"/>
        <v>0</v>
      </c>
      <c r="AE42" s="18">
        <f t="shared" si="16"/>
        <v>0</v>
      </c>
      <c r="AF42" s="18">
        <f t="shared" si="16"/>
        <v>0</v>
      </c>
      <c r="AG42" s="18">
        <f t="shared" si="16"/>
        <v>0</v>
      </c>
      <c r="AH42" s="18">
        <f t="shared" si="16"/>
        <v>0</v>
      </c>
      <c r="AI42" s="18">
        <f t="shared" si="16"/>
        <v>0</v>
      </c>
      <c r="AJ42" s="18">
        <f t="shared" si="16"/>
        <v>0</v>
      </c>
      <c r="AK42" s="18">
        <f t="shared" si="16"/>
        <v>0</v>
      </c>
      <c r="AL42" s="18">
        <f t="shared" si="16"/>
        <v>0</v>
      </c>
      <c r="AM42" s="18">
        <f t="shared" si="16"/>
        <v>0</v>
      </c>
      <c r="AN42" s="18">
        <f t="shared" si="16"/>
        <v>0</v>
      </c>
      <c r="AO42" s="18">
        <f t="shared" si="16"/>
        <v>0</v>
      </c>
      <c r="AP42" s="18">
        <f t="shared" si="16"/>
        <v>0</v>
      </c>
      <c r="AQ42" s="18">
        <f t="shared" si="16"/>
        <v>0</v>
      </c>
      <c r="AR42" s="18">
        <f t="shared" si="16"/>
        <v>0</v>
      </c>
    </row>
    <row r="43" spans="1:44" x14ac:dyDescent="0.2">
      <c r="B43" s="1" t="s">
        <v>71</v>
      </c>
      <c r="C43" s="71" t="s">
        <v>72</v>
      </c>
      <c r="D43" s="70">
        <f>INPUTS!$E$27</f>
        <v>365</v>
      </c>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row>
    <row r="44" spans="1:44" x14ac:dyDescent="0.2">
      <c r="B44" s="1" t="s">
        <v>339</v>
      </c>
      <c r="C44" s="21" t="s">
        <v>289</v>
      </c>
      <c r="D44" s="70">
        <f>SUM(F44:AR44)</f>
        <v>0</v>
      </c>
      <c r="F44" s="18">
        <f>F42*$D$36</f>
        <v>0</v>
      </c>
      <c r="G44" s="18">
        <f t="shared" ref="G44:AR44" si="17">G42*$D$36</f>
        <v>0</v>
      </c>
      <c r="H44" s="18">
        <f t="shared" si="17"/>
        <v>0</v>
      </c>
      <c r="I44" s="18">
        <f t="shared" si="17"/>
        <v>0</v>
      </c>
      <c r="J44" s="18">
        <f t="shared" si="17"/>
        <v>0</v>
      </c>
      <c r="K44" s="18">
        <f t="shared" si="17"/>
        <v>0</v>
      </c>
      <c r="L44" s="18">
        <f t="shared" si="17"/>
        <v>0</v>
      </c>
      <c r="M44" s="18">
        <f t="shared" si="17"/>
        <v>0</v>
      </c>
      <c r="N44" s="18">
        <f t="shared" si="17"/>
        <v>0</v>
      </c>
      <c r="O44" s="18">
        <f t="shared" si="17"/>
        <v>0</v>
      </c>
      <c r="P44" s="18">
        <f t="shared" si="17"/>
        <v>0</v>
      </c>
      <c r="Q44" s="18">
        <f t="shared" si="17"/>
        <v>0</v>
      </c>
      <c r="R44" s="18">
        <f t="shared" si="17"/>
        <v>0</v>
      </c>
      <c r="S44" s="18">
        <f t="shared" si="17"/>
        <v>0</v>
      </c>
      <c r="T44" s="18">
        <f t="shared" si="17"/>
        <v>0</v>
      </c>
      <c r="U44" s="18">
        <f t="shared" si="17"/>
        <v>0</v>
      </c>
      <c r="V44" s="18">
        <f t="shared" si="17"/>
        <v>0</v>
      </c>
      <c r="W44" s="18">
        <f t="shared" si="17"/>
        <v>0</v>
      </c>
      <c r="X44" s="18">
        <f t="shared" si="17"/>
        <v>0</v>
      </c>
      <c r="Y44" s="18">
        <f t="shared" si="17"/>
        <v>0</v>
      </c>
      <c r="Z44" s="18">
        <f t="shared" si="17"/>
        <v>0</v>
      </c>
      <c r="AA44" s="18">
        <f t="shared" si="17"/>
        <v>0</v>
      </c>
      <c r="AB44" s="18">
        <f t="shared" si="17"/>
        <v>0</v>
      </c>
      <c r="AC44" s="18">
        <f t="shared" si="17"/>
        <v>0</v>
      </c>
      <c r="AD44" s="18">
        <f t="shared" si="17"/>
        <v>0</v>
      </c>
      <c r="AE44" s="18">
        <f t="shared" si="17"/>
        <v>0</v>
      </c>
      <c r="AF44" s="18">
        <f t="shared" si="17"/>
        <v>0</v>
      </c>
      <c r="AG44" s="18">
        <f t="shared" si="17"/>
        <v>0</v>
      </c>
      <c r="AH44" s="18">
        <f t="shared" si="17"/>
        <v>0</v>
      </c>
      <c r="AI44" s="18">
        <f t="shared" si="17"/>
        <v>0</v>
      </c>
      <c r="AJ44" s="18">
        <f t="shared" si="17"/>
        <v>0</v>
      </c>
      <c r="AK44" s="18">
        <f t="shared" si="17"/>
        <v>0</v>
      </c>
      <c r="AL44" s="18">
        <f t="shared" si="17"/>
        <v>0</v>
      </c>
      <c r="AM44" s="18">
        <f t="shared" si="17"/>
        <v>0</v>
      </c>
      <c r="AN44" s="18">
        <f t="shared" si="17"/>
        <v>0</v>
      </c>
      <c r="AO44" s="18">
        <f t="shared" si="17"/>
        <v>0</v>
      </c>
      <c r="AP44" s="18">
        <f t="shared" si="17"/>
        <v>0</v>
      </c>
      <c r="AQ44" s="18">
        <f t="shared" si="17"/>
        <v>0</v>
      </c>
      <c r="AR44" s="18">
        <f t="shared" si="17"/>
        <v>0</v>
      </c>
    </row>
    <row r="45" spans="1:44" x14ac:dyDescent="0.2">
      <c r="C45" s="21"/>
      <c r="D45" s="70"/>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row>
    <row r="46" spans="1:44" ht="15" x14ac:dyDescent="0.25">
      <c r="A46" s="2" t="s">
        <v>343</v>
      </c>
      <c r="C46" s="21"/>
      <c r="D46" s="17"/>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row>
    <row r="47" spans="1:44" ht="15" x14ac:dyDescent="0.25">
      <c r="A47" s="2"/>
      <c r="B47" s="1" t="s">
        <v>344</v>
      </c>
      <c r="C47" s="21" t="s">
        <v>98</v>
      </c>
      <c r="D47" s="229">
        <f>INPUTS!$E$50</f>
        <v>0</v>
      </c>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row>
    <row r="48" spans="1:44" ht="15" x14ac:dyDescent="0.25">
      <c r="A48" s="2"/>
      <c r="B48" s="1" t="s">
        <v>341</v>
      </c>
      <c r="C48" s="21" t="s">
        <v>342</v>
      </c>
      <c r="D48" s="248">
        <f>INPUTS!$E$154</f>
        <v>0.48</v>
      </c>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row>
    <row r="49" spans="1:44" x14ac:dyDescent="0.2">
      <c r="B49" s="1" t="s">
        <v>339</v>
      </c>
      <c r="C49" s="21" t="s">
        <v>297</v>
      </c>
      <c r="D49" s="70">
        <f>SUM(F49:AR49)</f>
        <v>0</v>
      </c>
      <c r="F49" s="18">
        <f>$D$47*$D$48*F$29</f>
        <v>0</v>
      </c>
      <c r="G49" s="18">
        <f t="shared" ref="G49:AR49" si="18">$D$47*$D$48*G$29</f>
        <v>0</v>
      </c>
      <c r="H49" s="18">
        <f t="shared" si="18"/>
        <v>0</v>
      </c>
      <c r="I49" s="18">
        <f t="shared" si="18"/>
        <v>0</v>
      </c>
      <c r="J49" s="18">
        <f t="shared" si="18"/>
        <v>0</v>
      </c>
      <c r="K49" s="18">
        <f t="shared" si="18"/>
        <v>0</v>
      </c>
      <c r="L49" s="18">
        <f t="shared" si="18"/>
        <v>0</v>
      </c>
      <c r="M49" s="18">
        <f t="shared" si="18"/>
        <v>0</v>
      </c>
      <c r="N49" s="18">
        <f t="shared" si="18"/>
        <v>0</v>
      </c>
      <c r="O49" s="18">
        <f t="shared" si="18"/>
        <v>0</v>
      </c>
      <c r="P49" s="18">
        <f t="shared" si="18"/>
        <v>0</v>
      </c>
      <c r="Q49" s="18">
        <f t="shared" si="18"/>
        <v>0</v>
      </c>
      <c r="R49" s="18">
        <f t="shared" si="18"/>
        <v>0</v>
      </c>
      <c r="S49" s="18">
        <f t="shared" si="18"/>
        <v>0</v>
      </c>
      <c r="T49" s="18">
        <f t="shared" si="18"/>
        <v>0</v>
      </c>
      <c r="U49" s="18">
        <f t="shared" si="18"/>
        <v>0</v>
      </c>
      <c r="V49" s="18">
        <f t="shared" si="18"/>
        <v>0</v>
      </c>
      <c r="W49" s="18">
        <f t="shared" si="18"/>
        <v>0</v>
      </c>
      <c r="X49" s="18">
        <f t="shared" si="18"/>
        <v>0</v>
      </c>
      <c r="Y49" s="18">
        <f t="shared" si="18"/>
        <v>0</v>
      </c>
      <c r="Z49" s="18">
        <f t="shared" si="18"/>
        <v>0</v>
      </c>
      <c r="AA49" s="18">
        <f t="shared" si="18"/>
        <v>0</v>
      </c>
      <c r="AB49" s="18">
        <f t="shared" si="18"/>
        <v>0</v>
      </c>
      <c r="AC49" s="18">
        <f t="shared" si="18"/>
        <v>0</v>
      </c>
      <c r="AD49" s="18">
        <f t="shared" si="18"/>
        <v>0</v>
      </c>
      <c r="AE49" s="18">
        <f t="shared" si="18"/>
        <v>0</v>
      </c>
      <c r="AF49" s="18">
        <f t="shared" si="18"/>
        <v>0</v>
      </c>
      <c r="AG49" s="18">
        <f t="shared" si="18"/>
        <v>0</v>
      </c>
      <c r="AH49" s="18">
        <f t="shared" si="18"/>
        <v>0</v>
      </c>
      <c r="AI49" s="18">
        <f t="shared" si="18"/>
        <v>0</v>
      </c>
      <c r="AJ49" s="18">
        <f t="shared" si="18"/>
        <v>0</v>
      </c>
      <c r="AK49" s="18">
        <f t="shared" si="18"/>
        <v>0</v>
      </c>
      <c r="AL49" s="18">
        <f t="shared" si="18"/>
        <v>0</v>
      </c>
      <c r="AM49" s="18">
        <f t="shared" si="18"/>
        <v>0</v>
      </c>
      <c r="AN49" s="18">
        <f t="shared" si="18"/>
        <v>0</v>
      </c>
      <c r="AO49" s="18">
        <f t="shared" si="18"/>
        <v>0</v>
      </c>
      <c r="AP49" s="18">
        <f t="shared" si="18"/>
        <v>0</v>
      </c>
      <c r="AQ49" s="18">
        <f t="shared" si="18"/>
        <v>0</v>
      </c>
      <c r="AR49" s="18">
        <f t="shared" si="18"/>
        <v>0</v>
      </c>
    </row>
    <row r="50" spans="1:44" x14ac:dyDescent="0.2">
      <c r="B50" s="1" t="s">
        <v>71</v>
      </c>
      <c r="C50" s="71" t="s">
        <v>72</v>
      </c>
      <c r="D50" s="70">
        <f>INPUTS!$E$27</f>
        <v>365</v>
      </c>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row>
    <row r="51" spans="1:44" x14ac:dyDescent="0.2">
      <c r="B51" s="1" t="s">
        <v>339</v>
      </c>
      <c r="C51" s="21" t="s">
        <v>289</v>
      </c>
      <c r="D51" s="70">
        <f>SUM(F51:AR51)</f>
        <v>0</v>
      </c>
      <c r="F51" s="18">
        <f>F49*$D$36</f>
        <v>0</v>
      </c>
      <c r="G51" s="18">
        <f t="shared" ref="G51:AR51" si="19">G49*$D$36</f>
        <v>0</v>
      </c>
      <c r="H51" s="18">
        <f t="shared" si="19"/>
        <v>0</v>
      </c>
      <c r="I51" s="18">
        <f t="shared" si="19"/>
        <v>0</v>
      </c>
      <c r="J51" s="18">
        <f t="shared" si="19"/>
        <v>0</v>
      </c>
      <c r="K51" s="18">
        <f t="shared" si="19"/>
        <v>0</v>
      </c>
      <c r="L51" s="18">
        <f t="shared" si="19"/>
        <v>0</v>
      </c>
      <c r="M51" s="18">
        <f t="shared" si="19"/>
        <v>0</v>
      </c>
      <c r="N51" s="18">
        <f t="shared" si="19"/>
        <v>0</v>
      </c>
      <c r="O51" s="18">
        <f t="shared" si="19"/>
        <v>0</v>
      </c>
      <c r="P51" s="18">
        <f t="shared" si="19"/>
        <v>0</v>
      </c>
      <c r="Q51" s="18">
        <f t="shared" si="19"/>
        <v>0</v>
      </c>
      <c r="R51" s="18">
        <f t="shared" si="19"/>
        <v>0</v>
      </c>
      <c r="S51" s="18">
        <f t="shared" si="19"/>
        <v>0</v>
      </c>
      <c r="T51" s="18">
        <f t="shared" si="19"/>
        <v>0</v>
      </c>
      <c r="U51" s="18">
        <f t="shared" si="19"/>
        <v>0</v>
      </c>
      <c r="V51" s="18">
        <f t="shared" si="19"/>
        <v>0</v>
      </c>
      <c r="W51" s="18">
        <f t="shared" si="19"/>
        <v>0</v>
      </c>
      <c r="X51" s="18">
        <f t="shared" si="19"/>
        <v>0</v>
      </c>
      <c r="Y51" s="18">
        <f t="shared" si="19"/>
        <v>0</v>
      </c>
      <c r="Z51" s="18">
        <f t="shared" si="19"/>
        <v>0</v>
      </c>
      <c r="AA51" s="18">
        <f t="shared" si="19"/>
        <v>0</v>
      </c>
      <c r="AB51" s="18">
        <f t="shared" si="19"/>
        <v>0</v>
      </c>
      <c r="AC51" s="18">
        <f t="shared" si="19"/>
        <v>0</v>
      </c>
      <c r="AD51" s="18">
        <f t="shared" si="19"/>
        <v>0</v>
      </c>
      <c r="AE51" s="18">
        <f t="shared" si="19"/>
        <v>0</v>
      </c>
      <c r="AF51" s="18">
        <f t="shared" si="19"/>
        <v>0</v>
      </c>
      <c r="AG51" s="18">
        <f t="shared" si="19"/>
        <v>0</v>
      </c>
      <c r="AH51" s="18">
        <f t="shared" si="19"/>
        <v>0</v>
      </c>
      <c r="AI51" s="18">
        <f t="shared" si="19"/>
        <v>0</v>
      </c>
      <c r="AJ51" s="18">
        <f t="shared" si="19"/>
        <v>0</v>
      </c>
      <c r="AK51" s="18">
        <f t="shared" si="19"/>
        <v>0</v>
      </c>
      <c r="AL51" s="18">
        <f t="shared" si="19"/>
        <v>0</v>
      </c>
      <c r="AM51" s="18">
        <f t="shared" si="19"/>
        <v>0</v>
      </c>
      <c r="AN51" s="18">
        <f t="shared" si="19"/>
        <v>0</v>
      </c>
      <c r="AO51" s="18">
        <f t="shared" si="19"/>
        <v>0</v>
      </c>
      <c r="AP51" s="18">
        <f t="shared" si="19"/>
        <v>0</v>
      </c>
      <c r="AQ51" s="18">
        <f t="shared" si="19"/>
        <v>0</v>
      </c>
      <c r="AR51" s="18">
        <f t="shared" si="19"/>
        <v>0</v>
      </c>
    </row>
    <row r="52" spans="1:44" x14ac:dyDescent="0.2">
      <c r="C52" s="21"/>
      <c r="D52" s="70"/>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row>
    <row r="53" spans="1:44" ht="15" x14ac:dyDescent="0.25">
      <c r="A53" s="2" t="s">
        <v>276</v>
      </c>
      <c r="C53" s="21" t="s">
        <v>289</v>
      </c>
      <c r="D53" s="70">
        <f>SUM(F53:AR53)</f>
        <v>0</v>
      </c>
      <c r="F53" s="18">
        <f>F37+F44+F51</f>
        <v>0</v>
      </c>
      <c r="G53" s="18">
        <f t="shared" ref="G53:AR53" si="20">G37+G44+G51</f>
        <v>0</v>
      </c>
      <c r="H53" s="18">
        <f t="shared" si="20"/>
        <v>0</v>
      </c>
      <c r="I53" s="18">
        <f t="shared" si="20"/>
        <v>0</v>
      </c>
      <c r="J53" s="18">
        <f t="shared" si="20"/>
        <v>0</v>
      </c>
      <c r="K53" s="18">
        <f t="shared" si="20"/>
        <v>0</v>
      </c>
      <c r="L53" s="18">
        <f t="shared" si="20"/>
        <v>0</v>
      </c>
      <c r="M53" s="18">
        <f t="shared" si="20"/>
        <v>0</v>
      </c>
      <c r="N53" s="18">
        <f t="shared" si="20"/>
        <v>0</v>
      </c>
      <c r="O53" s="18">
        <f t="shared" si="20"/>
        <v>0</v>
      </c>
      <c r="P53" s="18">
        <f t="shared" si="20"/>
        <v>0</v>
      </c>
      <c r="Q53" s="18">
        <f t="shared" si="20"/>
        <v>0</v>
      </c>
      <c r="R53" s="18">
        <f t="shared" si="20"/>
        <v>0</v>
      </c>
      <c r="S53" s="18">
        <f t="shared" si="20"/>
        <v>0</v>
      </c>
      <c r="T53" s="18">
        <f t="shared" si="20"/>
        <v>0</v>
      </c>
      <c r="U53" s="18">
        <f t="shared" si="20"/>
        <v>0</v>
      </c>
      <c r="V53" s="18">
        <f t="shared" si="20"/>
        <v>0</v>
      </c>
      <c r="W53" s="18">
        <f t="shared" si="20"/>
        <v>0</v>
      </c>
      <c r="X53" s="18">
        <f t="shared" si="20"/>
        <v>0</v>
      </c>
      <c r="Y53" s="18">
        <f t="shared" si="20"/>
        <v>0</v>
      </c>
      <c r="Z53" s="18">
        <f t="shared" si="20"/>
        <v>0</v>
      </c>
      <c r="AA53" s="18">
        <f t="shared" si="20"/>
        <v>0</v>
      </c>
      <c r="AB53" s="18">
        <f t="shared" si="20"/>
        <v>0</v>
      </c>
      <c r="AC53" s="18">
        <f t="shared" si="20"/>
        <v>0</v>
      </c>
      <c r="AD53" s="18">
        <f t="shared" si="20"/>
        <v>0</v>
      </c>
      <c r="AE53" s="18">
        <f t="shared" si="20"/>
        <v>0</v>
      </c>
      <c r="AF53" s="18">
        <f t="shared" si="20"/>
        <v>0</v>
      </c>
      <c r="AG53" s="18">
        <f t="shared" si="20"/>
        <v>0</v>
      </c>
      <c r="AH53" s="18">
        <f t="shared" si="20"/>
        <v>0</v>
      </c>
      <c r="AI53" s="18">
        <f t="shared" si="20"/>
        <v>0</v>
      </c>
      <c r="AJ53" s="18">
        <f t="shared" si="20"/>
        <v>0</v>
      </c>
      <c r="AK53" s="18">
        <f t="shared" si="20"/>
        <v>0</v>
      </c>
      <c r="AL53" s="18">
        <f t="shared" si="20"/>
        <v>0</v>
      </c>
      <c r="AM53" s="18">
        <f t="shared" si="20"/>
        <v>0</v>
      </c>
      <c r="AN53" s="18">
        <f t="shared" si="20"/>
        <v>0</v>
      </c>
      <c r="AO53" s="18">
        <f t="shared" si="20"/>
        <v>0</v>
      </c>
      <c r="AP53" s="18">
        <f t="shared" si="20"/>
        <v>0</v>
      </c>
      <c r="AQ53" s="18">
        <f t="shared" si="20"/>
        <v>0</v>
      </c>
      <c r="AR53" s="18">
        <f t="shared" si="20"/>
        <v>0</v>
      </c>
    </row>
    <row r="54" spans="1:44" x14ac:dyDescent="0.2">
      <c r="C54" s="21"/>
      <c r="D54" s="70"/>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row>
    <row r="55" spans="1:44" x14ac:dyDescent="0.2">
      <c r="C55" s="71"/>
      <c r="D55" s="70"/>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row>
    <row r="56" spans="1:44" s="8" customFormat="1" x14ac:dyDescent="0.2">
      <c r="A56" s="7" t="s">
        <v>275</v>
      </c>
      <c r="B56" s="7"/>
      <c r="C56" s="12"/>
    </row>
    <row r="57" spans="1:44" ht="15" x14ac:dyDescent="0.25">
      <c r="A57" s="2" t="s">
        <v>276</v>
      </c>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row>
    <row r="58" spans="1:44" x14ac:dyDescent="0.2">
      <c r="B58" s="1" t="s">
        <v>241</v>
      </c>
      <c r="C58" s="71" t="s">
        <v>77</v>
      </c>
      <c r="D58" s="70">
        <f>SUM(F58:AR58)</f>
        <v>0</v>
      </c>
      <c r="F58" s="18">
        <f>F$37*F15*F$11</f>
        <v>0</v>
      </c>
      <c r="G58" s="18">
        <f>(G$53-G$25)*G15*G$11</f>
        <v>0</v>
      </c>
      <c r="H58" s="18">
        <f t="shared" ref="H58:AR58" si="21">(H$53-H$25)*H15*H$11</f>
        <v>0</v>
      </c>
      <c r="I58" s="18">
        <f t="shared" si="21"/>
        <v>0</v>
      </c>
      <c r="J58" s="18">
        <f t="shared" si="21"/>
        <v>0</v>
      </c>
      <c r="K58" s="18">
        <f t="shared" si="21"/>
        <v>0</v>
      </c>
      <c r="L58" s="18">
        <f t="shared" si="21"/>
        <v>0</v>
      </c>
      <c r="M58" s="18">
        <f t="shared" si="21"/>
        <v>0</v>
      </c>
      <c r="N58" s="18">
        <f t="shared" si="21"/>
        <v>0</v>
      </c>
      <c r="O58" s="18">
        <f t="shared" si="21"/>
        <v>0</v>
      </c>
      <c r="P58" s="18">
        <f t="shared" si="21"/>
        <v>0</v>
      </c>
      <c r="Q58" s="18">
        <f t="shared" si="21"/>
        <v>0</v>
      </c>
      <c r="R58" s="18">
        <f t="shared" si="21"/>
        <v>0</v>
      </c>
      <c r="S58" s="18">
        <f t="shared" si="21"/>
        <v>0</v>
      </c>
      <c r="T58" s="18">
        <f t="shared" si="21"/>
        <v>0</v>
      </c>
      <c r="U58" s="18">
        <f t="shared" si="21"/>
        <v>0</v>
      </c>
      <c r="V58" s="18">
        <f t="shared" si="21"/>
        <v>0</v>
      </c>
      <c r="W58" s="18">
        <f t="shared" si="21"/>
        <v>0</v>
      </c>
      <c r="X58" s="18">
        <f t="shared" si="21"/>
        <v>0</v>
      </c>
      <c r="Y58" s="18">
        <f t="shared" si="21"/>
        <v>0</v>
      </c>
      <c r="Z58" s="18">
        <f t="shared" si="21"/>
        <v>0</v>
      </c>
      <c r="AA58" s="18">
        <f t="shared" si="21"/>
        <v>0</v>
      </c>
      <c r="AB58" s="18">
        <f t="shared" si="21"/>
        <v>0</v>
      </c>
      <c r="AC58" s="18">
        <f t="shared" si="21"/>
        <v>0</v>
      </c>
      <c r="AD58" s="18">
        <f t="shared" si="21"/>
        <v>0</v>
      </c>
      <c r="AE58" s="18">
        <f t="shared" si="21"/>
        <v>0</v>
      </c>
      <c r="AF58" s="18">
        <f t="shared" si="21"/>
        <v>0</v>
      </c>
      <c r="AG58" s="18">
        <f t="shared" si="21"/>
        <v>0</v>
      </c>
      <c r="AH58" s="18">
        <f t="shared" si="21"/>
        <v>0</v>
      </c>
      <c r="AI58" s="18">
        <f t="shared" si="21"/>
        <v>0</v>
      </c>
      <c r="AJ58" s="18">
        <f t="shared" si="21"/>
        <v>0</v>
      </c>
      <c r="AK58" s="18">
        <f t="shared" si="21"/>
        <v>0</v>
      </c>
      <c r="AL58" s="18">
        <f t="shared" si="21"/>
        <v>0</v>
      </c>
      <c r="AM58" s="18">
        <f t="shared" si="21"/>
        <v>0</v>
      </c>
      <c r="AN58" s="18">
        <f t="shared" si="21"/>
        <v>0</v>
      </c>
      <c r="AO58" s="18">
        <f t="shared" si="21"/>
        <v>0</v>
      </c>
      <c r="AP58" s="18">
        <f t="shared" si="21"/>
        <v>0</v>
      </c>
      <c r="AQ58" s="18">
        <f t="shared" si="21"/>
        <v>0</v>
      </c>
      <c r="AR58" s="18">
        <f t="shared" si="21"/>
        <v>0</v>
      </c>
    </row>
    <row r="59" spans="1:44" x14ac:dyDescent="0.2">
      <c r="B59" s="1" t="s">
        <v>242</v>
      </c>
      <c r="C59" s="71" t="s">
        <v>77</v>
      </c>
      <c r="D59" s="70">
        <f>SUM(F59:AR59)</f>
        <v>0</v>
      </c>
      <c r="F59" s="18">
        <f>F$37*F16*F$11</f>
        <v>0</v>
      </c>
      <c r="G59" s="18">
        <f t="shared" ref="G59:AR59" si="22">(G$53-G$25)*G16*G$11</f>
        <v>0</v>
      </c>
      <c r="H59" s="18">
        <f t="shared" si="22"/>
        <v>0</v>
      </c>
      <c r="I59" s="18">
        <f t="shared" si="22"/>
        <v>0</v>
      </c>
      <c r="J59" s="18">
        <f t="shared" si="22"/>
        <v>0</v>
      </c>
      <c r="K59" s="18">
        <f t="shared" si="22"/>
        <v>0</v>
      </c>
      <c r="L59" s="18">
        <f t="shared" si="22"/>
        <v>0</v>
      </c>
      <c r="M59" s="18">
        <f t="shared" si="22"/>
        <v>0</v>
      </c>
      <c r="N59" s="18">
        <f t="shared" si="22"/>
        <v>0</v>
      </c>
      <c r="O59" s="18">
        <f t="shared" si="22"/>
        <v>0</v>
      </c>
      <c r="P59" s="18">
        <f t="shared" si="22"/>
        <v>0</v>
      </c>
      <c r="Q59" s="18">
        <f t="shared" si="22"/>
        <v>0</v>
      </c>
      <c r="R59" s="18">
        <f t="shared" si="22"/>
        <v>0</v>
      </c>
      <c r="S59" s="18">
        <f t="shared" si="22"/>
        <v>0</v>
      </c>
      <c r="T59" s="18">
        <f t="shared" si="22"/>
        <v>0</v>
      </c>
      <c r="U59" s="18">
        <f t="shared" si="22"/>
        <v>0</v>
      </c>
      <c r="V59" s="18">
        <f t="shared" si="22"/>
        <v>0</v>
      </c>
      <c r="W59" s="18">
        <f t="shared" si="22"/>
        <v>0</v>
      </c>
      <c r="X59" s="18">
        <f t="shared" si="22"/>
        <v>0</v>
      </c>
      <c r="Y59" s="18">
        <f t="shared" si="22"/>
        <v>0</v>
      </c>
      <c r="Z59" s="18">
        <f t="shared" si="22"/>
        <v>0</v>
      </c>
      <c r="AA59" s="18">
        <f t="shared" si="22"/>
        <v>0</v>
      </c>
      <c r="AB59" s="18">
        <f t="shared" si="22"/>
        <v>0</v>
      </c>
      <c r="AC59" s="18">
        <f t="shared" si="22"/>
        <v>0</v>
      </c>
      <c r="AD59" s="18">
        <f t="shared" si="22"/>
        <v>0</v>
      </c>
      <c r="AE59" s="18">
        <f t="shared" si="22"/>
        <v>0</v>
      </c>
      <c r="AF59" s="18">
        <f t="shared" si="22"/>
        <v>0</v>
      </c>
      <c r="AG59" s="18">
        <f t="shared" si="22"/>
        <v>0</v>
      </c>
      <c r="AH59" s="18">
        <f t="shared" si="22"/>
        <v>0</v>
      </c>
      <c r="AI59" s="18">
        <f t="shared" si="22"/>
        <v>0</v>
      </c>
      <c r="AJ59" s="18">
        <f t="shared" si="22"/>
        <v>0</v>
      </c>
      <c r="AK59" s="18">
        <f t="shared" si="22"/>
        <v>0</v>
      </c>
      <c r="AL59" s="18">
        <f t="shared" si="22"/>
        <v>0</v>
      </c>
      <c r="AM59" s="18">
        <f t="shared" si="22"/>
        <v>0</v>
      </c>
      <c r="AN59" s="18">
        <f t="shared" si="22"/>
        <v>0</v>
      </c>
      <c r="AO59" s="18">
        <f t="shared" si="22"/>
        <v>0</v>
      </c>
      <c r="AP59" s="18">
        <f t="shared" si="22"/>
        <v>0</v>
      </c>
      <c r="AQ59" s="18">
        <f t="shared" si="22"/>
        <v>0</v>
      </c>
      <c r="AR59" s="18">
        <f t="shared" si="22"/>
        <v>0</v>
      </c>
    </row>
    <row r="60" spans="1:44" x14ac:dyDescent="0.2">
      <c r="B60" s="1" t="s">
        <v>243</v>
      </c>
      <c r="C60" s="71" t="s">
        <v>77</v>
      </c>
      <c r="D60" s="70">
        <f>SUM(F60:AR60)</f>
        <v>0</v>
      </c>
      <c r="F60" s="18">
        <f>F$37*F17*F$11</f>
        <v>0</v>
      </c>
      <c r="G60" s="18">
        <f t="shared" ref="G60:AR60" si="23">(G$53-G$25)*G17*G$11</f>
        <v>0</v>
      </c>
      <c r="H60" s="18">
        <f t="shared" si="23"/>
        <v>0</v>
      </c>
      <c r="I60" s="18">
        <f t="shared" si="23"/>
        <v>0</v>
      </c>
      <c r="J60" s="18">
        <f t="shared" si="23"/>
        <v>0</v>
      </c>
      <c r="K60" s="18">
        <f t="shared" si="23"/>
        <v>0</v>
      </c>
      <c r="L60" s="18">
        <f t="shared" si="23"/>
        <v>0</v>
      </c>
      <c r="M60" s="18">
        <f t="shared" si="23"/>
        <v>0</v>
      </c>
      <c r="N60" s="18">
        <f t="shared" si="23"/>
        <v>0</v>
      </c>
      <c r="O60" s="18">
        <f t="shared" si="23"/>
        <v>0</v>
      </c>
      <c r="P60" s="18">
        <f t="shared" si="23"/>
        <v>0</v>
      </c>
      <c r="Q60" s="18">
        <f t="shared" si="23"/>
        <v>0</v>
      </c>
      <c r="R60" s="18">
        <f t="shared" si="23"/>
        <v>0</v>
      </c>
      <c r="S60" s="18">
        <f t="shared" si="23"/>
        <v>0</v>
      </c>
      <c r="T60" s="18">
        <f t="shared" si="23"/>
        <v>0</v>
      </c>
      <c r="U60" s="18">
        <f t="shared" si="23"/>
        <v>0</v>
      </c>
      <c r="V60" s="18">
        <f t="shared" si="23"/>
        <v>0</v>
      </c>
      <c r="W60" s="18">
        <f t="shared" si="23"/>
        <v>0</v>
      </c>
      <c r="X60" s="18">
        <f t="shared" si="23"/>
        <v>0</v>
      </c>
      <c r="Y60" s="18">
        <f t="shared" si="23"/>
        <v>0</v>
      </c>
      <c r="Z60" s="18">
        <f t="shared" si="23"/>
        <v>0</v>
      </c>
      <c r="AA60" s="18">
        <f t="shared" si="23"/>
        <v>0</v>
      </c>
      <c r="AB60" s="18">
        <f t="shared" si="23"/>
        <v>0</v>
      </c>
      <c r="AC60" s="18">
        <f t="shared" si="23"/>
        <v>0</v>
      </c>
      <c r="AD60" s="18">
        <f t="shared" si="23"/>
        <v>0</v>
      </c>
      <c r="AE60" s="18">
        <f t="shared" si="23"/>
        <v>0</v>
      </c>
      <c r="AF60" s="18">
        <f t="shared" si="23"/>
        <v>0</v>
      </c>
      <c r="AG60" s="18">
        <f t="shared" si="23"/>
        <v>0</v>
      </c>
      <c r="AH60" s="18">
        <f t="shared" si="23"/>
        <v>0</v>
      </c>
      <c r="AI60" s="18">
        <f t="shared" si="23"/>
        <v>0</v>
      </c>
      <c r="AJ60" s="18">
        <f t="shared" si="23"/>
        <v>0</v>
      </c>
      <c r="AK60" s="18">
        <f t="shared" si="23"/>
        <v>0</v>
      </c>
      <c r="AL60" s="18">
        <f t="shared" si="23"/>
        <v>0</v>
      </c>
      <c r="AM60" s="18">
        <f t="shared" si="23"/>
        <v>0</v>
      </c>
      <c r="AN60" s="18">
        <f t="shared" si="23"/>
        <v>0</v>
      </c>
      <c r="AO60" s="18">
        <f t="shared" si="23"/>
        <v>0</v>
      </c>
      <c r="AP60" s="18">
        <f t="shared" si="23"/>
        <v>0</v>
      </c>
      <c r="AQ60" s="18">
        <f t="shared" si="23"/>
        <v>0</v>
      </c>
      <c r="AR60" s="18">
        <f t="shared" si="23"/>
        <v>0</v>
      </c>
    </row>
    <row r="61" spans="1:44" x14ac:dyDescent="0.2">
      <c r="C61" s="71"/>
      <c r="D61" s="70"/>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row>
  </sheetData>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B83CC-ADBA-43EC-99E9-7C887FC483DF}">
  <sheetPr>
    <tabColor theme="9"/>
  </sheetPr>
  <dimension ref="A1:AS48"/>
  <sheetViews>
    <sheetView workbookViewId="0">
      <pane xSplit="4" ySplit="11" topLeftCell="I43" activePane="bottomRight" state="frozen"/>
      <selection pane="topRight" activeCell="E1" sqref="E1"/>
      <selection pane="bottomLeft" activeCell="A12" sqref="A12"/>
      <selection pane="bottomRight" activeCell="D26" sqref="D26"/>
    </sheetView>
  </sheetViews>
  <sheetFormatPr defaultColWidth="0" defaultRowHeight="14.25" x14ac:dyDescent="0.2"/>
  <cols>
    <col min="1" max="1" width="10.140625" style="1" customWidth="1"/>
    <col min="2" max="2" width="32.5703125" style="1" bestFit="1" customWidth="1"/>
    <col min="3" max="3" width="22.28515625" style="1" bestFit="1" customWidth="1"/>
    <col min="4" max="4" width="15" style="1" bestFit="1" customWidth="1"/>
    <col min="5" max="5" width="1.5703125" style="1" customWidth="1"/>
    <col min="6" max="44" width="14.42578125" style="1" customWidth="1"/>
    <col min="45" max="45" width="9.140625" style="1" customWidth="1"/>
    <col min="46" max="16384" width="9.140625" style="1" hidden="1"/>
  </cols>
  <sheetData>
    <row r="1" spans="1:44" ht="19.5" x14ac:dyDescent="0.3">
      <c r="A1" s="6" t="str">
        <f>'OUTPUT Summary'!$A$1</f>
        <v>ODOT Roosevelt Memorial Bridge US-70</v>
      </c>
    </row>
    <row r="2" spans="1:44" ht="19.5" x14ac:dyDescent="0.3">
      <c r="A2" s="6" t="s">
        <v>345</v>
      </c>
      <c r="C2" s="11"/>
    </row>
    <row r="3" spans="1:44" x14ac:dyDescent="0.2">
      <c r="A3" s="51">
        <f ca="1">'OUTPUT Summary'!A3</f>
        <v>45156</v>
      </c>
      <c r="C3" s="11"/>
    </row>
    <row r="4" spans="1:44" x14ac:dyDescent="0.2">
      <c r="A4" s="52" t="str">
        <f>'OUTPUT Summary'!A4</f>
        <v>All $ values 2021, unless otherwise noted</v>
      </c>
      <c r="C4" s="11"/>
    </row>
    <row r="5" spans="1:44" x14ac:dyDescent="0.2">
      <c r="B5" s="66"/>
      <c r="C5" s="11"/>
    </row>
    <row r="6" spans="1:44" x14ac:dyDescent="0.2">
      <c r="C6" s="1" t="s">
        <v>44</v>
      </c>
      <c r="D6" s="1" t="s">
        <v>45</v>
      </c>
    </row>
    <row r="7" spans="1:44" s="8" customFormat="1" x14ac:dyDescent="0.2">
      <c r="A7" s="8" t="s">
        <v>224</v>
      </c>
      <c r="C7" s="226" t="s">
        <v>224</v>
      </c>
      <c r="F7" s="8">
        <f>INPUTS!$E$12</f>
        <v>2018</v>
      </c>
      <c r="G7" s="8">
        <f>F7+1</f>
        <v>2019</v>
      </c>
      <c r="H7" s="8">
        <f t="shared" ref="H7:W8" si="0">G7+1</f>
        <v>2020</v>
      </c>
      <c r="I7" s="8">
        <f t="shared" si="0"/>
        <v>2021</v>
      </c>
      <c r="J7" s="8">
        <f t="shared" si="0"/>
        <v>2022</v>
      </c>
      <c r="K7" s="8">
        <f t="shared" si="0"/>
        <v>2023</v>
      </c>
      <c r="L7" s="8">
        <f t="shared" si="0"/>
        <v>2024</v>
      </c>
      <c r="M7" s="8">
        <f t="shared" si="0"/>
        <v>2025</v>
      </c>
      <c r="N7" s="8">
        <f t="shared" si="0"/>
        <v>2026</v>
      </c>
      <c r="O7" s="8">
        <f t="shared" si="0"/>
        <v>2027</v>
      </c>
      <c r="P7" s="8">
        <f t="shared" si="0"/>
        <v>2028</v>
      </c>
      <c r="Q7" s="8">
        <f t="shared" si="0"/>
        <v>2029</v>
      </c>
      <c r="R7" s="8">
        <f t="shared" si="0"/>
        <v>2030</v>
      </c>
      <c r="S7" s="8">
        <f t="shared" si="0"/>
        <v>2031</v>
      </c>
      <c r="T7" s="8">
        <f t="shared" si="0"/>
        <v>2032</v>
      </c>
      <c r="U7" s="8">
        <f t="shared" si="0"/>
        <v>2033</v>
      </c>
      <c r="V7" s="8">
        <f t="shared" si="0"/>
        <v>2034</v>
      </c>
      <c r="W7" s="8">
        <f t="shared" si="0"/>
        <v>2035</v>
      </c>
      <c r="X7" s="8">
        <f t="shared" ref="X7:AM8" si="1">W7+1</f>
        <v>2036</v>
      </c>
      <c r="Y7" s="8">
        <f t="shared" si="1"/>
        <v>2037</v>
      </c>
      <c r="Z7" s="8">
        <f t="shared" si="1"/>
        <v>2038</v>
      </c>
      <c r="AA7" s="8">
        <f t="shared" si="1"/>
        <v>2039</v>
      </c>
      <c r="AB7" s="8">
        <f t="shared" si="1"/>
        <v>2040</v>
      </c>
      <c r="AC7" s="8">
        <f t="shared" si="1"/>
        <v>2041</v>
      </c>
      <c r="AD7" s="8">
        <f t="shared" si="1"/>
        <v>2042</v>
      </c>
      <c r="AE7" s="8">
        <f t="shared" si="1"/>
        <v>2043</v>
      </c>
      <c r="AF7" s="8">
        <f t="shared" si="1"/>
        <v>2044</v>
      </c>
      <c r="AG7" s="8">
        <f t="shared" si="1"/>
        <v>2045</v>
      </c>
      <c r="AH7" s="8">
        <f t="shared" si="1"/>
        <v>2046</v>
      </c>
      <c r="AI7" s="8">
        <f t="shared" si="1"/>
        <v>2047</v>
      </c>
      <c r="AJ7" s="8">
        <f t="shared" si="1"/>
        <v>2048</v>
      </c>
      <c r="AK7" s="8">
        <f t="shared" si="1"/>
        <v>2049</v>
      </c>
      <c r="AL7" s="8">
        <f t="shared" si="1"/>
        <v>2050</v>
      </c>
      <c r="AM7" s="8">
        <f t="shared" si="1"/>
        <v>2051</v>
      </c>
      <c r="AN7" s="8">
        <f t="shared" ref="AN7:AR8" si="2">AM7+1</f>
        <v>2052</v>
      </c>
      <c r="AO7" s="8">
        <f t="shared" si="2"/>
        <v>2053</v>
      </c>
      <c r="AP7" s="8">
        <f t="shared" si="2"/>
        <v>2054</v>
      </c>
      <c r="AQ7" s="8">
        <f t="shared" si="2"/>
        <v>2055</v>
      </c>
      <c r="AR7" s="8">
        <f t="shared" si="2"/>
        <v>2056</v>
      </c>
    </row>
    <row r="8" spans="1:44" x14ac:dyDescent="0.2">
      <c r="B8" s="1" t="s">
        <v>225</v>
      </c>
      <c r="C8" s="21" t="s">
        <v>50</v>
      </c>
      <c r="F8" s="1">
        <f>D8+1</f>
        <v>1</v>
      </c>
      <c r="G8" s="1">
        <f t="shared" ref="G8" si="3">F8+1</f>
        <v>2</v>
      </c>
      <c r="H8" s="1">
        <f t="shared" si="0"/>
        <v>3</v>
      </c>
      <c r="I8" s="1">
        <f t="shared" si="0"/>
        <v>4</v>
      </c>
      <c r="J8" s="1">
        <f t="shared" si="0"/>
        <v>5</v>
      </c>
      <c r="K8" s="1">
        <f t="shared" si="0"/>
        <v>6</v>
      </c>
      <c r="L8" s="1">
        <f t="shared" si="0"/>
        <v>7</v>
      </c>
      <c r="M8" s="1">
        <f t="shared" si="0"/>
        <v>8</v>
      </c>
      <c r="N8" s="1">
        <f t="shared" si="0"/>
        <v>9</v>
      </c>
      <c r="O8" s="1">
        <f t="shared" si="0"/>
        <v>10</v>
      </c>
      <c r="P8" s="1">
        <f t="shared" si="0"/>
        <v>11</v>
      </c>
      <c r="Q8" s="1">
        <f t="shared" si="0"/>
        <v>12</v>
      </c>
      <c r="R8" s="1">
        <f t="shared" si="0"/>
        <v>13</v>
      </c>
      <c r="S8" s="1">
        <f t="shared" si="0"/>
        <v>14</v>
      </c>
      <c r="T8" s="1">
        <f t="shared" si="0"/>
        <v>15</v>
      </c>
      <c r="U8" s="1">
        <f t="shared" si="0"/>
        <v>16</v>
      </c>
      <c r="V8" s="1">
        <f t="shared" si="0"/>
        <v>17</v>
      </c>
      <c r="W8" s="1">
        <f t="shared" si="0"/>
        <v>18</v>
      </c>
      <c r="X8" s="1">
        <f t="shared" si="1"/>
        <v>19</v>
      </c>
      <c r="Y8" s="1">
        <f t="shared" si="1"/>
        <v>20</v>
      </c>
      <c r="Z8" s="1">
        <f t="shared" si="1"/>
        <v>21</v>
      </c>
      <c r="AA8" s="1">
        <f t="shared" si="1"/>
        <v>22</v>
      </c>
      <c r="AB8" s="1">
        <f t="shared" si="1"/>
        <v>23</v>
      </c>
      <c r="AC8" s="1">
        <f t="shared" si="1"/>
        <v>24</v>
      </c>
      <c r="AD8" s="1">
        <f t="shared" si="1"/>
        <v>25</v>
      </c>
      <c r="AE8" s="1">
        <f t="shared" si="1"/>
        <v>26</v>
      </c>
      <c r="AF8" s="1">
        <f t="shared" si="1"/>
        <v>27</v>
      </c>
      <c r="AG8" s="1">
        <f t="shared" si="1"/>
        <v>28</v>
      </c>
      <c r="AH8" s="1">
        <f t="shared" si="1"/>
        <v>29</v>
      </c>
      <c r="AI8" s="1">
        <f t="shared" si="1"/>
        <v>30</v>
      </c>
      <c r="AJ8" s="1">
        <f t="shared" si="1"/>
        <v>31</v>
      </c>
      <c r="AK8" s="1">
        <f t="shared" si="1"/>
        <v>32</v>
      </c>
      <c r="AL8" s="1">
        <f t="shared" si="1"/>
        <v>33</v>
      </c>
      <c r="AM8" s="1">
        <f t="shared" si="1"/>
        <v>34</v>
      </c>
      <c r="AN8" s="1">
        <f t="shared" si="2"/>
        <v>35</v>
      </c>
      <c r="AO8" s="1">
        <f t="shared" si="2"/>
        <v>36</v>
      </c>
      <c r="AP8" s="1">
        <f t="shared" si="2"/>
        <v>37</v>
      </c>
      <c r="AQ8" s="1">
        <f t="shared" si="2"/>
        <v>38</v>
      </c>
      <c r="AR8" s="1">
        <f t="shared" si="2"/>
        <v>39</v>
      </c>
    </row>
    <row r="9" spans="1:44" x14ac:dyDescent="0.2">
      <c r="B9" s="1" t="s">
        <v>226</v>
      </c>
      <c r="C9" s="21" t="s">
        <v>227</v>
      </c>
      <c r="F9" s="1">
        <f>IF(F7=INPUTS!$E$13,1,0)</f>
        <v>0</v>
      </c>
      <c r="G9" s="1">
        <f>IF(G7=INPUTS!$E$13,1,0)</f>
        <v>0</v>
      </c>
      <c r="H9" s="1">
        <f>IF(H7=INPUTS!$E$13,1,0)</f>
        <v>0</v>
      </c>
      <c r="I9" s="1">
        <f>IF(I7=INPUTS!$E$13,1,0)</f>
        <v>1</v>
      </c>
      <c r="J9" s="1">
        <f>IF(J7=INPUTS!$E$13,1,0)</f>
        <v>0</v>
      </c>
      <c r="K9" s="1">
        <f>IF(K7=INPUTS!$E$13,1,0)</f>
        <v>0</v>
      </c>
      <c r="L9" s="1">
        <f>IF(L7=INPUTS!$E$13,1,0)</f>
        <v>0</v>
      </c>
      <c r="M9" s="1">
        <f>IF(M7=INPUTS!$E$13,1,0)</f>
        <v>0</v>
      </c>
      <c r="N9" s="1">
        <f>IF(N7=INPUTS!$E$13,1,0)</f>
        <v>0</v>
      </c>
      <c r="O9" s="1">
        <f>IF(O7=INPUTS!$E$13,1,0)</f>
        <v>0</v>
      </c>
      <c r="P9" s="1">
        <f>IF(P7=INPUTS!$E$13,1,0)</f>
        <v>0</v>
      </c>
      <c r="Q9" s="1">
        <f>IF(Q7=INPUTS!$E$13,1,0)</f>
        <v>0</v>
      </c>
      <c r="R9" s="1">
        <f>IF(R7=INPUTS!$E$13,1,0)</f>
        <v>0</v>
      </c>
      <c r="S9" s="1">
        <f>IF(S7=INPUTS!$E$13,1,0)</f>
        <v>0</v>
      </c>
      <c r="T9" s="1">
        <f>IF(T7=INPUTS!$E$13,1,0)</f>
        <v>0</v>
      </c>
      <c r="U9" s="1">
        <f>IF(U7=INPUTS!$E$13,1,0)</f>
        <v>0</v>
      </c>
      <c r="V9" s="1">
        <f>IF(V7=INPUTS!$E$13,1,0)</f>
        <v>0</v>
      </c>
      <c r="W9" s="1">
        <f>IF(W7=INPUTS!$E$13,1,0)</f>
        <v>0</v>
      </c>
      <c r="X9" s="1">
        <f>IF(X7=INPUTS!$E$13,1,0)</f>
        <v>0</v>
      </c>
      <c r="Y9" s="1">
        <f>IF(Y7=INPUTS!$E$13,1,0)</f>
        <v>0</v>
      </c>
      <c r="Z9" s="1">
        <f>IF(Z7=INPUTS!$E$13,1,0)</f>
        <v>0</v>
      </c>
      <c r="AA9" s="1">
        <f>IF(AA7=INPUTS!$E$13,1,0)</f>
        <v>0</v>
      </c>
      <c r="AB9" s="1">
        <f>IF(AB7=INPUTS!$E$13,1,0)</f>
        <v>0</v>
      </c>
      <c r="AC9" s="1">
        <f>IF(AC7=INPUTS!$E$13,1,0)</f>
        <v>0</v>
      </c>
      <c r="AD9" s="1">
        <f>IF(AD7=INPUTS!$E$13,1,0)</f>
        <v>0</v>
      </c>
      <c r="AE9" s="1">
        <f>IF(AE7=INPUTS!$E$13,1,0)</f>
        <v>0</v>
      </c>
      <c r="AF9" s="1">
        <f>IF(AF7=INPUTS!$E$13,1,0)</f>
        <v>0</v>
      </c>
      <c r="AG9" s="1">
        <f>IF(AG7=INPUTS!$E$13,1,0)</f>
        <v>0</v>
      </c>
      <c r="AH9" s="1">
        <f>IF(AH7=INPUTS!$E$13,1,0)</f>
        <v>0</v>
      </c>
      <c r="AI9" s="1">
        <f>IF(AI7=INPUTS!$E$13,1,0)</f>
        <v>0</v>
      </c>
      <c r="AJ9" s="1">
        <f>IF(AJ7=INPUTS!$E$13,1,0)</f>
        <v>0</v>
      </c>
      <c r="AK9" s="1">
        <f>IF(AK7=INPUTS!$E$13,1,0)</f>
        <v>0</v>
      </c>
      <c r="AL9" s="1">
        <f>IF(AL7=INPUTS!$E$13,1,0)</f>
        <v>0</v>
      </c>
      <c r="AM9" s="1">
        <f>IF(AM7=INPUTS!$E$13,1,0)</f>
        <v>0</v>
      </c>
      <c r="AN9" s="1">
        <f>IF(AN7=INPUTS!$E$13,1,0)</f>
        <v>0</v>
      </c>
      <c r="AO9" s="1">
        <f>IF(AO7=INPUTS!$E$13,1,0)</f>
        <v>0</v>
      </c>
      <c r="AP9" s="1">
        <f>IF(AP7=INPUTS!$E$13,1,0)</f>
        <v>0</v>
      </c>
      <c r="AQ9" s="1">
        <f>IF(AQ7=INPUTS!$E$13,1,0)</f>
        <v>0</v>
      </c>
      <c r="AR9" s="1">
        <f>IF(AR7=INPUTS!$E$13,1,0)</f>
        <v>0</v>
      </c>
    </row>
    <row r="10" spans="1:44" x14ac:dyDescent="0.2">
      <c r="B10" s="1" t="s">
        <v>228</v>
      </c>
      <c r="C10" s="21" t="s">
        <v>57</v>
      </c>
      <c r="F10" s="1">
        <f t="shared" ref="F10:H10" si="4">F7-$I$7+1</f>
        <v>-2</v>
      </c>
      <c r="G10" s="1">
        <f t="shared" si="4"/>
        <v>-1</v>
      </c>
      <c r="H10" s="1">
        <f t="shared" si="4"/>
        <v>0</v>
      </c>
      <c r="I10" s="1">
        <f>I7-$I$7+1</f>
        <v>1</v>
      </c>
      <c r="J10" s="1">
        <f t="shared" ref="J10:AR10" si="5">J7-$I$7+1</f>
        <v>2</v>
      </c>
      <c r="K10" s="1">
        <f t="shared" si="5"/>
        <v>3</v>
      </c>
      <c r="L10" s="1">
        <f t="shared" si="5"/>
        <v>4</v>
      </c>
      <c r="M10" s="1">
        <f t="shared" si="5"/>
        <v>5</v>
      </c>
      <c r="N10" s="1">
        <f t="shared" si="5"/>
        <v>6</v>
      </c>
      <c r="O10" s="1">
        <f t="shared" si="5"/>
        <v>7</v>
      </c>
      <c r="P10" s="1">
        <f t="shared" si="5"/>
        <v>8</v>
      </c>
      <c r="Q10" s="1">
        <f t="shared" si="5"/>
        <v>9</v>
      </c>
      <c r="R10" s="1">
        <f t="shared" si="5"/>
        <v>10</v>
      </c>
      <c r="S10" s="1">
        <f t="shared" si="5"/>
        <v>11</v>
      </c>
      <c r="T10" s="1">
        <f t="shared" si="5"/>
        <v>12</v>
      </c>
      <c r="U10" s="1">
        <f t="shared" si="5"/>
        <v>13</v>
      </c>
      <c r="V10" s="1">
        <f t="shared" si="5"/>
        <v>14</v>
      </c>
      <c r="W10" s="1">
        <f t="shared" si="5"/>
        <v>15</v>
      </c>
      <c r="X10" s="1">
        <f t="shared" si="5"/>
        <v>16</v>
      </c>
      <c r="Y10" s="1">
        <f t="shared" si="5"/>
        <v>17</v>
      </c>
      <c r="Z10" s="1">
        <f t="shared" si="5"/>
        <v>18</v>
      </c>
      <c r="AA10" s="1">
        <f t="shared" si="5"/>
        <v>19</v>
      </c>
      <c r="AB10" s="1">
        <f t="shared" si="5"/>
        <v>20</v>
      </c>
      <c r="AC10" s="1">
        <f t="shared" si="5"/>
        <v>21</v>
      </c>
      <c r="AD10" s="1">
        <f t="shared" si="5"/>
        <v>22</v>
      </c>
      <c r="AE10" s="1">
        <f t="shared" si="5"/>
        <v>23</v>
      </c>
      <c r="AF10" s="1">
        <f t="shared" si="5"/>
        <v>24</v>
      </c>
      <c r="AG10" s="1">
        <f t="shared" si="5"/>
        <v>25</v>
      </c>
      <c r="AH10" s="1">
        <f t="shared" si="5"/>
        <v>26</v>
      </c>
      <c r="AI10" s="1">
        <f t="shared" si="5"/>
        <v>27</v>
      </c>
      <c r="AJ10" s="1">
        <f t="shared" si="5"/>
        <v>28</v>
      </c>
      <c r="AK10" s="1">
        <f t="shared" si="5"/>
        <v>29</v>
      </c>
      <c r="AL10" s="1">
        <f t="shared" si="5"/>
        <v>30</v>
      </c>
      <c r="AM10" s="1">
        <f t="shared" si="5"/>
        <v>31</v>
      </c>
      <c r="AN10" s="1">
        <f t="shared" si="5"/>
        <v>32</v>
      </c>
      <c r="AO10" s="1">
        <f t="shared" si="5"/>
        <v>33</v>
      </c>
      <c r="AP10" s="1">
        <f t="shared" si="5"/>
        <v>34</v>
      </c>
      <c r="AQ10" s="1">
        <f t="shared" si="5"/>
        <v>35</v>
      </c>
      <c r="AR10" s="1">
        <f t="shared" si="5"/>
        <v>36</v>
      </c>
    </row>
    <row r="11" spans="1:44" x14ac:dyDescent="0.2">
      <c r="B11" s="1" t="s">
        <v>229</v>
      </c>
      <c r="C11" s="21" t="s">
        <v>227</v>
      </c>
      <c r="F11" s="1">
        <f>IF(AND(F7&gt;=INPUTS!$E$17,F7&lt;INPUTS!$E$21),1,0)</f>
        <v>0</v>
      </c>
      <c r="G11" s="1">
        <f>IF(AND(G7&gt;=INPUTS!$E$17,G7&lt;INPUTS!$E$21),1,0)</f>
        <v>0</v>
      </c>
      <c r="H11" s="1">
        <f>IF(AND(H7&gt;=INPUTS!$E$17,H7&lt;INPUTS!$E$21),1,0)</f>
        <v>0</v>
      </c>
      <c r="I11" s="1">
        <f>IF(AND(I7&gt;=INPUTS!$E$17,I7&lt;INPUTS!$E$21),1,0)</f>
        <v>0</v>
      </c>
      <c r="J11" s="1">
        <f>IF(AND(J7&gt;=INPUTS!$E$17,J7&lt;INPUTS!$E$21),1,0)</f>
        <v>0</v>
      </c>
      <c r="K11" s="1">
        <f>IF(AND(K7&gt;=INPUTS!$E$17,K7&lt;INPUTS!$E$21),1,0)</f>
        <v>0</v>
      </c>
      <c r="L11" s="1">
        <f>IF(AND(L7&gt;=INPUTS!$E$17,L7&lt;INPUTS!$E$21),1,0)</f>
        <v>0</v>
      </c>
      <c r="M11" s="1">
        <f>IF(AND(M7&gt;=INPUTS!$E$17,M7&lt;INPUTS!$E$21),1,0)</f>
        <v>0</v>
      </c>
      <c r="N11" s="1">
        <f>IF(AND(N7&gt;=INPUTS!$E$17,N7&lt;INPUTS!$E$21),1,0)</f>
        <v>0</v>
      </c>
      <c r="O11" s="1">
        <f>IF(AND(O7&gt;=INPUTS!$E$17,O7&lt;INPUTS!$E$21),1,0)</f>
        <v>0</v>
      </c>
      <c r="P11" s="1">
        <f>IF(AND(P7&gt;=INPUTS!$E$17,P7&lt;INPUTS!$E$21),1,0)</f>
        <v>1</v>
      </c>
      <c r="Q11" s="1">
        <f>IF(AND(Q7&gt;=INPUTS!$E$17,Q7&lt;INPUTS!$E$21),1,0)</f>
        <v>1</v>
      </c>
      <c r="R11" s="1">
        <f>IF(AND(R7&gt;=INPUTS!$E$17,R7&lt;INPUTS!$E$21),1,0)</f>
        <v>1</v>
      </c>
      <c r="S11" s="1">
        <f>IF(AND(S7&gt;=INPUTS!$E$17,S7&lt;INPUTS!$E$21),1,0)</f>
        <v>1</v>
      </c>
      <c r="T11" s="1">
        <f>IF(AND(T7&gt;=INPUTS!$E$17,T7&lt;INPUTS!$E$21),1,0)</f>
        <v>1</v>
      </c>
      <c r="U11" s="1">
        <f>IF(AND(U7&gt;=INPUTS!$E$17,U7&lt;INPUTS!$E$21),1,0)</f>
        <v>1</v>
      </c>
      <c r="V11" s="1">
        <f>IF(AND(V7&gt;=INPUTS!$E$17,V7&lt;INPUTS!$E$21),1,0)</f>
        <v>1</v>
      </c>
      <c r="W11" s="1">
        <f>IF(AND(W7&gt;=INPUTS!$E$17,W7&lt;INPUTS!$E$21),1,0)</f>
        <v>1</v>
      </c>
      <c r="X11" s="1">
        <f>IF(AND(X7&gt;=INPUTS!$E$17,X7&lt;INPUTS!$E$21),1,0)</f>
        <v>1</v>
      </c>
      <c r="Y11" s="1">
        <f>IF(AND(Y7&gt;=INPUTS!$E$17,Y7&lt;INPUTS!$E$21),1,0)</f>
        <v>1</v>
      </c>
      <c r="Z11" s="1">
        <f>IF(AND(Z7&gt;=INPUTS!$E$17,Z7&lt;INPUTS!$E$21),1,0)</f>
        <v>1</v>
      </c>
      <c r="AA11" s="1">
        <f>IF(AND(AA7&gt;=INPUTS!$E$17,AA7&lt;INPUTS!$E$21),1,0)</f>
        <v>1</v>
      </c>
      <c r="AB11" s="1">
        <f>IF(AND(AB7&gt;=INPUTS!$E$17,AB7&lt;INPUTS!$E$21),1,0)</f>
        <v>1</v>
      </c>
      <c r="AC11" s="1">
        <f>IF(AND(AC7&gt;=INPUTS!$E$17,AC7&lt;INPUTS!$E$21),1,0)</f>
        <v>1</v>
      </c>
      <c r="AD11" s="1">
        <f>IF(AND(AD7&gt;=INPUTS!$E$17,AD7&lt;INPUTS!$E$21),1,0)</f>
        <v>1</v>
      </c>
      <c r="AE11" s="1">
        <f>IF(AND(AE7&gt;=INPUTS!$E$17,AE7&lt;INPUTS!$E$21),1,0)</f>
        <v>1</v>
      </c>
      <c r="AF11" s="1">
        <f>IF(AND(AF7&gt;=INPUTS!$E$17,AF7&lt;INPUTS!$E$21),1,0)</f>
        <v>1</v>
      </c>
      <c r="AG11" s="1">
        <f>IF(AND(AG7&gt;=INPUTS!$E$17,AG7&lt;INPUTS!$E$21),1,0)</f>
        <v>1</v>
      </c>
      <c r="AH11" s="1">
        <f>IF(AND(AH7&gt;=INPUTS!$E$17,AH7&lt;INPUTS!$E$21),1,0)</f>
        <v>1</v>
      </c>
      <c r="AI11" s="1">
        <f>IF(AND(AI7&gt;=INPUTS!$E$17,AI7&lt;INPUTS!$E$21),1,0)</f>
        <v>1</v>
      </c>
      <c r="AJ11" s="1">
        <f>IF(AND(AJ7&gt;=INPUTS!$E$17,AJ7&lt;INPUTS!$E$21),1,0)</f>
        <v>0</v>
      </c>
      <c r="AK11" s="1">
        <f>IF(AND(AK7&gt;=INPUTS!$E$17,AK7&lt;INPUTS!$E$21),1,0)</f>
        <v>0</v>
      </c>
      <c r="AL11" s="1">
        <f>IF(AND(AL7&gt;=INPUTS!$E$17,AL7&lt;INPUTS!$E$21),1,0)</f>
        <v>0</v>
      </c>
      <c r="AM11" s="1">
        <f>IF(AND(AM7&gt;=INPUTS!$E$17,AM7&lt;INPUTS!$E$21),1,0)</f>
        <v>0</v>
      </c>
      <c r="AN11" s="1">
        <f>IF(AND(AN7&gt;=INPUTS!$E$17,AN7&lt;INPUTS!$E$21),1,0)</f>
        <v>0</v>
      </c>
      <c r="AO11" s="1">
        <f>IF(AND(AO7&gt;=INPUTS!$E$17,AO7&lt;INPUTS!$E$21),1,0)</f>
        <v>0</v>
      </c>
      <c r="AP11" s="1">
        <f>IF(AND(AP7&gt;=INPUTS!$E$17,AP7&lt;INPUTS!$E$21),1,0)</f>
        <v>0</v>
      </c>
      <c r="AQ11" s="1">
        <f>IF(AND(AQ7&gt;=INPUTS!$E$17,AQ7&lt;INPUTS!$E$21),1,0)</f>
        <v>0</v>
      </c>
      <c r="AR11" s="1">
        <f>IF(AND(AR7&gt;=INPUTS!$E$17,AR7&lt;INPUTS!$E$21),1,0)</f>
        <v>0</v>
      </c>
    </row>
    <row r="12" spans="1:44" ht="15" x14ac:dyDescent="0.25">
      <c r="A12" s="2" t="s">
        <v>230</v>
      </c>
      <c r="C12" s="21"/>
    </row>
    <row r="13" spans="1:44" x14ac:dyDescent="0.2">
      <c r="B13" s="1" t="s">
        <v>231</v>
      </c>
      <c r="C13" s="21" t="s">
        <v>50</v>
      </c>
      <c r="F13" s="1">
        <f>(F11+D13)*F11</f>
        <v>0</v>
      </c>
      <c r="G13" s="1">
        <f t="shared" ref="G13:AG13" si="6">(G11+F13)*G11</f>
        <v>0</v>
      </c>
      <c r="H13" s="1">
        <f t="shared" si="6"/>
        <v>0</v>
      </c>
      <c r="I13" s="1">
        <f t="shared" si="6"/>
        <v>0</v>
      </c>
      <c r="J13" s="1">
        <f t="shared" si="6"/>
        <v>0</v>
      </c>
      <c r="K13" s="1">
        <f t="shared" si="6"/>
        <v>0</v>
      </c>
      <c r="L13" s="1">
        <f t="shared" si="6"/>
        <v>0</v>
      </c>
      <c r="M13" s="1">
        <f t="shared" si="6"/>
        <v>0</v>
      </c>
      <c r="N13" s="1">
        <f t="shared" si="6"/>
        <v>0</v>
      </c>
      <c r="O13" s="1">
        <f t="shared" si="6"/>
        <v>0</v>
      </c>
      <c r="P13" s="1">
        <f t="shared" si="6"/>
        <v>1</v>
      </c>
      <c r="Q13" s="1">
        <f t="shared" si="6"/>
        <v>2</v>
      </c>
      <c r="R13" s="1">
        <f t="shared" si="6"/>
        <v>3</v>
      </c>
      <c r="S13" s="1">
        <f t="shared" si="6"/>
        <v>4</v>
      </c>
      <c r="T13" s="1">
        <f t="shared" si="6"/>
        <v>5</v>
      </c>
      <c r="U13" s="1">
        <f t="shared" si="6"/>
        <v>6</v>
      </c>
      <c r="V13" s="1">
        <f t="shared" si="6"/>
        <v>7</v>
      </c>
      <c r="W13" s="1">
        <f t="shared" si="6"/>
        <v>8</v>
      </c>
      <c r="X13" s="1">
        <f t="shared" si="6"/>
        <v>9</v>
      </c>
      <c r="Y13" s="1">
        <f t="shared" si="6"/>
        <v>10</v>
      </c>
      <c r="Z13" s="1">
        <f t="shared" si="6"/>
        <v>11</v>
      </c>
      <c r="AA13" s="1">
        <f t="shared" si="6"/>
        <v>12</v>
      </c>
      <c r="AB13" s="1">
        <f t="shared" si="6"/>
        <v>13</v>
      </c>
      <c r="AC13" s="1">
        <f t="shared" si="6"/>
        <v>14</v>
      </c>
      <c r="AD13" s="1">
        <f t="shared" si="6"/>
        <v>15</v>
      </c>
      <c r="AE13" s="1">
        <f t="shared" si="6"/>
        <v>16</v>
      </c>
      <c r="AF13" s="1">
        <f t="shared" si="6"/>
        <v>17</v>
      </c>
      <c r="AG13" s="1">
        <f t="shared" si="6"/>
        <v>18</v>
      </c>
      <c r="AH13" s="1">
        <f>(AH11+AG13)*AH11</f>
        <v>19</v>
      </c>
      <c r="AI13" s="1">
        <f t="shared" ref="AI13:AR13" si="7">(AI11+AH13)*AI11</f>
        <v>20</v>
      </c>
      <c r="AJ13" s="1">
        <f t="shared" si="7"/>
        <v>0</v>
      </c>
      <c r="AK13" s="1">
        <f t="shared" si="7"/>
        <v>0</v>
      </c>
      <c r="AL13" s="1">
        <f t="shared" si="7"/>
        <v>0</v>
      </c>
      <c r="AM13" s="1">
        <f t="shared" si="7"/>
        <v>0</v>
      </c>
      <c r="AN13" s="1">
        <f t="shared" si="7"/>
        <v>0</v>
      </c>
      <c r="AO13" s="1">
        <f t="shared" si="7"/>
        <v>0</v>
      </c>
      <c r="AP13" s="1">
        <f t="shared" si="7"/>
        <v>0</v>
      </c>
      <c r="AQ13" s="1">
        <f t="shared" si="7"/>
        <v>0</v>
      </c>
      <c r="AR13" s="1">
        <f t="shared" si="7"/>
        <v>0</v>
      </c>
    </row>
    <row r="14" spans="1:44" ht="15" x14ac:dyDescent="0.25">
      <c r="A14" s="2" t="s">
        <v>8</v>
      </c>
      <c r="C14" s="21"/>
    </row>
    <row r="15" spans="1:44" x14ac:dyDescent="0.2">
      <c r="B15" s="1" t="s">
        <v>67</v>
      </c>
      <c r="C15" s="21" t="s">
        <v>50</v>
      </c>
      <c r="D15" s="69">
        <f>INPUTS!E24</f>
        <v>0</v>
      </c>
      <c r="E15" s="69"/>
      <c r="F15" s="3">
        <f>1/(1+$D15)^(F$10-1)</f>
        <v>1</v>
      </c>
      <c r="G15" s="3">
        <f t="shared" ref="G15:AR15" si="8">1/(1+$D15)^(G$10-1)</f>
        <v>1</v>
      </c>
      <c r="H15" s="3">
        <f t="shared" si="8"/>
        <v>1</v>
      </c>
      <c r="I15" s="3">
        <f t="shared" si="8"/>
        <v>1</v>
      </c>
      <c r="J15" s="3">
        <f t="shared" si="8"/>
        <v>1</v>
      </c>
      <c r="K15" s="3">
        <f t="shared" si="8"/>
        <v>1</v>
      </c>
      <c r="L15" s="3">
        <f t="shared" si="8"/>
        <v>1</v>
      </c>
      <c r="M15" s="3">
        <f t="shared" si="8"/>
        <v>1</v>
      </c>
      <c r="N15" s="3">
        <f t="shared" si="8"/>
        <v>1</v>
      </c>
      <c r="O15" s="3">
        <f t="shared" si="8"/>
        <v>1</v>
      </c>
      <c r="P15" s="3">
        <f t="shared" si="8"/>
        <v>1</v>
      </c>
      <c r="Q15" s="3">
        <f t="shared" si="8"/>
        <v>1</v>
      </c>
      <c r="R15" s="3">
        <f t="shared" si="8"/>
        <v>1</v>
      </c>
      <c r="S15" s="3">
        <f t="shared" si="8"/>
        <v>1</v>
      </c>
      <c r="T15" s="3">
        <f t="shared" si="8"/>
        <v>1</v>
      </c>
      <c r="U15" s="3">
        <f t="shared" si="8"/>
        <v>1</v>
      </c>
      <c r="V15" s="3">
        <f t="shared" si="8"/>
        <v>1</v>
      </c>
      <c r="W15" s="3">
        <f t="shared" si="8"/>
        <v>1</v>
      </c>
      <c r="X15" s="3">
        <f t="shared" si="8"/>
        <v>1</v>
      </c>
      <c r="Y15" s="3">
        <f t="shared" si="8"/>
        <v>1</v>
      </c>
      <c r="Z15" s="3">
        <f t="shared" si="8"/>
        <v>1</v>
      </c>
      <c r="AA15" s="3">
        <f t="shared" si="8"/>
        <v>1</v>
      </c>
      <c r="AB15" s="3">
        <f t="shared" si="8"/>
        <v>1</v>
      </c>
      <c r="AC15" s="3">
        <f t="shared" si="8"/>
        <v>1</v>
      </c>
      <c r="AD15" s="3">
        <f t="shared" si="8"/>
        <v>1</v>
      </c>
      <c r="AE15" s="3">
        <f t="shared" si="8"/>
        <v>1</v>
      </c>
      <c r="AF15" s="3">
        <f t="shared" si="8"/>
        <v>1</v>
      </c>
      <c r="AG15" s="3">
        <f t="shared" si="8"/>
        <v>1</v>
      </c>
      <c r="AH15" s="3">
        <f t="shared" si="8"/>
        <v>1</v>
      </c>
      <c r="AI15" s="3">
        <f t="shared" si="8"/>
        <v>1</v>
      </c>
      <c r="AJ15" s="3">
        <f t="shared" si="8"/>
        <v>1</v>
      </c>
      <c r="AK15" s="3">
        <f t="shared" si="8"/>
        <v>1</v>
      </c>
      <c r="AL15" s="3">
        <f t="shared" si="8"/>
        <v>1</v>
      </c>
      <c r="AM15" s="3">
        <f t="shared" si="8"/>
        <v>1</v>
      </c>
      <c r="AN15" s="3">
        <f t="shared" si="8"/>
        <v>1</v>
      </c>
      <c r="AO15" s="3">
        <f t="shared" si="8"/>
        <v>1</v>
      </c>
      <c r="AP15" s="3">
        <f t="shared" si="8"/>
        <v>1</v>
      </c>
      <c r="AQ15" s="3">
        <f t="shared" si="8"/>
        <v>1</v>
      </c>
      <c r="AR15" s="3">
        <f t="shared" si="8"/>
        <v>1</v>
      </c>
    </row>
    <row r="16" spans="1:44" x14ac:dyDescent="0.2">
      <c r="B16" s="1" t="s">
        <v>69</v>
      </c>
      <c r="C16" s="21" t="s">
        <v>50</v>
      </c>
      <c r="D16" s="69">
        <f>INPUTS!E25</f>
        <v>0.03</v>
      </c>
      <c r="E16" s="69"/>
      <c r="F16" s="3">
        <f t="shared" ref="F16:G16" si="9">MIN(1,IF(F10=0,1,1/(1+$D16)^(F$10-1)))</f>
        <v>1</v>
      </c>
      <c r="G16" s="3">
        <f t="shared" si="9"/>
        <v>1</v>
      </c>
      <c r="H16" s="3">
        <f>MIN(1,IF(H10=0,1,1/(1+$D16)^(H$10-1)))</f>
        <v>1</v>
      </c>
      <c r="I16" s="3">
        <f t="shared" ref="I16:AR16" si="10">MIN(1,IF(I10=0,1,1/(1+$D16)^(I$10-1)))</f>
        <v>1</v>
      </c>
      <c r="J16" s="3">
        <f t="shared" si="10"/>
        <v>0.970873786407767</v>
      </c>
      <c r="K16" s="3">
        <f t="shared" si="10"/>
        <v>0.94259590913375435</v>
      </c>
      <c r="L16" s="3">
        <f t="shared" si="10"/>
        <v>0.91514165935315961</v>
      </c>
      <c r="M16" s="3">
        <f t="shared" si="10"/>
        <v>0.888487047915689</v>
      </c>
      <c r="N16" s="3">
        <f t="shared" si="10"/>
        <v>0.86260878438416411</v>
      </c>
      <c r="O16" s="3">
        <f t="shared" si="10"/>
        <v>0.83748425668365445</v>
      </c>
      <c r="P16" s="3">
        <f t="shared" si="10"/>
        <v>0.81309151134335378</v>
      </c>
      <c r="Q16" s="3">
        <f t="shared" si="10"/>
        <v>0.78940923431393573</v>
      </c>
      <c r="R16" s="3">
        <f t="shared" si="10"/>
        <v>0.76641673234362695</v>
      </c>
      <c r="S16" s="3">
        <f t="shared" si="10"/>
        <v>0.74409391489672516</v>
      </c>
      <c r="T16" s="3">
        <f t="shared" si="10"/>
        <v>0.72242127659876232</v>
      </c>
      <c r="U16" s="3">
        <f t="shared" si="10"/>
        <v>0.70137988019297326</v>
      </c>
      <c r="V16" s="3">
        <f t="shared" si="10"/>
        <v>0.68095133999317792</v>
      </c>
      <c r="W16" s="3">
        <f t="shared" si="10"/>
        <v>0.66111780581861923</v>
      </c>
      <c r="X16" s="3">
        <f t="shared" si="10"/>
        <v>0.64186194739671765</v>
      </c>
      <c r="Y16" s="3">
        <f t="shared" si="10"/>
        <v>0.62316693922011435</v>
      </c>
      <c r="Z16" s="3">
        <f t="shared" si="10"/>
        <v>0.60501644584477121</v>
      </c>
      <c r="AA16" s="3">
        <f t="shared" si="10"/>
        <v>0.5873946076162827</v>
      </c>
      <c r="AB16" s="3">
        <f t="shared" si="10"/>
        <v>0.57028602681192497</v>
      </c>
      <c r="AC16" s="3">
        <f t="shared" si="10"/>
        <v>0.55367575418633497</v>
      </c>
      <c r="AD16" s="3">
        <f t="shared" si="10"/>
        <v>0.5375492759090631</v>
      </c>
      <c r="AE16" s="3">
        <f t="shared" si="10"/>
        <v>0.52189250088258554</v>
      </c>
      <c r="AF16" s="3">
        <f t="shared" si="10"/>
        <v>0.50669174842969467</v>
      </c>
      <c r="AG16" s="3">
        <f t="shared" si="10"/>
        <v>0.49193373633950943</v>
      </c>
      <c r="AH16" s="3">
        <f t="shared" si="10"/>
        <v>0.47760556926165965</v>
      </c>
      <c r="AI16" s="3">
        <f t="shared" si="10"/>
        <v>0.46369472743850448</v>
      </c>
      <c r="AJ16" s="3">
        <f t="shared" si="10"/>
        <v>0.45018905576553836</v>
      </c>
      <c r="AK16" s="3">
        <f t="shared" si="10"/>
        <v>0.4370767531704256</v>
      </c>
      <c r="AL16" s="3">
        <f t="shared" si="10"/>
        <v>0.42434636230138412</v>
      </c>
      <c r="AM16" s="3">
        <f t="shared" si="10"/>
        <v>0.41198675951590691</v>
      </c>
      <c r="AN16" s="3">
        <f t="shared" si="10"/>
        <v>0.39998714516107459</v>
      </c>
      <c r="AO16" s="3">
        <f t="shared" si="10"/>
        <v>0.38833703413696569</v>
      </c>
      <c r="AP16" s="3">
        <f t="shared" si="10"/>
        <v>0.37702624673491814</v>
      </c>
      <c r="AQ16" s="3">
        <f t="shared" si="10"/>
        <v>0.36604489974263904</v>
      </c>
      <c r="AR16" s="3">
        <f t="shared" si="10"/>
        <v>0.35538339780838735</v>
      </c>
    </row>
    <row r="17" spans="1:44" x14ac:dyDescent="0.2">
      <c r="B17" s="1" t="s">
        <v>70</v>
      </c>
      <c r="C17" s="21" t="s">
        <v>50</v>
      </c>
      <c r="D17" s="69">
        <f>INPUTS!E26</f>
        <v>7.0000000000000007E-2</v>
      </c>
      <c r="E17" s="69"/>
      <c r="F17" s="3">
        <f t="shared" ref="F17:G17" si="11">MIN(1,IF(F10=0,1,1/(1+$D17)^(F$10-1)))</f>
        <v>1</v>
      </c>
      <c r="G17" s="3">
        <f t="shared" si="11"/>
        <v>1</v>
      </c>
      <c r="H17" s="3">
        <f>MIN(1,IF(H10=0,1,1/(1+$D17)^(H$10-1)))</f>
        <v>1</v>
      </c>
      <c r="I17" s="3">
        <f t="shared" ref="I17:AR17" si="12">MIN(1,IF(I10=0,1,1/(1+$D17)^(I$10-1)))</f>
        <v>1</v>
      </c>
      <c r="J17" s="3">
        <f t="shared" si="12"/>
        <v>0.93457943925233644</v>
      </c>
      <c r="K17" s="3">
        <f t="shared" si="12"/>
        <v>0.87343872827321156</v>
      </c>
      <c r="L17" s="3">
        <f t="shared" si="12"/>
        <v>0.81629787689085187</v>
      </c>
      <c r="M17" s="3">
        <f t="shared" si="12"/>
        <v>0.7628952120475252</v>
      </c>
      <c r="N17" s="3">
        <f t="shared" si="12"/>
        <v>0.71298617948366838</v>
      </c>
      <c r="O17" s="3">
        <f t="shared" si="12"/>
        <v>0.66634222381651254</v>
      </c>
      <c r="P17" s="3">
        <f t="shared" si="12"/>
        <v>0.62274974188459109</v>
      </c>
      <c r="Q17" s="3">
        <f t="shared" si="12"/>
        <v>0.5820091045650384</v>
      </c>
      <c r="R17" s="3">
        <f t="shared" si="12"/>
        <v>0.54393374258414806</v>
      </c>
      <c r="S17" s="3">
        <f t="shared" si="12"/>
        <v>0.5083492921347178</v>
      </c>
      <c r="T17" s="3">
        <f t="shared" si="12"/>
        <v>0.47509279638758667</v>
      </c>
      <c r="U17" s="3">
        <f t="shared" si="12"/>
        <v>0.44401195924073528</v>
      </c>
      <c r="V17" s="3">
        <f t="shared" si="12"/>
        <v>0.41496444788853759</v>
      </c>
      <c r="W17" s="3">
        <f t="shared" si="12"/>
        <v>0.3878172410173249</v>
      </c>
      <c r="X17" s="3">
        <f t="shared" si="12"/>
        <v>0.36244601964235967</v>
      </c>
      <c r="Y17" s="3">
        <f t="shared" si="12"/>
        <v>0.33873459779659787</v>
      </c>
      <c r="Z17" s="3">
        <f t="shared" si="12"/>
        <v>0.31657439046411018</v>
      </c>
      <c r="AA17" s="3">
        <f t="shared" si="12"/>
        <v>0.29586391632159825</v>
      </c>
      <c r="AB17" s="3">
        <f t="shared" si="12"/>
        <v>0.27650833301083949</v>
      </c>
      <c r="AC17" s="3">
        <f t="shared" si="12"/>
        <v>0.2584190028138687</v>
      </c>
      <c r="AD17" s="3">
        <f t="shared" si="12"/>
        <v>0.24151308674193336</v>
      </c>
      <c r="AE17" s="3">
        <f t="shared" si="12"/>
        <v>0.22571316517937698</v>
      </c>
      <c r="AF17" s="3">
        <f t="shared" si="12"/>
        <v>0.21094688334521211</v>
      </c>
      <c r="AG17" s="3">
        <f t="shared" si="12"/>
        <v>0.19714661994879637</v>
      </c>
      <c r="AH17" s="3">
        <f t="shared" si="12"/>
        <v>0.18424917752223957</v>
      </c>
      <c r="AI17" s="3">
        <f t="shared" si="12"/>
        <v>0.17219549301143888</v>
      </c>
      <c r="AJ17" s="3">
        <f t="shared" si="12"/>
        <v>0.16093036730041013</v>
      </c>
      <c r="AK17" s="3">
        <f t="shared" si="12"/>
        <v>0.15040221243028987</v>
      </c>
      <c r="AL17" s="3">
        <f t="shared" si="12"/>
        <v>0.1405628153554111</v>
      </c>
      <c r="AM17" s="3">
        <f t="shared" si="12"/>
        <v>0.13136711715458982</v>
      </c>
      <c r="AN17" s="3">
        <f t="shared" si="12"/>
        <v>0.1227730066865325</v>
      </c>
      <c r="AO17" s="3">
        <f t="shared" si="12"/>
        <v>0.11474112774442291</v>
      </c>
      <c r="AP17" s="3">
        <f t="shared" si="12"/>
        <v>0.10723469882656347</v>
      </c>
      <c r="AQ17" s="3">
        <f t="shared" si="12"/>
        <v>0.10021934469772288</v>
      </c>
      <c r="AR17" s="3">
        <f t="shared" si="12"/>
        <v>9.366293896983445E-2</v>
      </c>
    </row>
    <row r="19" spans="1:44" x14ac:dyDescent="0.2">
      <c r="B19" s="1" t="s">
        <v>232</v>
      </c>
      <c r="C19" s="1" t="s">
        <v>44</v>
      </c>
      <c r="D19" s="1" t="s">
        <v>45</v>
      </c>
    </row>
    <row r="20" spans="1:44" s="8" customFormat="1" x14ac:dyDescent="0.2">
      <c r="A20" s="7" t="s">
        <v>233</v>
      </c>
    </row>
    <row r="21" spans="1:44" ht="15" x14ac:dyDescent="0.25">
      <c r="A21" s="2" t="s">
        <v>197</v>
      </c>
    </row>
    <row r="22" spans="1:44" x14ac:dyDescent="0.2">
      <c r="C22" s="71"/>
      <c r="D22" s="70"/>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row>
    <row r="23" spans="1:44" ht="15" x14ac:dyDescent="0.25">
      <c r="B23" s="2" t="s">
        <v>203</v>
      </c>
      <c r="C23" s="71"/>
      <c r="D23" s="70"/>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row>
    <row r="24" spans="1:44" x14ac:dyDescent="0.2">
      <c r="B24" s="1" t="s">
        <v>221</v>
      </c>
      <c r="C24" s="21" t="s">
        <v>198</v>
      </c>
      <c r="D24" s="70">
        <f>INPUTS!E157</f>
        <v>3</v>
      </c>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c r="AQ24" s="86"/>
      <c r="AR24" s="86"/>
    </row>
    <row r="25" spans="1:44" x14ac:dyDescent="0.2">
      <c r="B25" s="1" t="s">
        <v>200</v>
      </c>
      <c r="C25" s="21" t="s">
        <v>201</v>
      </c>
      <c r="D25" s="70">
        <f>INPUTS!E158</f>
        <v>18</v>
      </c>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row>
    <row r="26" spans="1:44" x14ac:dyDescent="0.2">
      <c r="B26" s="1" t="s">
        <v>222</v>
      </c>
      <c r="C26" s="21" t="s">
        <v>198</v>
      </c>
      <c r="D26" s="70">
        <f>INPUTS!E159</f>
        <v>1</v>
      </c>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row>
    <row r="27" spans="1:44" x14ac:dyDescent="0.2">
      <c r="B27" s="1" t="s">
        <v>203</v>
      </c>
      <c r="C27" s="21" t="s">
        <v>204</v>
      </c>
      <c r="D27" s="19">
        <f>INPUTS!E160</f>
        <v>3</v>
      </c>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row>
    <row r="28" spans="1:44" x14ac:dyDescent="0.2">
      <c r="B28" s="1" t="s">
        <v>203</v>
      </c>
      <c r="C28" s="21" t="s">
        <v>205</v>
      </c>
      <c r="D28" s="19">
        <f>INPUTS!E161</f>
        <v>0.16666666666666666</v>
      </c>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row>
    <row r="29" spans="1:44" x14ac:dyDescent="0.2">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row>
    <row r="30" spans="1:44" ht="15" x14ac:dyDescent="0.25">
      <c r="A30" s="2"/>
      <c r="B30" s="2" t="s">
        <v>346</v>
      </c>
      <c r="C30" s="21"/>
      <c r="D30" s="19"/>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row>
    <row r="31" spans="1:44" x14ac:dyDescent="0.2">
      <c r="B31" s="1" t="s">
        <v>206</v>
      </c>
      <c r="C31" s="21" t="s">
        <v>77</v>
      </c>
      <c r="D31" s="70">
        <f>INPUTS!E162</f>
        <v>0</v>
      </c>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row>
    <row r="32" spans="1:44" x14ac:dyDescent="0.2">
      <c r="B32" s="1" t="s">
        <v>347</v>
      </c>
      <c r="C32" s="21" t="s">
        <v>77</v>
      </c>
      <c r="D32" s="70">
        <f>INPUTS!E163</f>
        <v>75000</v>
      </c>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row>
    <row r="33" spans="1:44" x14ac:dyDescent="0.2">
      <c r="B33" s="1" t="s">
        <v>209</v>
      </c>
      <c r="C33" s="21" t="s">
        <v>124</v>
      </c>
      <c r="D33" s="70">
        <f>INPUTS!E164</f>
        <v>75000</v>
      </c>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row>
    <row r="34" spans="1:44" ht="15" x14ac:dyDescent="0.25">
      <c r="A34" s="2"/>
      <c r="B34" s="1" t="s">
        <v>209</v>
      </c>
      <c r="C34" s="21" t="s">
        <v>348</v>
      </c>
      <c r="D34" s="70">
        <f>SUM(F34:AR34)</f>
        <v>487500</v>
      </c>
      <c r="F34" s="18">
        <f>$D$28*$D$33</f>
        <v>12500</v>
      </c>
      <c r="G34" s="18">
        <f t="shared" ref="G34:AR34" si="13">$D$28*$D$33</f>
        <v>12500</v>
      </c>
      <c r="H34" s="18">
        <f t="shared" si="13"/>
        <v>12500</v>
      </c>
      <c r="I34" s="18">
        <f t="shared" si="13"/>
        <v>12500</v>
      </c>
      <c r="J34" s="18">
        <f t="shared" si="13"/>
        <v>12500</v>
      </c>
      <c r="K34" s="18">
        <f t="shared" si="13"/>
        <v>12500</v>
      </c>
      <c r="L34" s="18">
        <f t="shared" si="13"/>
        <v>12500</v>
      </c>
      <c r="M34" s="18">
        <f t="shared" si="13"/>
        <v>12500</v>
      </c>
      <c r="N34" s="18">
        <f t="shared" si="13"/>
        <v>12500</v>
      </c>
      <c r="O34" s="18">
        <f t="shared" si="13"/>
        <v>12500</v>
      </c>
      <c r="P34" s="18">
        <f t="shared" si="13"/>
        <v>12500</v>
      </c>
      <c r="Q34" s="18">
        <f t="shared" si="13"/>
        <v>12500</v>
      </c>
      <c r="R34" s="18">
        <f t="shared" si="13"/>
        <v>12500</v>
      </c>
      <c r="S34" s="18">
        <f t="shared" si="13"/>
        <v>12500</v>
      </c>
      <c r="T34" s="18">
        <f t="shared" si="13"/>
        <v>12500</v>
      </c>
      <c r="U34" s="18">
        <f t="shared" si="13"/>
        <v>12500</v>
      </c>
      <c r="V34" s="18">
        <f t="shared" si="13"/>
        <v>12500</v>
      </c>
      <c r="W34" s="18">
        <f t="shared" si="13"/>
        <v>12500</v>
      </c>
      <c r="X34" s="18">
        <f t="shared" si="13"/>
        <v>12500</v>
      </c>
      <c r="Y34" s="18">
        <f t="shared" si="13"/>
        <v>12500</v>
      </c>
      <c r="Z34" s="18">
        <f t="shared" si="13"/>
        <v>12500</v>
      </c>
      <c r="AA34" s="18">
        <f t="shared" si="13"/>
        <v>12500</v>
      </c>
      <c r="AB34" s="18">
        <f t="shared" si="13"/>
        <v>12500</v>
      </c>
      <c r="AC34" s="18">
        <f t="shared" si="13"/>
        <v>12500</v>
      </c>
      <c r="AD34" s="18">
        <f t="shared" si="13"/>
        <v>12500</v>
      </c>
      <c r="AE34" s="18">
        <f t="shared" si="13"/>
        <v>12500</v>
      </c>
      <c r="AF34" s="18">
        <f t="shared" si="13"/>
        <v>12500</v>
      </c>
      <c r="AG34" s="18">
        <f t="shared" si="13"/>
        <v>12500</v>
      </c>
      <c r="AH34" s="18">
        <f t="shared" si="13"/>
        <v>12500</v>
      </c>
      <c r="AI34" s="18">
        <f t="shared" si="13"/>
        <v>12500</v>
      </c>
      <c r="AJ34" s="18">
        <f t="shared" si="13"/>
        <v>12500</v>
      </c>
      <c r="AK34" s="18">
        <f t="shared" si="13"/>
        <v>12500</v>
      </c>
      <c r="AL34" s="18">
        <f t="shared" si="13"/>
        <v>12500</v>
      </c>
      <c r="AM34" s="18">
        <f t="shared" si="13"/>
        <v>12500</v>
      </c>
      <c r="AN34" s="18">
        <f t="shared" si="13"/>
        <v>12500</v>
      </c>
      <c r="AO34" s="18">
        <f t="shared" si="13"/>
        <v>12500</v>
      </c>
      <c r="AP34" s="18">
        <f t="shared" si="13"/>
        <v>12500</v>
      </c>
      <c r="AQ34" s="18">
        <f t="shared" si="13"/>
        <v>12500</v>
      </c>
      <c r="AR34" s="18">
        <f t="shared" si="13"/>
        <v>12500</v>
      </c>
    </row>
    <row r="35" spans="1:44" x14ac:dyDescent="0.2">
      <c r="C35" s="71"/>
      <c r="D35" s="70"/>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row>
    <row r="36" spans="1:44" ht="15" x14ac:dyDescent="0.25">
      <c r="A36" s="2" t="s">
        <v>272</v>
      </c>
      <c r="C36" s="71"/>
      <c r="D36" s="70"/>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row>
    <row r="37" spans="1:44" x14ac:dyDescent="0.2">
      <c r="B37" s="1" t="s">
        <v>298</v>
      </c>
      <c r="C37" s="21" t="s">
        <v>289</v>
      </c>
      <c r="D37" s="70">
        <f>SUM(F37:AR37)</f>
        <v>487500</v>
      </c>
      <c r="F37" s="18">
        <f t="shared" ref="F37" si="14">F34</f>
        <v>12500</v>
      </c>
      <c r="G37" s="18">
        <f>G34</f>
        <v>12500</v>
      </c>
      <c r="H37" s="18">
        <f t="shared" ref="H37:AR37" si="15">H34</f>
        <v>12500</v>
      </c>
      <c r="I37" s="18">
        <f t="shared" si="15"/>
        <v>12500</v>
      </c>
      <c r="J37" s="18">
        <f t="shared" si="15"/>
        <v>12500</v>
      </c>
      <c r="K37" s="18">
        <f t="shared" si="15"/>
        <v>12500</v>
      </c>
      <c r="L37" s="18">
        <f t="shared" si="15"/>
        <v>12500</v>
      </c>
      <c r="M37" s="18">
        <f t="shared" si="15"/>
        <v>12500</v>
      </c>
      <c r="N37" s="18">
        <f t="shared" si="15"/>
        <v>12500</v>
      </c>
      <c r="O37" s="18">
        <f t="shared" si="15"/>
        <v>12500</v>
      </c>
      <c r="P37" s="18">
        <f t="shared" si="15"/>
        <v>12500</v>
      </c>
      <c r="Q37" s="18">
        <f t="shared" si="15"/>
        <v>12500</v>
      </c>
      <c r="R37" s="18">
        <f t="shared" si="15"/>
        <v>12500</v>
      </c>
      <c r="S37" s="18">
        <f t="shared" si="15"/>
        <v>12500</v>
      </c>
      <c r="T37" s="18">
        <f t="shared" si="15"/>
        <v>12500</v>
      </c>
      <c r="U37" s="18">
        <f t="shared" si="15"/>
        <v>12500</v>
      </c>
      <c r="V37" s="18">
        <f t="shared" si="15"/>
        <v>12500</v>
      </c>
      <c r="W37" s="18">
        <f t="shared" si="15"/>
        <v>12500</v>
      </c>
      <c r="X37" s="18">
        <f t="shared" si="15"/>
        <v>12500</v>
      </c>
      <c r="Y37" s="18">
        <f t="shared" si="15"/>
        <v>12500</v>
      </c>
      <c r="Z37" s="18">
        <f t="shared" si="15"/>
        <v>12500</v>
      </c>
      <c r="AA37" s="18">
        <f t="shared" si="15"/>
        <v>12500</v>
      </c>
      <c r="AB37" s="18">
        <f t="shared" si="15"/>
        <v>12500</v>
      </c>
      <c r="AC37" s="18">
        <f t="shared" si="15"/>
        <v>12500</v>
      </c>
      <c r="AD37" s="18">
        <f t="shared" si="15"/>
        <v>12500</v>
      </c>
      <c r="AE37" s="18">
        <f t="shared" si="15"/>
        <v>12500</v>
      </c>
      <c r="AF37" s="18">
        <f t="shared" si="15"/>
        <v>12500</v>
      </c>
      <c r="AG37" s="18">
        <f t="shared" si="15"/>
        <v>12500</v>
      </c>
      <c r="AH37" s="18">
        <f t="shared" si="15"/>
        <v>12500</v>
      </c>
      <c r="AI37" s="18">
        <f t="shared" si="15"/>
        <v>12500</v>
      </c>
      <c r="AJ37" s="18">
        <f t="shared" si="15"/>
        <v>12500</v>
      </c>
      <c r="AK37" s="18">
        <f t="shared" si="15"/>
        <v>12500</v>
      </c>
      <c r="AL37" s="18">
        <f t="shared" si="15"/>
        <v>12500</v>
      </c>
      <c r="AM37" s="18">
        <f t="shared" si="15"/>
        <v>12500</v>
      </c>
      <c r="AN37" s="18">
        <f t="shared" si="15"/>
        <v>12500</v>
      </c>
      <c r="AO37" s="18">
        <f t="shared" si="15"/>
        <v>12500</v>
      </c>
      <c r="AP37" s="18">
        <f t="shared" si="15"/>
        <v>12500</v>
      </c>
      <c r="AQ37" s="18">
        <f t="shared" si="15"/>
        <v>12500</v>
      </c>
      <c r="AR37" s="18">
        <f t="shared" si="15"/>
        <v>12500</v>
      </c>
    </row>
    <row r="38" spans="1:44" x14ac:dyDescent="0.2">
      <c r="C38" s="1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row>
    <row r="39" spans="1:44" s="8" customFormat="1" x14ac:dyDescent="0.2">
      <c r="A39" s="7" t="s">
        <v>245</v>
      </c>
      <c r="B39" s="12"/>
      <c r="C39" s="12"/>
    </row>
    <row r="40" spans="1:44" ht="15" x14ac:dyDescent="0.25">
      <c r="A40" s="2" t="s">
        <v>197</v>
      </c>
    </row>
    <row r="41" spans="1:44" x14ac:dyDescent="0.2">
      <c r="B41" s="1" t="s">
        <v>209</v>
      </c>
      <c r="C41" s="21" t="s">
        <v>348</v>
      </c>
      <c r="D41" s="70">
        <f>SUM(F41:AR41)</f>
        <v>0</v>
      </c>
      <c r="F41" s="18">
        <v>0</v>
      </c>
      <c r="G41" s="18">
        <v>0</v>
      </c>
      <c r="H41" s="18">
        <v>0</v>
      </c>
      <c r="I41" s="18">
        <v>0</v>
      </c>
      <c r="J41" s="18">
        <v>0</v>
      </c>
      <c r="K41" s="18">
        <v>0</v>
      </c>
      <c r="L41" s="18">
        <v>0</v>
      </c>
      <c r="M41" s="18">
        <v>0</v>
      </c>
      <c r="N41" s="18">
        <v>0</v>
      </c>
      <c r="O41" s="18">
        <v>0</v>
      </c>
      <c r="P41" s="18">
        <v>0</v>
      </c>
      <c r="Q41" s="18">
        <v>0</v>
      </c>
      <c r="R41" s="18">
        <v>0</v>
      </c>
      <c r="S41" s="18">
        <v>0</v>
      </c>
      <c r="T41" s="18">
        <v>0</v>
      </c>
      <c r="U41" s="18">
        <v>0</v>
      </c>
      <c r="V41" s="18">
        <v>0</v>
      </c>
      <c r="W41" s="18">
        <v>0</v>
      </c>
      <c r="X41" s="18">
        <v>0</v>
      </c>
      <c r="Y41" s="18">
        <v>0</v>
      </c>
      <c r="Z41" s="18">
        <v>0</v>
      </c>
      <c r="AA41" s="18">
        <v>0</v>
      </c>
      <c r="AB41" s="18">
        <v>0</v>
      </c>
      <c r="AC41" s="18">
        <v>0</v>
      </c>
      <c r="AD41" s="18">
        <v>0</v>
      </c>
      <c r="AE41" s="18">
        <v>0</v>
      </c>
      <c r="AF41" s="18">
        <v>0</v>
      </c>
      <c r="AG41" s="18">
        <v>0</v>
      </c>
      <c r="AH41" s="18">
        <v>0</v>
      </c>
      <c r="AI41" s="18">
        <v>0</v>
      </c>
      <c r="AJ41" s="18">
        <v>0</v>
      </c>
      <c r="AK41" s="18">
        <v>0</v>
      </c>
      <c r="AL41" s="18">
        <v>0</v>
      </c>
      <c r="AM41" s="18">
        <v>0</v>
      </c>
      <c r="AN41" s="18">
        <v>0</v>
      </c>
      <c r="AO41" s="18">
        <v>0</v>
      </c>
      <c r="AP41" s="18">
        <v>0</v>
      </c>
      <c r="AQ41" s="18">
        <v>0</v>
      </c>
      <c r="AR41" s="18">
        <v>0</v>
      </c>
    </row>
    <row r="42" spans="1:44" x14ac:dyDescent="0.2">
      <c r="C42" s="71"/>
      <c r="D42" s="70"/>
    </row>
    <row r="43" spans="1:44" s="8" customFormat="1" x14ac:dyDescent="0.2">
      <c r="A43" s="7" t="s">
        <v>275</v>
      </c>
      <c r="B43" s="7"/>
      <c r="C43" s="12"/>
    </row>
    <row r="44" spans="1:44" ht="15" x14ac:dyDescent="0.25">
      <c r="A44" s="2" t="s">
        <v>276</v>
      </c>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row>
    <row r="45" spans="1:44" x14ac:dyDescent="0.2">
      <c r="B45" s="1" t="s">
        <v>241</v>
      </c>
      <c r="C45" s="71" t="s">
        <v>77</v>
      </c>
      <c r="D45" s="70">
        <f>SUM(F45:AR45)</f>
        <v>250000</v>
      </c>
      <c r="F45" s="18">
        <f>(F$37-F$41)*F$11*F15</f>
        <v>0</v>
      </c>
      <c r="G45" s="18">
        <f t="shared" ref="G45:AR45" si="16">(G$37-G$41)*G$11*G15</f>
        <v>0</v>
      </c>
      <c r="H45" s="18">
        <f t="shared" si="16"/>
        <v>0</v>
      </c>
      <c r="I45" s="18">
        <f t="shared" si="16"/>
        <v>0</v>
      </c>
      <c r="J45" s="18">
        <f t="shared" si="16"/>
        <v>0</v>
      </c>
      <c r="K45" s="18">
        <f t="shared" si="16"/>
        <v>0</v>
      </c>
      <c r="L45" s="18">
        <f t="shared" si="16"/>
        <v>0</v>
      </c>
      <c r="M45" s="18">
        <f t="shared" si="16"/>
        <v>0</v>
      </c>
      <c r="N45" s="18">
        <f t="shared" si="16"/>
        <v>0</v>
      </c>
      <c r="O45" s="18">
        <f t="shared" si="16"/>
        <v>0</v>
      </c>
      <c r="P45" s="18">
        <f t="shared" si="16"/>
        <v>12500</v>
      </c>
      <c r="Q45" s="18">
        <f t="shared" si="16"/>
        <v>12500</v>
      </c>
      <c r="R45" s="18">
        <f t="shared" si="16"/>
        <v>12500</v>
      </c>
      <c r="S45" s="18">
        <f t="shared" si="16"/>
        <v>12500</v>
      </c>
      <c r="T45" s="18">
        <f t="shared" si="16"/>
        <v>12500</v>
      </c>
      <c r="U45" s="18">
        <f t="shared" si="16"/>
        <v>12500</v>
      </c>
      <c r="V45" s="18">
        <f t="shared" si="16"/>
        <v>12500</v>
      </c>
      <c r="W45" s="18">
        <f t="shared" si="16"/>
        <v>12500</v>
      </c>
      <c r="X45" s="18">
        <f t="shared" si="16"/>
        <v>12500</v>
      </c>
      <c r="Y45" s="18">
        <f t="shared" si="16"/>
        <v>12500</v>
      </c>
      <c r="Z45" s="18">
        <f t="shared" si="16"/>
        <v>12500</v>
      </c>
      <c r="AA45" s="18">
        <f t="shared" si="16"/>
        <v>12500</v>
      </c>
      <c r="AB45" s="18">
        <f t="shared" si="16"/>
        <v>12500</v>
      </c>
      <c r="AC45" s="18">
        <f t="shared" si="16"/>
        <v>12500</v>
      </c>
      <c r="AD45" s="18">
        <f t="shared" si="16"/>
        <v>12500</v>
      </c>
      <c r="AE45" s="18">
        <f t="shared" si="16"/>
        <v>12500</v>
      </c>
      <c r="AF45" s="18">
        <f t="shared" si="16"/>
        <v>12500</v>
      </c>
      <c r="AG45" s="18">
        <f t="shared" si="16"/>
        <v>12500</v>
      </c>
      <c r="AH45" s="18">
        <f t="shared" si="16"/>
        <v>12500</v>
      </c>
      <c r="AI45" s="18">
        <f t="shared" si="16"/>
        <v>12500</v>
      </c>
      <c r="AJ45" s="18">
        <f t="shared" si="16"/>
        <v>0</v>
      </c>
      <c r="AK45" s="18">
        <f t="shared" si="16"/>
        <v>0</v>
      </c>
      <c r="AL45" s="18">
        <f t="shared" si="16"/>
        <v>0</v>
      </c>
      <c r="AM45" s="18">
        <f t="shared" si="16"/>
        <v>0</v>
      </c>
      <c r="AN45" s="18">
        <f t="shared" si="16"/>
        <v>0</v>
      </c>
      <c r="AO45" s="18">
        <f t="shared" si="16"/>
        <v>0</v>
      </c>
      <c r="AP45" s="18">
        <f t="shared" si="16"/>
        <v>0</v>
      </c>
      <c r="AQ45" s="18">
        <f t="shared" si="16"/>
        <v>0</v>
      </c>
      <c r="AR45" s="18">
        <f t="shared" si="16"/>
        <v>0</v>
      </c>
    </row>
    <row r="46" spans="1:44" x14ac:dyDescent="0.2">
      <c r="B46" s="1" t="s">
        <v>242</v>
      </c>
      <c r="C46" s="71" t="s">
        <v>77</v>
      </c>
      <c r="D46" s="70">
        <f>SUM(F46:AR46)</f>
        <v>155745.63718547922</v>
      </c>
      <c r="F46" s="18">
        <f t="shared" ref="F46:AR46" si="17">(F$37-F$41)*F$11*F16</f>
        <v>0</v>
      </c>
      <c r="G46" s="18">
        <f t="shared" si="17"/>
        <v>0</v>
      </c>
      <c r="H46" s="18">
        <f t="shared" si="17"/>
        <v>0</v>
      </c>
      <c r="I46" s="18">
        <f t="shared" si="17"/>
        <v>0</v>
      </c>
      <c r="J46" s="18">
        <f t="shared" si="17"/>
        <v>0</v>
      </c>
      <c r="K46" s="18">
        <f t="shared" si="17"/>
        <v>0</v>
      </c>
      <c r="L46" s="18">
        <f t="shared" si="17"/>
        <v>0</v>
      </c>
      <c r="M46" s="18">
        <f t="shared" si="17"/>
        <v>0</v>
      </c>
      <c r="N46" s="18">
        <f t="shared" si="17"/>
        <v>0</v>
      </c>
      <c r="O46" s="18">
        <f t="shared" si="17"/>
        <v>0</v>
      </c>
      <c r="P46" s="18">
        <f t="shared" si="17"/>
        <v>10163.643891791922</v>
      </c>
      <c r="Q46" s="18">
        <f t="shared" si="17"/>
        <v>9867.6154289241967</v>
      </c>
      <c r="R46" s="18">
        <f t="shared" si="17"/>
        <v>9580.2091542953367</v>
      </c>
      <c r="S46" s="18">
        <f t="shared" si="17"/>
        <v>9301.1739362090648</v>
      </c>
      <c r="T46" s="18">
        <f t="shared" si="17"/>
        <v>9030.2659574845293</v>
      </c>
      <c r="U46" s="18">
        <f t="shared" si="17"/>
        <v>8767.2485024121652</v>
      </c>
      <c r="V46" s="18">
        <f t="shared" si="17"/>
        <v>8511.8917499147246</v>
      </c>
      <c r="W46" s="18">
        <f t="shared" si="17"/>
        <v>8263.9725727327404</v>
      </c>
      <c r="X46" s="18">
        <f t="shared" si="17"/>
        <v>8023.2743424589708</v>
      </c>
      <c r="Y46" s="18">
        <f t="shared" si="17"/>
        <v>7789.5867402514295</v>
      </c>
      <c r="Z46" s="18">
        <f t="shared" si="17"/>
        <v>7562.7055730596403</v>
      </c>
      <c r="AA46" s="18">
        <f t="shared" si="17"/>
        <v>7342.4325952035342</v>
      </c>
      <c r="AB46" s="18">
        <f t="shared" si="17"/>
        <v>7128.5753351490621</v>
      </c>
      <c r="AC46" s="18">
        <f t="shared" si="17"/>
        <v>6920.946927329187</v>
      </c>
      <c r="AD46" s="18">
        <f t="shared" si="17"/>
        <v>6719.3659488632884</v>
      </c>
      <c r="AE46" s="18">
        <f t="shared" si="17"/>
        <v>6523.656261032319</v>
      </c>
      <c r="AF46" s="18">
        <f t="shared" si="17"/>
        <v>6333.6468553711829</v>
      </c>
      <c r="AG46" s="18">
        <f t="shared" si="17"/>
        <v>6149.1717042438677</v>
      </c>
      <c r="AH46" s="18">
        <f t="shared" si="17"/>
        <v>5970.0696157707453</v>
      </c>
      <c r="AI46" s="18">
        <f t="shared" si="17"/>
        <v>5796.1840929813061</v>
      </c>
      <c r="AJ46" s="18">
        <f t="shared" si="17"/>
        <v>0</v>
      </c>
      <c r="AK46" s="18">
        <f t="shared" si="17"/>
        <v>0</v>
      </c>
      <c r="AL46" s="18">
        <f t="shared" si="17"/>
        <v>0</v>
      </c>
      <c r="AM46" s="18">
        <f t="shared" si="17"/>
        <v>0</v>
      </c>
      <c r="AN46" s="18">
        <f t="shared" si="17"/>
        <v>0</v>
      </c>
      <c r="AO46" s="18">
        <f t="shared" si="17"/>
        <v>0</v>
      </c>
      <c r="AP46" s="18">
        <f t="shared" si="17"/>
        <v>0</v>
      </c>
      <c r="AQ46" s="18">
        <f t="shared" si="17"/>
        <v>0</v>
      </c>
      <c r="AR46" s="18">
        <f t="shared" si="17"/>
        <v>0</v>
      </c>
    </row>
    <row r="47" spans="1:44" x14ac:dyDescent="0.2">
      <c r="B47" s="1" t="s">
        <v>243</v>
      </c>
      <c r="C47" s="71" t="s">
        <v>77</v>
      </c>
      <c r="D47" s="70">
        <f>SUM(F47:AR47)</f>
        <v>88240.487643763146</v>
      </c>
      <c r="F47" s="18">
        <f t="shared" ref="F47:AR47" si="18">(F$37-F$41)*F$11*F17</f>
        <v>0</v>
      </c>
      <c r="G47" s="18">
        <f t="shared" si="18"/>
        <v>0</v>
      </c>
      <c r="H47" s="18">
        <f t="shared" si="18"/>
        <v>0</v>
      </c>
      <c r="I47" s="18">
        <f t="shared" si="18"/>
        <v>0</v>
      </c>
      <c r="J47" s="18">
        <f t="shared" si="18"/>
        <v>0</v>
      </c>
      <c r="K47" s="18">
        <f t="shared" si="18"/>
        <v>0</v>
      </c>
      <c r="L47" s="18">
        <f t="shared" si="18"/>
        <v>0</v>
      </c>
      <c r="M47" s="18">
        <f t="shared" si="18"/>
        <v>0</v>
      </c>
      <c r="N47" s="18">
        <f t="shared" si="18"/>
        <v>0</v>
      </c>
      <c r="O47" s="18">
        <f t="shared" si="18"/>
        <v>0</v>
      </c>
      <c r="P47" s="18">
        <f t="shared" si="18"/>
        <v>7784.3717735573882</v>
      </c>
      <c r="Q47" s="18">
        <f t="shared" si="18"/>
        <v>7275.1138070629804</v>
      </c>
      <c r="R47" s="18">
        <f t="shared" si="18"/>
        <v>6799.1717823018507</v>
      </c>
      <c r="S47" s="18">
        <f t="shared" si="18"/>
        <v>6354.3661516839729</v>
      </c>
      <c r="T47" s="18">
        <f t="shared" si="18"/>
        <v>5938.659954844833</v>
      </c>
      <c r="U47" s="18">
        <f t="shared" si="18"/>
        <v>5550.1494905091913</v>
      </c>
      <c r="V47" s="18">
        <f t="shared" si="18"/>
        <v>5187.0555986067202</v>
      </c>
      <c r="W47" s="18">
        <f t="shared" si="18"/>
        <v>4847.7155127165615</v>
      </c>
      <c r="X47" s="18">
        <f t="shared" si="18"/>
        <v>4530.575245529496</v>
      </c>
      <c r="Y47" s="18">
        <f t="shared" si="18"/>
        <v>4234.1824724574735</v>
      </c>
      <c r="Z47" s="18">
        <f t="shared" si="18"/>
        <v>3957.1798808013773</v>
      </c>
      <c r="AA47" s="18">
        <f t="shared" si="18"/>
        <v>3698.2989540199783</v>
      </c>
      <c r="AB47" s="18">
        <f t="shared" si="18"/>
        <v>3456.3541626354936</v>
      </c>
      <c r="AC47" s="18">
        <f t="shared" si="18"/>
        <v>3230.237535173359</v>
      </c>
      <c r="AD47" s="18">
        <f t="shared" si="18"/>
        <v>3018.9135842741671</v>
      </c>
      <c r="AE47" s="18">
        <f t="shared" si="18"/>
        <v>2821.4145647422124</v>
      </c>
      <c r="AF47" s="18">
        <f t="shared" si="18"/>
        <v>2636.8360418151515</v>
      </c>
      <c r="AG47" s="18">
        <f t="shared" si="18"/>
        <v>2464.3327493599545</v>
      </c>
      <c r="AH47" s="18">
        <f t="shared" si="18"/>
        <v>2303.1147190279949</v>
      </c>
      <c r="AI47" s="18">
        <f t="shared" si="18"/>
        <v>2152.4436626429861</v>
      </c>
      <c r="AJ47" s="18">
        <f t="shared" si="18"/>
        <v>0</v>
      </c>
      <c r="AK47" s="18">
        <f t="shared" si="18"/>
        <v>0</v>
      </c>
      <c r="AL47" s="18">
        <f t="shared" si="18"/>
        <v>0</v>
      </c>
      <c r="AM47" s="18">
        <f t="shared" si="18"/>
        <v>0</v>
      </c>
      <c r="AN47" s="18">
        <f t="shared" si="18"/>
        <v>0</v>
      </c>
      <c r="AO47" s="18">
        <f t="shared" si="18"/>
        <v>0</v>
      </c>
      <c r="AP47" s="18">
        <f t="shared" si="18"/>
        <v>0</v>
      </c>
      <c r="AQ47" s="18">
        <f t="shared" si="18"/>
        <v>0</v>
      </c>
      <c r="AR47" s="18">
        <f t="shared" si="18"/>
        <v>0</v>
      </c>
    </row>
    <row r="48" spans="1:44" x14ac:dyDescent="0.2">
      <c r="C48" s="71"/>
      <c r="D48" s="70"/>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D077F-C55F-40E8-9639-AAA7A25FE009}">
  <sheetPr>
    <tabColor theme="9"/>
  </sheetPr>
  <dimension ref="A1:AS57"/>
  <sheetViews>
    <sheetView workbookViewId="0">
      <pane xSplit="4" ySplit="11" topLeftCell="E47" activePane="bottomRight" state="frozen"/>
      <selection pane="topRight" activeCell="E1" sqref="E1"/>
      <selection pane="bottomLeft" activeCell="A12" sqref="A12"/>
      <selection pane="bottomRight" activeCell="D32" sqref="D32"/>
    </sheetView>
  </sheetViews>
  <sheetFormatPr defaultColWidth="0" defaultRowHeight="14.25" x14ac:dyDescent="0.2"/>
  <cols>
    <col min="1" max="1" width="11" style="1" customWidth="1"/>
    <col min="2" max="2" width="32.5703125" style="1" bestFit="1" customWidth="1"/>
    <col min="3" max="3" width="15.28515625" style="1" bestFit="1" customWidth="1"/>
    <col min="4" max="4" width="15" style="1" bestFit="1" customWidth="1"/>
    <col min="5" max="5" width="1.5703125" style="1" customWidth="1"/>
    <col min="6" max="44" width="14.42578125" style="1" customWidth="1"/>
    <col min="45" max="45" width="9.140625" style="1" customWidth="1"/>
    <col min="46" max="16384" width="9.140625" style="1" hidden="1"/>
  </cols>
  <sheetData>
    <row r="1" spans="1:44" ht="19.5" x14ac:dyDescent="0.3">
      <c r="A1" s="6" t="str">
        <f>'OUTPUT Summary'!$A$1</f>
        <v>ODOT Roosevelt Memorial Bridge US-70</v>
      </c>
    </row>
    <row r="2" spans="1:44" ht="19.5" x14ac:dyDescent="0.3">
      <c r="A2" s="6" t="s">
        <v>349</v>
      </c>
      <c r="C2" s="11"/>
    </row>
    <row r="3" spans="1:44" x14ac:dyDescent="0.2">
      <c r="A3" s="51">
        <f ca="1">'OUTPUT Summary'!A3</f>
        <v>45156</v>
      </c>
      <c r="C3" s="11"/>
    </row>
    <row r="4" spans="1:44" x14ac:dyDescent="0.2">
      <c r="A4" s="52" t="str">
        <f>'OUTPUT Summary'!A4</f>
        <v>All $ values 2021, unless otherwise noted</v>
      </c>
      <c r="C4" s="11"/>
    </row>
    <row r="5" spans="1:44" x14ac:dyDescent="0.2">
      <c r="B5" s="66"/>
      <c r="C5" s="11"/>
    </row>
    <row r="6" spans="1:44" x14ac:dyDescent="0.2">
      <c r="C6" s="1" t="s">
        <v>44</v>
      </c>
      <c r="D6" s="1" t="s">
        <v>45</v>
      </c>
    </row>
    <row r="7" spans="1:44" s="8" customFormat="1" x14ac:dyDescent="0.2">
      <c r="A7" s="8" t="s">
        <v>224</v>
      </c>
      <c r="C7" s="226" t="s">
        <v>224</v>
      </c>
      <c r="F7" s="8">
        <f>INPUTS!$E$12</f>
        <v>2018</v>
      </c>
      <c r="G7" s="8">
        <f>F7+1</f>
        <v>2019</v>
      </c>
      <c r="H7" s="8">
        <f t="shared" ref="H7:W8" si="0">G7+1</f>
        <v>2020</v>
      </c>
      <c r="I7" s="8">
        <f t="shared" si="0"/>
        <v>2021</v>
      </c>
      <c r="J7" s="8">
        <f t="shared" si="0"/>
        <v>2022</v>
      </c>
      <c r="K7" s="8">
        <f t="shared" si="0"/>
        <v>2023</v>
      </c>
      <c r="L7" s="8">
        <f t="shared" si="0"/>
        <v>2024</v>
      </c>
      <c r="M7" s="8">
        <f t="shared" si="0"/>
        <v>2025</v>
      </c>
      <c r="N7" s="8">
        <f t="shared" si="0"/>
        <v>2026</v>
      </c>
      <c r="O7" s="8">
        <f t="shared" si="0"/>
        <v>2027</v>
      </c>
      <c r="P7" s="8">
        <f t="shared" si="0"/>
        <v>2028</v>
      </c>
      <c r="Q7" s="8">
        <f t="shared" si="0"/>
        <v>2029</v>
      </c>
      <c r="R7" s="8">
        <f t="shared" si="0"/>
        <v>2030</v>
      </c>
      <c r="S7" s="8">
        <f t="shared" si="0"/>
        <v>2031</v>
      </c>
      <c r="T7" s="8">
        <f t="shared" si="0"/>
        <v>2032</v>
      </c>
      <c r="U7" s="8">
        <f t="shared" si="0"/>
        <v>2033</v>
      </c>
      <c r="V7" s="8">
        <f t="shared" si="0"/>
        <v>2034</v>
      </c>
      <c r="W7" s="8">
        <f t="shared" si="0"/>
        <v>2035</v>
      </c>
      <c r="X7" s="8">
        <f t="shared" ref="X7:AM8" si="1">W7+1</f>
        <v>2036</v>
      </c>
      <c r="Y7" s="8">
        <f t="shared" si="1"/>
        <v>2037</v>
      </c>
      <c r="Z7" s="8">
        <f t="shared" si="1"/>
        <v>2038</v>
      </c>
      <c r="AA7" s="8">
        <f t="shared" si="1"/>
        <v>2039</v>
      </c>
      <c r="AB7" s="8">
        <f t="shared" si="1"/>
        <v>2040</v>
      </c>
      <c r="AC7" s="8">
        <f t="shared" si="1"/>
        <v>2041</v>
      </c>
      <c r="AD7" s="8">
        <f t="shared" si="1"/>
        <v>2042</v>
      </c>
      <c r="AE7" s="8">
        <f t="shared" si="1"/>
        <v>2043</v>
      </c>
      <c r="AF7" s="8">
        <f t="shared" si="1"/>
        <v>2044</v>
      </c>
      <c r="AG7" s="8">
        <f t="shared" si="1"/>
        <v>2045</v>
      </c>
      <c r="AH7" s="8">
        <f t="shared" si="1"/>
        <v>2046</v>
      </c>
      <c r="AI7" s="8">
        <f t="shared" si="1"/>
        <v>2047</v>
      </c>
      <c r="AJ7" s="8">
        <f t="shared" si="1"/>
        <v>2048</v>
      </c>
      <c r="AK7" s="8">
        <f t="shared" si="1"/>
        <v>2049</v>
      </c>
      <c r="AL7" s="8">
        <f t="shared" si="1"/>
        <v>2050</v>
      </c>
      <c r="AM7" s="8">
        <f t="shared" si="1"/>
        <v>2051</v>
      </c>
      <c r="AN7" s="8">
        <f t="shared" ref="AN7:AR8" si="2">AM7+1</f>
        <v>2052</v>
      </c>
      <c r="AO7" s="8">
        <f t="shared" si="2"/>
        <v>2053</v>
      </c>
      <c r="AP7" s="8">
        <f t="shared" si="2"/>
        <v>2054</v>
      </c>
      <c r="AQ7" s="8">
        <f t="shared" si="2"/>
        <v>2055</v>
      </c>
      <c r="AR7" s="8">
        <f t="shared" si="2"/>
        <v>2056</v>
      </c>
    </row>
    <row r="8" spans="1:44" hidden="1" x14ac:dyDescent="0.2">
      <c r="B8" s="1" t="s">
        <v>225</v>
      </c>
      <c r="C8" s="21" t="s">
        <v>50</v>
      </c>
      <c r="F8" s="1">
        <f>D8+1</f>
        <v>1</v>
      </c>
      <c r="G8" s="1">
        <f t="shared" ref="G8" si="3">F8+1</f>
        <v>2</v>
      </c>
      <c r="H8" s="1">
        <f t="shared" si="0"/>
        <v>3</v>
      </c>
      <c r="I8" s="1">
        <f t="shared" si="0"/>
        <v>4</v>
      </c>
      <c r="J8" s="1">
        <f t="shared" si="0"/>
        <v>5</v>
      </c>
      <c r="K8" s="1">
        <f t="shared" si="0"/>
        <v>6</v>
      </c>
      <c r="L8" s="1">
        <f t="shared" si="0"/>
        <v>7</v>
      </c>
      <c r="M8" s="1">
        <f t="shared" si="0"/>
        <v>8</v>
      </c>
      <c r="N8" s="1">
        <f t="shared" si="0"/>
        <v>9</v>
      </c>
      <c r="O8" s="1">
        <f t="shared" si="0"/>
        <v>10</v>
      </c>
      <c r="P8" s="1">
        <f t="shared" si="0"/>
        <v>11</v>
      </c>
      <c r="Q8" s="1">
        <f t="shared" si="0"/>
        <v>12</v>
      </c>
      <c r="R8" s="1">
        <f t="shared" si="0"/>
        <v>13</v>
      </c>
      <c r="S8" s="1">
        <f t="shared" si="0"/>
        <v>14</v>
      </c>
      <c r="T8" s="1">
        <f t="shared" si="0"/>
        <v>15</v>
      </c>
      <c r="U8" s="1">
        <f t="shared" si="0"/>
        <v>16</v>
      </c>
      <c r="V8" s="1">
        <f t="shared" si="0"/>
        <v>17</v>
      </c>
      <c r="W8" s="1">
        <f t="shared" si="0"/>
        <v>18</v>
      </c>
      <c r="X8" s="1">
        <f t="shared" si="1"/>
        <v>19</v>
      </c>
      <c r="Y8" s="1">
        <f t="shared" si="1"/>
        <v>20</v>
      </c>
      <c r="Z8" s="1">
        <f t="shared" si="1"/>
        <v>21</v>
      </c>
      <c r="AA8" s="1">
        <f t="shared" si="1"/>
        <v>22</v>
      </c>
      <c r="AB8" s="1">
        <f t="shared" si="1"/>
        <v>23</v>
      </c>
      <c r="AC8" s="1">
        <f t="shared" si="1"/>
        <v>24</v>
      </c>
      <c r="AD8" s="1">
        <f t="shared" si="1"/>
        <v>25</v>
      </c>
      <c r="AE8" s="1">
        <f t="shared" si="1"/>
        <v>26</v>
      </c>
      <c r="AF8" s="1">
        <f t="shared" si="1"/>
        <v>27</v>
      </c>
      <c r="AG8" s="1">
        <f t="shared" si="1"/>
        <v>28</v>
      </c>
      <c r="AH8" s="1">
        <f t="shared" si="1"/>
        <v>29</v>
      </c>
      <c r="AI8" s="1">
        <f t="shared" si="1"/>
        <v>30</v>
      </c>
      <c r="AJ8" s="1">
        <f t="shared" si="1"/>
        <v>31</v>
      </c>
      <c r="AK8" s="1">
        <f t="shared" si="1"/>
        <v>32</v>
      </c>
      <c r="AL8" s="1">
        <f t="shared" si="1"/>
        <v>33</v>
      </c>
      <c r="AM8" s="1">
        <f t="shared" si="1"/>
        <v>34</v>
      </c>
      <c r="AN8" s="1">
        <f t="shared" si="2"/>
        <v>35</v>
      </c>
      <c r="AO8" s="1">
        <f t="shared" si="2"/>
        <v>36</v>
      </c>
      <c r="AP8" s="1">
        <f t="shared" si="2"/>
        <v>37</v>
      </c>
      <c r="AQ8" s="1">
        <f t="shared" si="2"/>
        <v>38</v>
      </c>
      <c r="AR8" s="1">
        <f t="shared" si="2"/>
        <v>39</v>
      </c>
    </row>
    <row r="9" spans="1:44" hidden="1" x14ac:dyDescent="0.2">
      <c r="B9" s="1" t="s">
        <v>226</v>
      </c>
      <c r="C9" s="21" t="s">
        <v>227</v>
      </c>
      <c r="F9" s="1">
        <f>IF(F7=INPUTS!$E$13,1,0)</f>
        <v>0</v>
      </c>
      <c r="G9" s="1">
        <f>IF(G7=INPUTS!$E$13,1,0)</f>
        <v>0</v>
      </c>
      <c r="H9" s="1">
        <f>IF(H7=INPUTS!$E$13,1,0)</f>
        <v>0</v>
      </c>
      <c r="I9" s="1">
        <f>IF(I7=INPUTS!$E$13,1,0)</f>
        <v>1</v>
      </c>
      <c r="J9" s="1">
        <f>IF(J7=INPUTS!$E$13,1,0)</f>
        <v>0</v>
      </c>
      <c r="K9" s="1">
        <f>IF(K7=INPUTS!$E$13,1,0)</f>
        <v>0</v>
      </c>
      <c r="L9" s="1">
        <f>IF(L7=INPUTS!$E$13,1,0)</f>
        <v>0</v>
      </c>
      <c r="M9" s="1">
        <f>IF(M7=INPUTS!$E$13,1,0)</f>
        <v>0</v>
      </c>
      <c r="N9" s="1">
        <f>IF(N7=INPUTS!$E$13,1,0)</f>
        <v>0</v>
      </c>
      <c r="O9" s="1">
        <f>IF(O7=INPUTS!$E$13,1,0)</f>
        <v>0</v>
      </c>
      <c r="P9" s="1">
        <f>IF(P7=INPUTS!$E$13,1,0)</f>
        <v>0</v>
      </c>
      <c r="Q9" s="1">
        <f>IF(Q7=INPUTS!$E$13,1,0)</f>
        <v>0</v>
      </c>
      <c r="R9" s="1">
        <f>IF(R7=INPUTS!$E$13,1,0)</f>
        <v>0</v>
      </c>
      <c r="S9" s="1">
        <f>IF(S7=INPUTS!$E$13,1,0)</f>
        <v>0</v>
      </c>
      <c r="T9" s="1">
        <f>IF(T7=INPUTS!$E$13,1,0)</f>
        <v>0</v>
      </c>
      <c r="U9" s="1">
        <f>IF(U7=INPUTS!$E$13,1,0)</f>
        <v>0</v>
      </c>
      <c r="V9" s="1">
        <f>IF(V7=INPUTS!$E$13,1,0)</f>
        <v>0</v>
      </c>
      <c r="W9" s="1">
        <f>IF(W7=INPUTS!$E$13,1,0)</f>
        <v>0</v>
      </c>
      <c r="X9" s="1">
        <f>IF(X7=INPUTS!$E$13,1,0)</f>
        <v>0</v>
      </c>
      <c r="Y9" s="1">
        <f>IF(Y7=INPUTS!$E$13,1,0)</f>
        <v>0</v>
      </c>
      <c r="Z9" s="1">
        <f>IF(Z7=INPUTS!$E$13,1,0)</f>
        <v>0</v>
      </c>
      <c r="AA9" s="1">
        <f>IF(AA7=INPUTS!$E$13,1,0)</f>
        <v>0</v>
      </c>
      <c r="AB9" s="1">
        <f>IF(AB7=INPUTS!$E$13,1,0)</f>
        <v>0</v>
      </c>
      <c r="AC9" s="1">
        <f>IF(AC7=INPUTS!$E$13,1,0)</f>
        <v>0</v>
      </c>
      <c r="AD9" s="1">
        <f>IF(AD7=INPUTS!$E$13,1,0)</f>
        <v>0</v>
      </c>
      <c r="AE9" s="1">
        <f>IF(AE7=INPUTS!$E$13,1,0)</f>
        <v>0</v>
      </c>
      <c r="AF9" s="1">
        <f>IF(AF7=INPUTS!$E$13,1,0)</f>
        <v>0</v>
      </c>
      <c r="AG9" s="1">
        <f>IF(AG7=INPUTS!$E$13,1,0)</f>
        <v>0</v>
      </c>
      <c r="AH9" s="1">
        <f>IF(AH7=INPUTS!$E$13,1,0)</f>
        <v>0</v>
      </c>
      <c r="AI9" s="1">
        <f>IF(AI7=INPUTS!$E$13,1,0)</f>
        <v>0</v>
      </c>
      <c r="AJ9" s="1">
        <f>IF(AJ7=INPUTS!$E$13,1,0)</f>
        <v>0</v>
      </c>
      <c r="AK9" s="1">
        <f>IF(AK7=INPUTS!$E$13,1,0)</f>
        <v>0</v>
      </c>
      <c r="AL9" s="1">
        <f>IF(AL7=INPUTS!$E$13,1,0)</f>
        <v>0</v>
      </c>
      <c r="AM9" s="1">
        <f>IF(AM7=INPUTS!$E$13,1,0)</f>
        <v>0</v>
      </c>
      <c r="AN9" s="1">
        <f>IF(AN7=INPUTS!$E$13,1,0)</f>
        <v>0</v>
      </c>
      <c r="AO9" s="1">
        <f>IF(AO7=INPUTS!$E$13,1,0)</f>
        <v>0</v>
      </c>
      <c r="AP9" s="1">
        <f>IF(AP7=INPUTS!$E$13,1,0)</f>
        <v>0</v>
      </c>
      <c r="AQ9" s="1">
        <f>IF(AQ7=INPUTS!$E$13,1,0)</f>
        <v>0</v>
      </c>
      <c r="AR9" s="1">
        <f>IF(AR7=INPUTS!$E$13,1,0)</f>
        <v>0</v>
      </c>
    </row>
    <row r="10" spans="1:44" hidden="1" x14ac:dyDescent="0.2">
      <c r="B10" s="1" t="s">
        <v>228</v>
      </c>
      <c r="C10" s="21" t="s">
        <v>57</v>
      </c>
      <c r="F10" s="1">
        <f t="shared" ref="F10:I10" si="4">F7-$I$7+1</f>
        <v>-2</v>
      </c>
      <c r="G10" s="1">
        <f t="shared" si="4"/>
        <v>-1</v>
      </c>
      <c r="H10" s="1">
        <f t="shared" si="4"/>
        <v>0</v>
      </c>
      <c r="I10" s="1">
        <f t="shared" si="4"/>
        <v>1</v>
      </c>
      <c r="J10" s="1">
        <f>J7-$I$7+1</f>
        <v>2</v>
      </c>
      <c r="K10" s="1">
        <f t="shared" ref="K10:AR10" si="5">K7-$I$7+1</f>
        <v>3</v>
      </c>
      <c r="L10" s="1">
        <f t="shared" si="5"/>
        <v>4</v>
      </c>
      <c r="M10" s="1">
        <f t="shared" si="5"/>
        <v>5</v>
      </c>
      <c r="N10" s="1">
        <f t="shared" si="5"/>
        <v>6</v>
      </c>
      <c r="O10" s="1">
        <f t="shared" si="5"/>
        <v>7</v>
      </c>
      <c r="P10" s="1">
        <f t="shared" si="5"/>
        <v>8</v>
      </c>
      <c r="Q10" s="1">
        <f t="shared" si="5"/>
        <v>9</v>
      </c>
      <c r="R10" s="1">
        <f t="shared" si="5"/>
        <v>10</v>
      </c>
      <c r="S10" s="1">
        <f t="shared" si="5"/>
        <v>11</v>
      </c>
      <c r="T10" s="1">
        <f t="shared" si="5"/>
        <v>12</v>
      </c>
      <c r="U10" s="1">
        <f t="shared" si="5"/>
        <v>13</v>
      </c>
      <c r="V10" s="1">
        <f t="shared" si="5"/>
        <v>14</v>
      </c>
      <c r="W10" s="1">
        <f t="shared" si="5"/>
        <v>15</v>
      </c>
      <c r="X10" s="1">
        <f t="shared" si="5"/>
        <v>16</v>
      </c>
      <c r="Y10" s="1">
        <f t="shared" si="5"/>
        <v>17</v>
      </c>
      <c r="Z10" s="1">
        <f t="shared" si="5"/>
        <v>18</v>
      </c>
      <c r="AA10" s="1">
        <f t="shared" si="5"/>
        <v>19</v>
      </c>
      <c r="AB10" s="1">
        <f t="shared" si="5"/>
        <v>20</v>
      </c>
      <c r="AC10" s="1">
        <f t="shared" si="5"/>
        <v>21</v>
      </c>
      <c r="AD10" s="1">
        <f t="shared" si="5"/>
        <v>22</v>
      </c>
      <c r="AE10" s="1">
        <f t="shared" si="5"/>
        <v>23</v>
      </c>
      <c r="AF10" s="1">
        <f t="shared" si="5"/>
        <v>24</v>
      </c>
      <c r="AG10" s="1">
        <f t="shared" si="5"/>
        <v>25</v>
      </c>
      <c r="AH10" s="1">
        <f t="shared" si="5"/>
        <v>26</v>
      </c>
      <c r="AI10" s="1">
        <f t="shared" si="5"/>
        <v>27</v>
      </c>
      <c r="AJ10" s="1">
        <f t="shared" si="5"/>
        <v>28</v>
      </c>
      <c r="AK10" s="1">
        <f t="shared" si="5"/>
        <v>29</v>
      </c>
      <c r="AL10" s="1">
        <f t="shared" si="5"/>
        <v>30</v>
      </c>
      <c r="AM10" s="1">
        <f t="shared" si="5"/>
        <v>31</v>
      </c>
      <c r="AN10" s="1">
        <f t="shared" si="5"/>
        <v>32</v>
      </c>
      <c r="AO10" s="1">
        <f t="shared" si="5"/>
        <v>33</v>
      </c>
      <c r="AP10" s="1">
        <f t="shared" si="5"/>
        <v>34</v>
      </c>
      <c r="AQ10" s="1">
        <f t="shared" si="5"/>
        <v>35</v>
      </c>
      <c r="AR10" s="1">
        <f t="shared" si="5"/>
        <v>36</v>
      </c>
    </row>
    <row r="11" spans="1:44" hidden="1" x14ac:dyDescent="0.2">
      <c r="B11" s="1" t="s">
        <v>229</v>
      </c>
      <c r="C11" s="21" t="s">
        <v>227</v>
      </c>
      <c r="F11" s="1">
        <f>IF(AND(F7&gt;=INPUTS!$E$17,F7&lt;INPUTS!$E$21),1,0)</f>
        <v>0</v>
      </c>
      <c r="G11" s="1">
        <f>IF(AND(G7&gt;=INPUTS!$E$17,G7&lt;INPUTS!$E$21),1,0)</f>
        <v>0</v>
      </c>
      <c r="H11" s="1">
        <f>IF(AND(H7&gt;=INPUTS!$E$17,H7&lt;INPUTS!$E$21),1,0)</f>
        <v>0</v>
      </c>
      <c r="I11" s="1">
        <f>IF(AND(I7&gt;=INPUTS!$E$17,I7&lt;INPUTS!$E$21),1,0)</f>
        <v>0</v>
      </c>
      <c r="J11" s="1">
        <f>IF(AND(J7&gt;=INPUTS!$E$17,J7&lt;INPUTS!$E$21),1,0)</f>
        <v>0</v>
      </c>
      <c r="K11" s="1">
        <f>IF(AND(K7&gt;=INPUTS!$E$17,K7&lt;INPUTS!$E$21),1,0)</f>
        <v>0</v>
      </c>
      <c r="L11" s="1">
        <f>IF(AND(L7&gt;=INPUTS!$E$17,L7&lt;INPUTS!$E$21),1,0)</f>
        <v>0</v>
      </c>
      <c r="M11" s="1">
        <f>IF(AND(M7&gt;=INPUTS!$E$17,M7&lt;INPUTS!$E$21),1,0)</f>
        <v>0</v>
      </c>
      <c r="N11" s="1">
        <f>IF(AND(N7&gt;=INPUTS!$E$17,N7&lt;INPUTS!$E$21),1,0)</f>
        <v>0</v>
      </c>
      <c r="O11" s="1">
        <f>IF(AND(O7&gt;=INPUTS!$E$17,O7&lt;INPUTS!$E$21),1,0)</f>
        <v>0</v>
      </c>
      <c r="P11" s="1">
        <f>IF(AND(P7&gt;=INPUTS!$E$17,P7&lt;INPUTS!$E$21),1,0)</f>
        <v>1</v>
      </c>
      <c r="Q11" s="1">
        <f>IF(AND(Q7&gt;=INPUTS!$E$17,Q7&lt;INPUTS!$E$21),1,0)</f>
        <v>1</v>
      </c>
      <c r="R11" s="1">
        <f>IF(AND(R7&gt;=INPUTS!$E$17,R7&lt;INPUTS!$E$21),1,0)</f>
        <v>1</v>
      </c>
      <c r="S11" s="1">
        <f>IF(AND(S7&gt;=INPUTS!$E$17,S7&lt;INPUTS!$E$21),1,0)</f>
        <v>1</v>
      </c>
      <c r="T11" s="1">
        <f>IF(AND(T7&gt;=INPUTS!$E$17,T7&lt;INPUTS!$E$21),1,0)</f>
        <v>1</v>
      </c>
      <c r="U11" s="1">
        <f>IF(AND(U7&gt;=INPUTS!$E$17,U7&lt;INPUTS!$E$21),1,0)</f>
        <v>1</v>
      </c>
      <c r="V11" s="1">
        <f>IF(AND(V7&gt;=INPUTS!$E$17,V7&lt;INPUTS!$E$21),1,0)</f>
        <v>1</v>
      </c>
      <c r="W11" s="1">
        <f>IF(AND(W7&gt;=INPUTS!$E$17,W7&lt;INPUTS!$E$21),1,0)</f>
        <v>1</v>
      </c>
      <c r="X11" s="1">
        <f>IF(AND(X7&gt;=INPUTS!$E$17,X7&lt;INPUTS!$E$21),1,0)</f>
        <v>1</v>
      </c>
      <c r="Y11" s="1">
        <f>IF(AND(Y7&gt;=INPUTS!$E$17,Y7&lt;INPUTS!$E$21),1,0)</f>
        <v>1</v>
      </c>
      <c r="Z11" s="1">
        <f>IF(AND(Z7&gt;=INPUTS!$E$17,Z7&lt;INPUTS!$E$21),1,0)</f>
        <v>1</v>
      </c>
      <c r="AA11" s="1">
        <f>IF(AND(AA7&gt;=INPUTS!$E$17,AA7&lt;INPUTS!$E$21),1,0)</f>
        <v>1</v>
      </c>
      <c r="AB11" s="1">
        <f>IF(AND(AB7&gt;=INPUTS!$E$17,AB7&lt;INPUTS!$E$21),1,0)</f>
        <v>1</v>
      </c>
      <c r="AC11" s="1">
        <f>IF(AND(AC7&gt;=INPUTS!$E$17,AC7&lt;INPUTS!$E$21),1,0)</f>
        <v>1</v>
      </c>
      <c r="AD11" s="1">
        <f>IF(AND(AD7&gt;=INPUTS!$E$17,AD7&lt;INPUTS!$E$21),1,0)</f>
        <v>1</v>
      </c>
      <c r="AE11" s="1">
        <f>IF(AND(AE7&gt;=INPUTS!$E$17,AE7&lt;INPUTS!$E$21),1,0)</f>
        <v>1</v>
      </c>
      <c r="AF11" s="1">
        <f>IF(AND(AF7&gt;=INPUTS!$E$17,AF7&lt;INPUTS!$E$21),1,0)</f>
        <v>1</v>
      </c>
      <c r="AG11" s="1">
        <f>IF(AND(AG7&gt;=INPUTS!$E$17,AG7&lt;INPUTS!$E$21),1,0)</f>
        <v>1</v>
      </c>
      <c r="AH11" s="1">
        <f>IF(AND(AH7&gt;=INPUTS!$E$17,AH7&lt;INPUTS!$E$21),1,0)</f>
        <v>1</v>
      </c>
      <c r="AI11" s="1">
        <f>IF(AND(AI7&gt;=INPUTS!$E$17,AI7&lt;INPUTS!$E$21),1,0)</f>
        <v>1</v>
      </c>
      <c r="AJ11" s="1">
        <f>IF(AND(AJ7&gt;=INPUTS!$E$17,AJ7&lt;INPUTS!$E$21),1,0)</f>
        <v>0</v>
      </c>
      <c r="AK11" s="1">
        <f>IF(AND(AK7&gt;=INPUTS!$E$17,AK7&lt;INPUTS!$E$21),1,0)</f>
        <v>0</v>
      </c>
      <c r="AL11" s="1">
        <f>IF(AND(AL7&gt;=INPUTS!$E$17,AL7&lt;INPUTS!$E$21),1,0)</f>
        <v>0</v>
      </c>
      <c r="AM11" s="1">
        <f>IF(AND(AM7&gt;=INPUTS!$E$17,AM7&lt;INPUTS!$E$21),1,0)</f>
        <v>0</v>
      </c>
      <c r="AN11" s="1">
        <f>IF(AND(AN7&gt;=INPUTS!$E$17,AN7&lt;INPUTS!$E$21),1,0)</f>
        <v>0</v>
      </c>
      <c r="AO11" s="1">
        <f>IF(AND(AO7&gt;=INPUTS!$E$17,AO7&lt;INPUTS!$E$21),1,0)</f>
        <v>0</v>
      </c>
      <c r="AP11" s="1">
        <f>IF(AND(AP7&gt;=INPUTS!$E$17,AP7&lt;INPUTS!$E$21),1,0)</f>
        <v>0</v>
      </c>
      <c r="AQ11" s="1">
        <f>IF(AND(AQ7&gt;=INPUTS!$E$17,AQ7&lt;INPUTS!$E$21),1,0)</f>
        <v>0</v>
      </c>
      <c r="AR11" s="1">
        <f>IF(AND(AR7&gt;=INPUTS!$E$17,AR7&lt;INPUTS!$E$21),1,0)</f>
        <v>0</v>
      </c>
    </row>
    <row r="12" spans="1:44" ht="15" x14ac:dyDescent="0.25">
      <c r="A12" s="2" t="s">
        <v>230</v>
      </c>
      <c r="C12" s="21"/>
    </row>
    <row r="13" spans="1:44" x14ac:dyDescent="0.2">
      <c r="B13" s="1" t="s">
        <v>231</v>
      </c>
      <c r="C13" s="21" t="s">
        <v>50</v>
      </c>
      <c r="F13" s="1">
        <f>(F11+D13)*F11</f>
        <v>0</v>
      </c>
      <c r="G13" s="1">
        <f t="shared" ref="G13:AG13" si="6">(G11+F13)*G11</f>
        <v>0</v>
      </c>
      <c r="H13" s="1">
        <f t="shared" si="6"/>
        <v>0</v>
      </c>
      <c r="I13" s="1">
        <f t="shared" si="6"/>
        <v>0</v>
      </c>
      <c r="J13" s="1">
        <f t="shared" si="6"/>
        <v>0</v>
      </c>
      <c r="K13" s="1">
        <f t="shared" si="6"/>
        <v>0</v>
      </c>
      <c r="L13" s="1">
        <f t="shared" si="6"/>
        <v>0</v>
      </c>
      <c r="M13" s="1">
        <f t="shared" si="6"/>
        <v>0</v>
      </c>
      <c r="N13" s="1">
        <f t="shared" si="6"/>
        <v>0</v>
      </c>
      <c r="O13" s="1">
        <f t="shared" si="6"/>
        <v>0</v>
      </c>
      <c r="P13" s="1">
        <f t="shared" si="6"/>
        <v>1</v>
      </c>
      <c r="Q13" s="1">
        <f t="shared" si="6"/>
        <v>2</v>
      </c>
      <c r="R13" s="1">
        <f t="shared" si="6"/>
        <v>3</v>
      </c>
      <c r="S13" s="1">
        <f t="shared" si="6"/>
        <v>4</v>
      </c>
      <c r="T13" s="1">
        <f t="shared" si="6"/>
        <v>5</v>
      </c>
      <c r="U13" s="1">
        <f t="shared" si="6"/>
        <v>6</v>
      </c>
      <c r="V13" s="1">
        <f t="shared" si="6"/>
        <v>7</v>
      </c>
      <c r="W13" s="1">
        <f t="shared" si="6"/>
        <v>8</v>
      </c>
      <c r="X13" s="1">
        <f t="shared" si="6"/>
        <v>9</v>
      </c>
      <c r="Y13" s="1">
        <f t="shared" si="6"/>
        <v>10</v>
      </c>
      <c r="Z13" s="1">
        <f t="shared" si="6"/>
        <v>11</v>
      </c>
      <c r="AA13" s="1">
        <f t="shared" si="6"/>
        <v>12</v>
      </c>
      <c r="AB13" s="1">
        <f t="shared" si="6"/>
        <v>13</v>
      </c>
      <c r="AC13" s="1">
        <f t="shared" si="6"/>
        <v>14</v>
      </c>
      <c r="AD13" s="1">
        <f t="shared" si="6"/>
        <v>15</v>
      </c>
      <c r="AE13" s="1">
        <f t="shared" si="6"/>
        <v>16</v>
      </c>
      <c r="AF13" s="1">
        <f t="shared" si="6"/>
        <v>17</v>
      </c>
      <c r="AG13" s="1">
        <f t="shared" si="6"/>
        <v>18</v>
      </c>
      <c r="AH13" s="1">
        <f>(AH11+AG13)*AH11</f>
        <v>19</v>
      </c>
      <c r="AI13" s="1">
        <f t="shared" ref="AI13:AR13" si="7">(AI11+AH13)*AI11</f>
        <v>20</v>
      </c>
      <c r="AJ13" s="1">
        <f t="shared" si="7"/>
        <v>0</v>
      </c>
      <c r="AK13" s="1">
        <f t="shared" si="7"/>
        <v>0</v>
      </c>
      <c r="AL13" s="1">
        <f t="shared" si="7"/>
        <v>0</v>
      </c>
      <c r="AM13" s="1">
        <f t="shared" si="7"/>
        <v>0</v>
      </c>
      <c r="AN13" s="1">
        <f t="shared" si="7"/>
        <v>0</v>
      </c>
      <c r="AO13" s="1">
        <f t="shared" si="7"/>
        <v>0</v>
      </c>
      <c r="AP13" s="1">
        <f t="shared" si="7"/>
        <v>0</v>
      </c>
      <c r="AQ13" s="1">
        <f t="shared" si="7"/>
        <v>0</v>
      </c>
      <c r="AR13" s="1">
        <f t="shared" si="7"/>
        <v>0</v>
      </c>
    </row>
    <row r="14" spans="1:44" ht="15" x14ac:dyDescent="0.25">
      <c r="A14" s="2" t="s">
        <v>8</v>
      </c>
      <c r="C14" s="21"/>
    </row>
    <row r="15" spans="1:44" x14ac:dyDescent="0.2">
      <c r="B15" s="1" t="s">
        <v>67</v>
      </c>
      <c r="C15" s="21" t="s">
        <v>50</v>
      </c>
      <c r="D15" s="69">
        <f>INPUTS!E24</f>
        <v>0</v>
      </c>
      <c r="E15" s="69"/>
      <c r="F15" s="3">
        <f>1/(1+$D15)^(F$10-1)</f>
        <v>1</v>
      </c>
      <c r="G15" s="3">
        <f t="shared" ref="G15:AR15" si="8">1/(1+$D15)^(G$10-1)</f>
        <v>1</v>
      </c>
      <c r="H15" s="3">
        <f t="shared" si="8"/>
        <v>1</v>
      </c>
      <c r="I15" s="3">
        <f t="shared" si="8"/>
        <v>1</v>
      </c>
      <c r="J15" s="3">
        <f t="shared" si="8"/>
        <v>1</v>
      </c>
      <c r="K15" s="3">
        <f t="shared" si="8"/>
        <v>1</v>
      </c>
      <c r="L15" s="3">
        <f t="shared" si="8"/>
        <v>1</v>
      </c>
      <c r="M15" s="3">
        <f t="shared" si="8"/>
        <v>1</v>
      </c>
      <c r="N15" s="3">
        <f t="shared" si="8"/>
        <v>1</v>
      </c>
      <c r="O15" s="3">
        <f t="shared" si="8"/>
        <v>1</v>
      </c>
      <c r="P15" s="3">
        <f t="shared" si="8"/>
        <v>1</v>
      </c>
      <c r="Q15" s="3">
        <f t="shared" si="8"/>
        <v>1</v>
      </c>
      <c r="R15" s="3">
        <f t="shared" si="8"/>
        <v>1</v>
      </c>
      <c r="S15" s="3">
        <f t="shared" si="8"/>
        <v>1</v>
      </c>
      <c r="T15" s="3">
        <f t="shared" si="8"/>
        <v>1</v>
      </c>
      <c r="U15" s="3">
        <f t="shared" si="8"/>
        <v>1</v>
      </c>
      <c r="V15" s="3">
        <f t="shared" si="8"/>
        <v>1</v>
      </c>
      <c r="W15" s="3">
        <f t="shared" si="8"/>
        <v>1</v>
      </c>
      <c r="X15" s="3">
        <f t="shared" si="8"/>
        <v>1</v>
      </c>
      <c r="Y15" s="3">
        <f t="shared" si="8"/>
        <v>1</v>
      </c>
      <c r="Z15" s="3">
        <f t="shared" si="8"/>
        <v>1</v>
      </c>
      <c r="AA15" s="3">
        <f t="shared" si="8"/>
        <v>1</v>
      </c>
      <c r="AB15" s="3">
        <f t="shared" si="8"/>
        <v>1</v>
      </c>
      <c r="AC15" s="3">
        <f t="shared" si="8"/>
        <v>1</v>
      </c>
      <c r="AD15" s="3">
        <f t="shared" si="8"/>
        <v>1</v>
      </c>
      <c r="AE15" s="3">
        <f t="shared" si="8"/>
        <v>1</v>
      </c>
      <c r="AF15" s="3">
        <f t="shared" si="8"/>
        <v>1</v>
      </c>
      <c r="AG15" s="3">
        <f t="shared" si="8"/>
        <v>1</v>
      </c>
      <c r="AH15" s="3">
        <f t="shared" si="8"/>
        <v>1</v>
      </c>
      <c r="AI15" s="3">
        <f t="shared" si="8"/>
        <v>1</v>
      </c>
      <c r="AJ15" s="3">
        <f t="shared" si="8"/>
        <v>1</v>
      </c>
      <c r="AK15" s="3">
        <f t="shared" si="8"/>
        <v>1</v>
      </c>
      <c r="AL15" s="3">
        <f t="shared" si="8"/>
        <v>1</v>
      </c>
      <c r="AM15" s="3">
        <f t="shared" si="8"/>
        <v>1</v>
      </c>
      <c r="AN15" s="3">
        <f t="shared" si="8"/>
        <v>1</v>
      </c>
      <c r="AO15" s="3">
        <f t="shared" si="8"/>
        <v>1</v>
      </c>
      <c r="AP15" s="3">
        <f t="shared" si="8"/>
        <v>1</v>
      </c>
      <c r="AQ15" s="3">
        <f t="shared" si="8"/>
        <v>1</v>
      </c>
      <c r="AR15" s="3">
        <f t="shared" si="8"/>
        <v>1</v>
      </c>
    </row>
    <row r="16" spans="1:44" x14ac:dyDescent="0.2">
      <c r="B16" s="1" t="s">
        <v>69</v>
      </c>
      <c r="C16" s="21" t="s">
        <v>50</v>
      </c>
      <c r="D16" s="69">
        <f>INPUTS!E25</f>
        <v>0.03</v>
      </c>
      <c r="E16" s="69"/>
      <c r="F16" s="3">
        <f t="shared" ref="F16:H16" si="9">MIN(1,IF(F10=0,1,1/(1+$D16)^(F$10-1)))</f>
        <v>1</v>
      </c>
      <c r="G16" s="3">
        <f t="shared" si="9"/>
        <v>1</v>
      </c>
      <c r="H16" s="3">
        <f t="shared" si="9"/>
        <v>1</v>
      </c>
      <c r="I16" s="3">
        <f>MIN(1,IF(I10=0,1,1/(1+$D16)^(I$10-1)))</f>
        <v>1</v>
      </c>
      <c r="J16" s="3">
        <f t="shared" ref="J16:AR16" si="10">MIN(1,IF(J10=0,1,1/(1+$D16)^(J$10-1)))</f>
        <v>0.970873786407767</v>
      </c>
      <c r="K16" s="3">
        <f t="shared" si="10"/>
        <v>0.94259590913375435</v>
      </c>
      <c r="L16" s="3">
        <f t="shared" si="10"/>
        <v>0.91514165935315961</v>
      </c>
      <c r="M16" s="3">
        <f t="shared" si="10"/>
        <v>0.888487047915689</v>
      </c>
      <c r="N16" s="3">
        <f t="shared" si="10"/>
        <v>0.86260878438416411</v>
      </c>
      <c r="O16" s="3">
        <f t="shared" si="10"/>
        <v>0.83748425668365445</v>
      </c>
      <c r="P16" s="3">
        <f t="shared" si="10"/>
        <v>0.81309151134335378</v>
      </c>
      <c r="Q16" s="3">
        <f t="shared" si="10"/>
        <v>0.78940923431393573</v>
      </c>
      <c r="R16" s="3">
        <f t="shared" si="10"/>
        <v>0.76641673234362695</v>
      </c>
      <c r="S16" s="3">
        <f t="shared" si="10"/>
        <v>0.74409391489672516</v>
      </c>
      <c r="T16" s="3">
        <f t="shared" si="10"/>
        <v>0.72242127659876232</v>
      </c>
      <c r="U16" s="3">
        <f t="shared" si="10"/>
        <v>0.70137988019297326</v>
      </c>
      <c r="V16" s="3">
        <f t="shared" si="10"/>
        <v>0.68095133999317792</v>
      </c>
      <c r="W16" s="3">
        <f t="shared" si="10"/>
        <v>0.66111780581861923</v>
      </c>
      <c r="X16" s="3">
        <f t="shared" si="10"/>
        <v>0.64186194739671765</v>
      </c>
      <c r="Y16" s="3">
        <f t="shared" si="10"/>
        <v>0.62316693922011435</v>
      </c>
      <c r="Z16" s="3">
        <f t="shared" si="10"/>
        <v>0.60501644584477121</v>
      </c>
      <c r="AA16" s="3">
        <f t="shared" si="10"/>
        <v>0.5873946076162827</v>
      </c>
      <c r="AB16" s="3">
        <f t="shared" si="10"/>
        <v>0.57028602681192497</v>
      </c>
      <c r="AC16" s="3">
        <f t="shared" si="10"/>
        <v>0.55367575418633497</v>
      </c>
      <c r="AD16" s="3">
        <f t="shared" si="10"/>
        <v>0.5375492759090631</v>
      </c>
      <c r="AE16" s="3">
        <f t="shared" si="10"/>
        <v>0.52189250088258554</v>
      </c>
      <c r="AF16" s="3">
        <f t="shared" si="10"/>
        <v>0.50669174842969467</v>
      </c>
      <c r="AG16" s="3">
        <f t="shared" si="10"/>
        <v>0.49193373633950943</v>
      </c>
      <c r="AH16" s="3">
        <f t="shared" si="10"/>
        <v>0.47760556926165965</v>
      </c>
      <c r="AI16" s="3">
        <f t="shared" si="10"/>
        <v>0.46369472743850448</v>
      </c>
      <c r="AJ16" s="3">
        <f t="shared" si="10"/>
        <v>0.45018905576553836</v>
      </c>
      <c r="AK16" s="3">
        <f t="shared" si="10"/>
        <v>0.4370767531704256</v>
      </c>
      <c r="AL16" s="3">
        <f t="shared" si="10"/>
        <v>0.42434636230138412</v>
      </c>
      <c r="AM16" s="3">
        <f t="shared" si="10"/>
        <v>0.41198675951590691</v>
      </c>
      <c r="AN16" s="3">
        <f t="shared" si="10"/>
        <v>0.39998714516107459</v>
      </c>
      <c r="AO16" s="3">
        <f t="shared" si="10"/>
        <v>0.38833703413696569</v>
      </c>
      <c r="AP16" s="3">
        <f t="shared" si="10"/>
        <v>0.37702624673491814</v>
      </c>
      <c r="AQ16" s="3">
        <f t="shared" si="10"/>
        <v>0.36604489974263904</v>
      </c>
      <c r="AR16" s="3">
        <f t="shared" si="10"/>
        <v>0.35538339780838735</v>
      </c>
    </row>
    <row r="17" spans="1:44" x14ac:dyDescent="0.2">
      <c r="B17" s="1" t="s">
        <v>70</v>
      </c>
      <c r="C17" s="21" t="s">
        <v>50</v>
      </c>
      <c r="D17" s="69">
        <f>INPUTS!E26</f>
        <v>7.0000000000000007E-2</v>
      </c>
      <c r="E17" s="69"/>
      <c r="F17" s="3">
        <f t="shared" ref="F17:G17" si="11">MIN(1,IF(F10=0,1,1/(1+$D17)^(F$10-1)))</f>
        <v>1</v>
      </c>
      <c r="G17" s="3">
        <f t="shared" si="11"/>
        <v>1</v>
      </c>
      <c r="H17" s="3">
        <f>MIN(1,IF(H10=0,1,1/(1+$D17)^(H$10-1)))</f>
        <v>1</v>
      </c>
      <c r="I17" s="3">
        <f t="shared" ref="I17:AR17" si="12">MIN(1,IF(I10=0,1,1/(1+$D17)^(I$10-1)))</f>
        <v>1</v>
      </c>
      <c r="J17" s="3">
        <f t="shared" si="12"/>
        <v>0.93457943925233644</v>
      </c>
      <c r="K17" s="3">
        <f t="shared" si="12"/>
        <v>0.87343872827321156</v>
      </c>
      <c r="L17" s="3">
        <f t="shared" si="12"/>
        <v>0.81629787689085187</v>
      </c>
      <c r="M17" s="3">
        <f t="shared" si="12"/>
        <v>0.7628952120475252</v>
      </c>
      <c r="N17" s="3">
        <f t="shared" si="12"/>
        <v>0.71298617948366838</v>
      </c>
      <c r="O17" s="3">
        <f t="shared" si="12"/>
        <v>0.66634222381651254</v>
      </c>
      <c r="P17" s="3">
        <f t="shared" si="12"/>
        <v>0.62274974188459109</v>
      </c>
      <c r="Q17" s="3">
        <f t="shared" si="12"/>
        <v>0.5820091045650384</v>
      </c>
      <c r="R17" s="3">
        <f t="shared" si="12"/>
        <v>0.54393374258414806</v>
      </c>
      <c r="S17" s="3">
        <f t="shared" si="12"/>
        <v>0.5083492921347178</v>
      </c>
      <c r="T17" s="3">
        <f t="shared" si="12"/>
        <v>0.47509279638758667</v>
      </c>
      <c r="U17" s="3">
        <f t="shared" si="12"/>
        <v>0.44401195924073528</v>
      </c>
      <c r="V17" s="3">
        <f t="shared" si="12"/>
        <v>0.41496444788853759</v>
      </c>
      <c r="W17" s="3">
        <f t="shared" si="12"/>
        <v>0.3878172410173249</v>
      </c>
      <c r="X17" s="3">
        <f t="shared" si="12"/>
        <v>0.36244601964235967</v>
      </c>
      <c r="Y17" s="3">
        <f t="shared" si="12"/>
        <v>0.33873459779659787</v>
      </c>
      <c r="Z17" s="3">
        <f t="shared" si="12"/>
        <v>0.31657439046411018</v>
      </c>
      <c r="AA17" s="3">
        <f t="shared" si="12"/>
        <v>0.29586391632159825</v>
      </c>
      <c r="AB17" s="3">
        <f t="shared" si="12"/>
        <v>0.27650833301083949</v>
      </c>
      <c r="AC17" s="3">
        <f t="shared" si="12"/>
        <v>0.2584190028138687</v>
      </c>
      <c r="AD17" s="3">
        <f t="shared" si="12"/>
        <v>0.24151308674193336</v>
      </c>
      <c r="AE17" s="3">
        <f t="shared" si="12"/>
        <v>0.22571316517937698</v>
      </c>
      <c r="AF17" s="3">
        <f t="shared" si="12"/>
        <v>0.21094688334521211</v>
      </c>
      <c r="AG17" s="3">
        <f t="shared" si="12"/>
        <v>0.19714661994879637</v>
      </c>
      <c r="AH17" s="3">
        <f t="shared" si="12"/>
        <v>0.18424917752223957</v>
      </c>
      <c r="AI17" s="3">
        <f t="shared" si="12"/>
        <v>0.17219549301143888</v>
      </c>
      <c r="AJ17" s="3">
        <f t="shared" si="12"/>
        <v>0.16093036730041013</v>
      </c>
      <c r="AK17" s="3">
        <f t="shared" si="12"/>
        <v>0.15040221243028987</v>
      </c>
      <c r="AL17" s="3">
        <f t="shared" si="12"/>
        <v>0.1405628153554111</v>
      </c>
      <c r="AM17" s="3">
        <f t="shared" si="12"/>
        <v>0.13136711715458982</v>
      </c>
      <c r="AN17" s="3">
        <f t="shared" si="12"/>
        <v>0.1227730066865325</v>
      </c>
      <c r="AO17" s="3">
        <f t="shared" si="12"/>
        <v>0.11474112774442291</v>
      </c>
      <c r="AP17" s="3">
        <f t="shared" si="12"/>
        <v>0.10723469882656347</v>
      </c>
      <c r="AQ17" s="3">
        <f t="shared" si="12"/>
        <v>0.10021934469772288</v>
      </c>
      <c r="AR17" s="3">
        <f t="shared" si="12"/>
        <v>9.366293896983445E-2</v>
      </c>
    </row>
    <row r="19" spans="1:44" x14ac:dyDescent="0.2">
      <c r="B19" s="1" t="s">
        <v>232</v>
      </c>
      <c r="C19" s="1" t="s">
        <v>44</v>
      </c>
      <c r="D19" s="1" t="s">
        <v>45</v>
      </c>
    </row>
    <row r="20" spans="1:44" s="8" customFormat="1" x14ac:dyDescent="0.2">
      <c r="A20" s="7" t="s">
        <v>233</v>
      </c>
    </row>
    <row r="21" spans="1:44" ht="15" x14ac:dyDescent="0.25">
      <c r="A21" s="2" t="s">
        <v>241</v>
      </c>
    </row>
    <row r="22" spans="1:44" x14ac:dyDescent="0.2">
      <c r="B22" s="64" t="s">
        <v>18</v>
      </c>
      <c r="C22" s="74" t="s">
        <v>77</v>
      </c>
      <c r="D22" s="75">
        <f>SUM(F22:AR22)</f>
        <v>0</v>
      </c>
      <c r="E22" s="64"/>
      <c r="F22" s="76">
        <f>IF(F7=INPUTS!$E$21,INPUTS!$E$47,0)</f>
        <v>0</v>
      </c>
      <c r="G22" s="76">
        <f>IF(G7=INPUTS!$E$21,INPUTS!$E$47,0)</f>
        <v>0</v>
      </c>
      <c r="H22" s="76">
        <f>IF(H7=INPUTS!$E$21,INPUTS!$E$47,0)</f>
        <v>0</v>
      </c>
      <c r="I22" s="76">
        <f>IF(I7=INPUTS!$E$21,INPUTS!$E$47,0)</f>
        <v>0</v>
      </c>
      <c r="J22" s="76">
        <f>IF(J7=INPUTS!$E$21,INPUTS!$E$47,0)</f>
        <v>0</v>
      </c>
      <c r="K22" s="76">
        <f>IF(K7=INPUTS!$E$21,INPUTS!$E$47,0)</f>
        <v>0</v>
      </c>
      <c r="L22" s="76">
        <f>IF(L7=INPUTS!$E$21,INPUTS!$E$47,0)</f>
        <v>0</v>
      </c>
      <c r="M22" s="76">
        <f>IF(M7=INPUTS!$E$21,INPUTS!$E$47,0)</f>
        <v>0</v>
      </c>
      <c r="N22" s="76">
        <f>IF(N7=INPUTS!$E$21,INPUTS!$E$47,0)</f>
        <v>0</v>
      </c>
      <c r="O22" s="76">
        <f>IF(O7=INPUTS!$E$21,INPUTS!$E$47,0)</f>
        <v>0</v>
      </c>
      <c r="P22" s="76">
        <f>IF(P7=INPUTS!$E$21,INPUTS!$E$47,0)</f>
        <v>0</v>
      </c>
      <c r="Q22" s="76">
        <f>IF(Q7=INPUTS!$E$21,INPUTS!$E$47,0)</f>
        <v>0</v>
      </c>
      <c r="R22" s="76">
        <f>IF(R7=INPUTS!$E$21,INPUTS!$E$47,0)</f>
        <v>0</v>
      </c>
      <c r="S22" s="76">
        <f>IF(S7=INPUTS!$E$21,INPUTS!$E$47,0)</f>
        <v>0</v>
      </c>
      <c r="T22" s="76">
        <f>IF(T7=INPUTS!$E$21,INPUTS!$E$47,0)</f>
        <v>0</v>
      </c>
      <c r="U22" s="76">
        <f>IF(U7=INPUTS!$E$21,INPUTS!$E$47,0)</f>
        <v>0</v>
      </c>
      <c r="V22" s="76">
        <f>IF(V7=INPUTS!$E$21,INPUTS!$E$47,0)</f>
        <v>0</v>
      </c>
      <c r="W22" s="76">
        <f>IF(W7=INPUTS!$E$21,INPUTS!$E$47,0)</f>
        <v>0</v>
      </c>
      <c r="X22" s="76">
        <f>IF(X7=INPUTS!$E$21,INPUTS!$E$47,0)</f>
        <v>0</v>
      </c>
      <c r="Y22" s="76">
        <f>IF(Y7=INPUTS!$E$21,INPUTS!$E$47,0)</f>
        <v>0</v>
      </c>
      <c r="Z22" s="76">
        <f>IF(Z7=INPUTS!$E$21,INPUTS!$E$47,0)</f>
        <v>0</v>
      </c>
      <c r="AA22" s="76">
        <f>IF(AA7=INPUTS!$E$21,INPUTS!$E$47,0)</f>
        <v>0</v>
      </c>
      <c r="AB22" s="76">
        <f>IF(AB7=INPUTS!$E$21,INPUTS!$E$47,0)</f>
        <v>0</v>
      </c>
      <c r="AC22" s="76">
        <f>IF(AC7=INPUTS!$E$21,INPUTS!$E$47,0)</f>
        <v>0</v>
      </c>
      <c r="AD22" s="76">
        <f>IF(AD7=INPUTS!$E$21,INPUTS!$E$47,0)</f>
        <v>0</v>
      </c>
      <c r="AE22" s="76">
        <f>IF(AE7=INPUTS!$E$21,INPUTS!$E$47,0)</f>
        <v>0</v>
      </c>
      <c r="AF22" s="76">
        <f>IF(AF7=INPUTS!$E$21,INPUTS!$E$47,0)</f>
        <v>0</v>
      </c>
      <c r="AG22" s="76">
        <f>IF(AG7=INPUTS!$E$21,INPUTS!$E$47,0)</f>
        <v>0</v>
      </c>
      <c r="AH22" s="76">
        <f>IF(AH7=INPUTS!$E$21,INPUTS!$E$47,0)</f>
        <v>0</v>
      </c>
      <c r="AI22" s="76">
        <f>IF(AI7=INPUTS!$E$21,INPUTS!$E$47,0)</f>
        <v>0</v>
      </c>
      <c r="AJ22" s="76">
        <f>IF(AJ7=INPUTS!$E$21,INPUTS!$E$47,0)</f>
        <v>0</v>
      </c>
      <c r="AK22" s="76">
        <f>IF(AK7=INPUTS!$E$21,INPUTS!$E$47,0)</f>
        <v>0</v>
      </c>
      <c r="AL22" s="76">
        <f>IF(AL7=INPUTS!$E$21,INPUTS!$E$47,0)</f>
        <v>0</v>
      </c>
      <c r="AM22" s="76">
        <f>IF(AM7=INPUTS!$E$21,INPUTS!$E$47,0)</f>
        <v>0</v>
      </c>
      <c r="AN22" s="76">
        <f>IF(AN7=INPUTS!$E$21,INPUTS!$E$47,0)</f>
        <v>0</v>
      </c>
      <c r="AO22" s="76">
        <f>IF(AO7=INPUTS!$E$21,INPUTS!$E$47,0)</f>
        <v>0</v>
      </c>
      <c r="AP22" s="76">
        <f>IF(AP7=INPUTS!$E$21,INPUTS!$E$47,0)</f>
        <v>0</v>
      </c>
      <c r="AQ22" s="76">
        <f>IF(AQ7=INPUTS!$E$21,INPUTS!$E$47,0)</f>
        <v>0</v>
      </c>
      <c r="AR22" s="76">
        <f>IF(AR7=INPUTS!$E$21,INPUTS!$E$47,0)</f>
        <v>0</v>
      </c>
    </row>
    <row r="23" spans="1:44" x14ac:dyDescent="0.2">
      <c r="B23" s="1" t="s">
        <v>239</v>
      </c>
      <c r="C23" s="71" t="s">
        <v>77</v>
      </c>
      <c r="D23" s="70">
        <f>SUM(F23:AR23)</f>
        <v>0</v>
      </c>
      <c r="F23" s="18">
        <f t="shared" ref="F23:AR23" si="13">SUM(F22:F22)</f>
        <v>0</v>
      </c>
      <c r="G23" s="18">
        <f t="shared" si="13"/>
        <v>0</v>
      </c>
      <c r="H23" s="18">
        <f t="shared" si="13"/>
        <v>0</v>
      </c>
      <c r="I23" s="18">
        <f t="shared" si="13"/>
        <v>0</v>
      </c>
      <c r="J23" s="18">
        <f t="shared" si="13"/>
        <v>0</v>
      </c>
      <c r="K23" s="18">
        <f t="shared" si="13"/>
        <v>0</v>
      </c>
      <c r="L23" s="18">
        <f t="shared" si="13"/>
        <v>0</v>
      </c>
      <c r="M23" s="18">
        <f t="shared" si="13"/>
        <v>0</v>
      </c>
      <c r="N23" s="18">
        <f t="shared" si="13"/>
        <v>0</v>
      </c>
      <c r="O23" s="18">
        <f t="shared" si="13"/>
        <v>0</v>
      </c>
      <c r="P23" s="18">
        <f t="shared" si="13"/>
        <v>0</v>
      </c>
      <c r="Q23" s="18">
        <f t="shared" si="13"/>
        <v>0</v>
      </c>
      <c r="R23" s="18">
        <f t="shared" si="13"/>
        <v>0</v>
      </c>
      <c r="S23" s="18">
        <f t="shared" si="13"/>
        <v>0</v>
      </c>
      <c r="T23" s="18">
        <f t="shared" si="13"/>
        <v>0</v>
      </c>
      <c r="U23" s="18">
        <f t="shared" si="13"/>
        <v>0</v>
      </c>
      <c r="V23" s="18">
        <f t="shared" si="13"/>
        <v>0</v>
      </c>
      <c r="W23" s="18">
        <f t="shared" si="13"/>
        <v>0</v>
      </c>
      <c r="X23" s="18">
        <f t="shared" si="13"/>
        <v>0</v>
      </c>
      <c r="Y23" s="18">
        <f t="shared" si="13"/>
        <v>0</v>
      </c>
      <c r="Z23" s="18">
        <f t="shared" si="13"/>
        <v>0</v>
      </c>
      <c r="AA23" s="18">
        <f t="shared" si="13"/>
        <v>0</v>
      </c>
      <c r="AB23" s="18">
        <f t="shared" si="13"/>
        <v>0</v>
      </c>
      <c r="AC23" s="18">
        <f t="shared" si="13"/>
        <v>0</v>
      </c>
      <c r="AD23" s="18">
        <f t="shared" si="13"/>
        <v>0</v>
      </c>
      <c r="AE23" s="18">
        <f t="shared" si="13"/>
        <v>0</v>
      </c>
      <c r="AF23" s="18">
        <f t="shared" si="13"/>
        <v>0</v>
      </c>
      <c r="AG23" s="18">
        <f t="shared" si="13"/>
        <v>0</v>
      </c>
      <c r="AH23" s="18">
        <f t="shared" si="13"/>
        <v>0</v>
      </c>
      <c r="AI23" s="18">
        <f t="shared" si="13"/>
        <v>0</v>
      </c>
      <c r="AJ23" s="18">
        <f t="shared" si="13"/>
        <v>0</v>
      </c>
      <c r="AK23" s="18">
        <f t="shared" si="13"/>
        <v>0</v>
      </c>
      <c r="AL23" s="18">
        <f t="shared" si="13"/>
        <v>0</v>
      </c>
      <c r="AM23" s="18">
        <f t="shared" si="13"/>
        <v>0</v>
      </c>
      <c r="AN23" s="18">
        <f t="shared" si="13"/>
        <v>0</v>
      </c>
      <c r="AO23" s="18">
        <f t="shared" si="13"/>
        <v>0</v>
      </c>
      <c r="AP23" s="18">
        <f t="shared" si="13"/>
        <v>0</v>
      </c>
      <c r="AQ23" s="18">
        <f t="shared" si="13"/>
        <v>0</v>
      </c>
      <c r="AR23" s="18">
        <f t="shared" si="13"/>
        <v>0</v>
      </c>
    </row>
    <row r="24" spans="1:44" x14ac:dyDescent="0.2">
      <c r="C24" s="11"/>
    </row>
    <row r="25" spans="1:44" ht="15" x14ac:dyDescent="0.25">
      <c r="A25" s="2" t="s">
        <v>240</v>
      </c>
      <c r="C25" s="11"/>
    </row>
    <row r="26" spans="1:44" x14ac:dyDescent="0.2">
      <c r="B26" s="1" t="s">
        <v>241</v>
      </c>
      <c r="C26" s="71" t="s">
        <v>77</v>
      </c>
      <c r="D26" s="70">
        <f>SUM(F26:AR26)</f>
        <v>0</v>
      </c>
      <c r="E26" s="18"/>
      <c r="F26" s="18">
        <f>F23*F$15</f>
        <v>0</v>
      </c>
      <c r="G26" s="18">
        <f t="shared" ref="G26:AR26" si="14">G23*G$15</f>
        <v>0</v>
      </c>
      <c r="H26" s="18">
        <f t="shared" si="14"/>
        <v>0</v>
      </c>
      <c r="I26" s="18">
        <f t="shared" si="14"/>
        <v>0</v>
      </c>
      <c r="J26" s="18">
        <f t="shared" si="14"/>
        <v>0</v>
      </c>
      <c r="K26" s="18">
        <f t="shared" si="14"/>
        <v>0</v>
      </c>
      <c r="L26" s="18">
        <f t="shared" si="14"/>
        <v>0</v>
      </c>
      <c r="M26" s="18">
        <f t="shared" si="14"/>
        <v>0</v>
      </c>
      <c r="N26" s="18">
        <f t="shared" si="14"/>
        <v>0</v>
      </c>
      <c r="O26" s="18">
        <f t="shared" si="14"/>
        <v>0</v>
      </c>
      <c r="P26" s="18">
        <f t="shared" si="14"/>
        <v>0</v>
      </c>
      <c r="Q26" s="18">
        <f t="shared" si="14"/>
        <v>0</v>
      </c>
      <c r="R26" s="18">
        <f t="shared" si="14"/>
        <v>0</v>
      </c>
      <c r="S26" s="18">
        <f t="shared" si="14"/>
        <v>0</v>
      </c>
      <c r="T26" s="18">
        <f t="shared" si="14"/>
        <v>0</v>
      </c>
      <c r="U26" s="18">
        <f t="shared" si="14"/>
        <v>0</v>
      </c>
      <c r="V26" s="18">
        <f t="shared" si="14"/>
        <v>0</v>
      </c>
      <c r="W26" s="18">
        <f t="shared" si="14"/>
        <v>0</v>
      </c>
      <c r="X26" s="18">
        <f t="shared" si="14"/>
        <v>0</v>
      </c>
      <c r="Y26" s="18">
        <f t="shared" si="14"/>
        <v>0</v>
      </c>
      <c r="Z26" s="18">
        <f t="shared" si="14"/>
        <v>0</v>
      </c>
      <c r="AA26" s="18">
        <f t="shared" si="14"/>
        <v>0</v>
      </c>
      <c r="AB26" s="18">
        <f t="shared" si="14"/>
        <v>0</v>
      </c>
      <c r="AC26" s="18">
        <f t="shared" si="14"/>
        <v>0</v>
      </c>
      <c r="AD26" s="18">
        <f t="shared" si="14"/>
        <v>0</v>
      </c>
      <c r="AE26" s="18">
        <f t="shared" si="14"/>
        <v>0</v>
      </c>
      <c r="AF26" s="18">
        <f t="shared" si="14"/>
        <v>0</v>
      </c>
      <c r="AG26" s="18">
        <f t="shared" si="14"/>
        <v>0</v>
      </c>
      <c r="AH26" s="18">
        <f t="shared" si="14"/>
        <v>0</v>
      </c>
      <c r="AI26" s="18">
        <f t="shared" si="14"/>
        <v>0</v>
      </c>
      <c r="AJ26" s="18">
        <f t="shared" si="14"/>
        <v>0</v>
      </c>
      <c r="AK26" s="18">
        <f t="shared" si="14"/>
        <v>0</v>
      </c>
      <c r="AL26" s="18">
        <f t="shared" si="14"/>
        <v>0</v>
      </c>
      <c r="AM26" s="18">
        <f t="shared" si="14"/>
        <v>0</v>
      </c>
      <c r="AN26" s="18">
        <f t="shared" si="14"/>
        <v>0</v>
      </c>
      <c r="AO26" s="18">
        <f t="shared" si="14"/>
        <v>0</v>
      </c>
      <c r="AP26" s="18">
        <f t="shared" si="14"/>
        <v>0</v>
      </c>
      <c r="AQ26" s="18">
        <f t="shared" si="14"/>
        <v>0</v>
      </c>
      <c r="AR26" s="18">
        <f t="shared" si="14"/>
        <v>0</v>
      </c>
    </row>
    <row r="27" spans="1:44" x14ac:dyDescent="0.2">
      <c r="B27" s="1" t="s">
        <v>242</v>
      </c>
      <c r="C27" s="71" t="s">
        <v>77</v>
      </c>
      <c r="D27" s="70">
        <f>SUM(F27:AR27)</f>
        <v>0</v>
      </c>
      <c r="E27" s="18"/>
      <c r="F27" s="18">
        <f>F23*F$16</f>
        <v>0</v>
      </c>
      <c r="G27" s="18">
        <f t="shared" ref="G27:AR27" si="15">G23*G$16</f>
        <v>0</v>
      </c>
      <c r="H27" s="18">
        <f t="shared" si="15"/>
        <v>0</v>
      </c>
      <c r="I27" s="18">
        <f t="shared" si="15"/>
        <v>0</v>
      </c>
      <c r="J27" s="18">
        <f t="shared" si="15"/>
        <v>0</v>
      </c>
      <c r="K27" s="18">
        <f t="shared" si="15"/>
        <v>0</v>
      </c>
      <c r="L27" s="18">
        <f t="shared" si="15"/>
        <v>0</v>
      </c>
      <c r="M27" s="18">
        <f t="shared" si="15"/>
        <v>0</v>
      </c>
      <c r="N27" s="18">
        <f t="shared" si="15"/>
        <v>0</v>
      </c>
      <c r="O27" s="18">
        <f t="shared" si="15"/>
        <v>0</v>
      </c>
      <c r="P27" s="18">
        <f t="shared" si="15"/>
        <v>0</v>
      </c>
      <c r="Q27" s="18">
        <f t="shared" si="15"/>
        <v>0</v>
      </c>
      <c r="R27" s="18">
        <f t="shared" si="15"/>
        <v>0</v>
      </c>
      <c r="S27" s="18">
        <f t="shared" si="15"/>
        <v>0</v>
      </c>
      <c r="T27" s="18">
        <f t="shared" si="15"/>
        <v>0</v>
      </c>
      <c r="U27" s="18">
        <f t="shared" si="15"/>
        <v>0</v>
      </c>
      <c r="V27" s="18">
        <f t="shared" si="15"/>
        <v>0</v>
      </c>
      <c r="W27" s="18">
        <f t="shared" si="15"/>
        <v>0</v>
      </c>
      <c r="X27" s="18">
        <f t="shared" si="15"/>
        <v>0</v>
      </c>
      <c r="Y27" s="18">
        <f t="shared" si="15"/>
        <v>0</v>
      </c>
      <c r="Z27" s="18">
        <f t="shared" si="15"/>
        <v>0</v>
      </c>
      <c r="AA27" s="18">
        <f t="shared" si="15"/>
        <v>0</v>
      </c>
      <c r="AB27" s="18">
        <f t="shared" si="15"/>
        <v>0</v>
      </c>
      <c r="AC27" s="18">
        <f t="shared" si="15"/>
        <v>0</v>
      </c>
      <c r="AD27" s="18">
        <f t="shared" si="15"/>
        <v>0</v>
      </c>
      <c r="AE27" s="18">
        <f t="shared" si="15"/>
        <v>0</v>
      </c>
      <c r="AF27" s="18">
        <f t="shared" si="15"/>
        <v>0</v>
      </c>
      <c r="AG27" s="18">
        <f t="shared" si="15"/>
        <v>0</v>
      </c>
      <c r="AH27" s="18">
        <f t="shared" si="15"/>
        <v>0</v>
      </c>
      <c r="AI27" s="18">
        <f t="shared" si="15"/>
        <v>0</v>
      </c>
      <c r="AJ27" s="18">
        <f t="shared" si="15"/>
        <v>0</v>
      </c>
      <c r="AK27" s="18">
        <f t="shared" si="15"/>
        <v>0</v>
      </c>
      <c r="AL27" s="18">
        <f t="shared" si="15"/>
        <v>0</v>
      </c>
      <c r="AM27" s="18">
        <f t="shared" si="15"/>
        <v>0</v>
      </c>
      <c r="AN27" s="18">
        <f t="shared" si="15"/>
        <v>0</v>
      </c>
      <c r="AO27" s="18">
        <f t="shared" si="15"/>
        <v>0</v>
      </c>
      <c r="AP27" s="18">
        <f t="shared" si="15"/>
        <v>0</v>
      </c>
      <c r="AQ27" s="18">
        <f t="shared" si="15"/>
        <v>0</v>
      </c>
      <c r="AR27" s="18">
        <f t="shared" si="15"/>
        <v>0</v>
      </c>
    </row>
    <row r="28" spans="1:44" x14ac:dyDescent="0.2">
      <c r="B28" s="1" t="s">
        <v>243</v>
      </c>
      <c r="C28" s="71" t="s">
        <v>77</v>
      </c>
      <c r="D28" s="70">
        <f>SUM(F28:AR28)</f>
        <v>0</v>
      </c>
      <c r="E28" s="18"/>
      <c r="F28" s="18">
        <f>F23*F$17</f>
        <v>0</v>
      </c>
      <c r="G28" s="18">
        <f t="shared" ref="G28:AR28" si="16">G23*G$17</f>
        <v>0</v>
      </c>
      <c r="H28" s="18">
        <f t="shared" si="16"/>
        <v>0</v>
      </c>
      <c r="I28" s="18">
        <f t="shared" si="16"/>
        <v>0</v>
      </c>
      <c r="J28" s="18">
        <f t="shared" si="16"/>
        <v>0</v>
      </c>
      <c r="K28" s="18">
        <f t="shared" si="16"/>
        <v>0</v>
      </c>
      <c r="L28" s="18">
        <f t="shared" si="16"/>
        <v>0</v>
      </c>
      <c r="M28" s="18">
        <f t="shared" si="16"/>
        <v>0</v>
      </c>
      <c r="N28" s="18">
        <f t="shared" si="16"/>
        <v>0</v>
      </c>
      <c r="O28" s="18">
        <f t="shared" si="16"/>
        <v>0</v>
      </c>
      <c r="P28" s="18">
        <f t="shared" si="16"/>
        <v>0</v>
      </c>
      <c r="Q28" s="18">
        <f t="shared" si="16"/>
        <v>0</v>
      </c>
      <c r="R28" s="18">
        <f t="shared" si="16"/>
        <v>0</v>
      </c>
      <c r="S28" s="18">
        <f t="shared" si="16"/>
        <v>0</v>
      </c>
      <c r="T28" s="18">
        <f t="shared" si="16"/>
        <v>0</v>
      </c>
      <c r="U28" s="18">
        <f t="shared" si="16"/>
        <v>0</v>
      </c>
      <c r="V28" s="18">
        <f t="shared" si="16"/>
        <v>0</v>
      </c>
      <c r="W28" s="18">
        <f t="shared" si="16"/>
        <v>0</v>
      </c>
      <c r="X28" s="18">
        <f t="shared" si="16"/>
        <v>0</v>
      </c>
      <c r="Y28" s="18">
        <f t="shared" si="16"/>
        <v>0</v>
      </c>
      <c r="Z28" s="18">
        <f t="shared" si="16"/>
        <v>0</v>
      </c>
      <c r="AA28" s="18">
        <f t="shared" si="16"/>
        <v>0</v>
      </c>
      <c r="AB28" s="18">
        <f t="shared" si="16"/>
        <v>0</v>
      </c>
      <c r="AC28" s="18">
        <f t="shared" si="16"/>
        <v>0</v>
      </c>
      <c r="AD28" s="18">
        <f t="shared" si="16"/>
        <v>0</v>
      </c>
      <c r="AE28" s="18">
        <f t="shared" si="16"/>
        <v>0</v>
      </c>
      <c r="AF28" s="18">
        <f t="shared" si="16"/>
        <v>0</v>
      </c>
      <c r="AG28" s="18">
        <f t="shared" si="16"/>
        <v>0</v>
      </c>
      <c r="AH28" s="18">
        <f t="shared" si="16"/>
        <v>0</v>
      </c>
      <c r="AI28" s="18">
        <f t="shared" si="16"/>
        <v>0</v>
      </c>
      <c r="AJ28" s="18">
        <f t="shared" si="16"/>
        <v>0</v>
      </c>
      <c r="AK28" s="18">
        <f t="shared" si="16"/>
        <v>0</v>
      </c>
      <c r="AL28" s="18">
        <f t="shared" si="16"/>
        <v>0</v>
      </c>
      <c r="AM28" s="18">
        <f t="shared" si="16"/>
        <v>0</v>
      </c>
      <c r="AN28" s="18">
        <f t="shared" si="16"/>
        <v>0</v>
      </c>
      <c r="AO28" s="18">
        <f t="shared" si="16"/>
        <v>0</v>
      </c>
      <c r="AP28" s="18">
        <f t="shared" si="16"/>
        <v>0</v>
      </c>
      <c r="AQ28" s="18">
        <f t="shared" si="16"/>
        <v>0</v>
      </c>
      <c r="AR28" s="18">
        <f t="shared" si="16"/>
        <v>0</v>
      </c>
    </row>
    <row r="29" spans="1:44" x14ac:dyDescent="0.2">
      <c r="C29" s="11"/>
    </row>
    <row r="30" spans="1:44" s="8" customFormat="1" x14ac:dyDescent="0.2">
      <c r="A30" s="7" t="s">
        <v>245</v>
      </c>
      <c r="B30" s="12"/>
      <c r="C30" s="12"/>
    </row>
    <row r="31" spans="1:44" ht="15" x14ac:dyDescent="0.25">
      <c r="A31" s="2" t="s">
        <v>241</v>
      </c>
    </row>
    <row r="32" spans="1:44" x14ac:dyDescent="0.2">
      <c r="B32" s="1" t="s">
        <v>350</v>
      </c>
      <c r="C32" s="71" t="s">
        <v>77</v>
      </c>
      <c r="D32" s="70">
        <f>INPUTS!E45</f>
        <v>165000000</v>
      </c>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row>
    <row r="33" spans="1:44" x14ac:dyDescent="0.2">
      <c r="B33" s="64" t="s">
        <v>351</v>
      </c>
      <c r="C33" s="74" t="s">
        <v>77</v>
      </c>
      <c r="D33" s="75">
        <f>SUM(F33:AR33)</f>
        <v>121000000</v>
      </c>
      <c r="E33" s="64"/>
      <c r="F33" s="76">
        <f>MAX(0,-IF(F13=INPUTS!$E$18,'CALCS Residual Value'!$D$32*(INPUTS!$E$18-INPUTS!$E$46)/INPUTS!$E$46,0))</f>
        <v>0</v>
      </c>
      <c r="G33" s="76">
        <f>MAX(0,-IF(G13=INPUTS!$E$18,'CALCS Residual Value'!$D$32*(INPUTS!$E$18-INPUTS!$E$46)/INPUTS!$E$46,0))</f>
        <v>0</v>
      </c>
      <c r="H33" s="76">
        <f>MAX(0,-IF(H13=INPUTS!$E$18,'CALCS Residual Value'!$D$32*(INPUTS!$E$18-INPUTS!$E$46)/INPUTS!$E$46,0))</f>
        <v>0</v>
      </c>
      <c r="I33" s="76">
        <f>MAX(0,-IF(I13=INPUTS!$E$18,'CALCS Residual Value'!$D$32*(INPUTS!$E$18-INPUTS!$E$46)/INPUTS!$E$46,0))</f>
        <v>0</v>
      </c>
      <c r="J33" s="76">
        <f>MAX(0,-IF(J13=INPUTS!$E$18,'CALCS Residual Value'!$D$32*(INPUTS!$E$18-INPUTS!$E$46)/INPUTS!$E$46,0))</f>
        <v>0</v>
      </c>
      <c r="K33" s="76">
        <f>MAX(0,-IF(K13=INPUTS!$E$18,'CALCS Residual Value'!$D$32*(INPUTS!$E$18-INPUTS!$E$46)/INPUTS!$E$46,0))</f>
        <v>0</v>
      </c>
      <c r="L33" s="76">
        <f>MAX(0,-IF(L13=INPUTS!$E$18,'CALCS Residual Value'!$D$32*(INPUTS!$E$18-INPUTS!$E$46)/INPUTS!$E$46,0))</f>
        <v>0</v>
      </c>
      <c r="M33" s="76">
        <f>MAX(0,-IF(M13=INPUTS!$E$18,'CALCS Residual Value'!$D$32*(INPUTS!$E$18-INPUTS!$E$46)/INPUTS!$E$46,0))</f>
        <v>0</v>
      </c>
      <c r="N33" s="76">
        <f>MAX(0,-IF(N13=INPUTS!$E$18,'CALCS Residual Value'!$D$32*(INPUTS!$E$18-INPUTS!$E$46)/INPUTS!$E$46,0))</f>
        <v>0</v>
      </c>
      <c r="O33" s="76">
        <f>MAX(0,-IF(O13=INPUTS!$E$18,'CALCS Residual Value'!$D$32*(INPUTS!$E$18-INPUTS!$E$46)/INPUTS!$E$46,0))</f>
        <v>0</v>
      </c>
      <c r="P33" s="76">
        <f>MAX(0,-IF(P13=INPUTS!$E$18,'CALCS Residual Value'!$D$32*(INPUTS!$E$18-INPUTS!$E$46)/INPUTS!$E$46,0))</f>
        <v>0</v>
      </c>
      <c r="Q33" s="76">
        <f>MAX(0,-IF(Q13=INPUTS!$E$18,'CALCS Residual Value'!$D$32*(INPUTS!$E$18-INPUTS!$E$46)/INPUTS!$E$46,0))</f>
        <v>0</v>
      </c>
      <c r="R33" s="76">
        <f>MAX(0,-IF(R13=INPUTS!$E$18,'CALCS Residual Value'!$D$32*(INPUTS!$E$18-INPUTS!$E$46)/INPUTS!$E$46,0))</f>
        <v>0</v>
      </c>
      <c r="S33" s="76">
        <f>MAX(0,-IF(S13=INPUTS!$E$18,'CALCS Residual Value'!$D$32*(INPUTS!$E$18-INPUTS!$E$46)/INPUTS!$E$46,0))</f>
        <v>0</v>
      </c>
      <c r="T33" s="76">
        <f>MAX(0,-IF(T13=INPUTS!$E$18,'CALCS Residual Value'!$D$32*(INPUTS!$E$18-INPUTS!$E$46)/INPUTS!$E$46,0))</f>
        <v>0</v>
      </c>
      <c r="U33" s="76">
        <f>MAX(0,-IF(U13=INPUTS!$E$18,'CALCS Residual Value'!$D$32*(INPUTS!$E$18-INPUTS!$E$46)/INPUTS!$E$46,0))</f>
        <v>0</v>
      </c>
      <c r="V33" s="76">
        <f>MAX(0,-IF(V13=INPUTS!$E$18,'CALCS Residual Value'!$D$32*(INPUTS!$E$18-INPUTS!$E$46)/INPUTS!$E$46,0))</f>
        <v>0</v>
      </c>
      <c r="W33" s="76">
        <f>MAX(0,-IF(W13=INPUTS!$E$18,'CALCS Residual Value'!$D$32*(INPUTS!$E$18-INPUTS!$E$46)/INPUTS!$E$46,0))</f>
        <v>0</v>
      </c>
      <c r="X33" s="76">
        <f>MAX(0,-IF(X13=INPUTS!$E$18,'CALCS Residual Value'!$D$32*(INPUTS!$E$18-INPUTS!$E$46)/INPUTS!$E$46,0))</f>
        <v>0</v>
      </c>
      <c r="Y33" s="76">
        <f>MAX(0,-IF(Y13=INPUTS!$E$18,'CALCS Residual Value'!$D$32*(INPUTS!$E$18-INPUTS!$E$46)/INPUTS!$E$46,0))</f>
        <v>0</v>
      </c>
      <c r="Z33" s="76">
        <f>MAX(0,-IF(Z13=INPUTS!$E$18,'CALCS Residual Value'!$D$32*(INPUTS!$E$18-INPUTS!$E$46)/INPUTS!$E$46,0))</f>
        <v>0</v>
      </c>
      <c r="AA33" s="76">
        <f>MAX(0,-IF(AA13=INPUTS!$E$18,'CALCS Residual Value'!$D$32*(INPUTS!$E$18-INPUTS!$E$46)/INPUTS!$E$46,0))</f>
        <v>0</v>
      </c>
      <c r="AB33" s="76">
        <f>MAX(0,-IF(AB13=INPUTS!$E$18,'CALCS Residual Value'!$D$32*(INPUTS!$E$18-INPUTS!$E$46)/INPUTS!$E$46,0))</f>
        <v>0</v>
      </c>
      <c r="AC33" s="76">
        <f>MAX(0,-IF(AC13=INPUTS!$E$18,'CALCS Residual Value'!$D$32*(INPUTS!$E$18-INPUTS!$E$46)/INPUTS!$E$46,0))</f>
        <v>0</v>
      </c>
      <c r="AD33" s="76">
        <f>MAX(0,-IF(AD13=INPUTS!$E$18,'CALCS Residual Value'!$D$32*(INPUTS!$E$18-INPUTS!$E$46)/INPUTS!$E$46,0))</f>
        <v>0</v>
      </c>
      <c r="AE33" s="76">
        <f>MAX(0,-IF(AE13=INPUTS!$E$18,'CALCS Residual Value'!$D$32*(INPUTS!$E$18-INPUTS!$E$46)/INPUTS!$E$46,0))</f>
        <v>0</v>
      </c>
      <c r="AF33" s="76">
        <f>MAX(0,-IF(AF13=INPUTS!$E$18,'CALCS Residual Value'!$D$32*(INPUTS!$E$18-INPUTS!$E$46)/INPUTS!$E$46,0))</f>
        <v>0</v>
      </c>
      <c r="AG33" s="76">
        <f>MAX(0,-IF(AG13=INPUTS!$E$18,'CALCS Residual Value'!$D$32*(INPUTS!$E$18-INPUTS!$E$46)/INPUTS!$E$46,0))</f>
        <v>0</v>
      </c>
      <c r="AH33" s="76">
        <f>MAX(0,-IF(AH13=INPUTS!$E$18,'CALCS Residual Value'!$D$32*(INPUTS!$E$18-INPUTS!$E$46)/INPUTS!$E$46,0))</f>
        <v>0</v>
      </c>
      <c r="AI33" s="76">
        <f>MAX(0,-IF(AI13=INPUTS!$E$18,'CALCS Residual Value'!$D$32*(INPUTS!$E$18-INPUTS!$E$46)/INPUTS!$E$46,0))</f>
        <v>121000000</v>
      </c>
      <c r="AJ33" s="76">
        <f>MAX(0,-IF(AJ13=INPUTS!$E$18,'CALCS Residual Value'!$D$32*(INPUTS!$E$18-INPUTS!$E$46)/INPUTS!$E$46,0))</f>
        <v>0</v>
      </c>
      <c r="AK33" s="76">
        <f>MAX(0,-IF(AK13=INPUTS!$E$18,'CALCS Residual Value'!$D$32*(INPUTS!$E$18-INPUTS!$E$46)/INPUTS!$E$46,0))</f>
        <v>0</v>
      </c>
      <c r="AL33" s="76">
        <f>MAX(0,-IF(AL13=INPUTS!$E$18,'CALCS Residual Value'!$D$32*(INPUTS!$E$18-INPUTS!$E$46)/INPUTS!$E$46,0))</f>
        <v>0</v>
      </c>
      <c r="AM33" s="76">
        <f>MAX(0,-IF(AM13=INPUTS!$E$18,'CALCS Residual Value'!$D$32*(INPUTS!$E$18-INPUTS!$E$46)/INPUTS!$E$46,0))</f>
        <v>0</v>
      </c>
      <c r="AN33" s="76">
        <f>MAX(0,-IF(AN13=INPUTS!$E$18,'CALCS Residual Value'!$D$32*(INPUTS!$E$18-INPUTS!$E$46)/INPUTS!$E$46,0))</f>
        <v>0</v>
      </c>
      <c r="AO33" s="76">
        <f>MAX(0,-IF(AO13=INPUTS!$E$18,'CALCS Residual Value'!$D$32*(INPUTS!$E$18-INPUTS!$E$46)/INPUTS!$E$46,0))</f>
        <v>0</v>
      </c>
      <c r="AP33" s="76">
        <f>MAX(0,-IF(AP13=INPUTS!$E$18,'CALCS Residual Value'!$D$32*(INPUTS!$E$18-INPUTS!$E$46)/INPUTS!$E$46,0))</f>
        <v>0</v>
      </c>
      <c r="AQ33" s="76">
        <f>MAX(0,-IF(AQ13=INPUTS!$E$18,'CALCS Residual Value'!$D$32*(INPUTS!$E$18-INPUTS!$E$46)/INPUTS!$E$46,0))</f>
        <v>0</v>
      </c>
      <c r="AR33" s="76">
        <f>MAX(0,-IF(AR13=INPUTS!$E$18,'CALCS Residual Value'!$D$32*(INPUTS!$E$18-INPUTS!$E$46)/INPUTS!$E$46,0))</f>
        <v>0</v>
      </c>
    </row>
    <row r="34" spans="1:44" x14ac:dyDescent="0.2">
      <c r="B34" s="1" t="s">
        <v>239</v>
      </c>
      <c r="C34" s="71" t="s">
        <v>77</v>
      </c>
      <c r="D34" s="70">
        <f>SUM(F34:AR34)</f>
        <v>121000000</v>
      </c>
      <c r="F34" s="18">
        <f t="shared" ref="F34:AR34" si="17">F33</f>
        <v>0</v>
      </c>
      <c r="G34" s="18">
        <f t="shared" si="17"/>
        <v>0</v>
      </c>
      <c r="H34" s="18">
        <f t="shared" si="17"/>
        <v>0</v>
      </c>
      <c r="I34" s="18">
        <f t="shared" si="17"/>
        <v>0</v>
      </c>
      <c r="J34" s="18">
        <f t="shared" si="17"/>
        <v>0</v>
      </c>
      <c r="K34" s="18">
        <f t="shared" si="17"/>
        <v>0</v>
      </c>
      <c r="L34" s="18">
        <f t="shared" si="17"/>
        <v>0</v>
      </c>
      <c r="M34" s="18">
        <f t="shared" si="17"/>
        <v>0</v>
      </c>
      <c r="N34" s="18">
        <f t="shared" si="17"/>
        <v>0</v>
      </c>
      <c r="O34" s="18">
        <f t="shared" si="17"/>
        <v>0</v>
      </c>
      <c r="P34" s="18">
        <f t="shared" si="17"/>
        <v>0</v>
      </c>
      <c r="Q34" s="18">
        <f t="shared" si="17"/>
        <v>0</v>
      </c>
      <c r="R34" s="18">
        <f t="shared" si="17"/>
        <v>0</v>
      </c>
      <c r="S34" s="18">
        <f t="shared" si="17"/>
        <v>0</v>
      </c>
      <c r="T34" s="18">
        <f t="shared" si="17"/>
        <v>0</v>
      </c>
      <c r="U34" s="18">
        <f t="shared" si="17"/>
        <v>0</v>
      </c>
      <c r="V34" s="18">
        <f t="shared" si="17"/>
        <v>0</v>
      </c>
      <c r="W34" s="18">
        <f t="shared" si="17"/>
        <v>0</v>
      </c>
      <c r="X34" s="18">
        <f t="shared" si="17"/>
        <v>0</v>
      </c>
      <c r="Y34" s="18">
        <f t="shared" si="17"/>
        <v>0</v>
      </c>
      <c r="Z34" s="18">
        <f t="shared" si="17"/>
        <v>0</v>
      </c>
      <c r="AA34" s="18">
        <f t="shared" si="17"/>
        <v>0</v>
      </c>
      <c r="AB34" s="18">
        <f t="shared" si="17"/>
        <v>0</v>
      </c>
      <c r="AC34" s="18">
        <f t="shared" si="17"/>
        <v>0</v>
      </c>
      <c r="AD34" s="18">
        <f t="shared" si="17"/>
        <v>0</v>
      </c>
      <c r="AE34" s="18">
        <f t="shared" si="17"/>
        <v>0</v>
      </c>
      <c r="AF34" s="18">
        <f t="shared" si="17"/>
        <v>0</v>
      </c>
      <c r="AG34" s="18">
        <f t="shared" si="17"/>
        <v>0</v>
      </c>
      <c r="AH34" s="18">
        <f t="shared" si="17"/>
        <v>0</v>
      </c>
      <c r="AI34" s="18">
        <f t="shared" si="17"/>
        <v>121000000</v>
      </c>
      <c r="AJ34" s="18">
        <f t="shared" si="17"/>
        <v>0</v>
      </c>
      <c r="AK34" s="18">
        <f t="shared" si="17"/>
        <v>0</v>
      </c>
      <c r="AL34" s="18">
        <f t="shared" si="17"/>
        <v>0</v>
      </c>
      <c r="AM34" s="18">
        <f t="shared" si="17"/>
        <v>0</v>
      </c>
      <c r="AN34" s="18">
        <f t="shared" si="17"/>
        <v>0</v>
      </c>
      <c r="AO34" s="18">
        <f t="shared" si="17"/>
        <v>0</v>
      </c>
      <c r="AP34" s="18">
        <f t="shared" si="17"/>
        <v>0</v>
      </c>
      <c r="AQ34" s="18">
        <f t="shared" si="17"/>
        <v>0</v>
      </c>
      <c r="AR34" s="18">
        <f t="shared" si="17"/>
        <v>0</v>
      </c>
    </row>
    <row r="35" spans="1:44" x14ac:dyDescent="0.2">
      <c r="C35" s="71"/>
      <c r="D35" s="70"/>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row>
    <row r="36" spans="1:44" x14ac:dyDescent="0.2">
      <c r="C36" s="11"/>
    </row>
    <row r="37" spans="1:44" ht="15" x14ac:dyDescent="0.25">
      <c r="A37" s="2" t="s">
        <v>240</v>
      </c>
      <c r="C37" s="11"/>
    </row>
    <row r="38" spans="1:44" x14ac:dyDescent="0.2">
      <c r="B38" s="1" t="s">
        <v>241</v>
      </c>
      <c r="C38" s="71" t="s">
        <v>77</v>
      </c>
      <c r="D38" s="70">
        <f>SUM(F38:AR38)</f>
        <v>121000000</v>
      </c>
      <c r="E38" s="18"/>
      <c r="F38" s="18">
        <f>F$15*F$34</f>
        <v>0</v>
      </c>
      <c r="G38" s="18">
        <f t="shared" ref="G38:AR38" si="18">G$15*G$34</f>
        <v>0</v>
      </c>
      <c r="H38" s="18">
        <f t="shared" si="18"/>
        <v>0</v>
      </c>
      <c r="I38" s="18">
        <f t="shared" si="18"/>
        <v>0</v>
      </c>
      <c r="J38" s="18">
        <f t="shared" si="18"/>
        <v>0</v>
      </c>
      <c r="K38" s="18">
        <f t="shared" si="18"/>
        <v>0</v>
      </c>
      <c r="L38" s="18">
        <f t="shared" si="18"/>
        <v>0</v>
      </c>
      <c r="M38" s="18">
        <f t="shared" si="18"/>
        <v>0</v>
      </c>
      <c r="N38" s="18">
        <f t="shared" si="18"/>
        <v>0</v>
      </c>
      <c r="O38" s="18">
        <f t="shared" si="18"/>
        <v>0</v>
      </c>
      <c r="P38" s="18">
        <f t="shared" si="18"/>
        <v>0</v>
      </c>
      <c r="Q38" s="18">
        <f t="shared" si="18"/>
        <v>0</v>
      </c>
      <c r="R38" s="18">
        <f t="shared" si="18"/>
        <v>0</v>
      </c>
      <c r="S38" s="18">
        <f t="shared" si="18"/>
        <v>0</v>
      </c>
      <c r="T38" s="18">
        <f t="shared" si="18"/>
        <v>0</v>
      </c>
      <c r="U38" s="18">
        <f t="shared" si="18"/>
        <v>0</v>
      </c>
      <c r="V38" s="18">
        <f t="shared" si="18"/>
        <v>0</v>
      </c>
      <c r="W38" s="18">
        <f t="shared" si="18"/>
        <v>0</v>
      </c>
      <c r="X38" s="18">
        <f t="shared" si="18"/>
        <v>0</v>
      </c>
      <c r="Y38" s="18">
        <f t="shared" si="18"/>
        <v>0</v>
      </c>
      <c r="Z38" s="18">
        <f t="shared" si="18"/>
        <v>0</v>
      </c>
      <c r="AA38" s="18">
        <f t="shared" si="18"/>
        <v>0</v>
      </c>
      <c r="AB38" s="18">
        <f t="shared" si="18"/>
        <v>0</v>
      </c>
      <c r="AC38" s="18">
        <f t="shared" si="18"/>
        <v>0</v>
      </c>
      <c r="AD38" s="18">
        <f t="shared" si="18"/>
        <v>0</v>
      </c>
      <c r="AE38" s="18">
        <f t="shared" si="18"/>
        <v>0</v>
      </c>
      <c r="AF38" s="18">
        <f t="shared" si="18"/>
        <v>0</v>
      </c>
      <c r="AG38" s="18">
        <f t="shared" si="18"/>
        <v>0</v>
      </c>
      <c r="AH38" s="18">
        <f t="shared" si="18"/>
        <v>0</v>
      </c>
      <c r="AI38" s="18">
        <f t="shared" si="18"/>
        <v>121000000</v>
      </c>
      <c r="AJ38" s="18">
        <f t="shared" si="18"/>
        <v>0</v>
      </c>
      <c r="AK38" s="18">
        <f t="shared" si="18"/>
        <v>0</v>
      </c>
      <c r="AL38" s="18">
        <f t="shared" si="18"/>
        <v>0</v>
      </c>
      <c r="AM38" s="18">
        <f t="shared" si="18"/>
        <v>0</v>
      </c>
      <c r="AN38" s="18">
        <f t="shared" si="18"/>
        <v>0</v>
      </c>
      <c r="AO38" s="18">
        <f t="shared" si="18"/>
        <v>0</v>
      </c>
      <c r="AP38" s="18">
        <f t="shared" si="18"/>
        <v>0</v>
      </c>
      <c r="AQ38" s="18">
        <f t="shared" si="18"/>
        <v>0</v>
      </c>
      <c r="AR38" s="18">
        <f t="shared" si="18"/>
        <v>0</v>
      </c>
    </row>
    <row r="39" spans="1:44" x14ac:dyDescent="0.2">
      <c r="B39" s="1" t="s">
        <v>242</v>
      </c>
      <c r="C39" s="71" t="s">
        <v>77</v>
      </c>
      <c r="D39" s="70">
        <f>SUM(F39:AR39)</f>
        <v>56107062.020059042</v>
      </c>
      <c r="E39" s="18"/>
      <c r="F39" s="18">
        <f>F$16*F$34</f>
        <v>0</v>
      </c>
      <c r="G39" s="18">
        <f t="shared" ref="G39:AR39" si="19">G$16*G$34</f>
        <v>0</v>
      </c>
      <c r="H39" s="18">
        <f t="shared" si="19"/>
        <v>0</v>
      </c>
      <c r="I39" s="18">
        <f t="shared" si="19"/>
        <v>0</v>
      </c>
      <c r="J39" s="18">
        <f t="shared" si="19"/>
        <v>0</v>
      </c>
      <c r="K39" s="18">
        <f t="shared" si="19"/>
        <v>0</v>
      </c>
      <c r="L39" s="18">
        <f t="shared" si="19"/>
        <v>0</v>
      </c>
      <c r="M39" s="18">
        <f t="shared" si="19"/>
        <v>0</v>
      </c>
      <c r="N39" s="18">
        <f t="shared" si="19"/>
        <v>0</v>
      </c>
      <c r="O39" s="18">
        <f t="shared" si="19"/>
        <v>0</v>
      </c>
      <c r="P39" s="18">
        <f t="shared" si="19"/>
        <v>0</v>
      </c>
      <c r="Q39" s="18">
        <f t="shared" si="19"/>
        <v>0</v>
      </c>
      <c r="R39" s="18">
        <f t="shared" si="19"/>
        <v>0</v>
      </c>
      <c r="S39" s="18">
        <f t="shared" si="19"/>
        <v>0</v>
      </c>
      <c r="T39" s="18">
        <f t="shared" si="19"/>
        <v>0</v>
      </c>
      <c r="U39" s="18">
        <f t="shared" si="19"/>
        <v>0</v>
      </c>
      <c r="V39" s="18">
        <f t="shared" si="19"/>
        <v>0</v>
      </c>
      <c r="W39" s="18">
        <f t="shared" si="19"/>
        <v>0</v>
      </c>
      <c r="X39" s="18">
        <f t="shared" si="19"/>
        <v>0</v>
      </c>
      <c r="Y39" s="18">
        <f t="shared" si="19"/>
        <v>0</v>
      </c>
      <c r="Z39" s="18">
        <f t="shared" si="19"/>
        <v>0</v>
      </c>
      <c r="AA39" s="18">
        <f t="shared" si="19"/>
        <v>0</v>
      </c>
      <c r="AB39" s="18">
        <f t="shared" si="19"/>
        <v>0</v>
      </c>
      <c r="AC39" s="18">
        <f t="shared" si="19"/>
        <v>0</v>
      </c>
      <c r="AD39" s="18">
        <f t="shared" si="19"/>
        <v>0</v>
      </c>
      <c r="AE39" s="18">
        <f t="shared" si="19"/>
        <v>0</v>
      </c>
      <c r="AF39" s="18">
        <f t="shared" si="19"/>
        <v>0</v>
      </c>
      <c r="AG39" s="18">
        <f t="shared" si="19"/>
        <v>0</v>
      </c>
      <c r="AH39" s="18">
        <f t="shared" si="19"/>
        <v>0</v>
      </c>
      <c r="AI39" s="18">
        <f t="shared" si="19"/>
        <v>56107062.020059042</v>
      </c>
      <c r="AJ39" s="18">
        <f t="shared" si="19"/>
        <v>0</v>
      </c>
      <c r="AK39" s="18">
        <f t="shared" si="19"/>
        <v>0</v>
      </c>
      <c r="AL39" s="18">
        <f t="shared" si="19"/>
        <v>0</v>
      </c>
      <c r="AM39" s="18">
        <f t="shared" si="19"/>
        <v>0</v>
      </c>
      <c r="AN39" s="18">
        <f t="shared" si="19"/>
        <v>0</v>
      </c>
      <c r="AO39" s="18">
        <f t="shared" si="19"/>
        <v>0</v>
      </c>
      <c r="AP39" s="18">
        <f t="shared" si="19"/>
        <v>0</v>
      </c>
      <c r="AQ39" s="18">
        <f t="shared" si="19"/>
        <v>0</v>
      </c>
      <c r="AR39" s="18">
        <f t="shared" si="19"/>
        <v>0</v>
      </c>
    </row>
    <row r="40" spans="1:44" x14ac:dyDescent="0.2">
      <c r="B40" s="1" t="s">
        <v>243</v>
      </c>
      <c r="C40" s="71" t="s">
        <v>77</v>
      </c>
      <c r="D40" s="70">
        <f>SUM(F40:AR40)</f>
        <v>20835654.654384106</v>
      </c>
      <c r="E40" s="18"/>
      <c r="F40" s="18">
        <f>F$17*F$34</f>
        <v>0</v>
      </c>
      <c r="G40" s="18">
        <f t="shared" ref="G40:AR40" si="20">G$17*G$34</f>
        <v>0</v>
      </c>
      <c r="H40" s="18">
        <f t="shared" si="20"/>
        <v>0</v>
      </c>
      <c r="I40" s="18">
        <f t="shared" si="20"/>
        <v>0</v>
      </c>
      <c r="J40" s="18">
        <f t="shared" si="20"/>
        <v>0</v>
      </c>
      <c r="K40" s="18">
        <f t="shared" si="20"/>
        <v>0</v>
      </c>
      <c r="L40" s="18">
        <f t="shared" si="20"/>
        <v>0</v>
      </c>
      <c r="M40" s="18">
        <f t="shared" si="20"/>
        <v>0</v>
      </c>
      <c r="N40" s="18">
        <f t="shared" si="20"/>
        <v>0</v>
      </c>
      <c r="O40" s="18">
        <f t="shared" si="20"/>
        <v>0</v>
      </c>
      <c r="P40" s="18">
        <f t="shared" si="20"/>
        <v>0</v>
      </c>
      <c r="Q40" s="18">
        <f t="shared" si="20"/>
        <v>0</v>
      </c>
      <c r="R40" s="18">
        <f t="shared" si="20"/>
        <v>0</v>
      </c>
      <c r="S40" s="18">
        <f t="shared" si="20"/>
        <v>0</v>
      </c>
      <c r="T40" s="18">
        <f t="shared" si="20"/>
        <v>0</v>
      </c>
      <c r="U40" s="18">
        <f t="shared" si="20"/>
        <v>0</v>
      </c>
      <c r="V40" s="18">
        <f t="shared" si="20"/>
        <v>0</v>
      </c>
      <c r="W40" s="18">
        <f t="shared" si="20"/>
        <v>0</v>
      </c>
      <c r="X40" s="18">
        <f t="shared" si="20"/>
        <v>0</v>
      </c>
      <c r="Y40" s="18">
        <f t="shared" si="20"/>
        <v>0</v>
      </c>
      <c r="Z40" s="18">
        <f t="shared" si="20"/>
        <v>0</v>
      </c>
      <c r="AA40" s="18">
        <f t="shared" si="20"/>
        <v>0</v>
      </c>
      <c r="AB40" s="18">
        <f t="shared" si="20"/>
        <v>0</v>
      </c>
      <c r="AC40" s="18">
        <f t="shared" si="20"/>
        <v>0</v>
      </c>
      <c r="AD40" s="18">
        <f t="shared" si="20"/>
        <v>0</v>
      </c>
      <c r="AE40" s="18">
        <f t="shared" si="20"/>
        <v>0</v>
      </c>
      <c r="AF40" s="18">
        <f t="shared" si="20"/>
        <v>0</v>
      </c>
      <c r="AG40" s="18">
        <f t="shared" si="20"/>
        <v>0</v>
      </c>
      <c r="AH40" s="18">
        <f t="shared" si="20"/>
        <v>0</v>
      </c>
      <c r="AI40" s="18">
        <f t="shared" si="20"/>
        <v>20835654.654384106</v>
      </c>
      <c r="AJ40" s="18">
        <f t="shared" si="20"/>
        <v>0</v>
      </c>
      <c r="AK40" s="18">
        <f t="shared" si="20"/>
        <v>0</v>
      </c>
      <c r="AL40" s="18">
        <f t="shared" si="20"/>
        <v>0</v>
      </c>
      <c r="AM40" s="18">
        <f t="shared" si="20"/>
        <v>0</v>
      </c>
      <c r="AN40" s="18">
        <f t="shared" si="20"/>
        <v>0</v>
      </c>
      <c r="AO40" s="18">
        <f t="shared" si="20"/>
        <v>0</v>
      </c>
      <c r="AP40" s="18">
        <f t="shared" si="20"/>
        <v>0</v>
      </c>
      <c r="AQ40" s="18">
        <f t="shared" si="20"/>
        <v>0</v>
      </c>
      <c r="AR40" s="18">
        <f t="shared" si="20"/>
        <v>0</v>
      </c>
    </row>
    <row r="41" spans="1:44" x14ac:dyDescent="0.2">
      <c r="C41" s="11"/>
    </row>
    <row r="42" spans="1:44" s="8" customFormat="1" x14ac:dyDescent="0.2">
      <c r="B42" s="7" t="s">
        <v>352</v>
      </c>
      <c r="C42" s="12"/>
    </row>
    <row r="43" spans="1:44" ht="15" x14ac:dyDescent="0.25">
      <c r="A43" s="2" t="s">
        <v>353</v>
      </c>
      <c r="C43" s="11"/>
    </row>
    <row r="44" spans="1:44" x14ac:dyDescent="0.2">
      <c r="B44" s="1" t="s">
        <v>241</v>
      </c>
      <c r="C44" s="71" t="s">
        <v>77</v>
      </c>
      <c r="D44" s="70">
        <f>SUM(F44:AR44)</f>
        <v>0</v>
      </c>
      <c r="E44" s="5"/>
      <c r="F44" s="18">
        <f t="shared" ref="F44:AR44" si="21">F26</f>
        <v>0</v>
      </c>
      <c r="G44" s="18">
        <f t="shared" si="21"/>
        <v>0</v>
      </c>
      <c r="H44" s="18">
        <f t="shared" si="21"/>
        <v>0</v>
      </c>
      <c r="I44" s="18">
        <f t="shared" si="21"/>
        <v>0</v>
      </c>
      <c r="J44" s="18">
        <f t="shared" si="21"/>
        <v>0</v>
      </c>
      <c r="K44" s="18">
        <f t="shared" si="21"/>
        <v>0</v>
      </c>
      <c r="L44" s="18">
        <f t="shared" si="21"/>
        <v>0</v>
      </c>
      <c r="M44" s="18">
        <f t="shared" si="21"/>
        <v>0</v>
      </c>
      <c r="N44" s="18">
        <f t="shared" si="21"/>
        <v>0</v>
      </c>
      <c r="O44" s="18">
        <f t="shared" si="21"/>
        <v>0</v>
      </c>
      <c r="P44" s="18">
        <f t="shared" si="21"/>
        <v>0</v>
      </c>
      <c r="Q44" s="18">
        <f t="shared" si="21"/>
        <v>0</v>
      </c>
      <c r="R44" s="18">
        <f t="shared" si="21"/>
        <v>0</v>
      </c>
      <c r="S44" s="18">
        <f t="shared" si="21"/>
        <v>0</v>
      </c>
      <c r="T44" s="18">
        <f t="shared" si="21"/>
        <v>0</v>
      </c>
      <c r="U44" s="18">
        <f t="shared" si="21"/>
        <v>0</v>
      </c>
      <c r="V44" s="18">
        <f t="shared" si="21"/>
        <v>0</v>
      </c>
      <c r="W44" s="18">
        <f t="shared" si="21"/>
        <v>0</v>
      </c>
      <c r="X44" s="18">
        <f t="shared" si="21"/>
        <v>0</v>
      </c>
      <c r="Y44" s="18">
        <f t="shared" si="21"/>
        <v>0</v>
      </c>
      <c r="Z44" s="18">
        <f t="shared" si="21"/>
        <v>0</v>
      </c>
      <c r="AA44" s="18">
        <f t="shared" si="21"/>
        <v>0</v>
      </c>
      <c r="AB44" s="18">
        <f t="shared" si="21"/>
        <v>0</v>
      </c>
      <c r="AC44" s="18">
        <f t="shared" si="21"/>
        <v>0</v>
      </c>
      <c r="AD44" s="18">
        <f t="shared" si="21"/>
        <v>0</v>
      </c>
      <c r="AE44" s="18">
        <f t="shared" si="21"/>
        <v>0</v>
      </c>
      <c r="AF44" s="18">
        <f t="shared" si="21"/>
        <v>0</v>
      </c>
      <c r="AG44" s="18">
        <f t="shared" si="21"/>
        <v>0</v>
      </c>
      <c r="AH44" s="18">
        <f t="shared" si="21"/>
        <v>0</v>
      </c>
      <c r="AI44" s="18">
        <f t="shared" si="21"/>
        <v>0</v>
      </c>
      <c r="AJ44" s="18">
        <f t="shared" si="21"/>
        <v>0</v>
      </c>
      <c r="AK44" s="18">
        <f t="shared" si="21"/>
        <v>0</v>
      </c>
      <c r="AL44" s="18">
        <f t="shared" si="21"/>
        <v>0</v>
      </c>
      <c r="AM44" s="18">
        <f t="shared" si="21"/>
        <v>0</v>
      </c>
      <c r="AN44" s="18">
        <f t="shared" si="21"/>
        <v>0</v>
      </c>
      <c r="AO44" s="18">
        <f t="shared" si="21"/>
        <v>0</v>
      </c>
      <c r="AP44" s="18">
        <f t="shared" si="21"/>
        <v>0</v>
      </c>
      <c r="AQ44" s="18">
        <f t="shared" si="21"/>
        <v>0</v>
      </c>
      <c r="AR44" s="18">
        <f t="shared" si="21"/>
        <v>0</v>
      </c>
    </row>
    <row r="45" spans="1:44" x14ac:dyDescent="0.2">
      <c r="B45" s="1" t="s">
        <v>242</v>
      </c>
      <c r="C45" s="71" t="s">
        <v>77</v>
      </c>
      <c r="D45" s="70">
        <f>SUM(F45:AR45)</f>
        <v>0</v>
      </c>
      <c r="E45" s="5"/>
      <c r="F45" s="18">
        <f t="shared" ref="F45:AR45" si="22">F27</f>
        <v>0</v>
      </c>
      <c r="G45" s="18">
        <f t="shared" si="22"/>
        <v>0</v>
      </c>
      <c r="H45" s="18">
        <f t="shared" si="22"/>
        <v>0</v>
      </c>
      <c r="I45" s="18">
        <f t="shared" si="22"/>
        <v>0</v>
      </c>
      <c r="J45" s="18">
        <f t="shared" si="22"/>
        <v>0</v>
      </c>
      <c r="K45" s="18">
        <f t="shared" si="22"/>
        <v>0</v>
      </c>
      <c r="L45" s="18">
        <f t="shared" si="22"/>
        <v>0</v>
      </c>
      <c r="M45" s="18">
        <f t="shared" si="22"/>
        <v>0</v>
      </c>
      <c r="N45" s="18">
        <f t="shared" si="22"/>
        <v>0</v>
      </c>
      <c r="O45" s="18">
        <f t="shared" si="22"/>
        <v>0</v>
      </c>
      <c r="P45" s="18">
        <f t="shared" si="22"/>
        <v>0</v>
      </c>
      <c r="Q45" s="18">
        <f t="shared" si="22"/>
        <v>0</v>
      </c>
      <c r="R45" s="18">
        <f t="shared" si="22"/>
        <v>0</v>
      </c>
      <c r="S45" s="18">
        <f t="shared" si="22"/>
        <v>0</v>
      </c>
      <c r="T45" s="18">
        <f t="shared" si="22"/>
        <v>0</v>
      </c>
      <c r="U45" s="18">
        <f t="shared" si="22"/>
        <v>0</v>
      </c>
      <c r="V45" s="18">
        <f t="shared" si="22"/>
        <v>0</v>
      </c>
      <c r="W45" s="18">
        <f t="shared" si="22"/>
        <v>0</v>
      </c>
      <c r="X45" s="18">
        <f t="shared" si="22"/>
        <v>0</v>
      </c>
      <c r="Y45" s="18">
        <f t="shared" si="22"/>
        <v>0</v>
      </c>
      <c r="Z45" s="18">
        <f t="shared" si="22"/>
        <v>0</v>
      </c>
      <c r="AA45" s="18">
        <f t="shared" si="22"/>
        <v>0</v>
      </c>
      <c r="AB45" s="18">
        <f t="shared" si="22"/>
        <v>0</v>
      </c>
      <c r="AC45" s="18">
        <f t="shared" si="22"/>
        <v>0</v>
      </c>
      <c r="AD45" s="18">
        <f t="shared" si="22"/>
        <v>0</v>
      </c>
      <c r="AE45" s="18">
        <f t="shared" si="22"/>
        <v>0</v>
      </c>
      <c r="AF45" s="18">
        <f t="shared" si="22"/>
        <v>0</v>
      </c>
      <c r="AG45" s="18">
        <f t="shared" si="22"/>
        <v>0</v>
      </c>
      <c r="AH45" s="18">
        <f t="shared" si="22"/>
        <v>0</v>
      </c>
      <c r="AI45" s="18">
        <f t="shared" si="22"/>
        <v>0</v>
      </c>
      <c r="AJ45" s="18">
        <f t="shared" si="22"/>
        <v>0</v>
      </c>
      <c r="AK45" s="18">
        <f t="shared" si="22"/>
        <v>0</v>
      </c>
      <c r="AL45" s="18">
        <f t="shared" si="22"/>
        <v>0</v>
      </c>
      <c r="AM45" s="18">
        <f t="shared" si="22"/>
        <v>0</v>
      </c>
      <c r="AN45" s="18">
        <f t="shared" si="22"/>
        <v>0</v>
      </c>
      <c r="AO45" s="18">
        <f t="shared" si="22"/>
        <v>0</v>
      </c>
      <c r="AP45" s="18">
        <f t="shared" si="22"/>
        <v>0</v>
      </c>
      <c r="AQ45" s="18">
        <f t="shared" si="22"/>
        <v>0</v>
      </c>
      <c r="AR45" s="18">
        <f t="shared" si="22"/>
        <v>0</v>
      </c>
    </row>
    <row r="46" spans="1:44" x14ac:dyDescent="0.2">
      <c r="B46" s="1" t="s">
        <v>243</v>
      </c>
      <c r="C46" s="71" t="s">
        <v>77</v>
      </c>
      <c r="D46" s="70">
        <f>SUM(F46:AR46)</f>
        <v>0</v>
      </c>
      <c r="E46" s="5"/>
      <c r="F46" s="18">
        <f t="shared" ref="F46:AR46" si="23">F28</f>
        <v>0</v>
      </c>
      <c r="G46" s="18">
        <f t="shared" si="23"/>
        <v>0</v>
      </c>
      <c r="H46" s="18">
        <f t="shared" si="23"/>
        <v>0</v>
      </c>
      <c r="I46" s="18">
        <f t="shared" si="23"/>
        <v>0</v>
      </c>
      <c r="J46" s="18">
        <f t="shared" si="23"/>
        <v>0</v>
      </c>
      <c r="K46" s="18">
        <f t="shared" si="23"/>
        <v>0</v>
      </c>
      <c r="L46" s="18">
        <f t="shared" si="23"/>
        <v>0</v>
      </c>
      <c r="M46" s="18">
        <f t="shared" si="23"/>
        <v>0</v>
      </c>
      <c r="N46" s="18">
        <f t="shared" si="23"/>
        <v>0</v>
      </c>
      <c r="O46" s="18">
        <f t="shared" si="23"/>
        <v>0</v>
      </c>
      <c r="P46" s="18">
        <f t="shared" si="23"/>
        <v>0</v>
      </c>
      <c r="Q46" s="18">
        <f t="shared" si="23"/>
        <v>0</v>
      </c>
      <c r="R46" s="18">
        <f t="shared" si="23"/>
        <v>0</v>
      </c>
      <c r="S46" s="18">
        <f t="shared" si="23"/>
        <v>0</v>
      </c>
      <c r="T46" s="18">
        <f t="shared" si="23"/>
        <v>0</v>
      </c>
      <c r="U46" s="18">
        <f t="shared" si="23"/>
        <v>0</v>
      </c>
      <c r="V46" s="18">
        <f t="shared" si="23"/>
        <v>0</v>
      </c>
      <c r="W46" s="18">
        <f t="shared" si="23"/>
        <v>0</v>
      </c>
      <c r="X46" s="18">
        <f t="shared" si="23"/>
        <v>0</v>
      </c>
      <c r="Y46" s="18">
        <f t="shared" si="23"/>
        <v>0</v>
      </c>
      <c r="Z46" s="18">
        <f t="shared" si="23"/>
        <v>0</v>
      </c>
      <c r="AA46" s="18">
        <f t="shared" si="23"/>
        <v>0</v>
      </c>
      <c r="AB46" s="18">
        <f t="shared" si="23"/>
        <v>0</v>
      </c>
      <c r="AC46" s="18">
        <f t="shared" si="23"/>
        <v>0</v>
      </c>
      <c r="AD46" s="18">
        <f t="shared" si="23"/>
        <v>0</v>
      </c>
      <c r="AE46" s="18">
        <f t="shared" si="23"/>
        <v>0</v>
      </c>
      <c r="AF46" s="18">
        <f t="shared" si="23"/>
        <v>0</v>
      </c>
      <c r="AG46" s="18">
        <f t="shared" si="23"/>
        <v>0</v>
      </c>
      <c r="AH46" s="18">
        <f t="shared" si="23"/>
        <v>0</v>
      </c>
      <c r="AI46" s="18">
        <f t="shared" si="23"/>
        <v>0</v>
      </c>
      <c r="AJ46" s="18">
        <f t="shared" si="23"/>
        <v>0</v>
      </c>
      <c r="AK46" s="18">
        <f t="shared" si="23"/>
        <v>0</v>
      </c>
      <c r="AL46" s="18">
        <f t="shared" si="23"/>
        <v>0</v>
      </c>
      <c r="AM46" s="18">
        <f t="shared" si="23"/>
        <v>0</v>
      </c>
      <c r="AN46" s="18">
        <f t="shared" si="23"/>
        <v>0</v>
      </c>
      <c r="AO46" s="18">
        <f t="shared" si="23"/>
        <v>0</v>
      </c>
      <c r="AP46" s="18">
        <f t="shared" si="23"/>
        <v>0</v>
      </c>
      <c r="AQ46" s="18">
        <f t="shared" si="23"/>
        <v>0</v>
      </c>
      <c r="AR46" s="18">
        <f t="shared" si="23"/>
        <v>0</v>
      </c>
    </row>
    <row r="47" spans="1:44" x14ac:dyDescent="0.2">
      <c r="C47" s="71"/>
      <c r="D47" s="5"/>
      <c r="E47" s="5"/>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row>
    <row r="48" spans="1:44" ht="15" x14ac:dyDescent="0.25">
      <c r="A48" s="2" t="s">
        <v>354</v>
      </c>
      <c r="C48" s="11"/>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row>
    <row r="49" spans="1:44" x14ac:dyDescent="0.2">
      <c r="B49" s="1" t="s">
        <v>241</v>
      </c>
      <c r="C49" s="71" t="s">
        <v>77</v>
      </c>
      <c r="D49" s="70">
        <f>SUM(F49:AR49)</f>
        <v>121000000</v>
      </c>
      <c r="F49" s="18">
        <f>F38</f>
        <v>0</v>
      </c>
      <c r="G49" s="18">
        <f t="shared" ref="G49:AR49" si="24">G38</f>
        <v>0</v>
      </c>
      <c r="H49" s="18">
        <f t="shared" si="24"/>
        <v>0</v>
      </c>
      <c r="I49" s="18">
        <f t="shared" si="24"/>
        <v>0</v>
      </c>
      <c r="J49" s="18">
        <f t="shared" si="24"/>
        <v>0</v>
      </c>
      <c r="K49" s="18">
        <f t="shared" si="24"/>
        <v>0</v>
      </c>
      <c r="L49" s="18">
        <f t="shared" si="24"/>
        <v>0</v>
      </c>
      <c r="M49" s="18">
        <f t="shared" si="24"/>
        <v>0</v>
      </c>
      <c r="N49" s="18">
        <f t="shared" si="24"/>
        <v>0</v>
      </c>
      <c r="O49" s="18">
        <f t="shared" si="24"/>
        <v>0</v>
      </c>
      <c r="P49" s="18">
        <f t="shared" si="24"/>
        <v>0</v>
      </c>
      <c r="Q49" s="18">
        <f t="shared" si="24"/>
        <v>0</v>
      </c>
      <c r="R49" s="18">
        <f t="shared" si="24"/>
        <v>0</v>
      </c>
      <c r="S49" s="18">
        <f t="shared" si="24"/>
        <v>0</v>
      </c>
      <c r="T49" s="18">
        <f t="shared" si="24"/>
        <v>0</v>
      </c>
      <c r="U49" s="18">
        <f t="shared" si="24"/>
        <v>0</v>
      </c>
      <c r="V49" s="18">
        <f t="shared" si="24"/>
        <v>0</v>
      </c>
      <c r="W49" s="18">
        <f t="shared" si="24"/>
        <v>0</v>
      </c>
      <c r="X49" s="18">
        <f t="shared" si="24"/>
        <v>0</v>
      </c>
      <c r="Y49" s="18">
        <f t="shared" si="24"/>
        <v>0</v>
      </c>
      <c r="Z49" s="18">
        <f t="shared" si="24"/>
        <v>0</v>
      </c>
      <c r="AA49" s="18">
        <f t="shared" si="24"/>
        <v>0</v>
      </c>
      <c r="AB49" s="18">
        <f t="shared" si="24"/>
        <v>0</v>
      </c>
      <c r="AC49" s="18">
        <f t="shared" si="24"/>
        <v>0</v>
      </c>
      <c r="AD49" s="18">
        <f t="shared" si="24"/>
        <v>0</v>
      </c>
      <c r="AE49" s="18">
        <f t="shared" si="24"/>
        <v>0</v>
      </c>
      <c r="AF49" s="18">
        <f t="shared" si="24"/>
        <v>0</v>
      </c>
      <c r="AG49" s="18">
        <f t="shared" si="24"/>
        <v>0</v>
      </c>
      <c r="AH49" s="18">
        <f t="shared" si="24"/>
        <v>0</v>
      </c>
      <c r="AI49" s="18">
        <f t="shared" si="24"/>
        <v>121000000</v>
      </c>
      <c r="AJ49" s="18">
        <f t="shared" si="24"/>
        <v>0</v>
      </c>
      <c r="AK49" s="18">
        <f t="shared" si="24"/>
        <v>0</v>
      </c>
      <c r="AL49" s="18">
        <f t="shared" si="24"/>
        <v>0</v>
      </c>
      <c r="AM49" s="18">
        <f t="shared" si="24"/>
        <v>0</v>
      </c>
      <c r="AN49" s="18">
        <f t="shared" si="24"/>
        <v>0</v>
      </c>
      <c r="AO49" s="18">
        <f t="shared" si="24"/>
        <v>0</v>
      </c>
      <c r="AP49" s="18">
        <f t="shared" si="24"/>
        <v>0</v>
      </c>
      <c r="AQ49" s="18">
        <f t="shared" si="24"/>
        <v>0</v>
      </c>
      <c r="AR49" s="18">
        <f t="shared" si="24"/>
        <v>0</v>
      </c>
    </row>
    <row r="50" spans="1:44" x14ac:dyDescent="0.2">
      <c r="B50" s="1" t="s">
        <v>242</v>
      </c>
      <c r="C50" s="71" t="s">
        <v>77</v>
      </c>
      <c r="D50" s="70">
        <f>SUM(F50:AR50)</f>
        <v>56107062.020059042</v>
      </c>
      <c r="F50" s="18">
        <f t="shared" ref="F50:AR51" si="25">F39</f>
        <v>0</v>
      </c>
      <c r="G50" s="18">
        <f t="shared" si="25"/>
        <v>0</v>
      </c>
      <c r="H50" s="18">
        <f t="shared" si="25"/>
        <v>0</v>
      </c>
      <c r="I50" s="18">
        <f t="shared" si="25"/>
        <v>0</v>
      </c>
      <c r="J50" s="18">
        <f t="shared" si="25"/>
        <v>0</v>
      </c>
      <c r="K50" s="18">
        <f t="shared" si="25"/>
        <v>0</v>
      </c>
      <c r="L50" s="18">
        <f t="shared" si="25"/>
        <v>0</v>
      </c>
      <c r="M50" s="18">
        <f t="shared" si="25"/>
        <v>0</v>
      </c>
      <c r="N50" s="18">
        <f t="shared" si="25"/>
        <v>0</v>
      </c>
      <c r="O50" s="18">
        <f t="shared" si="25"/>
        <v>0</v>
      </c>
      <c r="P50" s="18">
        <f t="shared" si="25"/>
        <v>0</v>
      </c>
      <c r="Q50" s="18">
        <f t="shared" si="25"/>
        <v>0</v>
      </c>
      <c r="R50" s="18">
        <f t="shared" si="25"/>
        <v>0</v>
      </c>
      <c r="S50" s="18">
        <f t="shared" si="25"/>
        <v>0</v>
      </c>
      <c r="T50" s="18">
        <f t="shared" si="25"/>
        <v>0</v>
      </c>
      <c r="U50" s="18">
        <f t="shared" si="25"/>
        <v>0</v>
      </c>
      <c r="V50" s="18">
        <f t="shared" si="25"/>
        <v>0</v>
      </c>
      <c r="W50" s="18">
        <f t="shared" si="25"/>
        <v>0</v>
      </c>
      <c r="X50" s="18">
        <f t="shared" si="25"/>
        <v>0</v>
      </c>
      <c r="Y50" s="18">
        <f t="shared" si="25"/>
        <v>0</v>
      </c>
      <c r="Z50" s="18">
        <f t="shared" si="25"/>
        <v>0</v>
      </c>
      <c r="AA50" s="18">
        <f t="shared" si="25"/>
        <v>0</v>
      </c>
      <c r="AB50" s="18">
        <f t="shared" si="25"/>
        <v>0</v>
      </c>
      <c r="AC50" s="18">
        <f t="shared" si="25"/>
        <v>0</v>
      </c>
      <c r="AD50" s="18">
        <f t="shared" si="25"/>
        <v>0</v>
      </c>
      <c r="AE50" s="18">
        <f t="shared" si="25"/>
        <v>0</v>
      </c>
      <c r="AF50" s="18">
        <f t="shared" si="25"/>
        <v>0</v>
      </c>
      <c r="AG50" s="18">
        <f t="shared" si="25"/>
        <v>0</v>
      </c>
      <c r="AH50" s="18">
        <f t="shared" si="25"/>
        <v>0</v>
      </c>
      <c r="AI50" s="18">
        <f t="shared" si="25"/>
        <v>56107062.020059042</v>
      </c>
      <c r="AJ50" s="18">
        <f t="shared" si="25"/>
        <v>0</v>
      </c>
      <c r="AK50" s="18">
        <f t="shared" si="25"/>
        <v>0</v>
      </c>
      <c r="AL50" s="18">
        <f t="shared" si="25"/>
        <v>0</v>
      </c>
      <c r="AM50" s="18">
        <f t="shared" si="25"/>
        <v>0</v>
      </c>
      <c r="AN50" s="18">
        <f t="shared" si="25"/>
        <v>0</v>
      </c>
      <c r="AO50" s="18">
        <f t="shared" si="25"/>
        <v>0</v>
      </c>
      <c r="AP50" s="18">
        <f t="shared" si="25"/>
        <v>0</v>
      </c>
      <c r="AQ50" s="18">
        <f t="shared" si="25"/>
        <v>0</v>
      </c>
      <c r="AR50" s="18">
        <f t="shared" si="25"/>
        <v>0</v>
      </c>
    </row>
    <row r="51" spans="1:44" x14ac:dyDescent="0.2">
      <c r="B51" s="1" t="s">
        <v>243</v>
      </c>
      <c r="C51" s="71" t="s">
        <v>77</v>
      </c>
      <c r="D51" s="70">
        <f>SUM(F51:AR51)</f>
        <v>20835654.654384106</v>
      </c>
      <c r="F51" s="18">
        <f t="shared" si="25"/>
        <v>0</v>
      </c>
      <c r="G51" s="18">
        <f t="shared" si="25"/>
        <v>0</v>
      </c>
      <c r="H51" s="18">
        <f t="shared" si="25"/>
        <v>0</v>
      </c>
      <c r="I51" s="18">
        <f t="shared" si="25"/>
        <v>0</v>
      </c>
      <c r="J51" s="18">
        <f t="shared" si="25"/>
        <v>0</v>
      </c>
      <c r="K51" s="18">
        <f t="shared" si="25"/>
        <v>0</v>
      </c>
      <c r="L51" s="18">
        <f t="shared" si="25"/>
        <v>0</v>
      </c>
      <c r="M51" s="18">
        <f t="shared" si="25"/>
        <v>0</v>
      </c>
      <c r="N51" s="18">
        <f t="shared" si="25"/>
        <v>0</v>
      </c>
      <c r="O51" s="18">
        <f t="shared" si="25"/>
        <v>0</v>
      </c>
      <c r="P51" s="18">
        <f t="shared" si="25"/>
        <v>0</v>
      </c>
      <c r="Q51" s="18">
        <f t="shared" si="25"/>
        <v>0</v>
      </c>
      <c r="R51" s="18">
        <f t="shared" si="25"/>
        <v>0</v>
      </c>
      <c r="S51" s="18">
        <f t="shared" si="25"/>
        <v>0</v>
      </c>
      <c r="T51" s="18">
        <f t="shared" si="25"/>
        <v>0</v>
      </c>
      <c r="U51" s="18">
        <f t="shared" si="25"/>
        <v>0</v>
      </c>
      <c r="V51" s="18">
        <f t="shared" si="25"/>
        <v>0</v>
      </c>
      <c r="W51" s="18">
        <f t="shared" si="25"/>
        <v>0</v>
      </c>
      <c r="X51" s="18">
        <f t="shared" si="25"/>
        <v>0</v>
      </c>
      <c r="Y51" s="18">
        <f t="shared" si="25"/>
        <v>0</v>
      </c>
      <c r="Z51" s="18">
        <f t="shared" si="25"/>
        <v>0</v>
      </c>
      <c r="AA51" s="18">
        <f t="shared" si="25"/>
        <v>0</v>
      </c>
      <c r="AB51" s="18">
        <f t="shared" si="25"/>
        <v>0</v>
      </c>
      <c r="AC51" s="18">
        <f t="shared" si="25"/>
        <v>0</v>
      </c>
      <c r="AD51" s="18">
        <f t="shared" si="25"/>
        <v>0</v>
      </c>
      <c r="AE51" s="18">
        <f t="shared" si="25"/>
        <v>0</v>
      </c>
      <c r="AF51" s="18">
        <f t="shared" si="25"/>
        <v>0</v>
      </c>
      <c r="AG51" s="18">
        <f t="shared" si="25"/>
        <v>0</v>
      </c>
      <c r="AH51" s="18">
        <f t="shared" si="25"/>
        <v>0</v>
      </c>
      <c r="AI51" s="18">
        <f t="shared" si="25"/>
        <v>20835654.654384106</v>
      </c>
      <c r="AJ51" s="18">
        <f t="shared" si="25"/>
        <v>0</v>
      </c>
      <c r="AK51" s="18">
        <f t="shared" si="25"/>
        <v>0</v>
      </c>
      <c r="AL51" s="18">
        <f t="shared" si="25"/>
        <v>0</v>
      </c>
      <c r="AM51" s="18">
        <f t="shared" si="25"/>
        <v>0</v>
      </c>
      <c r="AN51" s="18">
        <f t="shared" si="25"/>
        <v>0</v>
      </c>
      <c r="AO51" s="18">
        <f t="shared" si="25"/>
        <v>0</v>
      </c>
      <c r="AP51" s="18">
        <f t="shared" si="25"/>
        <v>0</v>
      </c>
      <c r="AQ51" s="18">
        <f t="shared" si="25"/>
        <v>0</v>
      </c>
      <c r="AR51" s="18">
        <f t="shared" si="25"/>
        <v>0</v>
      </c>
    </row>
    <row r="52" spans="1:44" x14ac:dyDescent="0.2">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row>
    <row r="53" spans="1:44" ht="15" x14ac:dyDescent="0.25">
      <c r="A53" s="2" t="s">
        <v>276</v>
      </c>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row>
    <row r="54" spans="1:44" x14ac:dyDescent="0.2">
      <c r="B54" s="1" t="s">
        <v>241</v>
      </c>
      <c r="C54" s="71" t="s">
        <v>77</v>
      </c>
      <c r="D54" s="70">
        <f>SUM(F54:AR54)</f>
        <v>121000000</v>
      </c>
      <c r="F54" s="18">
        <f>F49-F44</f>
        <v>0</v>
      </c>
      <c r="G54" s="18">
        <f t="shared" ref="G54:AR54" si="26">G49-G44</f>
        <v>0</v>
      </c>
      <c r="H54" s="18">
        <f t="shared" si="26"/>
        <v>0</v>
      </c>
      <c r="I54" s="18">
        <f t="shared" si="26"/>
        <v>0</v>
      </c>
      <c r="J54" s="18">
        <f t="shared" si="26"/>
        <v>0</v>
      </c>
      <c r="K54" s="18">
        <f t="shared" si="26"/>
        <v>0</v>
      </c>
      <c r="L54" s="18">
        <f t="shared" si="26"/>
        <v>0</v>
      </c>
      <c r="M54" s="18">
        <f t="shared" si="26"/>
        <v>0</v>
      </c>
      <c r="N54" s="18">
        <f t="shared" si="26"/>
        <v>0</v>
      </c>
      <c r="O54" s="18">
        <f t="shared" si="26"/>
        <v>0</v>
      </c>
      <c r="P54" s="18">
        <f t="shared" si="26"/>
        <v>0</v>
      </c>
      <c r="Q54" s="18">
        <f t="shared" si="26"/>
        <v>0</v>
      </c>
      <c r="R54" s="18">
        <f t="shared" si="26"/>
        <v>0</v>
      </c>
      <c r="S54" s="18">
        <f t="shared" si="26"/>
        <v>0</v>
      </c>
      <c r="T54" s="18">
        <f t="shared" si="26"/>
        <v>0</v>
      </c>
      <c r="U54" s="18">
        <f t="shared" si="26"/>
        <v>0</v>
      </c>
      <c r="V54" s="18">
        <f t="shared" si="26"/>
        <v>0</v>
      </c>
      <c r="W54" s="18">
        <f t="shared" si="26"/>
        <v>0</v>
      </c>
      <c r="X54" s="18">
        <f t="shared" si="26"/>
        <v>0</v>
      </c>
      <c r="Y54" s="18">
        <f t="shared" si="26"/>
        <v>0</v>
      </c>
      <c r="Z54" s="18">
        <f t="shared" si="26"/>
        <v>0</v>
      </c>
      <c r="AA54" s="18">
        <f t="shared" si="26"/>
        <v>0</v>
      </c>
      <c r="AB54" s="18">
        <f t="shared" si="26"/>
        <v>0</v>
      </c>
      <c r="AC54" s="18">
        <f t="shared" si="26"/>
        <v>0</v>
      </c>
      <c r="AD54" s="18">
        <f t="shared" si="26"/>
        <v>0</v>
      </c>
      <c r="AE54" s="18">
        <f t="shared" si="26"/>
        <v>0</v>
      </c>
      <c r="AF54" s="18">
        <f t="shared" si="26"/>
        <v>0</v>
      </c>
      <c r="AG54" s="18">
        <f t="shared" si="26"/>
        <v>0</v>
      </c>
      <c r="AH54" s="18">
        <f t="shared" si="26"/>
        <v>0</v>
      </c>
      <c r="AI54" s="18">
        <f t="shared" si="26"/>
        <v>121000000</v>
      </c>
      <c r="AJ54" s="18">
        <f t="shared" si="26"/>
        <v>0</v>
      </c>
      <c r="AK54" s="18">
        <f t="shared" si="26"/>
        <v>0</v>
      </c>
      <c r="AL54" s="18">
        <f t="shared" si="26"/>
        <v>0</v>
      </c>
      <c r="AM54" s="18">
        <f t="shared" si="26"/>
        <v>0</v>
      </c>
      <c r="AN54" s="18">
        <f t="shared" si="26"/>
        <v>0</v>
      </c>
      <c r="AO54" s="18">
        <f t="shared" si="26"/>
        <v>0</v>
      </c>
      <c r="AP54" s="18">
        <f t="shared" si="26"/>
        <v>0</v>
      </c>
      <c r="AQ54" s="18">
        <f t="shared" si="26"/>
        <v>0</v>
      </c>
      <c r="AR54" s="18">
        <f t="shared" si="26"/>
        <v>0</v>
      </c>
    </row>
    <row r="55" spans="1:44" x14ac:dyDescent="0.2">
      <c r="B55" s="1" t="s">
        <v>242</v>
      </c>
      <c r="C55" s="71" t="s">
        <v>77</v>
      </c>
      <c r="D55" s="70">
        <f>SUM(F55:AR55)</f>
        <v>56107062.020059042</v>
      </c>
      <c r="F55" s="18">
        <f t="shared" ref="F55:AR55" si="27">F50-F45</f>
        <v>0</v>
      </c>
      <c r="G55" s="18">
        <f t="shared" si="27"/>
        <v>0</v>
      </c>
      <c r="H55" s="18">
        <f t="shared" si="27"/>
        <v>0</v>
      </c>
      <c r="I55" s="18">
        <f t="shared" si="27"/>
        <v>0</v>
      </c>
      <c r="J55" s="18">
        <f t="shared" si="27"/>
        <v>0</v>
      </c>
      <c r="K55" s="18">
        <f t="shared" si="27"/>
        <v>0</v>
      </c>
      <c r="L55" s="18">
        <f t="shared" si="27"/>
        <v>0</v>
      </c>
      <c r="M55" s="18">
        <f t="shared" si="27"/>
        <v>0</v>
      </c>
      <c r="N55" s="18">
        <f t="shared" si="27"/>
        <v>0</v>
      </c>
      <c r="O55" s="18">
        <f t="shared" si="27"/>
        <v>0</v>
      </c>
      <c r="P55" s="18">
        <f t="shared" si="27"/>
        <v>0</v>
      </c>
      <c r="Q55" s="18">
        <f t="shared" si="27"/>
        <v>0</v>
      </c>
      <c r="R55" s="18">
        <f t="shared" si="27"/>
        <v>0</v>
      </c>
      <c r="S55" s="18">
        <f t="shared" si="27"/>
        <v>0</v>
      </c>
      <c r="T55" s="18">
        <f t="shared" si="27"/>
        <v>0</v>
      </c>
      <c r="U55" s="18">
        <f t="shared" si="27"/>
        <v>0</v>
      </c>
      <c r="V55" s="18">
        <f t="shared" si="27"/>
        <v>0</v>
      </c>
      <c r="W55" s="18">
        <f t="shared" si="27"/>
        <v>0</v>
      </c>
      <c r="X55" s="18">
        <f t="shared" si="27"/>
        <v>0</v>
      </c>
      <c r="Y55" s="18">
        <f t="shared" si="27"/>
        <v>0</v>
      </c>
      <c r="Z55" s="18">
        <f t="shared" si="27"/>
        <v>0</v>
      </c>
      <c r="AA55" s="18">
        <f t="shared" si="27"/>
        <v>0</v>
      </c>
      <c r="AB55" s="18">
        <f t="shared" si="27"/>
        <v>0</v>
      </c>
      <c r="AC55" s="18">
        <f t="shared" si="27"/>
        <v>0</v>
      </c>
      <c r="AD55" s="18">
        <f t="shared" si="27"/>
        <v>0</v>
      </c>
      <c r="AE55" s="18">
        <f t="shared" si="27"/>
        <v>0</v>
      </c>
      <c r="AF55" s="18">
        <f t="shared" si="27"/>
        <v>0</v>
      </c>
      <c r="AG55" s="18">
        <f t="shared" si="27"/>
        <v>0</v>
      </c>
      <c r="AH55" s="18">
        <f t="shared" si="27"/>
        <v>0</v>
      </c>
      <c r="AI55" s="18">
        <f t="shared" si="27"/>
        <v>56107062.020059042</v>
      </c>
      <c r="AJ55" s="18">
        <f t="shared" si="27"/>
        <v>0</v>
      </c>
      <c r="AK55" s="18">
        <f t="shared" si="27"/>
        <v>0</v>
      </c>
      <c r="AL55" s="18">
        <f t="shared" si="27"/>
        <v>0</v>
      </c>
      <c r="AM55" s="18">
        <f t="shared" si="27"/>
        <v>0</v>
      </c>
      <c r="AN55" s="18">
        <f t="shared" si="27"/>
        <v>0</v>
      </c>
      <c r="AO55" s="18">
        <f t="shared" si="27"/>
        <v>0</v>
      </c>
      <c r="AP55" s="18">
        <f t="shared" si="27"/>
        <v>0</v>
      </c>
      <c r="AQ55" s="18">
        <f t="shared" si="27"/>
        <v>0</v>
      </c>
      <c r="AR55" s="18">
        <f t="shared" si="27"/>
        <v>0</v>
      </c>
    </row>
    <row r="56" spans="1:44" x14ac:dyDescent="0.2">
      <c r="B56" s="1" t="s">
        <v>243</v>
      </c>
      <c r="C56" s="71" t="s">
        <v>77</v>
      </c>
      <c r="D56" s="70">
        <f>SUM(F56:AR56)</f>
        <v>20835654.654384106</v>
      </c>
      <c r="F56" s="18">
        <f t="shared" ref="F56:AR56" si="28">F51-F46</f>
        <v>0</v>
      </c>
      <c r="G56" s="18">
        <f t="shared" si="28"/>
        <v>0</v>
      </c>
      <c r="H56" s="18">
        <f t="shared" si="28"/>
        <v>0</v>
      </c>
      <c r="I56" s="18">
        <f t="shared" si="28"/>
        <v>0</v>
      </c>
      <c r="J56" s="18">
        <f t="shared" si="28"/>
        <v>0</v>
      </c>
      <c r="K56" s="18">
        <f t="shared" si="28"/>
        <v>0</v>
      </c>
      <c r="L56" s="18">
        <f t="shared" si="28"/>
        <v>0</v>
      </c>
      <c r="M56" s="18">
        <f t="shared" si="28"/>
        <v>0</v>
      </c>
      <c r="N56" s="18">
        <f t="shared" si="28"/>
        <v>0</v>
      </c>
      <c r="O56" s="18">
        <f t="shared" si="28"/>
        <v>0</v>
      </c>
      <c r="P56" s="18">
        <f t="shared" si="28"/>
        <v>0</v>
      </c>
      <c r="Q56" s="18">
        <f t="shared" si="28"/>
        <v>0</v>
      </c>
      <c r="R56" s="18">
        <f t="shared" si="28"/>
        <v>0</v>
      </c>
      <c r="S56" s="18">
        <f t="shared" si="28"/>
        <v>0</v>
      </c>
      <c r="T56" s="18">
        <f t="shared" si="28"/>
        <v>0</v>
      </c>
      <c r="U56" s="18">
        <f t="shared" si="28"/>
        <v>0</v>
      </c>
      <c r="V56" s="18">
        <f t="shared" si="28"/>
        <v>0</v>
      </c>
      <c r="W56" s="18">
        <f t="shared" si="28"/>
        <v>0</v>
      </c>
      <c r="X56" s="18">
        <f t="shared" si="28"/>
        <v>0</v>
      </c>
      <c r="Y56" s="18">
        <f t="shared" si="28"/>
        <v>0</v>
      </c>
      <c r="Z56" s="18">
        <f t="shared" si="28"/>
        <v>0</v>
      </c>
      <c r="AA56" s="18">
        <f t="shared" si="28"/>
        <v>0</v>
      </c>
      <c r="AB56" s="18">
        <f t="shared" si="28"/>
        <v>0</v>
      </c>
      <c r="AC56" s="18">
        <f t="shared" si="28"/>
        <v>0</v>
      </c>
      <c r="AD56" s="18">
        <f t="shared" si="28"/>
        <v>0</v>
      </c>
      <c r="AE56" s="18">
        <f t="shared" si="28"/>
        <v>0</v>
      </c>
      <c r="AF56" s="18">
        <f t="shared" si="28"/>
        <v>0</v>
      </c>
      <c r="AG56" s="18">
        <f t="shared" si="28"/>
        <v>0</v>
      </c>
      <c r="AH56" s="18">
        <f t="shared" si="28"/>
        <v>0</v>
      </c>
      <c r="AI56" s="18">
        <f t="shared" si="28"/>
        <v>20835654.654384106</v>
      </c>
      <c r="AJ56" s="18">
        <f t="shared" si="28"/>
        <v>0</v>
      </c>
      <c r="AK56" s="18">
        <f t="shared" si="28"/>
        <v>0</v>
      </c>
      <c r="AL56" s="18">
        <f t="shared" si="28"/>
        <v>0</v>
      </c>
      <c r="AM56" s="18">
        <f t="shared" si="28"/>
        <v>0</v>
      </c>
      <c r="AN56" s="18">
        <f t="shared" si="28"/>
        <v>0</v>
      </c>
      <c r="AO56" s="18">
        <f t="shared" si="28"/>
        <v>0</v>
      </c>
      <c r="AP56" s="18">
        <f t="shared" si="28"/>
        <v>0</v>
      </c>
      <c r="AQ56" s="18">
        <f t="shared" si="28"/>
        <v>0</v>
      </c>
      <c r="AR56" s="18">
        <f t="shared" si="28"/>
        <v>0</v>
      </c>
    </row>
    <row r="57" spans="1:44" x14ac:dyDescent="0.2">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row>
  </sheetData>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E532F-BDCC-40E0-B03A-EAE57CB62848}">
  <sheetPr>
    <tabColor theme="9"/>
  </sheetPr>
  <dimension ref="A1:AS69"/>
  <sheetViews>
    <sheetView workbookViewId="0">
      <pane xSplit="4" ySplit="13" topLeftCell="E60" activePane="bottomRight" state="frozen"/>
      <selection pane="topRight" activeCell="E1" sqref="E1"/>
      <selection pane="bottomLeft" activeCell="A12" sqref="A12"/>
      <selection pane="bottomRight" activeCell="D41" sqref="D41"/>
    </sheetView>
  </sheetViews>
  <sheetFormatPr defaultColWidth="0" defaultRowHeight="14.25" x14ac:dyDescent="0.2"/>
  <cols>
    <col min="1" max="1" width="10.5703125" style="1" customWidth="1"/>
    <col min="2" max="2" width="32.5703125" style="1" bestFit="1" customWidth="1"/>
    <col min="3" max="3" width="22.28515625" style="1" bestFit="1" customWidth="1"/>
    <col min="4" max="4" width="20" style="1" bestFit="1" customWidth="1"/>
    <col min="5" max="5" width="1.5703125" style="1" customWidth="1"/>
    <col min="6" max="44" width="14.42578125" style="1" customWidth="1"/>
    <col min="45" max="45" width="9.140625" style="1" customWidth="1"/>
    <col min="46" max="16384" width="9.140625" style="1" hidden="1"/>
  </cols>
  <sheetData>
    <row r="1" spans="1:44" ht="19.5" x14ac:dyDescent="0.3">
      <c r="A1" s="6" t="str">
        <f>'OUTPUT Summary'!$A$1</f>
        <v>ODOT Roosevelt Memorial Bridge US-70</v>
      </c>
    </row>
    <row r="2" spans="1:44" ht="19.5" x14ac:dyDescent="0.3">
      <c r="A2" s="6" t="s">
        <v>19</v>
      </c>
      <c r="C2" s="11"/>
    </row>
    <row r="3" spans="1:44" x14ac:dyDescent="0.2">
      <c r="A3" s="51">
        <f ca="1">'OUTPUT Summary'!A3</f>
        <v>45156</v>
      </c>
      <c r="C3" s="11"/>
    </row>
    <row r="4" spans="1:44" x14ac:dyDescent="0.2">
      <c r="A4" s="52" t="str">
        <f>'OUTPUT Summary'!A4</f>
        <v>All $ values 2021, unless otherwise noted</v>
      </c>
      <c r="C4" s="11"/>
    </row>
    <row r="5" spans="1:44" x14ac:dyDescent="0.2">
      <c r="B5" s="66"/>
      <c r="C5" s="11"/>
    </row>
    <row r="6" spans="1:44" x14ac:dyDescent="0.2">
      <c r="C6" s="1" t="s">
        <v>44</v>
      </c>
      <c r="D6" s="1" t="s">
        <v>45</v>
      </c>
    </row>
    <row r="7" spans="1:44" s="8" customFormat="1" x14ac:dyDescent="0.2">
      <c r="A7" s="8" t="s">
        <v>224</v>
      </c>
      <c r="C7" s="226" t="s">
        <v>224</v>
      </c>
      <c r="F7" s="8">
        <f>INPUTS!$E$12</f>
        <v>2018</v>
      </c>
      <c r="G7" s="8">
        <f>F7+1</f>
        <v>2019</v>
      </c>
      <c r="H7" s="8">
        <f t="shared" ref="H7:W8" si="0">G7+1</f>
        <v>2020</v>
      </c>
      <c r="I7" s="8">
        <f t="shared" si="0"/>
        <v>2021</v>
      </c>
      <c r="J7" s="8">
        <f t="shared" si="0"/>
        <v>2022</v>
      </c>
      <c r="K7" s="8">
        <f t="shared" si="0"/>
        <v>2023</v>
      </c>
      <c r="L7" s="8">
        <f t="shared" si="0"/>
        <v>2024</v>
      </c>
      <c r="M7" s="8">
        <f t="shared" si="0"/>
        <v>2025</v>
      </c>
      <c r="N7" s="8">
        <f t="shared" si="0"/>
        <v>2026</v>
      </c>
      <c r="O7" s="8">
        <f t="shared" si="0"/>
        <v>2027</v>
      </c>
      <c r="P7" s="8">
        <f t="shared" si="0"/>
        <v>2028</v>
      </c>
      <c r="Q7" s="8">
        <f t="shared" si="0"/>
        <v>2029</v>
      </c>
      <c r="R7" s="8">
        <f t="shared" si="0"/>
        <v>2030</v>
      </c>
      <c r="S7" s="8">
        <f t="shared" si="0"/>
        <v>2031</v>
      </c>
      <c r="T7" s="8">
        <f t="shared" si="0"/>
        <v>2032</v>
      </c>
      <c r="U7" s="8">
        <f t="shared" si="0"/>
        <v>2033</v>
      </c>
      <c r="V7" s="8">
        <f t="shared" si="0"/>
        <v>2034</v>
      </c>
      <c r="W7" s="8">
        <f t="shared" si="0"/>
        <v>2035</v>
      </c>
      <c r="X7" s="8">
        <f t="shared" ref="X7:AM8" si="1">W7+1</f>
        <v>2036</v>
      </c>
      <c r="Y7" s="8">
        <f t="shared" si="1"/>
        <v>2037</v>
      </c>
      <c r="Z7" s="8">
        <f t="shared" si="1"/>
        <v>2038</v>
      </c>
      <c r="AA7" s="8">
        <f t="shared" si="1"/>
        <v>2039</v>
      </c>
      <c r="AB7" s="8">
        <f t="shared" si="1"/>
        <v>2040</v>
      </c>
      <c r="AC7" s="8">
        <f t="shared" si="1"/>
        <v>2041</v>
      </c>
      <c r="AD7" s="8">
        <f t="shared" si="1"/>
        <v>2042</v>
      </c>
      <c r="AE7" s="8">
        <f t="shared" si="1"/>
        <v>2043</v>
      </c>
      <c r="AF7" s="8">
        <f t="shared" si="1"/>
        <v>2044</v>
      </c>
      <c r="AG7" s="8">
        <f t="shared" si="1"/>
        <v>2045</v>
      </c>
      <c r="AH7" s="8">
        <f t="shared" si="1"/>
        <v>2046</v>
      </c>
      <c r="AI7" s="8">
        <f t="shared" si="1"/>
        <v>2047</v>
      </c>
      <c r="AJ7" s="8">
        <f t="shared" si="1"/>
        <v>2048</v>
      </c>
      <c r="AK7" s="8">
        <f t="shared" si="1"/>
        <v>2049</v>
      </c>
      <c r="AL7" s="8">
        <f t="shared" si="1"/>
        <v>2050</v>
      </c>
      <c r="AM7" s="8">
        <f t="shared" si="1"/>
        <v>2051</v>
      </c>
      <c r="AN7" s="8">
        <f t="shared" ref="AN7:AR8" si="2">AM7+1</f>
        <v>2052</v>
      </c>
      <c r="AO7" s="8">
        <f t="shared" si="2"/>
        <v>2053</v>
      </c>
      <c r="AP7" s="8">
        <f t="shared" si="2"/>
        <v>2054</v>
      </c>
      <c r="AQ7" s="8">
        <f t="shared" si="2"/>
        <v>2055</v>
      </c>
      <c r="AR7" s="8">
        <f t="shared" si="2"/>
        <v>2056</v>
      </c>
    </row>
    <row r="8" spans="1:44" x14ac:dyDescent="0.2">
      <c r="B8" s="1" t="s">
        <v>225</v>
      </c>
      <c r="C8" s="21" t="s">
        <v>50</v>
      </c>
      <c r="F8" s="1">
        <f>D8+1</f>
        <v>1</v>
      </c>
      <c r="G8" s="1">
        <f t="shared" ref="G8" si="3">F8+1</f>
        <v>2</v>
      </c>
      <c r="H8" s="1">
        <f t="shared" si="0"/>
        <v>3</v>
      </c>
      <c r="I8" s="1">
        <f t="shared" si="0"/>
        <v>4</v>
      </c>
      <c r="J8" s="1">
        <f t="shared" si="0"/>
        <v>5</v>
      </c>
      <c r="K8" s="1">
        <f t="shared" si="0"/>
        <v>6</v>
      </c>
      <c r="L8" s="1">
        <f t="shared" si="0"/>
        <v>7</v>
      </c>
      <c r="M8" s="1">
        <f t="shared" si="0"/>
        <v>8</v>
      </c>
      <c r="N8" s="1">
        <f t="shared" si="0"/>
        <v>9</v>
      </c>
      <c r="O8" s="1">
        <f t="shared" si="0"/>
        <v>10</v>
      </c>
      <c r="P8" s="1">
        <f t="shared" si="0"/>
        <v>11</v>
      </c>
      <c r="Q8" s="1">
        <f t="shared" si="0"/>
        <v>12</v>
      </c>
      <c r="R8" s="1">
        <f t="shared" si="0"/>
        <v>13</v>
      </c>
      <c r="S8" s="1">
        <f t="shared" si="0"/>
        <v>14</v>
      </c>
      <c r="T8" s="1">
        <f t="shared" si="0"/>
        <v>15</v>
      </c>
      <c r="U8" s="1">
        <f t="shared" si="0"/>
        <v>16</v>
      </c>
      <c r="V8" s="1">
        <f t="shared" si="0"/>
        <v>17</v>
      </c>
      <c r="W8" s="1">
        <f t="shared" si="0"/>
        <v>18</v>
      </c>
      <c r="X8" s="1">
        <f t="shared" si="1"/>
        <v>19</v>
      </c>
      <c r="Y8" s="1">
        <f t="shared" si="1"/>
        <v>20</v>
      </c>
      <c r="Z8" s="1">
        <f t="shared" si="1"/>
        <v>21</v>
      </c>
      <c r="AA8" s="1">
        <f t="shared" si="1"/>
        <v>22</v>
      </c>
      <c r="AB8" s="1">
        <f t="shared" si="1"/>
        <v>23</v>
      </c>
      <c r="AC8" s="1">
        <f t="shared" si="1"/>
        <v>24</v>
      </c>
      <c r="AD8" s="1">
        <f t="shared" si="1"/>
        <v>25</v>
      </c>
      <c r="AE8" s="1">
        <f t="shared" si="1"/>
        <v>26</v>
      </c>
      <c r="AF8" s="1">
        <f t="shared" si="1"/>
        <v>27</v>
      </c>
      <c r="AG8" s="1">
        <f t="shared" si="1"/>
        <v>28</v>
      </c>
      <c r="AH8" s="1">
        <f t="shared" si="1"/>
        <v>29</v>
      </c>
      <c r="AI8" s="1">
        <f t="shared" si="1"/>
        <v>30</v>
      </c>
      <c r="AJ8" s="1">
        <f t="shared" si="1"/>
        <v>31</v>
      </c>
      <c r="AK8" s="1">
        <f t="shared" si="1"/>
        <v>32</v>
      </c>
      <c r="AL8" s="1">
        <f t="shared" si="1"/>
        <v>33</v>
      </c>
      <c r="AM8" s="1">
        <f t="shared" si="1"/>
        <v>34</v>
      </c>
      <c r="AN8" s="1">
        <f t="shared" si="2"/>
        <v>35</v>
      </c>
      <c r="AO8" s="1">
        <f t="shared" si="2"/>
        <v>36</v>
      </c>
      <c r="AP8" s="1">
        <f t="shared" si="2"/>
        <v>37</v>
      </c>
      <c r="AQ8" s="1">
        <f t="shared" si="2"/>
        <v>38</v>
      </c>
      <c r="AR8" s="1">
        <f t="shared" si="2"/>
        <v>39</v>
      </c>
    </row>
    <row r="9" spans="1:44" x14ac:dyDescent="0.2">
      <c r="B9" s="1" t="s">
        <v>226</v>
      </c>
      <c r="C9" s="21" t="s">
        <v>227</v>
      </c>
      <c r="F9" s="1">
        <f>IF(F7=INPUTS!$E$13,1,0)</f>
        <v>0</v>
      </c>
      <c r="G9" s="1">
        <f>IF(G7=INPUTS!$E$13,1,0)</f>
        <v>0</v>
      </c>
      <c r="H9" s="1">
        <f>IF(H7=INPUTS!$E$13,1,0)</f>
        <v>0</v>
      </c>
      <c r="I9" s="1">
        <f>IF(I7=INPUTS!$E$13,1,0)</f>
        <v>1</v>
      </c>
      <c r="J9" s="1">
        <f>IF(J7=INPUTS!$E$13,1,0)</f>
        <v>0</v>
      </c>
      <c r="K9" s="1">
        <f>IF(K7=INPUTS!$E$13,1,0)</f>
        <v>0</v>
      </c>
      <c r="L9" s="1">
        <f>IF(L7=INPUTS!$E$13,1,0)</f>
        <v>0</v>
      </c>
      <c r="M9" s="1">
        <f>IF(M7=INPUTS!$E$13,1,0)</f>
        <v>0</v>
      </c>
      <c r="N9" s="1">
        <f>IF(N7=INPUTS!$E$13,1,0)</f>
        <v>0</v>
      </c>
      <c r="O9" s="1">
        <f>IF(O7=INPUTS!$E$13,1,0)</f>
        <v>0</v>
      </c>
      <c r="P9" s="1">
        <f>IF(P7=INPUTS!$E$13,1,0)</f>
        <v>0</v>
      </c>
      <c r="Q9" s="1">
        <f>IF(Q7=INPUTS!$E$13,1,0)</f>
        <v>0</v>
      </c>
      <c r="R9" s="1">
        <f>IF(R7=INPUTS!$E$13,1,0)</f>
        <v>0</v>
      </c>
      <c r="S9" s="1">
        <f>IF(S7=INPUTS!$E$13,1,0)</f>
        <v>0</v>
      </c>
      <c r="T9" s="1">
        <f>IF(T7=INPUTS!$E$13,1,0)</f>
        <v>0</v>
      </c>
      <c r="U9" s="1">
        <f>IF(U7=INPUTS!$E$13,1,0)</f>
        <v>0</v>
      </c>
      <c r="V9" s="1">
        <f>IF(V7=INPUTS!$E$13,1,0)</f>
        <v>0</v>
      </c>
      <c r="W9" s="1">
        <f>IF(W7=INPUTS!$E$13,1,0)</f>
        <v>0</v>
      </c>
      <c r="X9" s="1">
        <f>IF(X7=INPUTS!$E$13,1,0)</f>
        <v>0</v>
      </c>
      <c r="Y9" s="1">
        <f>IF(Y7=INPUTS!$E$13,1,0)</f>
        <v>0</v>
      </c>
      <c r="Z9" s="1">
        <f>IF(Z7=INPUTS!$E$13,1,0)</f>
        <v>0</v>
      </c>
      <c r="AA9" s="1">
        <f>IF(AA7=INPUTS!$E$13,1,0)</f>
        <v>0</v>
      </c>
      <c r="AB9" s="1">
        <f>IF(AB7=INPUTS!$E$13,1,0)</f>
        <v>0</v>
      </c>
      <c r="AC9" s="1">
        <f>IF(AC7=INPUTS!$E$13,1,0)</f>
        <v>0</v>
      </c>
      <c r="AD9" s="1">
        <f>IF(AD7=INPUTS!$E$13,1,0)</f>
        <v>0</v>
      </c>
      <c r="AE9" s="1">
        <f>IF(AE7=INPUTS!$E$13,1,0)</f>
        <v>0</v>
      </c>
      <c r="AF9" s="1">
        <f>IF(AF7=INPUTS!$E$13,1,0)</f>
        <v>0</v>
      </c>
      <c r="AG9" s="1">
        <f>IF(AG7=INPUTS!$E$13,1,0)</f>
        <v>0</v>
      </c>
      <c r="AH9" s="1">
        <f>IF(AH7=INPUTS!$E$13,1,0)</f>
        <v>0</v>
      </c>
      <c r="AI9" s="1">
        <f>IF(AI7=INPUTS!$E$13,1,0)</f>
        <v>0</v>
      </c>
      <c r="AJ9" s="1">
        <f>IF(AJ7=INPUTS!$E$13,1,0)</f>
        <v>0</v>
      </c>
      <c r="AK9" s="1">
        <f>IF(AK7=INPUTS!$E$13,1,0)</f>
        <v>0</v>
      </c>
      <c r="AL9" s="1">
        <f>IF(AL7=INPUTS!$E$13,1,0)</f>
        <v>0</v>
      </c>
      <c r="AM9" s="1">
        <f>IF(AM7=INPUTS!$E$13,1,0)</f>
        <v>0</v>
      </c>
      <c r="AN9" s="1">
        <f>IF(AN7=INPUTS!$E$13,1,0)</f>
        <v>0</v>
      </c>
      <c r="AO9" s="1">
        <f>IF(AO7=INPUTS!$E$13,1,0)</f>
        <v>0</v>
      </c>
      <c r="AP9" s="1">
        <f>IF(AP7=INPUTS!$E$13,1,0)</f>
        <v>0</v>
      </c>
      <c r="AQ9" s="1">
        <f>IF(AQ7=INPUTS!$E$13,1,0)</f>
        <v>0</v>
      </c>
      <c r="AR9" s="1">
        <f>IF(AR7=INPUTS!$E$13,1,0)</f>
        <v>0</v>
      </c>
    </row>
    <row r="10" spans="1:44" x14ac:dyDescent="0.2">
      <c r="B10" s="1" t="s">
        <v>355</v>
      </c>
      <c r="C10" s="21" t="s">
        <v>227</v>
      </c>
      <c r="F10" s="1">
        <f>IF(F$7&gt;=INPUTS!$E$167+INPUTS!$E$169,1,0)</f>
        <v>0</v>
      </c>
      <c r="G10" s="1">
        <f>IF(G$7&gt;=INPUTS!$E$167+INPUTS!$E$169,1,0)</f>
        <v>0</v>
      </c>
      <c r="H10" s="1">
        <f>IF(H$7&gt;=INPUTS!$E$167+INPUTS!$E$169,1,0)</f>
        <v>0</v>
      </c>
      <c r="I10" s="1">
        <f>IF(I$7&gt;=INPUTS!$E$167+INPUTS!$E$169,1,0)</f>
        <v>0</v>
      </c>
      <c r="J10" s="1">
        <f>IF(J$7&gt;=INPUTS!$E$167+INPUTS!$E$169,1,0)</f>
        <v>0</v>
      </c>
      <c r="K10" s="1">
        <f>IF(K$7&gt;=INPUTS!$E$167+INPUTS!$E$169,1,0)</f>
        <v>0</v>
      </c>
      <c r="L10" s="1">
        <f>IF(L$7&gt;=INPUTS!$E$167+INPUTS!$E$169,1,0)</f>
        <v>0</v>
      </c>
      <c r="M10" s="1">
        <f>IF(M$7&gt;=INPUTS!$E$167+INPUTS!$E$169,1,0)</f>
        <v>0</v>
      </c>
      <c r="N10" s="1">
        <f>IF(N$7&gt;=INPUTS!$E$167+INPUTS!$E$169,1,0)</f>
        <v>0</v>
      </c>
      <c r="O10" s="1">
        <f>IF(O$7&gt;=INPUTS!$E$167+INPUTS!$E$169,1,0)</f>
        <v>0</v>
      </c>
      <c r="P10" s="1">
        <f>IF(P$7&gt;=INPUTS!$E$167+INPUTS!$E$169,1,0)</f>
        <v>0</v>
      </c>
      <c r="Q10" s="1">
        <f>IF(Q$7&gt;=INPUTS!$E$167+INPUTS!$E$169,1,0)</f>
        <v>0</v>
      </c>
      <c r="R10" s="1">
        <f>IF(R$7&gt;=INPUTS!$E$167+INPUTS!$E$169,1,0)</f>
        <v>0</v>
      </c>
      <c r="S10" s="1">
        <f>IF(S$7&gt;=INPUTS!$E$167+INPUTS!$E$169,1,0)</f>
        <v>0</v>
      </c>
      <c r="T10" s="1">
        <f>IF(T$7&gt;=INPUTS!$E$167+INPUTS!$E$169,1,0)</f>
        <v>0</v>
      </c>
      <c r="U10" s="1">
        <f>IF(U$7&gt;=INPUTS!$E$167+INPUTS!$E$169,1,0)</f>
        <v>1</v>
      </c>
      <c r="V10" s="1">
        <f>IF(V$7&gt;=INPUTS!$E$167+INPUTS!$E$169,1,0)</f>
        <v>1</v>
      </c>
      <c r="W10" s="1">
        <f>IF(W$7&gt;=INPUTS!$E$167+INPUTS!$E$169,1,0)</f>
        <v>1</v>
      </c>
      <c r="X10" s="1">
        <f>IF(X$7&gt;=INPUTS!$E$167+INPUTS!$E$169,1,0)</f>
        <v>1</v>
      </c>
      <c r="Y10" s="1">
        <f>IF(Y$7&gt;=INPUTS!$E$167+INPUTS!$E$169,1,0)</f>
        <v>1</v>
      </c>
      <c r="Z10" s="1">
        <f>IF(Z$7&gt;=INPUTS!$E$167+INPUTS!$E$169,1,0)</f>
        <v>1</v>
      </c>
      <c r="AA10" s="1">
        <f>IF(AA$7&gt;=INPUTS!$E$167+INPUTS!$E$169,1,0)</f>
        <v>1</v>
      </c>
      <c r="AB10" s="1">
        <f>IF(AB$7&gt;=INPUTS!$E$167+INPUTS!$E$169,1,0)</f>
        <v>1</v>
      </c>
      <c r="AC10" s="1">
        <f>IF(AC$7&gt;=INPUTS!$E$167+INPUTS!$E$169,1,0)</f>
        <v>1</v>
      </c>
      <c r="AD10" s="1">
        <f>IF(AD$7&gt;=INPUTS!$E$167+INPUTS!$E$169,1,0)</f>
        <v>1</v>
      </c>
      <c r="AE10" s="1">
        <f>IF(AE$7&gt;=INPUTS!$E$167+INPUTS!$E$169,1,0)</f>
        <v>1</v>
      </c>
      <c r="AF10" s="1">
        <f>IF(AF$7&gt;=INPUTS!$E$167+INPUTS!$E$169,1,0)</f>
        <v>1</v>
      </c>
      <c r="AG10" s="1">
        <f>IF(AG$7&gt;=INPUTS!$E$167+INPUTS!$E$169,1,0)</f>
        <v>1</v>
      </c>
      <c r="AH10" s="1">
        <f>IF(AH$7&gt;=INPUTS!$E$167+INPUTS!$E$169,1,0)</f>
        <v>1</v>
      </c>
      <c r="AI10" s="1">
        <f>IF(AI$7&gt;=INPUTS!$E$167+INPUTS!$E$169,1,0)</f>
        <v>1</v>
      </c>
      <c r="AJ10" s="1">
        <f>IF(AJ$7&gt;=INPUTS!$E$167+INPUTS!$E$169,1,0)</f>
        <v>1</v>
      </c>
      <c r="AK10" s="1">
        <f>IF(AK$7&gt;=INPUTS!$E$167+INPUTS!$E$169,1,0)</f>
        <v>1</v>
      </c>
      <c r="AL10" s="1">
        <f>IF(AL$7&gt;=INPUTS!$E$167+INPUTS!$E$169,1,0)</f>
        <v>1</v>
      </c>
      <c r="AM10" s="1">
        <f>IF(AM$7&gt;=INPUTS!$E$167+INPUTS!$E$169,1,0)</f>
        <v>1</v>
      </c>
      <c r="AN10" s="1">
        <f>IF(AN$7&gt;=INPUTS!$E$167+INPUTS!$E$169,1,0)</f>
        <v>1</v>
      </c>
      <c r="AO10" s="1">
        <f>IF(AO$7&gt;=INPUTS!$E$167+INPUTS!$E$169,1,0)</f>
        <v>1</v>
      </c>
      <c r="AP10" s="1">
        <f>IF(AP$7&gt;=INPUTS!$E$167+INPUTS!$E$169,1,0)</f>
        <v>1</v>
      </c>
      <c r="AQ10" s="1">
        <f>IF(AQ$7&gt;=INPUTS!$E$167+INPUTS!$E$169,1,0)</f>
        <v>1</v>
      </c>
      <c r="AR10" s="1">
        <f>IF(AR$7&gt;=INPUTS!$E$167+INPUTS!$E$169,1,0)</f>
        <v>1</v>
      </c>
    </row>
    <row r="11" spans="1:44" x14ac:dyDescent="0.2">
      <c r="B11" s="1" t="s">
        <v>356</v>
      </c>
      <c r="C11" s="21" t="s">
        <v>227</v>
      </c>
      <c r="F11" s="1">
        <f>IF(F$7&gt;=INPUTS!$E$167+INPUTS!$E$172,1,0)</f>
        <v>0</v>
      </c>
      <c r="G11" s="1">
        <f>IF(G$7&gt;=INPUTS!$E$167+INPUTS!$E$172,1,0)</f>
        <v>0</v>
      </c>
      <c r="H11" s="1">
        <f>IF(H$7&gt;=INPUTS!$E$167+INPUTS!$E$172,1,0)</f>
        <v>0</v>
      </c>
      <c r="I11" s="1">
        <f>IF(I$7&gt;=INPUTS!$E$167+INPUTS!$E$172,1,0)</f>
        <v>0</v>
      </c>
      <c r="J11" s="1">
        <f>IF(J$7&gt;=INPUTS!$E$167+INPUTS!$E$172,1,0)</f>
        <v>0</v>
      </c>
      <c r="K11" s="1">
        <f>IF(K$7&gt;=INPUTS!$E$167+INPUTS!$E$172,1,0)</f>
        <v>0</v>
      </c>
      <c r="L11" s="1">
        <f>IF(L$7&gt;=INPUTS!$E$167+INPUTS!$E$172,1,0)</f>
        <v>0</v>
      </c>
      <c r="M11" s="1">
        <f>IF(M$7&gt;=INPUTS!$E$167+INPUTS!$E$172,1,0)</f>
        <v>0</v>
      </c>
      <c r="N11" s="1">
        <f>IF(N$7&gt;=INPUTS!$E$167+INPUTS!$E$172,1,0)</f>
        <v>0</v>
      </c>
      <c r="O11" s="1">
        <f>IF(O$7&gt;=INPUTS!$E$167+INPUTS!$E$172,1,0)</f>
        <v>0</v>
      </c>
      <c r="P11" s="1">
        <f>IF(P$7&gt;=INPUTS!$E$167+INPUTS!$E$172,1,0)</f>
        <v>0</v>
      </c>
      <c r="Q11" s="1">
        <f>IF(Q$7&gt;=INPUTS!$E$167+INPUTS!$E$172,1,0)</f>
        <v>0</v>
      </c>
      <c r="R11" s="1">
        <f>IF(R$7&gt;=INPUTS!$E$167+INPUTS!$E$172,1,0)</f>
        <v>0</v>
      </c>
      <c r="S11" s="1">
        <f>IF(S$7&gt;=INPUTS!$E$167+INPUTS!$E$172,1,0)</f>
        <v>0</v>
      </c>
      <c r="T11" s="1">
        <f>IF(T$7&gt;=INPUTS!$E$167+INPUTS!$E$172,1,0)</f>
        <v>0</v>
      </c>
      <c r="U11" s="1">
        <f>IF(U$7&gt;=INPUTS!$E$167+INPUTS!$E$172,1,0)</f>
        <v>0</v>
      </c>
      <c r="V11" s="1">
        <f>IF(V$7&gt;=INPUTS!$E$167+INPUTS!$E$172,1,0)</f>
        <v>0</v>
      </c>
      <c r="W11" s="1">
        <f>IF(W$7&gt;=INPUTS!$E$167+INPUTS!$E$172,1,0)</f>
        <v>0</v>
      </c>
      <c r="X11" s="1">
        <f>IF(X$7&gt;=INPUTS!$E$167+INPUTS!$E$172,1,0)</f>
        <v>0</v>
      </c>
      <c r="Y11" s="1">
        <f>IF(Y$7&gt;=INPUTS!$E$167+INPUTS!$E$172,1,0)</f>
        <v>0</v>
      </c>
      <c r="Z11" s="1">
        <f>IF(Z$7&gt;=INPUTS!$E$167+INPUTS!$E$172,1,0)</f>
        <v>1</v>
      </c>
      <c r="AA11" s="1">
        <f>IF(AA$7&gt;=INPUTS!$E$167+INPUTS!$E$172,1,0)</f>
        <v>1</v>
      </c>
      <c r="AB11" s="1">
        <f>IF(AB$7&gt;=INPUTS!$E$167+INPUTS!$E$172,1,0)</f>
        <v>1</v>
      </c>
      <c r="AC11" s="1">
        <f>IF(AC$7&gt;=INPUTS!$E$167+INPUTS!$E$172,1,0)</f>
        <v>1</v>
      </c>
      <c r="AD11" s="1">
        <f>IF(AD$7&gt;=INPUTS!$E$167+INPUTS!$E$172,1,0)</f>
        <v>1</v>
      </c>
      <c r="AE11" s="1">
        <f>IF(AE$7&gt;=INPUTS!$E$167+INPUTS!$E$172,1,0)</f>
        <v>1</v>
      </c>
      <c r="AF11" s="1">
        <f>IF(AF$7&gt;=INPUTS!$E$167+INPUTS!$E$172,1,0)</f>
        <v>1</v>
      </c>
      <c r="AG11" s="1">
        <f>IF(AG$7&gt;=INPUTS!$E$167+INPUTS!$E$172,1,0)</f>
        <v>1</v>
      </c>
      <c r="AH11" s="1">
        <f>IF(AH$7&gt;=INPUTS!$E$167+INPUTS!$E$172,1,0)</f>
        <v>1</v>
      </c>
      <c r="AI11" s="1">
        <f>IF(AI$7&gt;=INPUTS!$E$167+INPUTS!$E$172,1,0)</f>
        <v>1</v>
      </c>
      <c r="AJ11" s="1">
        <f>IF(AJ$7&gt;=INPUTS!$E$167+INPUTS!$E$172,1,0)</f>
        <v>1</v>
      </c>
      <c r="AK11" s="1">
        <f>IF(AK$7&gt;=INPUTS!$E$167+INPUTS!$E$172,1,0)</f>
        <v>1</v>
      </c>
      <c r="AL11" s="1">
        <f>IF(AL$7&gt;=INPUTS!$E$167+INPUTS!$E$172,1,0)</f>
        <v>1</v>
      </c>
      <c r="AM11" s="1">
        <f>IF(AM$7&gt;=INPUTS!$E$167+INPUTS!$E$172,1,0)</f>
        <v>1</v>
      </c>
      <c r="AN11" s="1">
        <f>IF(AN$7&gt;=INPUTS!$E$167+INPUTS!$E$172,1,0)</f>
        <v>1</v>
      </c>
      <c r="AO11" s="1">
        <f>IF(AO$7&gt;=INPUTS!$E$167+INPUTS!$E$172,1,0)</f>
        <v>1</v>
      </c>
      <c r="AP11" s="1">
        <f>IF(AP$7&gt;=INPUTS!$E$167+INPUTS!$E$172,1,0)</f>
        <v>1</v>
      </c>
      <c r="AQ11" s="1">
        <f>IF(AQ$7&gt;=INPUTS!$E$167+INPUTS!$E$172,1,0)</f>
        <v>1</v>
      </c>
      <c r="AR11" s="1">
        <f>IF(AR$7&gt;=INPUTS!$E$167+INPUTS!$E$172,1,0)</f>
        <v>1</v>
      </c>
    </row>
    <row r="12" spans="1:44" x14ac:dyDescent="0.2">
      <c r="B12" s="1" t="s">
        <v>228</v>
      </c>
      <c r="C12" s="21" t="s">
        <v>57</v>
      </c>
      <c r="F12" s="1">
        <f t="shared" ref="F12:AR12" si="4">F7-$I$7+1</f>
        <v>-2</v>
      </c>
      <c r="G12" s="1">
        <f t="shared" si="4"/>
        <v>-1</v>
      </c>
      <c r="H12" s="1">
        <f t="shared" si="4"/>
        <v>0</v>
      </c>
      <c r="I12" s="1">
        <f t="shared" si="4"/>
        <v>1</v>
      </c>
      <c r="J12" s="1">
        <f t="shared" si="4"/>
        <v>2</v>
      </c>
      <c r="K12" s="1">
        <f t="shared" si="4"/>
        <v>3</v>
      </c>
      <c r="L12" s="1">
        <f t="shared" si="4"/>
        <v>4</v>
      </c>
      <c r="M12" s="1">
        <f t="shared" si="4"/>
        <v>5</v>
      </c>
      <c r="N12" s="1">
        <f t="shared" si="4"/>
        <v>6</v>
      </c>
      <c r="O12" s="1">
        <f t="shared" si="4"/>
        <v>7</v>
      </c>
      <c r="P12" s="1">
        <f t="shared" si="4"/>
        <v>8</v>
      </c>
      <c r="Q12" s="1">
        <f t="shared" si="4"/>
        <v>9</v>
      </c>
      <c r="R12" s="1">
        <f t="shared" si="4"/>
        <v>10</v>
      </c>
      <c r="S12" s="1">
        <f t="shared" si="4"/>
        <v>11</v>
      </c>
      <c r="T12" s="1">
        <f t="shared" si="4"/>
        <v>12</v>
      </c>
      <c r="U12" s="1">
        <f t="shared" si="4"/>
        <v>13</v>
      </c>
      <c r="V12" s="1">
        <f t="shared" si="4"/>
        <v>14</v>
      </c>
      <c r="W12" s="1">
        <f t="shared" si="4"/>
        <v>15</v>
      </c>
      <c r="X12" s="1">
        <f t="shared" si="4"/>
        <v>16</v>
      </c>
      <c r="Y12" s="1">
        <f t="shared" si="4"/>
        <v>17</v>
      </c>
      <c r="Z12" s="1">
        <f t="shared" si="4"/>
        <v>18</v>
      </c>
      <c r="AA12" s="1">
        <f t="shared" si="4"/>
        <v>19</v>
      </c>
      <c r="AB12" s="1">
        <f t="shared" si="4"/>
        <v>20</v>
      </c>
      <c r="AC12" s="1">
        <f t="shared" si="4"/>
        <v>21</v>
      </c>
      <c r="AD12" s="1">
        <f t="shared" si="4"/>
        <v>22</v>
      </c>
      <c r="AE12" s="1">
        <f t="shared" si="4"/>
        <v>23</v>
      </c>
      <c r="AF12" s="1">
        <f t="shared" si="4"/>
        <v>24</v>
      </c>
      <c r="AG12" s="1">
        <f t="shared" si="4"/>
        <v>25</v>
      </c>
      <c r="AH12" s="1">
        <f t="shared" si="4"/>
        <v>26</v>
      </c>
      <c r="AI12" s="1">
        <f t="shared" si="4"/>
        <v>27</v>
      </c>
      <c r="AJ12" s="1">
        <f t="shared" si="4"/>
        <v>28</v>
      </c>
      <c r="AK12" s="1">
        <f t="shared" si="4"/>
        <v>29</v>
      </c>
      <c r="AL12" s="1">
        <f t="shared" si="4"/>
        <v>30</v>
      </c>
      <c r="AM12" s="1">
        <f t="shared" si="4"/>
        <v>31</v>
      </c>
      <c r="AN12" s="1">
        <f t="shared" si="4"/>
        <v>32</v>
      </c>
      <c r="AO12" s="1">
        <f t="shared" si="4"/>
        <v>33</v>
      </c>
      <c r="AP12" s="1">
        <f t="shared" si="4"/>
        <v>34</v>
      </c>
      <c r="AQ12" s="1">
        <f t="shared" si="4"/>
        <v>35</v>
      </c>
      <c r="AR12" s="1">
        <f t="shared" si="4"/>
        <v>36</v>
      </c>
    </row>
    <row r="13" spans="1:44" x14ac:dyDescent="0.2">
      <c r="B13" s="1" t="s">
        <v>229</v>
      </c>
      <c r="C13" s="21" t="s">
        <v>227</v>
      </c>
      <c r="F13" s="1">
        <f>IF(AND(F7&gt;=INPUTS!$E$17,F7&lt;INPUTS!$E$21),1,0)</f>
        <v>0</v>
      </c>
      <c r="G13" s="1">
        <f>IF(AND(G7&gt;=INPUTS!$E$17,G7&lt;INPUTS!$E$21),1,0)</f>
        <v>0</v>
      </c>
      <c r="H13" s="1">
        <f>IF(AND(H7&gt;=INPUTS!$E$17,H7&lt;INPUTS!$E$21),1,0)</f>
        <v>0</v>
      </c>
      <c r="I13" s="1">
        <f>IF(AND(I7&gt;=INPUTS!$E$17,I7&lt;INPUTS!$E$21),1,0)</f>
        <v>0</v>
      </c>
      <c r="J13" s="1">
        <f>IF(AND(J7&gt;=INPUTS!$E$17,J7&lt;INPUTS!$E$21),1,0)</f>
        <v>0</v>
      </c>
      <c r="K13" s="1">
        <f>IF(AND(K7&gt;=INPUTS!$E$17,K7&lt;INPUTS!$E$21),1,0)</f>
        <v>0</v>
      </c>
      <c r="L13" s="1">
        <f>IF(AND(L7&gt;=INPUTS!$E$17,L7&lt;INPUTS!$E$21),1,0)</f>
        <v>0</v>
      </c>
      <c r="M13" s="1">
        <f>IF(AND(M7&gt;=INPUTS!$E$17,M7&lt;INPUTS!$E$21),1,0)</f>
        <v>0</v>
      </c>
      <c r="N13" s="1">
        <f>IF(AND(N7&gt;=INPUTS!$E$17,N7&lt;INPUTS!$E$21),1,0)</f>
        <v>0</v>
      </c>
      <c r="O13" s="1">
        <f>IF(AND(O7&gt;=INPUTS!$E$17,O7&lt;INPUTS!$E$21),1,0)</f>
        <v>0</v>
      </c>
      <c r="P13" s="1">
        <f>IF(AND(P7&gt;=INPUTS!$E$17,P7&lt;INPUTS!$E$21),1,0)</f>
        <v>1</v>
      </c>
      <c r="Q13" s="1">
        <f>IF(AND(Q7&gt;=INPUTS!$E$17,Q7&lt;INPUTS!$E$21),1,0)</f>
        <v>1</v>
      </c>
      <c r="R13" s="1">
        <f>IF(AND(R7&gt;=INPUTS!$E$17,R7&lt;INPUTS!$E$21),1,0)</f>
        <v>1</v>
      </c>
      <c r="S13" s="1">
        <f>IF(AND(S7&gt;=INPUTS!$E$17,S7&lt;INPUTS!$E$21),1,0)</f>
        <v>1</v>
      </c>
      <c r="T13" s="1">
        <f>IF(AND(T7&gt;=INPUTS!$E$17,T7&lt;INPUTS!$E$21),1,0)</f>
        <v>1</v>
      </c>
      <c r="U13" s="1">
        <f>IF(AND(U7&gt;=INPUTS!$E$17,U7&lt;INPUTS!$E$21),1,0)</f>
        <v>1</v>
      </c>
      <c r="V13" s="1">
        <f>IF(AND(V7&gt;=INPUTS!$E$17,V7&lt;INPUTS!$E$21),1,0)</f>
        <v>1</v>
      </c>
      <c r="W13" s="1">
        <f>IF(AND(W7&gt;=INPUTS!$E$17,W7&lt;INPUTS!$E$21),1,0)</f>
        <v>1</v>
      </c>
      <c r="X13" s="1">
        <f>IF(AND(X7&gt;=INPUTS!$E$17,X7&lt;INPUTS!$E$21),1,0)</f>
        <v>1</v>
      </c>
      <c r="Y13" s="1">
        <f>IF(AND(Y7&gt;=INPUTS!$E$17,Y7&lt;INPUTS!$E$21),1,0)</f>
        <v>1</v>
      </c>
      <c r="Z13" s="1">
        <f>IF(AND(Z7&gt;=INPUTS!$E$17,Z7&lt;INPUTS!$E$21),1,0)</f>
        <v>1</v>
      </c>
      <c r="AA13" s="1">
        <f>IF(AND(AA7&gt;=INPUTS!$E$17,AA7&lt;INPUTS!$E$21),1,0)</f>
        <v>1</v>
      </c>
      <c r="AB13" s="1">
        <f>IF(AND(AB7&gt;=INPUTS!$E$17,AB7&lt;INPUTS!$E$21),1,0)</f>
        <v>1</v>
      </c>
      <c r="AC13" s="1">
        <f>IF(AND(AC7&gt;=INPUTS!$E$17,AC7&lt;INPUTS!$E$21),1,0)</f>
        <v>1</v>
      </c>
      <c r="AD13" s="1">
        <f>IF(AND(AD7&gt;=INPUTS!$E$17,AD7&lt;INPUTS!$E$21),1,0)</f>
        <v>1</v>
      </c>
      <c r="AE13" s="1">
        <f>IF(AND(AE7&gt;=INPUTS!$E$17,AE7&lt;INPUTS!$E$21),1,0)</f>
        <v>1</v>
      </c>
      <c r="AF13" s="1">
        <f>IF(AND(AF7&gt;=INPUTS!$E$17,AF7&lt;INPUTS!$E$21),1,0)</f>
        <v>1</v>
      </c>
      <c r="AG13" s="1">
        <f>IF(AND(AG7&gt;=INPUTS!$E$17,AG7&lt;INPUTS!$E$21),1,0)</f>
        <v>1</v>
      </c>
      <c r="AH13" s="1">
        <f>IF(AND(AH7&gt;=INPUTS!$E$17,AH7&lt;INPUTS!$E$21),1,0)</f>
        <v>1</v>
      </c>
      <c r="AI13" s="1">
        <f>IF(AND(AI7&gt;=INPUTS!$E$17,AI7&lt;INPUTS!$E$21),1,0)</f>
        <v>1</v>
      </c>
      <c r="AJ13" s="1">
        <f>IF(AND(AJ7&gt;=INPUTS!$E$17,AJ7&lt;INPUTS!$E$21),1,0)</f>
        <v>0</v>
      </c>
      <c r="AK13" s="1">
        <f>IF(AND(AK7&gt;=INPUTS!$E$17,AK7&lt;INPUTS!$E$21),1,0)</f>
        <v>0</v>
      </c>
      <c r="AL13" s="1">
        <f>IF(AND(AL7&gt;=INPUTS!$E$17,AL7&lt;INPUTS!$E$21),1,0)</f>
        <v>0</v>
      </c>
      <c r="AM13" s="1">
        <f>IF(AND(AM7&gt;=INPUTS!$E$17,AM7&lt;INPUTS!$E$21),1,0)</f>
        <v>0</v>
      </c>
      <c r="AN13" s="1">
        <f>IF(AND(AN7&gt;=INPUTS!$E$17,AN7&lt;INPUTS!$E$21),1,0)</f>
        <v>0</v>
      </c>
      <c r="AO13" s="1">
        <f>IF(AND(AO7&gt;=INPUTS!$E$17,AO7&lt;INPUTS!$E$21),1,0)</f>
        <v>0</v>
      </c>
      <c r="AP13" s="1">
        <f>IF(AND(AP7&gt;=INPUTS!$E$17,AP7&lt;INPUTS!$E$21),1,0)</f>
        <v>0</v>
      </c>
      <c r="AQ13" s="1">
        <f>IF(AND(AQ7&gt;=INPUTS!$E$17,AQ7&lt;INPUTS!$E$21),1,0)</f>
        <v>0</v>
      </c>
      <c r="AR13" s="1">
        <f>IF(AND(AR7&gt;=INPUTS!$E$17,AR7&lt;INPUTS!$E$21),1,0)</f>
        <v>0</v>
      </c>
    </row>
    <row r="14" spans="1:44" ht="15" x14ac:dyDescent="0.25">
      <c r="A14" s="2" t="s">
        <v>230</v>
      </c>
      <c r="C14" s="21"/>
    </row>
    <row r="15" spans="1:44" x14ac:dyDescent="0.2">
      <c r="B15" s="1" t="s">
        <v>231</v>
      </c>
      <c r="C15" s="21" t="s">
        <v>50</v>
      </c>
      <c r="F15" s="1">
        <f>(F13+D15)*F13</f>
        <v>0</v>
      </c>
      <c r="G15" s="1">
        <f t="shared" ref="G15:AG15" si="5">(G13+F15)*G13</f>
        <v>0</v>
      </c>
      <c r="H15" s="1">
        <f t="shared" si="5"/>
        <v>0</v>
      </c>
      <c r="I15" s="1">
        <f t="shared" si="5"/>
        <v>0</v>
      </c>
      <c r="J15" s="1">
        <f t="shared" si="5"/>
        <v>0</v>
      </c>
      <c r="K15" s="1">
        <f t="shared" si="5"/>
        <v>0</v>
      </c>
      <c r="L15" s="1">
        <f t="shared" si="5"/>
        <v>0</v>
      </c>
      <c r="M15" s="1">
        <f t="shared" si="5"/>
        <v>0</v>
      </c>
      <c r="N15" s="1">
        <f t="shared" si="5"/>
        <v>0</v>
      </c>
      <c r="O15" s="1">
        <f t="shared" si="5"/>
        <v>0</v>
      </c>
      <c r="P15" s="1">
        <f t="shared" si="5"/>
        <v>1</v>
      </c>
      <c r="Q15" s="1">
        <f t="shared" si="5"/>
        <v>2</v>
      </c>
      <c r="R15" s="1">
        <f t="shared" si="5"/>
        <v>3</v>
      </c>
      <c r="S15" s="1">
        <f t="shared" si="5"/>
        <v>4</v>
      </c>
      <c r="T15" s="1">
        <f t="shared" si="5"/>
        <v>5</v>
      </c>
      <c r="U15" s="1">
        <f t="shared" si="5"/>
        <v>6</v>
      </c>
      <c r="V15" s="1">
        <f t="shared" si="5"/>
        <v>7</v>
      </c>
      <c r="W15" s="1">
        <f t="shared" si="5"/>
        <v>8</v>
      </c>
      <c r="X15" s="1">
        <f t="shared" si="5"/>
        <v>9</v>
      </c>
      <c r="Y15" s="1">
        <f t="shared" si="5"/>
        <v>10</v>
      </c>
      <c r="Z15" s="1">
        <f t="shared" si="5"/>
        <v>11</v>
      </c>
      <c r="AA15" s="1">
        <f t="shared" si="5"/>
        <v>12</v>
      </c>
      <c r="AB15" s="1">
        <f t="shared" si="5"/>
        <v>13</v>
      </c>
      <c r="AC15" s="1">
        <f t="shared" si="5"/>
        <v>14</v>
      </c>
      <c r="AD15" s="1">
        <f t="shared" si="5"/>
        <v>15</v>
      </c>
      <c r="AE15" s="1">
        <f t="shared" si="5"/>
        <v>16</v>
      </c>
      <c r="AF15" s="1">
        <f t="shared" si="5"/>
        <v>17</v>
      </c>
      <c r="AG15" s="1">
        <f t="shared" si="5"/>
        <v>18</v>
      </c>
      <c r="AH15" s="1">
        <f>(AH13+AG15)*AH13</f>
        <v>19</v>
      </c>
      <c r="AI15" s="1">
        <f t="shared" ref="AI15:AR15" si="6">(AI13+AH15)*AI13</f>
        <v>20</v>
      </c>
      <c r="AJ15" s="1">
        <f t="shared" si="6"/>
        <v>0</v>
      </c>
      <c r="AK15" s="1">
        <f t="shared" si="6"/>
        <v>0</v>
      </c>
      <c r="AL15" s="1">
        <f t="shared" si="6"/>
        <v>0</v>
      </c>
      <c r="AM15" s="1">
        <f t="shared" si="6"/>
        <v>0</v>
      </c>
      <c r="AN15" s="1">
        <f t="shared" si="6"/>
        <v>0</v>
      </c>
      <c r="AO15" s="1">
        <f t="shared" si="6"/>
        <v>0</v>
      </c>
      <c r="AP15" s="1">
        <f t="shared" si="6"/>
        <v>0</v>
      </c>
      <c r="AQ15" s="1">
        <f t="shared" si="6"/>
        <v>0</v>
      </c>
      <c r="AR15" s="1">
        <f t="shared" si="6"/>
        <v>0</v>
      </c>
    </row>
    <row r="16" spans="1:44" ht="15" x14ac:dyDescent="0.25">
      <c r="A16" s="2" t="s">
        <v>8</v>
      </c>
      <c r="C16" s="21"/>
    </row>
    <row r="17" spans="1:44" x14ac:dyDescent="0.2">
      <c r="B17" s="1" t="s">
        <v>67</v>
      </c>
      <c r="C17" s="21" t="s">
        <v>50</v>
      </c>
      <c r="D17" s="69">
        <f>INPUTS!E24</f>
        <v>0</v>
      </c>
      <c r="E17" s="69"/>
      <c r="F17" s="3">
        <f>1/(1+$D17)^(F$12-1)</f>
        <v>1</v>
      </c>
      <c r="G17" s="3">
        <f t="shared" ref="G17:AR17" si="7">1/(1+$D17)^(G$12-1)</f>
        <v>1</v>
      </c>
      <c r="H17" s="3">
        <f t="shared" si="7"/>
        <v>1</v>
      </c>
      <c r="I17" s="3">
        <f t="shared" si="7"/>
        <v>1</v>
      </c>
      <c r="J17" s="3">
        <f t="shared" si="7"/>
        <v>1</v>
      </c>
      <c r="K17" s="3">
        <f t="shared" si="7"/>
        <v>1</v>
      </c>
      <c r="L17" s="3">
        <f t="shared" si="7"/>
        <v>1</v>
      </c>
      <c r="M17" s="3">
        <f t="shared" si="7"/>
        <v>1</v>
      </c>
      <c r="N17" s="3">
        <f t="shared" si="7"/>
        <v>1</v>
      </c>
      <c r="O17" s="3">
        <f t="shared" si="7"/>
        <v>1</v>
      </c>
      <c r="P17" s="3">
        <f t="shared" si="7"/>
        <v>1</v>
      </c>
      <c r="Q17" s="3">
        <f t="shared" si="7"/>
        <v>1</v>
      </c>
      <c r="R17" s="3">
        <f t="shared" si="7"/>
        <v>1</v>
      </c>
      <c r="S17" s="3">
        <f t="shared" si="7"/>
        <v>1</v>
      </c>
      <c r="T17" s="3">
        <f t="shared" si="7"/>
        <v>1</v>
      </c>
      <c r="U17" s="3">
        <f t="shared" si="7"/>
        <v>1</v>
      </c>
      <c r="V17" s="3">
        <f t="shared" si="7"/>
        <v>1</v>
      </c>
      <c r="W17" s="3">
        <f t="shared" si="7"/>
        <v>1</v>
      </c>
      <c r="X17" s="3">
        <f t="shared" si="7"/>
        <v>1</v>
      </c>
      <c r="Y17" s="3">
        <f t="shared" si="7"/>
        <v>1</v>
      </c>
      <c r="Z17" s="3">
        <f t="shared" si="7"/>
        <v>1</v>
      </c>
      <c r="AA17" s="3">
        <f t="shared" si="7"/>
        <v>1</v>
      </c>
      <c r="AB17" s="3">
        <f t="shared" si="7"/>
        <v>1</v>
      </c>
      <c r="AC17" s="3">
        <f t="shared" si="7"/>
        <v>1</v>
      </c>
      <c r="AD17" s="3">
        <f t="shared" si="7"/>
        <v>1</v>
      </c>
      <c r="AE17" s="3">
        <f t="shared" si="7"/>
        <v>1</v>
      </c>
      <c r="AF17" s="3">
        <f t="shared" si="7"/>
        <v>1</v>
      </c>
      <c r="AG17" s="3">
        <f t="shared" si="7"/>
        <v>1</v>
      </c>
      <c r="AH17" s="3">
        <f t="shared" si="7"/>
        <v>1</v>
      </c>
      <c r="AI17" s="3">
        <f t="shared" si="7"/>
        <v>1</v>
      </c>
      <c r="AJ17" s="3">
        <f t="shared" si="7"/>
        <v>1</v>
      </c>
      <c r="AK17" s="3">
        <f t="shared" si="7"/>
        <v>1</v>
      </c>
      <c r="AL17" s="3">
        <f t="shared" si="7"/>
        <v>1</v>
      </c>
      <c r="AM17" s="3">
        <f t="shared" si="7"/>
        <v>1</v>
      </c>
      <c r="AN17" s="3">
        <f t="shared" si="7"/>
        <v>1</v>
      </c>
      <c r="AO17" s="3">
        <f t="shared" si="7"/>
        <v>1</v>
      </c>
      <c r="AP17" s="3">
        <f t="shared" si="7"/>
        <v>1</v>
      </c>
      <c r="AQ17" s="3">
        <f t="shared" si="7"/>
        <v>1</v>
      </c>
      <c r="AR17" s="3">
        <f t="shared" si="7"/>
        <v>1</v>
      </c>
    </row>
    <row r="18" spans="1:44" x14ac:dyDescent="0.2">
      <c r="B18" s="1" t="s">
        <v>69</v>
      </c>
      <c r="C18" s="21" t="s">
        <v>50</v>
      </c>
      <c r="D18" s="69">
        <f>INPUTS!E25</f>
        <v>0.03</v>
      </c>
      <c r="E18" s="69"/>
      <c r="F18" s="3">
        <f t="shared" ref="F18:G18" si="8">MIN(1,IF(F12=0,1,1/(1+$D18)^(F$12-1)))</f>
        <v>1</v>
      </c>
      <c r="G18" s="3">
        <f t="shared" si="8"/>
        <v>1</v>
      </c>
      <c r="H18" s="3">
        <f>MIN(1,IF(H12=0,1,1/(1+$D18)^(H$12-1)))</f>
        <v>1</v>
      </c>
      <c r="I18" s="3">
        <f t="shared" ref="I18:AR18" si="9">MIN(1,IF(I12=0,1,1/(1+$D18)^(I$12-1)))</f>
        <v>1</v>
      </c>
      <c r="J18" s="3">
        <f t="shared" si="9"/>
        <v>0.970873786407767</v>
      </c>
      <c r="K18" s="3">
        <f t="shared" si="9"/>
        <v>0.94259590913375435</v>
      </c>
      <c r="L18" s="3">
        <f t="shared" si="9"/>
        <v>0.91514165935315961</v>
      </c>
      <c r="M18" s="3">
        <f t="shared" si="9"/>
        <v>0.888487047915689</v>
      </c>
      <c r="N18" s="3">
        <f t="shared" si="9"/>
        <v>0.86260878438416411</v>
      </c>
      <c r="O18" s="3">
        <f t="shared" si="9"/>
        <v>0.83748425668365445</v>
      </c>
      <c r="P18" s="3">
        <f t="shared" si="9"/>
        <v>0.81309151134335378</v>
      </c>
      <c r="Q18" s="3">
        <f t="shared" si="9"/>
        <v>0.78940923431393573</v>
      </c>
      <c r="R18" s="3">
        <f t="shared" si="9"/>
        <v>0.76641673234362695</v>
      </c>
      <c r="S18" s="3">
        <f t="shared" si="9"/>
        <v>0.74409391489672516</v>
      </c>
      <c r="T18" s="3">
        <f t="shared" si="9"/>
        <v>0.72242127659876232</v>
      </c>
      <c r="U18" s="3">
        <f t="shared" si="9"/>
        <v>0.70137988019297326</v>
      </c>
      <c r="V18" s="3">
        <f t="shared" si="9"/>
        <v>0.68095133999317792</v>
      </c>
      <c r="W18" s="3">
        <f t="shared" si="9"/>
        <v>0.66111780581861923</v>
      </c>
      <c r="X18" s="3">
        <f t="shared" si="9"/>
        <v>0.64186194739671765</v>
      </c>
      <c r="Y18" s="3">
        <f t="shared" si="9"/>
        <v>0.62316693922011435</v>
      </c>
      <c r="Z18" s="3">
        <f t="shared" si="9"/>
        <v>0.60501644584477121</v>
      </c>
      <c r="AA18" s="3">
        <f t="shared" si="9"/>
        <v>0.5873946076162827</v>
      </c>
      <c r="AB18" s="3">
        <f t="shared" si="9"/>
        <v>0.57028602681192497</v>
      </c>
      <c r="AC18" s="3">
        <f t="shared" si="9"/>
        <v>0.55367575418633497</v>
      </c>
      <c r="AD18" s="3">
        <f t="shared" si="9"/>
        <v>0.5375492759090631</v>
      </c>
      <c r="AE18" s="3">
        <f t="shared" si="9"/>
        <v>0.52189250088258554</v>
      </c>
      <c r="AF18" s="3">
        <f t="shared" si="9"/>
        <v>0.50669174842969467</v>
      </c>
      <c r="AG18" s="3">
        <f t="shared" si="9"/>
        <v>0.49193373633950943</v>
      </c>
      <c r="AH18" s="3">
        <f t="shared" si="9"/>
        <v>0.47760556926165965</v>
      </c>
      <c r="AI18" s="3">
        <f t="shared" si="9"/>
        <v>0.46369472743850448</v>
      </c>
      <c r="AJ18" s="3">
        <f t="shared" si="9"/>
        <v>0.45018905576553836</v>
      </c>
      <c r="AK18" s="3">
        <f t="shared" si="9"/>
        <v>0.4370767531704256</v>
      </c>
      <c r="AL18" s="3">
        <f t="shared" si="9"/>
        <v>0.42434636230138412</v>
      </c>
      <c r="AM18" s="3">
        <f t="shared" si="9"/>
        <v>0.41198675951590691</v>
      </c>
      <c r="AN18" s="3">
        <f t="shared" si="9"/>
        <v>0.39998714516107459</v>
      </c>
      <c r="AO18" s="3">
        <f t="shared" si="9"/>
        <v>0.38833703413696569</v>
      </c>
      <c r="AP18" s="3">
        <f t="shared" si="9"/>
        <v>0.37702624673491814</v>
      </c>
      <c r="AQ18" s="3">
        <f t="shared" si="9"/>
        <v>0.36604489974263904</v>
      </c>
      <c r="AR18" s="3">
        <f t="shared" si="9"/>
        <v>0.35538339780838735</v>
      </c>
    </row>
    <row r="19" spans="1:44" x14ac:dyDescent="0.2">
      <c r="B19" s="1" t="s">
        <v>70</v>
      </c>
      <c r="C19" s="21" t="s">
        <v>50</v>
      </c>
      <c r="D19" s="69">
        <f>INPUTS!E26</f>
        <v>7.0000000000000007E-2</v>
      </c>
      <c r="E19" s="69"/>
      <c r="F19" s="3">
        <f t="shared" ref="F19:G19" si="10">MIN(1,IF(F12=0,1,1/(1+$D19)^(F$12-1)))</f>
        <v>1</v>
      </c>
      <c r="G19" s="3">
        <f t="shared" si="10"/>
        <v>1</v>
      </c>
      <c r="H19" s="3">
        <f>MIN(1,IF(H12=0,1,1/(1+$D19)^(H$12-1)))</f>
        <v>1</v>
      </c>
      <c r="I19" s="3">
        <f t="shared" ref="I19:AR19" si="11">MIN(1,IF(I12=0,1,1/(1+$D19)^(I$12-1)))</f>
        <v>1</v>
      </c>
      <c r="J19" s="3">
        <f t="shared" si="11"/>
        <v>0.93457943925233644</v>
      </c>
      <c r="K19" s="3">
        <f t="shared" si="11"/>
        <v>0.87343872827321156</v>
      </c>
      <c r="L19" s="3">
        <f t="shared" si="11"/>
        <v>0.81629787689085187</v>
      </c>
      <c r="M19" s="3">
        <f t="shared" si="11"/>
        <v>0.7628952120475252</v>
      </c>
      <c r="N19" s="3">
        <f t="shared" si="11"/>
        <v>0.71298617948366838</v>
      </c>
      <c r="O19" s="3">
        <f t="shared" si="11"/>
        <v>0.66634222381651254</v>
      </c>
      <c r="P19" s="3">
        <f t="shared" si="11"/>
        <v>0.62274974188459109</v>
      </c>
      <c r="Q19" s="3">
        <f t="shared" si="11"/>
        <v>0.5820091045650384</v>
      </c>
      <c r="R19" s="3">
        <f t="shared" si="11"/>
        <v>0.54393374258414806</v>
      </c>
      <c r="S19" s="3">
        <f t="shared" si="11"/>
        <v>0.5083492921347178</v>
      </c>
      <c r="T19" s="3">
        <f t="shared" si="11"/>
        <v>0.47509279638758667</v>
      </c>
      <c r="U19" s="3">
        <f t="shared" si="11"/>
        <v>0.44401195924073528</v>
      </c>
      <c r="V19" s="3">
        <f t="shared" si="11"/>
        <v>0.41496444788853759</v>
      </c>
      <c r="W19" s="3">
        <f t="shared" si="11"/>
        <v>0.3878172410173249</v>
      </c>
      <c r="X19" s="3">
        <f t="shared" si="11"/>
        <v>0.36244601964235967</v>
      </c>
      <c r="Y19" s="3">
        <f t="shared" si="11"/>
        <v>0.33873459779659787</v>
      </c>
      <c r="Z19" s="3">
        <f t="shared" si="11"/>
        <v>0.31657439046411018</v>
      </c>
      <c r="AA19" s="3">
        <f t="shared" si="11"/>
        <v>0.29586391632159825</v>
      </c>
      <c r="AB19" s="3">
        <f t="shared" si="11"/>
        <v>0.27650833301083949</v>
      </c>
      <c r="AC19" s="3">
        <f t="shared" si="11"/>
        <v>0.2584190028138687</v>
      </c>
      <c r="AD19" s="3">
        <f t="shared" si="11"/>
        <v>0.24151308674193336</v>
      </c>
      <c r="AE19" s="3">
        <f t="shared" si="11"/>
        <v>0.22571316517937698</v>
      </c>
      <c r="AF19" s="3">
        <f t="shared" si="11"/>
        <v>0.21094688334521211</v>
      </c>
      <c r="AG19" s="3">
        <f t="shared" si="11"/>
        <v>0.19714661994879637</v>
      </c>
      <c r="AH19" s="3">
        <f t="shared" si="11"/>
        <v>0.18424917752223957</v>
      </c>
      <c r="AI19" s="3">
        <f t="shared" si="11"/>
        <v>0.17219549301143888</v>
      </c>
      <c r="AJ19" s="3">
        <f t="shared" si="11"/>
        <v>0.16093036730041013</v>
      </c>
      <c r="AK19" s="3">
        <f t="shared" si="11"/>
        <v>0.15040221243028987</v>
      </c>
      <c r="AL19" s="3">
        <f t="shared" si="11"/>
        <v>0.1405628153554111</v>
      </c>
      <c r="AM19" s="3">
        <f t="shared" si="11"/>
        <v>0.13136711715458982</v>
      </c>
      <c r="AN19" s="3">
        <f t="shared" si="11"/>
        <v>0.1227730066865325</v>
      </c>
      <c r="AO19" s="3">
        <f t="shared" si="11"/>
        <v>0.11474112774442291</v>
      </c>
      <c r="AP19" s="3">
        <f t="shared" si="11"/>
        <v>0.10723469882656347</v>
      </c>
      <c r="AQ19" s="3">
        <f t="shared" si="11"/>
        <v>0.10021934469772288</v>
      </c>
      <c r="AR19" s="3">
        <f t="shared" si="11"/>
        <v>9.366293896983445E-2</v>
      </c>
    </row>
    <row r="21" spans="1:44" x14ac:dyDescent="0.2">
      <c r="B21" s="1" t="s">
        <v>232</v>
      </c>
      <c r="C21" s="1" t="s">
        <v>44</v>
      </c>
      <c r="D21" s="1" t="s">
        <v>45</v>
      </c>
    </row>
    <row r="22" spans="1:44" s="8" customFormat="1" x14ac:dyDescent="0.2">
      <c r="A22" s="7" t="s">
        <v>233</v>
      </c>
    </row>
    <row r="23" spans="1:44" ht="15" x14ac:dyDescent="0.25">
      <c r="A23" s="2"/>
      <c r="C23" s="20"/>
    </row>
    <row r="24" spans="1:44" ht="15" x14ac:dyDescent="0.25">
      <c r="A24" s="2"/>
      <c r="B24" s="2" t="s">
        <v>357</v>
      </c>
      <c r="C24" s="20"/>
    </row>
    <row r="25" spans="1:44" x14ac:dyDescent="0.2">
      <c r="B25" s="1" t="s">
        <v>256</v>
      </c>
      <c r="C25" s="21" t="s">
        <v>251</v>
      </c>
      <c r="D25" s="70">
        <f>SUM(F25:AR25)</f>
        <v>231672572.2969653</v>
      </c>
      <c r="F25" s="18">
        <f>'CALCS Traffic'!F28</f>
        <v>2509132.2306146482</v>
      </c>
      <c r="G25" s="18">
        <f>'CALCS Traffic'!G28</f>
        <v>2611802.3998818607</v>
      </c>
      <c r="H25" s="18">
        <f>'CALCS Traffic'!H28</f>
        <v>2718673.6883761678</v>
      </c>
      <c r="I25" s="18">
        <f>'CALCS Traffic'!I28</f>
        <v>2829918</v>
      </c>
      <c r="J25" s="18">
        <f>'CALCS Traffic'!J28</f>
        <v>2945714.2727222065</v>
      </c>
      <c r="K25" s="18">
        <f>'CALCS Traffic'!K28</f>
        <v>3066248.7664021775</v>
      </c>
      <c r="L25" s="18">
        <f>'CALCS Traffic'!L28</f>
        <v>3191715.3623913317</v>
      </c>
      <c r="M25" s="18">
        <f>'CALCS Traffic'!M28</f>
        <v>3322315.8753938717</v>
      </c>
      <c r="N25" s="18">
        <f>'CALCS Traffic'!N28</f>
        <v>3458260.3780884459</v>
      </c>
      <c r="O25" s="18">
        <f>'CALCS Traffic'!O28</f>
        <v>3599767.5390328723</v>
      </c>
      <c r="P25" s="18">
        <f>'CALCS Traffic'!P28</f>
        <v>3747064.9743954502</v>
      </c>
      <c r="Q25" s="18">
        <f>'CALCS Traffic'!Q28</f>
        <v>3900389.6140786214</v>
      </c>
      <c r="R25" s="18">
        <f>'CALCS Traffic'!R28</f>
        <v>4059988.0828239028</v>
      </c>
      <c r="S25" s="18">
        <f>'CALCS Traffic'!S28</f>
        <v>4226117.0969110904</v>
      </c>
      <c r="T25" s="18">
        <f>'CALCS Traffic'!T28</f>
        <v>4399043.8770898422</v>
      </c>
      <c r="U25" s="18">
        <f>'CALCS Traffic'!U28</f>
        <v>4579046.5784078473</v>
      </c>
      <c r="V25" s="18">
        <f>'CALCS Traffic'!V28</f>
        <v>4766414.7376269484</v>
      </c>
      <c r="W25" s="18">
        <f>'CALCS Traffic'!W28</f>
        <v>4961449.7389469137</v>
      </c>
      <c r="X25" s="18">
        <f>'CALCS Traffic'!X28</f>
        <v>5164465.2987859678</v>
      </c>
      <c r="Y25" s="18">
        <f>'CALCS Traffic'!Y28</f>
        <v>5375787.9703978617</v>
      </c>
      <c r="Z25" s="18">
        <f>'CALCS Traffic'!Z28</f>
        <v>5595757.6691371705</v>
      </c>
      <c r="AA25" s="18">
        <f>'CALCS Traffic'!AA28</f>
        <v>5824728.2192176972</v>
      </c>
      <c r="AB25" s="18">
        <f>'CALCS Traffic'!AB28</f>
        <v>6063067.9228434777</v>
      </c>
      <c r="AC25" s="18">
        <f>'CALCS Traffic'!AC28</f>
        <v>6311160.1526278192</v>
      </c>
      <c r="AD25" s="18">
        <f>'CALCS Traffic'!AD28</f>
        <v>6569403.9682532931</v>
      </c>
      <c r="AE25" s="18">
        <f>'CALCS Traffic'!AE28</f>
        <v>6838214.7583645973</v>
      </c>
      <c r="AF25" s="18">
        <f>'CALCS Traffic'!AF28</f>
        <v>7118024.9087267639</v>
      </c>
      <c r="AG25" s="18">
        <f>'CALCS Traffic'!AG28</f>
        <v>7409284.4977234704</v>
      </c>
      <c r="AH25" s="18">
        <f>'CALCS Traffic'!AH28</f>
        <v>7712462.0203141617</v>
      </c>
      <c r="AI25" s="18">
        <f>'CALCS Traffic'!AI28</f>
        <v>8028045.1416144809</v>
      </c>
      <c r="AJ25" s="18">
        <f>'CALCS Traffic'!AJ28</f>
        <v>8356541.4813121585</v>
      </c>
      <c r="AK25" s="18">
        <f>'CALCS Traffic'!AK28</f>
        <v>8698479.4301800951</v>
      </c>
      <c r="AL25" s="18">
        <f>'CALCS Traffic'!AL28</f>
        <v>9054409.0000000093</v>
      </c>
      <c r="AM25" s="18">
        <f>'CALCS Traffic'!AM28</f>
        <v>9424902.7082637828</v>
      </c>
      <c r="AN25" s="18">
        <f>'CALCS Traffic'!AN28</f>
        <v>9810556.4990755208</v>
      </c>
      <c r="AO25" s="18">
        <f>'CALCS Traffic'!AO28</f>
        <v>10211990.701735657</v>
      </c>
      <c r="AP25" s="18">
        <f>'CALCS Traffic'!AP28</f>
        <v>10629851.028548947</v>
      </c>
      <c r="AQ25" s="18">
        <f>'CALCS Traffic'!AQ28</f>
        <v>11064809.613461399</v>
      </c>
      <c r="AR25" s="18">
        <f>'CALCS Traffic'!AR28</f>
        <v>11517566.093196737</v>
      </c>
    </row>
    <row r="26" spans="1:44" x14ac:dyDescent="0.2">
      <c r="B26" s="1" t="s">
        <v>257</v>
      </c>
      <c r="C26" s="21" t="s">
        <v>251</v>
      </c>
      <c r="D26" s="70">
        <f>SUM(F26:AR26)</f>
        <v>22912671.985414147</v>
      </c>
      <c r="F26" s="18">
        <f>'CALCS Traffic'!F29</f>
        <v>248155.93489595421</v>
      </c>
      <c r="G26" s="18">
        <f>'CALCS Traffic'!G29</f>
        <v>258310.12746084336</v>
      </c>
      <c r="H26" s="18">
        <f>'CALCS Traffic'!H29</f>
        <v>268879.81533390668</v>
      </c>
      <c r="I26" s="18">
        <f>'CALCS Traffic'!I29</f>
        <v>279882</v>
      </c>
      <c r="J26" s="18">
        <f>'CALCS Traffic'!J29</f>
        <v>291334.37862087757</v>
      </c>
      <c r="K26" s="18">
        <f>'CALCS Traffic'!K29</f>
        <v>303255.37250131421</v>
      </c>
      <c r="L26" s="18">
        <f>'CALCS Traffic'!L29</f>
        <v>315664.1567200218</v>
      </c>
      <c r="M26" s="18">
        <f>'CALCS Traffic'!M29</f>
        <v>328580.69097302028</v>
      </c>
      <c r="N26" s="18">
        <f>'CALCS Traffic'!N29</f>
        <v>342025.75167907705</v>
      </c>
      <c r="O26" s="18">
        <f>'CALCS Traffic'!O29</f>
        <v>356020.96539885551</v>
      </c>
      <c r="P26" s="18">
        <f>'CALCS Traffic'!P29</f>
        <v>370588.84362152801</v>
      </c>
      <c r="Q26" s="18">
        <f>'CALCS Traffic'!Q29</f>
        <v>385752.81897480867</v>
      </c>
      <c r="R26" s="18">
        <f>'CALCS Traffic'!R29</f>
        <v>401537.28291664971</v>
      </c>
      <c r="S26" s="18">
        <f>'CALCS Traffic'!S29</f>
        <v>417967.62496922864</v>
      </c>
      <c r="T26" s="18">
        <f>'CALCS Traffic'!T29</f>
        <v>435070.27355833608</v>
      </c>
      <c r="U26" s="18">
        <f>'CALCS Traffic'!U29</f>
        <v>452872.73852385301</v>
      </c>
      <c r="V26" s="18">
        <f>'CALCS Traffic'!V29</f>
        <v>471403.65536969819</v>
      </c>
      <c r="W26" s="18">
        <f>'CALCS Traffic'!W29</f>
        <v>490692.83132442</v>
      </c>
      <c r="X26" s="18">
        <f>'CALCS Traffic'!X29</f>
        <v>510771.29328652425</v>
      </c>
      <c r="Y26" s="18">
        <f>'CALCS Traffic'!Y29</f>
        <v>531671.33773165662</v>
      </c>
      <c r="Z26" s="18">
        <f>'CALCS Traffic'!Z29</f>
        <v>553426.5826619179</v>
      </c>
      <c r="AA26" s="18">
        <f>'CALCS Traffic'!AA29</f>
        <v>576072.02168087114</v>
      </c>
      <c r="AB26" s="18">
        <f>'CALCS Traffic'!AB29</f>
        <v>599644.08028122305</v>
      </c>
      <c r="AC26" s="18">
        <f>'CALCS Traffic'!AC29</f>
        <v>624180.67443571833</v>
      </c>
      <c r="AD26" s="18">
        <f>'CALCS Traffic'!AD29</f>
        <v>649721.27158549055</v>
      </c>
      <c r="AE26" s="18">
        <f>'CALCS Traffic'!AE29</f>
        <v>676306.95412397117</v>
      </c>
      <c r="AF26" s="18">
        <f>'CALCS Traffic'!AF29</f>
        <v>703980.48547847115</v>
      </c>
      <c r="AG26" s="18">
        <f>'CALCS Traffic'!AG29</f>
        <v>732786.3788957278</v>
      </c>
      <c r="AH26" s="18">
        <f>'CALCS Traffic'!AH29</f>
        <v>762770.96904205997</v>
      </c>
      <c r="AI26" s="18">
        <f>'CALCS Traffic'!AI29</f>
        <v>793982.48653330025</v>
      </c>
      <c r="AJ26" s="18">
        <f>'CALCS Traffic'!AJ29</f>
        <v>826471.13551438926</v>
      </c>
      <c r="AK26" s="18">
        <f>'CALCS Traffic'!AK29</f>
        <v>860289.17441341584</v>
      </c>
      <c r="AL26" s="18">
        <f>'CALCS Traffic'!AL29</f>
        <v>895491.00000000081</v>
      </c>
      <c r="AM26" s="18">
        <f>'CALCS Traffic'!AM29</f>
        <v>932133.23488323111</v>
      </c>
      <c r="AN26" s="18">
        <f>'CALCS Traffic'!AN29</f>
        <v>970274.81858988665</v>
      </c>
      <c r="AO26" s="18">
        <f>'CALCS Traffic'!AO29</f>
        <v>1009977.1023694604</v>
      </c>
      <c r="AP26" s="18">
        <f>'CALCS Traffic'!AP29</f>
        <v>1051303.9478784672</v>
      </c>
      <c r="AQ26" s="18">
        <f>'CALCS Traffic'!AQ29</f>
        <v>1094321.8299027758</v>
      </c>
      <c r="AR26" s="18">
        <f>'CALCS Traffic'!AR29</f>
        <v>1139099.9432831935</v>
      </c>
    </row>
    <row r="27" spans="1:44" x14ac:dyDescent="0.2">
      <c r="C27" s="225"/>
      <c r="D27" s="83"/>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row>
    <row r="28" spans="1:44" ht="15" x14ac:dyDescent="0.25">
      <c r="B28" s="2" t="s">
        <v>358</v>
      </c>
      <c r="C28" s="225"/>
      <c r="D28" s="22"/>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row>
    <row r="29" spans="1:44" x14ac:dyDescent="0.2">
      <c r="B29" s="1" t="s">
        <v>218</v>
      </c>
      <c r="C29" s="225" t="s">
        <v>101</v>
      </c>
      <c r="D29" s="83">
        <f>INPUTS!$E$178</f>
        <v>20.9</v>
      </c>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row>
    <row r="30" spans="1:44" x14ac:dyDescent="0.2">
      <c r="B30" s="1" t="s">
        <v>772</v>
      </c>
      <c r="C30" s="225" t="s">
        <v>771</v>
      </c>
      <c r="D30" s="83">
        <f>INPUTS!$E$177</f>
        <v>24</v>
      </c>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row>
    <row r="31" spans="1:44" x14ac:dyDescent="0.2">
      <c r="B31" s="1" t="s">
        <v>772</v>
      </c>
      <c r="C31" s="225" t="s">
        <v>359</v>
      </c>
      <c r="D31" s="84">
        <f>D30/60</f>
        <v>0.4</v>
      </c>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row>
    <row r="32" spans="1:44" x14ac:dyDescent="0.2">
      <c r="C32" s="225"/>
      <c r="D32" s="84"/>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row>
    <row r="33" spans="1:44" ht="15" x14ac:dyDescent="0.25">
      <c r="B33" s="2" t="s">
        <v>790</v>
      </c>
      <c r="C33" s="225"/>
      <c r="D33" s="22"/>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row>
    <row r="34" spans="1:44" x14ac:dyDescent="0.2">
      <c r="B34" s="1" t="s">
        <v>794</v>
      </c>
      <c r="C34" s="225" t="s">
        <v>68</v>
      </c>
      <c r="D34" s="69">
        <f>INPUTS!E176</f>
        <v>1.2785388127853881E-3</v>
      </c>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row>
    <row r="35" spans="1:44" x14ac:dyDescent="0.2">
      <c r="B35" s="1" t="s">
        <v>791</v>
      </c>
      <c r="C35" s="225" t="s">
        <v>281</v>
      </c>
      <c r="D35" s="83">
        <f>INPUTS!$E$178</f>
        <v>20.9</v>
      </c>
      <c r="F35" s="18">
        <f t="shared" ref="F35:T35" si="12">IF(AND(F$13=1,F49=0),1,0)</f>
        <v>0</v>
      </c>
      <c r="G35" s="18">
        <f t="shared" si="12"/>
        <v>0</v>
      </c>
      <c r="H35" s="18">
        <f t="shared" si="12"/>
        <v>0</v>
      </c>
      <c r="I35" s="18">
        <f t="shared" si="12"/>
        <v>0</v>
      </c>
      <c r="J35" s="18">
        <f t="shared" si="12"/>
        <v>0</v>
      </c>
      <c r="K35" s="18">
        <f t="shared" si="12"/>
        <v>0</v>
      </c>
      <c r="L35" s="18">
        <f t="shared" si="12"/>
        <v>0</v>
      </c>
      <c r="M35" s="18">
        <f t="shared" si="12"/>
        <v>0</v>
      </c>
      <c r="N35" s="18">
        <f t="shared" si="12"/>
        <v>0</v>
      </c>
      <c r="O35" s="18">
        <f t="shared" si="12"/>
        <v>0</v>
      </c>
      <c r="P35" s="18">
        <f t="shared" si="12"/>
        <v>1</v>
      </c>
      <c r="Q35" s="18">
        <f t="shared" si="12"/>
        <v>1</v>
      </c>
      <c r="R35" s="18">
        <f t="shared" si="12"/>
        <v>1</v>
      </c>
      <c r="S35" s="18">
        <f t="shared" si="12"/>
        <v>1</v>
      </c>
      <c r="T35" s="18">
        <f t="shared" si="12"/>
        <v>1</v>
      </c>
      <c r="U35" s="18">
        <f>IF(AND(U$13=1,U49=0),1,0)</f>
        <v>0</v>
      </c>
      <c r="V35" s="18">
        <f t="shared" ref="V35:AR35" si="13">IF(AND(V$13=1,V49=0),1,0)</f>
        <v>0</v>
      </c>
      <c r="W35" s="18">
        <f t="shared" si="13"/>
        <v>0</v>
      </c>
      <c r="X35" s="18">
        <f t="shared" si="13"/>
        <v>0</v>
      </c>
      <c r="Y35" s="18">
        <f t="shared" si="13"/>
        <v>0</v>
      </c>
      <c r="Z35" s="18">
        <f t="shared" si="13"/>
        <v>0</v>
      </c>
      <c r="AA35" s="18">
        <f t="shared" si="13"/>
        <v>0</v>
      </c>
      <c r="AB35" s="18">
        <f t="shared" si="13"/>
        <v>0</v>
      </c>
      <c r="AC35" s="18">
        <f t="shared" si="13"/>
        <v>0</v>
      </c>
      <c r="AD35" s="18">
        <f t="shared" si="13"/>
        <v>0</v>
      </c>
      <c r="AE35" s="18">
        <f t="shared" si="13"/>
        <v>0</v>
      </c>
      <c r="AF35" s="18">
        <f t="shared" si="13"/>
        <v>0</v>
      </c>
      <c r="AG35" s="18">
        <f t="shared" si="13"/>
        <v>0</v>
      </c>
      <c r="AH35" s="18">
        <f t="shared" si="13"/>
        <v>0</v>
      </c>
      <c r="AI35" s="18">
        <f t="shared" si="13"/>
        <v>0</v>
      </c>
      <c r="AJ35" s="18">
        <f t="shared" si="13"/>
        <v>0</v>
      </c>
      <c r="AK35" s="18">
        <f t="shared" si="13"/>
        <v>0</v>
      </c>
      <c r="AL35" s="18">
        <f t="shared" si="13"/>
        <v>0</v>
      </c>
      <c r="AM35" s="18">
        <f t="shared" si="13"/>
        <v>0</v>
      </c>
      <c r="AN35" s="18">
        <f t="shared" si="13"/>
        <v>0</v>
      </c>
      <c r="AO35" s="18">
        <f t="shared" si="13"/>
        <v>0</v>
      </c>
      <c r="AP35" s="18">
        <f t="shared" si="13"/>
        <v>0</v>
      </c>
      <c r="AQ35" s="18">
        <f t="shared" si="13"/>
        <v>0</v>
      </c>
      <c r="AR35" s="18">
        <f t="shared" si="13"/>
        <v>0</v>
      </c>
    </row>
    <row r="36" spans="1:44" x14ac:dyDescent="0.2">
      <c r="B36" s="1" t="s">
        <v>793</v>
      </c>
      <c r="C36" s="225" t="s">
        <v>361</v>
      </c>
      <c r="D36" s="70">
        <f>SUM(F36:AR36)</f>
        <v>1028.4140937558982</v>
      </c>
      <c r="F36" s="18">
        <f>F35*$D$34*$D$31*F26</f>
        <v>0</v>
      </c>
      <c r="G36" s="18">
        <f t="shared" ref="G36:AR36" si="14">G35*$D$34*$D$31*G26</f>
        <v>0</v>
      </c>
      <c r="H36" s="18">
        <f t="shared" si="14"/>
        <v>0</v>
      </c>
      <c r="I36" s="18">
        <f t="shared" si="14"/>
        <v>0</v>
      </c>
      <c r="J36" s="18">
        <f t="shared" si="14"/>
        <v>0</v>
      </c>
      <c r="K36" s="18">
        <f t="shared" si="14"/>
        <v>0</v>
      </c>
      <c r="L36" s="18">
        <f t="shared" si="14"/>
        <v>0</v>
      </c>
      <c r="M36" s="18">
        <f t="shared" si="14"/>
        <v>0</v>
      </c>
      <c r="N36" s="18">
        <f t="shared" si="14"/>
        <v>0</v>
      </c>
      <c r="O36" s="18">
        <f t="shared" si="14"/>
        <v>0</v>
      </c>
      <c r="P36" s="18">
        <f t="shared" si="14"/>
        <v>189.52488806215132</v>
      </c>
      <c r="Q36" s="18">
        <f t="shared" si="14"/>
        <v>197.27998048026745</v>
      </c>
      <c r="R36" s="18">
        <f t="shared" si="14"/>
        <v>205.35240039572955</v>
      </c>
      <c r="S36" s="18">
        <f t="shared" si="14"/>
        <v>213.75513240435438</v>
      </c>
      <c r="T36" s="18">
        <f t="shared" si="14"/>
        <v>222.50169241339563</v>
      </c>
      <c r="U36" s="18">
        <f t="shared" si="14"/>
        <v>0</v>
      </c>
      <c r="V36" s="18">
        <f t="shared" si="14"/>
        <v>0</v>
      </c>
      <c r="W36" s="18">
        <f t="shared" si="14"/>
        <v>0</v>
      </c>
      <c r="X36" s="18">
        <f t="shared" si="14"/>
        <v>0</v>
      </c>
      <c r="Y36" s="18">
        <f t="shared" si="14"/>
        <v>0</v>
      </c>
      <c r="Z36" s="18">
        <f t="shared" si="14"/>
        <v>0</v>
      </c>
      <c r="AA36" s="18">
        <f t="shared" si="14"/>
        <v>0</v>
      </c>
      <c r="AB36" s="18">
        <f t="shared" si="14"/>
        <v>0</v>
      </c>
      <c r="AC36" s="18">
        <f t="shared" si="14"/>
        <v>0</v>
      </c>
      <c r="AD36" s="18">
        <f t="shared" si="14"/>
        <v>0</v>
      </c>
      <c r="AE36" s="18">
        <f t="shared" si="14"/>
        <v>0</v>
      </c>
      <c r="AF36" s="18">
        <f t="shared" si="14"/>
        <v>0</v>
      </c>
      <c r="AG36" s="18">
        <f t="shared" si="14"/>
        <v>0</v>
      </c>
      <c r="AH36" s="18">
        <f t="shared" si="14"/>
        <v>0</v>
      </c>
      <c r="AI36" s="18">
        <f t="shared" si="14"/>
        <v>0</v>
      </c>
      <c r="AJ36" s="18">
        <f t="shared" si="14"/>
        <v>0</v>
      </c>
      <c r="AK36" s="18">
        <f t="shared" si="14"/>
        <v>0</v>
      </c>
      <c r="AL36" s="18">
        <f t="shared" si="14"/>
        <v>0</v>
      </c>
      <c r="AM36" s="18">
        <f t="shared" si="14"/>
        <v>0</v>
      </c>
      <c r="AN36" s="18">
        <f t="shared" si="14"/>
        <v>0</v>
      </c>
      <c r="AO36" s="18">
        <f t="shared" si="14"/>
        <v>0</v>
      </c>
      <c r="AP36" s="18">
        <f t="shared" si="14"/>
        <v>0</v>
      </c>
      <c r="AQ36" s="18">
        <f t="shared" si="14"/>
        <v>0</v>
      </c>
      <c r="AR36" s="18">
        <f t="shared" si="14"/>
        <v>0</v>
      </c>
    </row>
    <row r="37" spans="1:44" x14ac:dyDescent="0.2">
      <c r="B37" s="1" t="s">
        <v>792</v>
      </c>
      <c r="C37" s="225" t="s">
        <v>281</v>
      </c>
      <c r="D37" s="70"/>
      <c r="F37" s="18">
        <f t="shared" ref="F37:P37" si="15">IF(AND(F$13=1,F41=0),1,0)</f>
        <v>0</v>
      </c>
      <c r="G37" s="18">
        <f t="shared" si="15"/>
        <v>0</v>
      </c>
      <c r="H37" s="18">
        <f t="shared" si="15"/>
        <v>0</v>
      </c>
      <c r="I37" s="18">
        <f t="shared" si="15"/>
        <v>0</v>
      </c>
      <c r="J37" s="18">
        <f t="shared" si="15"/>
        <v>0</v>
      </c>
      <c r="K37" s="18">
        <f t="shared" si="15"/>
        <v>0</v>
      </c>
      <c r="L37" s="18">
        <f t="shared" si="15"/>
        <v>0</v>
      </c>
      <c r="M37" s="18">
        <f t="shared" si="15"/>
        <v>0</v>
      </c>
      <c r="N37" s="18">
        <f t="shared" si="15"/>
        <v>0</v>
      </c>
      <c r="O37" s="18">
        <f t="shared" si="15"/>
        <v>0</v>
      </c>
      <c r="P37" s="18">
        <f t="shared" si="15"/>
        <v>1</v>
      </c>
      <c r="Q37" s="18">
        <f>IF(AND(Q$13=1,Q41=0),1,0)</f>
        <v>1</v>
      </c>
      <c r="R37" s="18">
        <f t="shared" ref="R37:AR37" si="16">IF(AND(R$13=1,R41=0),1,0)</f>
        <v>1</v>
      </c>
      <c r="S37" s="18">
        <f t="shared" si="16"/>
        <v>1</v>
      </c>
      <c r="T37" s="18">
        <f t="shared" si="16"/>
        <v>1</v>
      </c>
      <c r="U37" s="18">
        <f t="shared" si="16"/>
        <v>1</v>
      </c>
      <c r="V37" s="18">
        <f t="shared" si="16"/>
        <v>1</v>
      </c>
      <c r="W37" s="18">
        <f t="shared" si="16"/>
        <v>1</v>
      </c>
      <c r="X37" s="18">
        <f t="shared" si="16"/>
        <v>1</v>
      </c>
      <c r="Y37" s="18">
        <f t="shared" si="16"/>
        <v>1</v>
      </c>
      <c r="Z37" s="18">
        <f t="shared" si="16"/>
        <v>0</v>
      </c>
      <c r="AA37" s="18">
        <f t="shared" si="16"/>
        <v>0</v>
      </c>
      <c r="AB37" s="18">
        <f t="shared" si="16"/>
        <v>0</v>
      </c>
      <c r="AC37" s="18">
        <f t="shared" si="16"/>
        <v>0</v>
      </c>
      <c r="AD37" s="18">
        <f t="shared" si="16"/>
        <v>0</v>
      </c>
      <c r="AE37" s="18">
        <f t="shared" si="16"/>
        <v>0</v>
      </c>
      <c r="AF37" s="18">
        <f t="shared" si="16"/>
        <v>0</v>
      </c>
      <c r="AG37" s="18">
        <f t="shared" si="16"/>
        <v>0</v>
      </c>
      <c r="AH37" s="18">
        <f t="shared" si="16"/>
        <v>0</v>
      </c>
      <c r="AI37" s="18">
        <f t="shared" si="16"/>
        <v>0</v>
      </c>
      <c r="AJ37" s="18">
        <f t="shared" si="16"/>
        <v>0</v>
      </c>
      <c r="AK37" s="18">
        <f t="shared" si="16"/>
        <v>0</v>
      </c>
      <c r="AL37" s="18">
        <f t="shared" si="16"/>
        <v>0</v>
      </c>
      <c r="AM37" s="18">
        <f t="shared" si="16"/>
        <v>0</v>
      </c>
      <c r="AN37" s="18">
        <f t="shared" si="16"/>
        <v>0</v>
      </c>
      <c r="AO37" s="18">
        <f t="shared" si="16"/>
        <v>0</v>
      </c>
      <c r="AP37" s="18">
        <f t="shared" si="16"/>
        <v>0</v>
      </c>
      <c r="AQ37" s="18">
        <f t="shared" si="16"/>
        <v>0</v>
      </c>
      <c r="AR37" s="18">
        <f t="shared" si="16"/>
        <v>0</v>
      </c>
    </row>
    <row r="38" spans="1:44" x14ac:dyDescent="0.2">
      <c r="B38" s="1" t="s">
        <v>795</v>
      </c>
      <c r="C38" s="225" t="s">
        <v>361</v>
      </c>
      <c r="D38" s="70">
        <f>SUM(F38:AR38)</f>
        <v>23105.63476063935</v>
      </c>
      <c r="F38" s="18">
        <f>F37*$D$34*$D$31*F25</f>
        <v>0</v>
      </c>
      <c r="G38" s="18">
        <f t="shared" ref="G38:AR38" si="17">G37*$D$34*$D$31*G25</f>
        <v>0</v>
      </c>
      <c r="H38" s="18">
        <f t="shared" si="17"/>
        <v>0</v>
      </c>
      <c r="I38" s="18">
        <f t="shared" si="17"/>
        <v>0</v>
      </c>
      <c r="J38" s="18">
        <f t="shared" si="17"/>
        <v>0</v>
      </c>
      <c r="K38" s="18">
        <f t="shared" si="17"/>
        <v>0</v>
      </c>
      <c r="L38" s="18">
        <f t="shared" si="17"/>
        <v>0</v>
      </c>
      <c r="M38" s="18">
        <f t="shared" si="17"/>
        <v>0</v>
      </c>
      <c r="N38" s="18">
        <f t="shared" si="17"/>
        <v>0</v>
      </c>
      <c r="O38" s="18">
        <f t="shared" si="17"/>
        <v>0</v>
      </c>
      <c r="P38" s="18">
        <f t="shared" si="17"/>
        <v>1916.3072015173079</v>
      </c>
      <c r="Q38" s="18">
        <f t="shared" si="17"/>
        <v>1994.7198026338156</v>
      </c>
      <c r="R38" s="18">
        <f t="shared" si="17"/>
        <v>2076.3409373345989</v>
      </c>
      <c r="S38" s="18">
        <f t="shared" si="17"/>
        <v>2161.3018943106949</v>
      </c>
      <c r="T38" s="18">
        <f t="shared" si="17"/>
        <v>2249.7393344021111</v>
      </c>
      <c r="U38" s="18">
        <f t="shared" si="17"/>
        <v>2341.7955104186253</v>
      </c>
      <c r="V38" s="18">
        <f t="shared" si="17"/>
        <v>2437.6184959553343</v>
      </c>
      <c r="W38" s="18">
        <f t="shared" si="17"/>
        <v>2537.3624235710245</v>
      </c>
      <c r="X38" s="18">
        <f t="shared" si="17"/>
        <v>2641.1877327124585</v>
      </c>
      <c r="Y38" s="18">
        <f t="shared" si="17"/>
        <v>2749.2614277833814</v>
      </c>
      <c r="Z38" s="18">
        <f t="shared" si="17"/>
        <v>0</v>
      </c>
      <c r="AA38" s="18">
        <f t="shared" si="17"/>
        <v>0</v>
      </c>
      <c r="AB38" s="18">
        <f t="shared" si="17"/>
        <v>0</v>
      </c>
      <c r="AC38" s="18">
        <f t="shared" si="17"/>
        <v>0</v>
      </c>
      <c r="AD38" s="18">
        <f t="shared" si="17"/>
        <v>0</v>
      </c>
      <c r="AE38" s="18">
        <f t="shared" si="17"/>
        <v>0</v>
      </c>
      <c r="AF38" s="18">
        <f t="shared" si="17"/>
        <v>0</v>
      </c>
      <c r="AG38" s="18">
        <f t="shared" si="17"/>
        <v>0</v>
      </c>
      <c r="AH38" s="18">
        <f t="shared" si="17"/>
        <v>0</v>
      </c>
      <c r="AI38" s="18">
        <f t="shared" si="17"/>
        <v>0</v>
      </c>
      <c r="AJ38" s="18">
        <f t="shared" si="17"/>
        <v>0</v>
      </c>
      <c r="AK38" s="18">
        <f t="shared" si="17"/>
        <v>0</v>
      </c>
      <c r="AL38" s="18">
        <f t="shared" si="17"/>
        <v>0</v>
      </c>
      <c r="AM38" s="18">
        <f t="shared" si="17"/>
        <v>0</v>
      </c>
      <c r="AN38" s="18">
        <f t="shared" si="17"/>
        <v>0</v>
      </c>
      <c r="AO38" s="18">
        <f t="shared" si="17"/>
        <v>0</v>
      </c>
      <c r="AP38" s="18">
        <f t="shared" si="17"/>
        <v>0</v>
      </c>
      <c r="AQ38" s="18">
        <f t="shared" si="17"/>
        <v>0</v>
      </c>
      <c r="AR38" s="18">
        <f t="shared" si="17"/>
        <v>0</v>
      </c>
    </row>
    <row r="39" spans="1:44" x14ac:dyDescent="0.2">
      <c r="C39" s="225"/>
      <c r="D39" s="377"/>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row>
    <row r="40" spans="1:44" ht="15" x14ac:dyDescent="0.25">
      <c r="B40" s="2" t="s">
        <v>360</v>
      </c>
      <c r="C40" s="225"/>
      <c r="D40" s="377"/>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row>
    <row r="41" spans="1:44" x14ac:dyDescent="0.2">
      <c r="B41" s="1" t="s">
        <v>797</v>
      </c>
      <c r="C41" s="225" t="s">
        <v>361</v>
      </c>
      <c r="D41" s="70">
        <f>SUM(F41:AR41)</f>
        <v>62495702.325838894</v>
      </c>
      <c r="F41" s="18">
        <f>F25*$D$31*F11</f>
        <v>0</v>
      </c>
      <c r="G41" s="18">
        <f t="shared" ref="G41:AR41" si="18">G25*$D$31*G11</f>
        <v>0</v>
      </c>
      <c r="H41" s="18">
        <f t="shared" si="18"/>
        <v>0</v>
      </c>
      <c r="I41" s="18">
        <f t="shared" si="18"/>
        <v>0</v>
      </c>
      <c r="J41" s="18">
        <f t="shared" si="18"/>
        <v>0</v>
      </c>
      <c r="K41" s="18">
        <f t="shared" si="18"/>
        <v>0</v>
      </c>
      <c r="L41" s="18">
        <f t="shared" si="18"/>
        <v>0</v>
      </c>
      <c r="M41" s="18">
        <f t="shared" si="18"/>
        <v>0</v>
      </c>
      <c r="N41" s="18">
        <f t="shared" si="18"/>
        <v>0</v>
      </c>
      <c r="O41" s="18">
        <f t="shared" si="18"/>
        <v>0</v>
      </c>
      <c r="P41" s="18">
        <f t="shared" si="18"/>
        <v>0</v>
      </c>
      <c r="Q41" s="18">
        <f t="shared" si="18"/>
        <v>0</v>
      </c>
      <c r="R41" s="18">
        <f t="shared" si="18"/>
        <v>0</v>
      </c>
      <c r="S41" s="18">
        <f t="shared" si="18"/>
        <v>0</v>
      </c>
      <c r="T41" s="18">
        <f t="shared" si="18"/>
        <v>0</v>
      </c>
      <c r="U41" s="18">
        <f t="shared" si="18"/>
        <v>0</v>
      </c>
      <c r="V41" s="18">
        <f t="shared" si="18"/>
        <v>0</v>
      </c>
      <c r="W41" s="18">
        <f t="shared" si="18"/>
        <v>0</v>
      </c>
      <c r="X41" s="18">
        <f t="shared" si="18"/>
        <v>0</v>
      </c>
      <c r="Y41" s="18">
        <f t="shared" si="18"/>
        <v>0</v>
      </c>
      <c r="Z41" s="18">
        <f t="shared" si="18"/>
        <v>2238303.0676548681</v>
      </c>
      <c r="AA41" s="18">
        <f t="shared" si="18"/>
        <v>2329891.287687079</v>
      </c>
      <c r="AB41" s="18">
        <f t="shared" si="18"/>
        <v>2425227.1691373913</v>
      </c>
      <c r="AC41" s="18">
        <f t="shared" si="18"/>
        <v>2524464.061051128</v>
      </c>
      <c r="AD41" s="18">
        <f t="shared" si="18"/>
        <v>2627761.5873013176</v>
      </c>
      <c r="AE41" s="18">
        <f t="shared" si="18"/>
        <v>2735285.9033458391</v>
      </c>
      <c r="AF41" s="18">
        <f t="shared" si="18"/>
        <v>2847209.9634907059</v>
      </c>
      <c r="AG41" s="18">
        <f t="shared" si="18"/>
        <v>2963713.7990893885</v>
      </c>
      <c r="AH41" s="18">
        <f t="shared" si="18"/>
        <v>3084984.8081256649</v>
      </c>
      <c r="AI41" s="18">
        <f t="shared" si="18"/>
        <v>3211218.0566457924</v>
      </c>
      <c r="AJ41" s="18">
        <f t="shared" si="18"/>
        <v>3342616.5925248638</v>
      </c>
      <c r="AK41" s="18">
        <f t="shared" si="18"/>
        <v>3479391.7720720381</v>
      </c>
      <c r="AL41" s="18">
        <f t="shared" si="18"/>
        <v>3621763.6000000038</v>
      </c>
      <c r="AM41" s="18">
        <f t="shared" si="18"/>
        <v>3769961.0833055135</v>
      </c>
      <c r="AN41" s="18">
        <f t="shared" si="18"/>
        <v>3924222.5996302087</v>
      </c>
      <c r="AO41" s="18">
        <f t="shared" si="18"/>
        <v>4084796.2806942631</v>
      </c>
      <c r="AP41" s="18">
        <f t="shared" si="18"/>
        <v>4251940.4114195788</v>
      </c>
      <c r="AQ41" s="18">
        <f t="shared" si="18"/>
        <v>4425923.8453845596</v>
      </c>
      <c r="AR41" s="18">
        <f t="shared" si="18"/>
        <v>4607026.4372786945</v>
      </c>
    </row>
    <row r="42" spans="1:44" x14ac:dyDescent="0.2">
      <c r="B42" s="1" t="s">
        <v>790</v>
      </c>
      <c r="C42" s="225" t="s">
        <v>361</v>
      </c>
      <c r="D42" s="70">
        <f>SUM(F42:AR42)</f>
        <v>23105.63476063935</v>
      </c>
      <c r="F42" s="18">
        <f t="shared" ref="F42:P42" si="19">F38</f>
        <v>0</v>
      </c>
      <c r="G42" s="18">
        <f t="shared" si="19"/>
        <v>0</v>
      </c>
      <c r="H42" s="18">
        <f t="shared" si="19"/>
        <v>0</v>
      </c>
      <c r="I42" s="18">
        <f t="shared" si="19"/>
        <v>0</v>
      </c>
      <c r="J42" s="18">
        <f t="shared" si="19"/>
        <v>0</v>
      </c>
      <c r="K42" s="18">
        <f t="shared" si="19"/>
        <v>0</v>
      </c>
      <c r="L42" s="18">
        <f t="shared" si="19"/>
        <v>0</v>
      </c>
      <c r="M42" s="18">
        <f t="shared" si="19"/>
        <v>0</v>
      </c>
      <c r="N42" s="18">
        <f t="shared" si="19"/>
        <v>0</v>
      </c>
      <c r="O42" s="18">
        <f t="shared" si="19"/>
        <v>0</v>
      </c>
      <c r="P42" s="18">
        <f t="shared" si="19"/>
        <v>1916.3072015173079</v>
      </c>
      <c r="Q42" s="18">
        <f>Q38</f>
        <v>1994.7198026338156</v>
      </c>
      <c r="R42" s="18">
        <f t="shared" ref="R42:AR42" si="20">R38</f>
        <v>2076.3409373345989</v>
      </c>
      <c r="S42" s="18">
        <f t="shared" si="20"/>
        <v>2161.3018943106949</v>
      </c>
      <c r="T42" s="18">
        <f t="shared" si="20"/>
        <v>2249.7393344021111</v>
      </c>
      <c r="U42" s="18">
        <f t="shared" si="20"/>
        <v>2341.7955104186253</v>
      </c>
      <c r="V42" s="18">
        <f t="shared" si="20"/>
        <v>2437.6184959553343</v>
      </c>
      <c r="W42" s="18">
        <f t="shared" si="20"/>
        <v>2537.3624235710245</v>
      </c>
      <c r="X42" s="18">
        <f t="shared" si="20"/>
        <v>2641.1877327124585</v>
      </c>
      <c r="Y42" s="18">
        <f t="shared" si="20"/>
        <v>2749.2614277833814</v>
      </c>
      <c r="Z42" s="18">
        <f t="shared" si="20"/>
        <v>0</v>
      </c>
      <c r="AA42" s="18">
        <f t="shared" si="20"/>
        <v>0</v>
      </c>
      <c r="AB42" s="18">
        <f t="shared" si="20"/>
        <v>0</v>
      </c>
      <c r="AC42" s="18">
        <f t="shared" si="20"/>
        <v>0</v>
      </c>
      <c r="AD42" s="18">
        <f t="shared" si="20"/>
        <v>0</v>
      </c>
      <c r="AE42" s="18">
        <f t="shared" si="20"/>
        <v>0</v>
      </c>
      <c r="AF42" s="18">
        <f t="shared" si="20"/>
        <v>0</v>
      </c>
      <c r="AG42" s="18">
        <f t="shared" si="20"/>
        <v>0</v>
      </c>
      <c r="AH42" s="18">
        <f t="shared" si="20"/>
        <v>0</v>
      </c>
      <c r="AI42" s="18">
        <f t="shared" si="20"/>
        <v>0</v>
      </c>
      <c r="AJ42" s="18">
        <f t="shared" si="20"/>
        <v>0</v>
      </c>
      <c r="AK42" s="18">
        <f t="shared" si="20"/>
        <v>0</v>
      </c>
      <c r="AL42" s="18">
        <f t="shared" si="20"/>
        <v>0</v>
      </c>
      <c r="AM42" s="18">
        <f t="shared" si="20"/>
        <v>0</v>
      </c>
      <c r="AN42" s="18">
        <f t="shared" si="20"/>
        <v>0</v>
      </c>
      <c r="AO42" s="18">
        <f t="shared" si="20"/>
        <v>0</v>
      </c>
      <c r="AP42" s="18">
        <f t="shared" si="20"/>
        <v>0</v>
      </c>
      <c r="AQ42" s="18">
        <f t="shared" si="20"/>
        <v>0</v>
      </c>
      <c r="AR42" s="18">
        <f t="shared" si="20"/>
        <v>0</v>
      </c>
    </row>
    <row r="43" spans="1:44" x14ac:dyDescent="0.2">
      <c r="B43" s="1" t="s">
        <v>796</v>
      </c>
      <c r="C43" s="225" t="s">
        <v>361</v>
      </c>
      <c r="D43" s="70">
        <f>SUM(F43:AR43)</f>
        <v>62518807.960599534</v>
      </c>
      <c r="F43" s="18">
        <f t="shared" ref="F43:P43" si="21">F41+F42</f>
        <v>0</v>
      </c>
      <c r="G43" s="18">
        <f t="shared" si="21"/>
        <v>0</v>
      </c>
      <c r="H43" s="18">
        <f t="shared" si="21"/>
        <v>0</v>
      </c>
      <c r="I43" s="18">
        <f t="shared" si="21"/>
        <v>0</v>
      </c>
      <c r="J43" s="18">
        <f t="shared" si="21"/>
        <v>0</v>
      </c>
      <c r="K43" s="18">
        <f t="shared" si="21"/>
        <v>0</v>
      </c>
      <c r="L43" s="18">
        <f t="shared" si="21"/>
        <v>0</v>
      </c>
      <c r="M43" s="18">
        <f t="shared" si="21"/>
        <v>0</v>
      </c>
      <c r="N43" s="18">
        <f t="shared" si="21"/>
        <v>0</v>
      </c>
      <c r="O43" s="18">
        <f t="shared" si="21"/>
        <v>0</v>
      </c>
      <c r="P43" s="18">
        <f t="shared" si="21"/>
        <v>1916.3072015173079</v>
      </c>
      <c r="Q43" s="18">
        <f>Q41+Q42</f>
        <v>1994.7198026338156</v>
      </c>
      <c r="R43" s="18">
        <f t="shared" ref="R43:AR43" si="22">R41+R42</f>
        <v>2076.3409373345989</v>
      </c>
      <c r="S43" s="18">
        <f t="shared" si="22"/>
        <v>2161.3018943106949</v>
      </c>
      <c r="T43" s="18">
        <f t="shared" si="22"/>
        <v>2249.7393344021111</v>
      </c>
      <c r="U43" s="18">
        <f t="shared" si="22"/>
        <v>2341.7955104186253</v>
      </c>
      <c r="V43" s="18">
        <f t="shared" si="22"/>
        <v>2437.6184959553343</v>
      </c>
      <c r="W43" s="18">
        <f t="shared" si="22"/>
        <v>2537.3624235710245</v>
      </c>
      <c r="X43" s="18">
        <f t="shared" si="22"/>
        <v>2641.1877327124585</v>
      </c>
      <c r="Y43" s="18">
        <f t="shared" si="22"/>
        <v>2749.2614277833814</v>
      </c>
      <c r="Z43" s="18">
        <f t="shared" si="22"/>
        <v>2238303.0676548681</v>
      </c>
      <c r="AA43" s="18">
        <f t="shared" si="22"/>
        <v>2329891.287687079</v>
      </c>
      <c r="AB43" s="18">
        <f t="shared" si="22"/>
        <v>2425227.1691373913</v>
      </c>
      <c r="AC43" s="18">
        <f t="shared" si="22"/>
        <v>2524464.061051128</v>
      </c>
      <c r="AD43" s="18">
        <f t="shared" si="22"/>
        <v>2627761.5873013176</v>
      </c>
      <c r="AE43" s="18">
        <f t="shared" si="22"/>
        <v>2735285.9033458391</v>
      </c>
      <c r="AF43" s="18">
        <f t="shared" si="22"/>
        <v>2847209.9634907059</v>
      </c>
      <c r="AG43" s="18">
        <f t="shared" si="22"/>
        <v>2963713.7990893885</v>
      </c>
      <c r="AH43" s="18">
        <f t="shared" si="22"/>
        <v>3084984.8081256649</v>
      </c>
      <c r="AI43" s="18">
        <f t="shared" si="22"/>
        <v>3211218.0566457924</v>
      </c>
      <c r="AJ43" s="18">
        <f t="shared" si="22"/>
        <v>3342616.5925248638</v>
      </c>
      <c r="AK43" s="18">
        <f t="shared" si="22"/>
        <v>3479391.7720720381</v>
      </c>
      <c r="AL43" s="18">
        <f t="shared" si="22"/>
        <v>3621763.6000000038</v>
      </c>
      <c r="AM43" s="18">
        <f t="shared" si="22"/>
        <v>3769961.0833055135</v>
      </c>
      <c r="AN43" s="18">
        <f t="shared" si="22"/>
        <v>3924222.5996302087</v>
      </c>
      <c r="AO43" s="18">
        <f t="shared" si="22"/>
        <v>4084796.2806942631</v>
      </c>
      <c r="AP43" s="18">
        <f t="shared" si="22"/>
        <v>4251940.4114195788</v>
      </c>
      <c r="AQ43" s="18">
        <f t="shared" si="22"/>
        <v>4425923.8453845596</v>
      </c>
      <c r="AR43" s="18">
        <f t="shared" si="22"/>
        <v>4607026.4372786945</v>
      </c>
    </row>
    <row r="44" spans="1:44" x14ac:dyDescent="0.2">
      <c r="B44" s="1" t="s">
        <v>284</v>
      </c>
      <c r="C44" s="225" t="s">
        <v>135</v>
      </c>
      <c r="D44" s="87">
        <f>INPUTS!$E$83</f>
        <v>18.8</v>
      </c>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row>
    <row r="45" spans="1:44" ht="15" x14ac:dyDescent="0.25">
      <c r="A45" s="2"/>
      <c r="B45" s="1" t="s">
        <v>285</v>
      </c>
      <c r="C45" s="21" t="s">
        <v>146</v>
      </c>
      <c r="D45" s="17">
        <f>INPUTS!$E$93</f>
        <v>1.67</v>
      </c>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row>
    <row r="46" spans="1:44" x14ac:dyDescent="0.2">
      <c r="B46" s="1" t="s">
        <v>362</v>
      </c>
      <c r="C46" s="225" t="s">
        <v>77</v>
      </c>
      <c r="D46" s="4">
        <f>SUM(F46:AR46)</f>
        <v>1962840494.730983</v>
      </c>
      <c r="F46" s="4">
        <f>F43*$D$44*$D$45</f>
        <v>0</v>
      </c>
      <c r="G46" s="4">
        <f t="shared" ref="G46:AR46" si="23">G43*$D$44*$D$45</f>
        <v>0</v>
      </c>
      <c r="H46" s="4">
        <f t="shared" si="23"/>
        <v>0</v>
      </c>
      <c r="I46" s="4">
        <f t="shared" si="23"/>
        <v>0</v>
      </c>
      <c r="J46" s="4">
        <f t="shared" si="23"/>
        <v>0</v>
      </c>
      <c r="K46" s="4">
        <f t="shared" si="23"/>
        <v>0</v>
      </c>
      <c r="L46" s="4">
        <f t="shared" si="23"/>
        <v>0</v>
      </c>
      <c r="M46" s="4">
        <f t="shared" si="23"/>
        <v>0</v>
      </c>
      <c r="N46" s="4">
        <f t="shared" si="23"/>
        <v>0</v>
      </c>
      <c r="O46" s="4">
        <f t="shared" si="23"/>
        <v>0</v>
      </c>
      <c r="P46" s="4">
        <f t="shared" si="23"/>
        <v>60164.380898837393</v>
      </c>
      <c r="Q46" s="4">
        <f t="shared" si="23"/>
        <v>62626.222923491274</v>
      </c>
      <c r="R46" s="4">
        <f t="shared" si="23"/>
        <v>65188.800068557073</v>
      </c>
      <c r="S46" s="4">
        <f t="shared" si="23"/>
        <v>67856.23427377858</v>
      </c>
      <c r="T46" s="4">
        <f t="shared" si="23"/>
        <v>70632.816142888681</v>
      </c>
      <c r="U46" s="4">
        <f t="shared" si="23"/>
        <v>73523.011845103159</v>
      </c>
      <c r="V46" s="4">
        <f t="shared" si="23"/>
        <v>76531.470299013672</v>
      </c>
      <c r="W46" s="4">
        <f t="shared" si="23"/>
        <v>79663.030650435889</v>
      </c>
      <c r="X46" s="4">
        <f t="shared" si="23"/>
        <v>82922.730056240354</v>
      </c>
      <c r="Y46" s="4">
        <f t="shared" si="23"/>
        <v>86315.811786687045</v>
      </c>
      <c r="Z46" s="4">
        <f t="shared" si="23"/>
        <v>70273763.112092242</v>
      </c>
      <c r="AA46" s="4">
        <f t="shared" si="23"/>
        <v>73149266.868223533</v>
      </c>
      <c r="AB46" s="4">
        <f t="shared" si="23"/>
        <v>76142432.202237532</v>
      </c>
      <c r="AC46" s="4">
        <f t="shared" si="23"/>
        <v>79258073.660761207</v>
      </c>
      <c r="AD46" s="4">
        <f t="shared" si="23"/>
        <v>82501202.794912159</v>
      </c>
      <c r="AE46" s="4">
        <f t="shared" si="23"/>
        <v>85877036.221445963</v>
      </c>
      <c r="AF46" s="4">
        <f t="shared" si="23"/>
        <v>89391004.013754204</v>
      </c>
      <c r="AG46" s="4">
        <f t="shared" si="23"/>
        <v>93048758.436210439</v>
      </c>
      <c r="AH46" s="4">
        <f t="shared" si="23"/>
        <v>96856183.035913378</v>
      </c>
      <c r="AI46" s="4">
        <f t="shared" si="23"/>
        <v>100819402.1064513</v>
      </c>
      <c r="AJ46" s="4">
        <f t="shared" si="23"/>
        <v>104944790.53891063</v>
      </c>
      <c r="AK46" s="4">
        <f t="shared" si="23"/>
        <v>109238984.0759737</v>
      </c>
      <c r="AL46" s="4">
        <f t="shared" si="23"/>
        <v>113708889.98560013</v>
      </c>
      <c r="AM46" s="4">
        <f t="shared" si="23"/>
        <v>118361698.1714599</v>
      </c>
      <c r="AN46" s="4">
        <f t="shared" si="23"/>
        <v>123204892.73799004</v>
      </c>
      <c r="AO46" s="4">
        <f t="shared" si="23"/>
        <v>128246264.02867708</v>
      </c>
      <c r="AP46" s="4">
        <f t="shared" si="23"/>
        <v>133493921.15692911</v>
      </c>
      <c r="AQ46" s="4">
        <f t="shared" si="23"/>
        <v>138956305.04969364</v>
      </c>
      <c r="AR46" s="4">
        <f t="shared" si="23"/>
        <v>144642202.02480188</v>
      </c>
    </row>
    <row r="47" spans="1:44" ht="15" x14ac:dyDescent="0.25">
      <c r="A47" s="2"/>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row>
    <row r="48" spans="1:44" ht="15" x14ac:dyDescent="0.25">
      <c r="B48" s="2" t="s">
        <v>363</v>
      </c>
      <c r="C48" s="225"/>
      <c r="D48" s="19"/>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row>
    <row r="49" spans="1:44" x14ac:dyDescent="0.2">
      <c r="B49" s="1" t="s">
        <v>797</v>
      </c>
      <c r="C49" s="225" t="s">
        <v>361</v>
      </c>
      <c r="D49" s="70">
        <f>SUM(F49:AR49)</f>
        <v>7163858.3791158898</v>
      </c>
      <c r="F49" s="18">
        <f t="shared" ref="F49:P49" si="24">F26*$D$31*F10</f>
        <v>0</v>
      </c>
      <c r="G49" s="18">
        <f t="shared" si="24"/>
        <v>0</v>
      </c>
      <c r="H49" s="18">
        <f t="shared" si="24"/>
        <v>0</v>
      </c>
      <c r="I49" s="18">
        <f t="shared" si="24"/>
        <v>0</v>
      </c>
      <c r="J49" s="18">
        <f t="shared" si="24"/>
        <v>0</v>
      </c>
      <c r="K49" s="18">
        <f t="shared" si="24"/>
        <v>0</v>
      </c>
      <c r="L49" s="18">
        <f t="shared" si="24"/>
        <v>0</v>
      </c>
      <c r="M49" s="18">
        <f t="shared" si="24"/>
        <v>0</v>
      </c>
      <c r="N49" s="18">
        <f t="shared" si="24"/>
        <v>0</v>
      </c>
      <c r="O49" s="18">
        <f t="shared" si="24"/>
        <v>0</v>
      </c>
      <c r="P49" s="18">
        <f t="shared" si="24"/>
        <v>0</v>
      </c>
      <c r="Q49" s="18">
        <f>Q26*$D$31*Q10</f>
        <v>0</v>
      </c>
      <c r="R49" s="18">
        <f t="shared" ref="R49:AR49" si="25">R26*$D$31*R10</f>
        <v>0</v>
      </c>
      <c r="S49" s="18">
        <f t="shared" si="25"/>
        <v>0</v>
      </c>
      <c r="T49" s="18">
        <f t="shared" si="25"/>
        <v>0</v>
      </c>
      <c r="U49" s="18">
        <f t="shared" si="25"/>
        <v>181149.09540954122</v>
      </c>
      <c r="V49" s="18">
        <f t="shared" si="25"/>
        <v>188561.4621478793</v>
      </c>
      <c r="W49" s="18">
        <f t="shared" si="25"/>
        <v>196277.13252976802</v>
      </c>
      <c r="X49" s="18">
        <f t="shared" si="25"/>
        <v>204308.51731460972</v>
      </c>
      <c r="Y49" s="18">
        <f t="shared" si="25"/>
        <v>212668.53509266267</v>
      </c>
      <c r="Z49" s="18">
        <f t="shared" si="25"/>
        <v>221370.63306476717</v>
      </c>
      <c r="AA49" s="18">
        <f t="shared" si="25"/>
        <v>230428.80867234847</v>
      </c>
      <c r="AB49" s="18">
        <f t="shared" si="25"/>
        <v>239857.63211248923</v>
      </c>
      <c r="AC49" s="18">
        <f t="shared" si="25"/>
        <v>249672.26977428736</v>
      </c>
      <c r="AD49" s="18">
        <f t="shared" si="25"/>
        <v>259888.50863419625</v>
      </c>
      <c r="AE49" s="18">
        <f t="shared" si="25"/>
        <v>270522.78164958849</v>
      </c>
      <c r="AF49" s="18">
        <f t="shared" si="25"/>
        <v>281592.19419138849</v>
      </c>
      <c r="AG49" s="18">
        <f t="shared" si="25"/>
        <v>293114.55155829113</v>
      </c>
      <c r="AH49" s="18">
        <f t="shared" si="25"/>
        <v>305108.38761682401</v>
      </c>
      <c r="AI49" s="18">
        <f t="shared" si="25"/>
        <v>317592.9946133201</v>
      </c>
      <c r="AJ49" s="18">
        <f t="shared" si="25"/>
        <v>330588.45420575573</v>
      </c>
      <c r="AK49" s="18">
        <f t="shared" si="25"/>
        <v>344115.66976536636</v>
      </c>
      <c r="AL49" s="18">
        <f t="shared" si="25"/>
        <v>358196.40000000037</v>
      </c>
      <c r="AM49" s="18">
        <f t="shared" si="25"/>
        <v>372853.29395329248</v>
      </c>
      <c r="AN49" s="18">
        <f t="shared" si="25"/>
        <v>388109.92743595468</v>
      </c>
      <c r="AO49" s="18">
        <f t="shared" si="25"/>
        <v>403990.84094778419</v>
      </c>
      <c r="AP49" s="18">
        <f t="shared" si="25"/>
        <v>420521.57915138686</v>
      </c>
      <c r="AQ49" s="18">
        <f t="shared" si="25"/>
        <v>437728.73196111037</v>
      </c>
      <c r="AR49" s="18">
        <f t="shared" si="25"/>
        <v>455639.97731327743</v>
      </c>
    </row>
    <row r="50" spans="1:44" x14ac:dyDescent="0.2">
      <c r="B50" s="1" t="s">
        <v>790</v>
      </c>
      <c r="C50" s="225" t="s">
        <v>361</v>
      </c>
      <c r="D50" s="70">
        <f>SUM(F50:AR50)</f>
        <v>1028.4140937558982</v>
      </c>
      <c r="F50" s="18">
        <f t="shared" ref="F50:S50" si="26">F36</f>
        <v>0</v>
      </c>
      <c r="G50" s="18">
        <f t="shared" si="26"/>
        <v>0</v>
      </c>
      <c r="H50" s="18">
        <f t="shared" si="26"/>
        <v>0</v>
      </c>
      <c r="I50" s="18">
        <f t="shared" si="26"/>
        <v>0</v>
      </c>
      <c r="J50" s="18">
        <f t="shared" si="26"/>
        <v>0</v>
      </c>
      <c r="K50" s="18">
        <f t="shared" si="26"/>
        <v>0</v>
      </c>
      <c r="L50" s="18">
        <f t="shared" si="26"/>
        <v>0</v>
      </c>
      <c r="M50" s="18">
        <f t="shared" si="26"/>
        <v>0</v>
      </c>
      <c r="N50" s="18">
        <f t="shared" si="26"/>
        <v>0</v>
      </c>
      <c r="O50" s="18">
        <f t="shared" si="26"/>
        <v>0</v>
      </c>
      <c r="P50" s="18">
        <f t="shared" si="26"/>
        <v>189.52488806215132</v>
      </c>
      <c r="Q50" s="18">
        <f t="shared" si="26"/>
        <v>197.27998048026745</v>
      </c>
      <c r="R50" s="18">
        <f t="shared" si="26"/>
        <v>205.35240039572955</v>
      </c>
      <c r="S50" s="18">
        <f t="shared" si="26"/>
        <v>213.75513240435438</v>
      </c>
      <c r="T50" s="18">
        <f>T36</f>
        <v>222.50169241339563</v>
      </c>
      <c r="U50" s="18">
        <f t="shared" ref="U50:AR50" si="27">U36</f>
        <v>0</v>
      </c>
      <c r="V50" s="18">
        <f t="shared" si="27"/>
        <v>0</v>
      </c>
      <c r="W50" s="18">
        <f t="shared" si="27"/>
        <v>0</v>
      </c>
      <c r="X50" s="18">
        <f t="shared" si="27"/>
        <v>0</v>
      </c>
      <c r="Y50" s="18">
        <f t="shared" si="27"/>
        <v>0</v>
      </c>
      <c r="Z50" s="18">
        <f t="shared" si="27"/>
        <v>0</v>
      </c>
      <c r="AA50" s="18">
        <f t="shared" si="27"/>
        <v>0</v>
      </c>
      <c r="AB50" s="18">
        <f t="shared" si="27"/>
        <v>0</v>
      </c>
      <c r="AC50" s="18">
        <f t="shared" si="27"/>
        <v>0</v>
      </c>
      <c r="AD50" s="18">
        <f t="shared" si="27"/>
        <v>0</v>
      </c>
      <c r="AE50" s="18">
        <f t="shared" si="27"/>
        <v>0</v>
      </c>
      <c r="AF50" s="18">
        <f t="shared" si="27"/>
        <v>0</v>
      </c>
      <c r="AG50" s="18">
        <f t="shared" si="27"/>
        <v>0</v>
      </c>
      <c r="AH50" s="18">
        <f t="shared" si="27"/>
        <v>0</v>
      </c>
      <c r="AI50" s="18">
        <f t="shared" si="27"/>
        <v>0</v>
      </c>
      <c r="AJ50" s="18">
        <f t="shared" si="27"/>
        <v>0</v>
      </c>
      <c r="AK50" s="18">
        <f t="shared" si="27"/>
        <v>0</v>
      </c>
      <c r="AL50" s="18">
        <f t="shared" si="27"/>
        <v>0</v>
      </c>
      <c r="AM50" s="18">
        <f t="shared" si="27"/>
        <v>0</v>
      </c>
      <c r="AN50" s="18">
        <f t="shared" si="27"/>
        <v>0</v>
      </c>
      <c r="AO50" s="18">
        <f t="shared" si="27"/>
        <v>0</v>
      </c>
      <c r="AP50" s="18">
        <f t="shared" si="27"/>
        <v>0</v>
      </c>
      <c r="AQ50" s="18">
        <f t="shared" si="27"/>
        <v>0</v>
      </c>
      <c r="AR50" s="18">
        <f t="shared" si="27"/>
        <v>0</v>
      </c>
    </row>
    <row r="51" spans="1:44" x14ac:dyDescent="0.2">
      <c r="B51" s="1" t="s">
        <v>796</v>
      </c>
      <c r="C51" s="225" t="s">
        <v>361</v>
      </c>
      <c r="D51" s="70">
        <f>SUM(F51:AR51)</f>
        <v>7164886.7932096468</v>
      </c>
      <c r="F51" s="18">
        <f t="shared" ref="F51:T51" si="28">F49+F50</f>
        <v>0</v>
      </c>
      <c r="G51" s="18">
        <f t="shared" si="28"/>
        <v>0</v>
      </c>
      <c r="H51" s="18">
        <f t="shared" si="28"/>
        <v>0</v>
      </c>
      <c r="I51" s="18">
        <f t="shared" si="28"/>
        <v>0</v>
      </c>
      <c r="J51" s="18">
        <f t="shared" si="28"/>
        <v>0</v>
      </c>
      <c r="K51" s="18">
        <f t="shared" si="28"/>
        <v>0</v>
      </c>
      <c r="L51" s="18">
        <f t="shared" si="28"/>
        <v>0</v>
      </c>
      <c r="M51" s="18">
        <f t="shared" si="28"/>
        <v>0</v>
      </c>
      <c r="N51" s="18">
        <f t="shared" si="28"/>
        <v>0</v>
      </c>
      <c r="O51" s="18">
        <f t="shared" si="28"/>
        <v>0</v>
      </c>
      <c r="P51" s="18">
        <f t="shared" si="28"/>
        <v>189.52488806215132</v>
      </c>
      <c r="Q51" s="18">
        <f t="shared" si="28"/>
        <v>197.27998048026745</v>
      </c>
      <c r="R51" s="18">
        <f t="shared" si="28"/>
        <v>205.35240039572955</v>
      </c>
      <c r="S51" s="18">
        <f t="shared" si="28"/>
        <v>213.75513240435438</v>
      </c>
      <c r="T51" s="18">
        <f t="shared" si="28"/>
        <v>222.50169241339563</v>
      </c>
      <c r="U51" s="18">
        <f>U49+U50</f>
        <v>181149.09540954122</v>
      </c>
      <c r="V51" s="18">
        <f t="shared" ref="V51:AR51" si="29">V49+V50</f>
        <v>188561.4621478793</v>
      </c>
      <c r="W51" s="18">
        <f t="shared" si="29"/>
        <v>196277.13252976802</v>
      </c>
      <c r="X51" s="18">
        <f t="shared" si="29"/>
        <v>204308.51731460972</v>
      </c>
      <c r="Y51" s="18">
        <f t="shared" si="29"/>
        <v>212668.53509266267</v>
      </c>
      <c r="Z51" s="18">
        <f t="shared" si="29"/>
        <v>221370.63306476717</v>
      </c>
      <c r="AA51" s="18">
        <f t="shared" si="29"/>
        <v>230428.80867234847</v>
      </c>
      <c r="AB51" s="18">
        <f t="shared" si="29"/>
        <v>239857.63211248923</v>
      </c>
      <c r="AC51" s="18">
        <f t="shared" si="29"/>
        <v>249672.26977428736</v>
      </c>
      <c r="AD51" s="18">
        <f t="shared" si="29"/>
        <v>259888.50863419625</v>
      </c>
      <c r="AE51" s="18">
        <f t="shared" si="29"/>
        <v>270522.78164958849</v>
      </c>
      <c r="AF51" s="18">
        <f t="shared" si="29"/>
        <v>281592.19419138849</v>
      </c>
      <c r="AG51" s="18">
        <f t="shared" si="29"/>
        <v>293114.55155829113</v>
      </c>
      <c r="AH51" s="18">
        <f t="shared" si="29"/>
        <v>305108.38761682401</v>
      </c>
      <c r="AI51" s="18">
        <f t="shared" si="29"/>
        <v>317592.9946133201</v>
      </c>
      <c r="AJ51" s="18">
        <f t="shared" si="29"/>
        <v>330588.45420575573</v>
      </c>
      <c r="AK51" s="18">
        <f t="shared" si="29"/>
        <v>344115.66976536636</v>
      </c>
      <c r="AL51" s="18">
        <f t="shared" si="29"/>
        <v>358196.40000000037</v>
      </c>
      <c r="AM51" s="18">
        <f t="shared" si="29"/>
        <v>372853.29395329248</v>
      </c>
      <c r="AN51" s="18">
        <f t="shared" si="29"/>
        <v>388109.92743595468</v>
      </c>
      <c r="AO51" s="18">
        <f t="shared" si="29"/>
        <v>403990.84094778419</v>
      </c>
      <c r="AP51" s="18">
        <f t="shared" si="29"/>
        <v>420521.57915138686</v>
      </c>
      <c r="AQ51" s="18">
        <f t="shared" si="29"/>
        <v>437728.73196111037</v>
      </c>
      <c r="AR51" s="18">
        <f t="shared" si="29"/>
        <v>455639.97731327743</v>
      </c>
    </row>
    <row r="52" spans="1:44" x14ac:dyDescent="0.2">
      <c r="B52" s="1" t="s">
        <v>284</v>
      </c>
      <c r="C52" s="225" t="s">
        <v>135</v>
      </c>
      <c r="D52" s="87">
        <f>INPUTS!$E$85</f>
        <v>32.4</v>
      </c>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row>
    <row r="53" spans="1:44" ht="15" x14ac:dyDescent="0.25">
      <c r="A53" s="2"/>
      <c r="B53" s="1" t="s">
        <v>285</v>
      </c>
      <c r="C53" s="21" t="s">
        <v>146</v>
      </c>
      <c r="D53" s="17">
        <f>INPUTS!$E$94</f>
        <v>1</v>
      </c>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row>
    <row r="54" spans="1:44" x14ac:dyDescent="0.2">
      <c r="B54" s="1" t="s">
        <v>362</v>
      </c>
      <c r="C54" s="21" t="s">
        <v>289</v>
      </c>
      <c r="D54" s="4">
        <f>SUM(F54:AR54)</f>
        <v>232142332.09999254</v>
      </c>
      <c r="F54" s="4">
        <f>F51*$D$52*$D$53</f>
        <v>0</v>
      </c>
      <c r="G54" s="4">
        <f t="shared" ref="G54:AR54" si="30">G51*$D$52*$D$53</f>
        <v>0</v>
      </c>
      <c r="H54" s="4">
        <f t="shared" si="30"/>
        <v>0</v>
      </c>
      <c r="I54" s="4">
        <f t="shared" si="30"/>
        <v>0</v>
      </c>
      <c r="J54" s="4">
        <f t="shared" si="30"/>
        <v>0</v>
      </c>
      <c r="K54" s="4">
        <f t="shared" si="30"/>
        <v>0</v>
      </c>
      <c r="L54" s="4">
        <f t="shared" si="30"/>
        <v>0</v>
      </c>
      <c r="M54" s="4">
        <f t="shared" si="30"/>
        <v>0</v>
      </c>
      <c r="N54" s="4">
        <f t="shared" si="30"/>
        <v>0</v>
      </c>
      <c r="O54" s="4">
        <f t="shared" si="30"/>
        <v>0</v>
      </c>
      <c r="P54" s="4">
        <f t="shared" si="30"/>
        <v>6140.6063732137027</v>
      </c>
      <c r="Q54" s="4">
        <f t="shared" si="30"/>
        <v>6391.871367560665</v>
      </c>
      <c r="R54" s="4">
        <f t="shared" si="30"/>
        <v>6653.4177728216373</v>
      </c>
      <c r="S54" s="4">
        <f t="shared" si="30"/>
        <v>6925.6662899010817</v>
      </c>
      <c r="T54" s="4">
        <f t="shared" si="30"/>
        <v>7209.0548341940184</v>
      </c>
      <c r="U54" s="4">
        <f t="shared" si="30"/>
        <v>5869230.6912691351</v>
      </c>
      <c r="V54" s="4">
        <f t="shared" si="30"/>
        <v>6109391.3735912889</v>
      </c>
      <c r="W54" s="4">
        <f t="shared" si="30"/>
        <v>6359379.0939644836</v>
      </c>
      <c r="X54" s="4">
        <f t="shared" si="30"/>
        <v>6619595.9609933551</v>
      </c>
      <c r="Y54" s="4">
        <f t="shared" si="30"/>
        <v>6890460.5370022701</v>
      </c>
      <c r="Z54" s="4">
        <f t="shared" si="30"/>
        <v>7172408.5112984562</v>
      </c>
      <c r="AA54" s="4">
        <f t="shared" si="30"/>
        <v>7465893.4009840898</v>
      </c>
      <c r="AB54" s="4">
        <f t="shared" si="30"/>
        <v>7771387.2804446509</v>
      </c>
      <c r="AC54" s="4">
        <f t="shared" si="30"/>
        <v>8089381.54068691</v>
      </c>
      <c r="AD54" s="4">
        <f t="shared" si="30"/>
        <v>8420387.6797479577</v>
      </c>
      <c r="AE54" s="4">
        <f t="shared" si="30"/>
        <v>8764938.125446666</v>
      </c>
      <c r="AF54" s="4">
        <f t="shared" si="30"/>
        <v>9123587.0918009877</v>
      </c>
      <c r="AG54" s="4">
        <f t="shared" si="30"/>
        <v>9496911.4704886321</v>
      </c>
      <c r="AH54" s="4">
        <f t="shared" si="30"/>
        <v>9885511.7587850969</v>
      </c>
      <c r="AI54" s="4">
        <f t="shared" si="30"/>
        <v>10290013.02547157</v>
      </c>
      <c r="AJ54" s="4">
        <f t="shared" si="30"/>
        <v>10711065.916266484</v>
      </c>
      <c r="AK54" s="4">
        <f t="shared" si="30"/>
        <v>11149347.70039787</v>
      </c>
      <c r="AL54" s="4">
        <f t="shared" si="30"/>
        <v>11605563.360000012</v>
      </c>
      <c r="AM54" s="4">
        <f t="shared" si="30"/>
        <v>12080446.724086676</v>
      </c>
      <c r="AN54" s="4">
        <f t="shared" si="30"/>
        <v>12574761.648924932</v>
      </c>
      <c r="AO54" s="4">
        <f t="shared" si="30"/>
        <v>13089303.246708207</v>
      </c>
      <c r="AP54" s="4">
        <f t="shared" si="30"/>
        <v>13624899.164504934</v>
      </c>
      <c r="AQ54" s="4">
        <f t="shared" si="30"/>
        <v>14182410.915539976</v>
      </c>
      <c r="AR54" s="4">
        <f t="shared" si="30"/>
        <v>14762735.264950188</v>
      </c>
    </row>
    <row r="55" spans="1:44" ht="15" x14ac:dyDescent="0.25">
      <c r="A55" s="2"/>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row>
    <row r="56" spans="1:44" x14ac:dyDescent="0.2">
      <c r="C56" s="20"/>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row>
    <row r="57" spans="1:44" ht="15" x14ac:dyDescent="0.25">
      <c r="A57" s="2" t="s">
        <v>272</v>
      </c>
      <c r="C57" s="225"/>
      <c r="D57" s="70"/>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row>
    <row r="58" spans="1:44" x14ac:dyDescent="0.2">
      <c r="B58" s="1" t="s">
        <v>298</v>
      </c>
      <c r="C58" s="21" t="s">
        <v>289</v>
      </c>
      <c r="D58" s="70">
        <f>SUM(F58:AR58)</f>
        <v>2194982826.8309755</v>
      </c>
      <c r="F58" s="18">
        <f>F46+F54</f>
        <v>0</v>
      </c>
      <c r="G58" s="18">
        <f t="shared" ref="G58:AR58" si="31">G46+G54</f>
        <v>0</v>
      </c>
      <c r="H58" s="18">
        <f t="shared" si="31"/>
        <v>0</v>
      </c>
      <c r="I58" s="18">
        <f t="shared" si="31"/>
        <v>0</v>
      </c>
      <c r="J58" s="18">
        <f t="shared" si="31"/>
        <v>0</v>
      </c>
      <c r="K58" s="18">
        <f t="shared" si="31"/>
        <v>0</v>
      </c>
      <c r="L58" s="18">
        <f t="shared" si="31"/>
        <v>0</v>
      </c>
      <c r="M58" s="18">
        <f t="shared" si="31"/>
        <v>0</v>
      </c>
      <c r="N58" s="18">
        <f t="shared" si="31"/>
        <v>0</v>
      </c>
      <c r="O58" s="18">
        <f t="shared" si="31"/>
        <v>0</v>
      </c>
      <c r="P58" s="18">
        <f t="shared" si="31"/>
        <v>66304.98727205109</v>
      </c>
      <c r="Q58" s="18">
        <f t="shared" si="31"/>
        <v>69018.094291051937</v>
      </c>
      <c r="R58" s="18">
        <f t="shared" si="31"/>
        <v>71842.217841378704</v>
      </c>
      <c r="S58" s="18">
        <f t="shared" si="31"/>
        <v>74781.900563679665</v>
      </c>
      <c r="T58" s="18">
        <f t="shared" si="31"/>
        <v>77841.870977082697</v>
      </c>
      <c r="U58" s="18">
        <f t="shared" si="31"/>
        <v>5942753.7031142386</v>
      </c>
      <c r="V58" s="18">
        <f t="shared" si="31"/>
        <v>6185922.8438903028</v>
      </c>
      <c r="W58" s="18">
        <f t="shared" si="31"/>
        <v>6439042.1246149195</v>
      </c>
      <c r="X58" s="18">
        <f t="shared" si="31"/>
        <v>6702518.6910495954</v>
      </c>
      <c r="Y58" s="18">
        <f t="shared" si="31"/>
        <v>6976776.3487889571</v>
      </c>
      <c r="Z58" s="18">
        <f t="shared" si="31"/>
        <v>77446171.623390704</v>
      </c>
      <c r="AA58" s="18">
        <f t="shared" si="31"/>
        <v>80615160.269207627</v>
      </c>
      <c r="AB58" s="18">
        <f t="shared" si="31"/>
        <v>83913819.482682183</v>
      </c>
      <c r="AC58" s="18">
        <f t="shared" si="31"/>
        <v>87347455.201448113</v>
      </c>
      <c r="AD58" s="18">
        <f t="shared" si="31"/>
        <v>90921590.474660113</v>
      </c>
      <c r="AE58" s="18">
        <f t="shared" si="31"/>
        <v>94641974.346892625</v>
      </c>
      <c r="AF58" s="18">
        <f t="shared" si="31"/>
        <v>98514591.105555192</v>
      </c>
      <c r="AG58" s="18">
        <f t="shared" si="31"/>
        <v>102545669.90669908</v>
      </c>
      <c r="AH58" s="18">
        <f t="shared" si="31"/>
        <v>106741694.79469848</v>
      </c>
      <c r="AI58" s="18">
        <f t="shared" si="31"/>
        <v>111109415.13192287</v>
      </c>
      <c r="AJ58" s="18">
        <f t="shared" si="31"/>
        <v>115655856.45517711</v>
      </c>
      <c r="AK58" s="18">
        <f t="shared" si="31"/>
        <v>120388331.77637157</v>
      </c>
      <c r="AL58" s="18">
        <f t="shared" si="31"/>
        <v>125314453.34560014</v>
      </c>
      <c r="AM58" s="18">
        <f t="shared" si="31"/>
        <v>130442144.89554657</v>
      </c>
      <c r="AN58" s="18">
        <f t="shared" si="31"/>
        <v>135779654.38691497</v>
      </c>
      <c r="AO58" s="18">
        <f t="shared" si="31"/>
        <v>141335567.27538529</v>
      </c>
      <c r="AP58" s="18">
        <f t="shared" si="31"/>
        <v>147118820.32143405</v>
      </c>
      <c r="AQ58" s="18">
        <f t="shared" si="31"/>
        <v>153138715.96523362</v>
      </c>
      <c r="AR58" s="18">
        <f t="shared" si="31"/>
        <v>159404937.28975207</v>
      </c>
    </row>
    <row r="59" spans="1:44" x14ac:dyDescent="0.2">
      <c r="C59" s="2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row>
    <row r="60" spans="1:44" s="8" customFormat="1" x14ac:dyDescent="0.2">
      <c r="A60" s="7" t="s">
        <v>245</v>
      </c>
      <c r="B60" s="12"/>
      <c r="C60" s="226"/>
    </row>
    <row r="61" spans="1:44" ht="15" x14ac:dyDescent="0.25">
      <c r="A61" s="2"/>
      <c r="C61" s="225"/>
      <c r="D61" s="70"/>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row>
    <row r="62" spans="1:44" x14ac:dyDescent="0.2">
      <c r="B62" s="1" t="s">
        <v>298</v>
      </c>
      <c r="C62" s="21" t="s">
        <v>289</v>
      </c>
      <c r="D62" s="70">
        <f>SUM(F62:AR62)</f>
        <v>0</v>
      </c>
      <c r="F62" s="18">
        <v>0</v>
      </c>
      <c r="G62" s="18">
        <v>0</v>
      </c>
      <c r="H62" s="18">
        <v>0</v>
      </c>
      <c r="I62" s="18">
        <v>0</v>
      </c>
      <c r="J62" s="18">
        <v>0</v>
      </c>
      <c r="K62" s="18">
        <v>0</v>
      </c>
      <c r="L62" s="18">
        <v>0</v>
      </c>
      <c r="M62" s="18">
        <v>0</v>
      </c>
      <c r="N62" s="18">
        <v>0</v>
      </c>
      <c r="O62" s="18">
        <v>0</v>
      </c>
      <c r="P62" s="18">
        <v>0</v>
      </c>
      <c r="Q62" s="18">
        <v>0</v>
      </c>
      <c r="R62" s="18">
        <v>0</v>
      </c>
      <c r="S62" s="18">
        <v>0</v>
      </c>
      <c r="T62" s="18">
        <v>0</v>
      </c>
      <c r="U62" s="18">
        <v>0</v>
      </c>
      <c r="V62" s="18">
        <v>0</v>
      </c>
      <c r="W62" s="18">
        <v>0</v>
      </c>
      <c r="X62" s="18">
        <v>0</v>
      </c>
      <c r="Y62" s="18">
        <v>0</v>
      </c>
      <c r="Z62" s="18">
        <v>0</v>
      </c>
      <c r="AA62" s="18">
        <v>0</v>
      </c>
      <c r="AB62" s="18">
        <v>0</v>
      </c>
      <c r="AC62" s="18">
        <v>0</v>
      </c>
      <c r="AD62" s="18">
        <v>0</v>
      </c>
      <c r="AE62" s="18">
        <v>0</v>
      </c>
      <c r="AF62" s="18">
        <v>0</v>
      </c>
      <c r="AG62" s="18">
        <v>0</v>
      </c>
      <c r="AH62" s="18">
        <v>0</v>
      </c>
      <c r="AI62" s="18">
        <v>0</v>
      </c>
      <c r="AJ62" s="18">
        <v>0</v>
      </c>
      <c r="AK62" s="18">
        <v>0</v>
      </c>
      <c r="AL62" s="18">
        <v>0</v>
      </c>
      <c r="AM62" s="18">
        <v>0</v>
      </c>
      <c r="AN62" s="18">
        <v>0</v>
      </c>
      <c r="AO62" s="18">
        <v>0</v>
      </c>
      <c r="AP62" s="18">
        <v>0</v>
      </c>
      <c r="AQ62" s="18">
        <v>0</v>
      </c>
      <c r="AR62" s="18">
        <v>0</v>
      </c>
    </row>
    <row r="63" spans="1:44" x14ac:dyDescent="0.2">
      <c r="C63" s="225"/>
      <c r="D63" s="70"/>
    </row>
    <row r="64" spans="1:44" s="8" customFormat="1" x14ac:dyDescent="0.2">
      <c r="A64" s="7" t="s">
        <v>275</v>
      </c>
      <c r="B64" s="7"/>
      <c r="C64" s="226"/>
    </row>
    <row r="65" spans="1:44" ht="15" x14ac:dyDescent="0.25">
      <c r="A65" s="2" t="s">
        <v>276</v>
      </c>
      <c r="C65" s="20"/>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row>
    <row r="66" spans="1:44" x14ac:dyDescent="0.2">
      <c r="B66" s="1" t="s">
        <v>241</v>
      </c>
      <c r="C66" s="225" t="s">
        <v>77</v>
      </c>
      <c r="D66" s="70">
        <f>SUM(F66:AR66)</f>
        <v>966404345.11956024</v>
      </c>
      <c r="F66" s="18">
        <f t="shared" ref="F66:AR66" si="32">(F$58-F$62)*F$13*F17</f>
        <v>0</v>
      </c>
      <c r="G66" s="18">
        <f t="shared" si="32"/>
        <v>0</v>
      </c>
      <c r="H66" s="18">
        <f t="shared" si="32"/>
        <v>0</v>
      </c>
      <c r="I66" s="18">
        <f t="shared" si="32"/>
        <v>0</v>
      </c>
      <c r="J66" s="18">
        <f t="shared" si="32"/>
        <v>0</v>
      </c>
      <c r="K66" s="18">
        <f t="shared" si="32"/>
        <v>0</v>
      </c>
      <c r="L66" s="18">
        <f t="shared" si="32"/>
        <v>0</v>
      </c>
      <c r="M66" s="18">
        <f t="shared" si="32"/>
        <v>0</v>
      </c>
      <c r="N66" s="18">
        <f t="shared" si="32"/>
        <v>0</v>
      </c>
      <c r="O66" s="18">
        <f t="shared" si="32"/>
        <v>0</v>
      </c>
      <c r="P66" s="18">
        <f t="shared" si="32"/>
        <v>66304.98727205109</v>
      </c>
      <c r="Q66" s="18">
        <f t="shared" si="32"/>
        <v>69018.094291051937</v>
      </c>
      <c r="R66" s="18">
        <f t="shared" si="32"/>
        <v>71842.217841378704</v>
      </c>
      <c r="S66" s="18">
        <f t="shared" si="32"/>
        <v>74781.900563679665</v>
      </c>
      <c r="T66" s="18">
        <f t="shared" si="32"/>
        <v>77841.870977082697</v>
      </c>
      <c r="U66" s="18">
        <f t="shared" si="32"/>
        <v>5942753.7031142386</v>
      </c>
      <c r="V66" s="18">
        <f t="shared" si="32"/>
        <v>6185922.8438903028</v>
      </c>
      <c r="W66" s="18">
        <f t="shared" si="32"/>
        <v>6439042.1246149195</v>
      </c>
      <c r="X66" s="18">
        <f t="shared" si="32"/>
        <v>6702518.6910495954</v>
      </c>
      <c r="Y66" s="18">
        <f t="shared" si="32"/>
        <v>6976776.3487889571</v>
      </c>
      <c r="Z66" s="18">
        <f t="shared" si="32"/>
        <v>77446171.623390704</v>
      </c>
      <c r="AA66" s="18">
        <f t="shared" si="32"/>
        <v>80615160.269207627</v>
      </c>
      <c r="AB66" s="18">
        <f t="shared" si="32"/>
        <v>83913819.482682183</v>
      </c>
      <c r="AC66" s="18">
        <f t="shared" si="32"/>
        <v>87347455.201448113</v>
      </c>
      <c r="AD66" s="18">
        <f t="shared" si="32"/>
        <v>90921590.474660113</v>
      </c>
      <c r="AE66" s="18">
        <f t="shared" si="32"/>
        <v>94641974.346892625</v>
      </c>
      <c r="AF66" s="18">
        <f t="shared" si="32"/>
        <v>98514591.105555192</v>
      </c>
      <c r="AG66" s="18">
        <f t="shared" si="32"/>
        <v>102545669.90669908</v>
      </c>
      <c r="AH66" s="18">
        <f t="shared" si="32"/>
        <v>106741694.79469848</v>
      </c>
      <c r="AI66" s="18">
        <f t="shared" si="32"/>
        <v>111109415.13192287</v>
      </c>
      <c r="AJ66" s="18">
        <f t="shared" si="32"/>
        <v>0</v>
      </c>
      <c r="AK66" s="18">
        <f t="shared" si="32"/>
        <v>0</v>
      </c>
      <c r="AL66" s="18">
        <f t="shared" si="32"/>
        <v>0</v>
      </c>
      <c r="AM66" s="18">
        <f t="shared" si="32"/>
        <v>0</v>
      </c>
      <c r="AN66" s="18">
        <f t="shared" si="32"/>
        <v>0</v>
      </c>
      <c r="AO66" s="18">
        <f t="shared" si="32"/>
        <v>0</v>
      </c>
      <c r="AP66" s="18">
        <f t="shared" si="32"/>
        <v>0</v>
      </c>
      <c r="AQ66" s="18">
        <f t="shared" si="32"/>
        <v>0</v>
      </c>
      <c r="AR66" s="18">
        <f t="shared" si="32"/>
        <v>0</v>
      </c>
    </row>
    <row r="67" spans="1:44" x14ac:dyDescent="0.2">
      <c r="B67" s="1" t="s">
        <v>242</v>
      </c>
      <c r="C67" s="225" t="s">
        <v>77</v>
      </c>
      <c r="D67" s="70">
        <f>SUM(F67:AR67)</f>
        <v>513119949.20395285</v>
      </c>
      <c r="F67" s="18">
        <f t="shared" ref="F67:AR67" si="33">(F$58-F$62)*F$13*F18</f>
        <v>0</v>
      </c>
      <c r="G67" s="18">
        <f t="shared" si="33"/>
        <v>0</v>
      </c>
      <c r="H67" s="18">
        <f t="shared" si="33"/>
        <v>0</v>
      </c>
      <c r="I67" s="18">
        <f t="shared" si="33"/>
        <v>0</v>
      </c>
      <c r="J67" s="18">
        <f t="shared" si="33"/>
        <v>0</v>
      </c>
      <c r="K67" s="18">
        <f t="shared" si="33"/>
        <v>0</v>
      </c>
      <c r="L67" s="18">
        <f t="shared" si="33"/>
        <v>0</v>
      </c>
      <c r="M67" s="18">
        <f t="shared" si="33"/>
        <v>0</v>
      </c>
      <c r="N67" s="18">
        <f t="shared" si="33"/>
        <v>0</v>
      </c>
      <c r="O67" s="18">
        <f t="shared" si="33"/>
        <v>0</v>
      </c>
      <c r="P67" s="18">
        <f t="shared" si="33"/>
        <v>53912.02231063386</v>
      </c>
      <c r="Q67" s="18">
        <f t="shared" si="33"/>
        <v>54483.520968106328</v>
      </c>
      <c r="R67" s="18">
        <f t="shared" si="33"/>
        <v>55061.077842308485</v>
      </c>
      <c r="S67" s="18">
        <f t="shared" si="33"/>
        <v>55644.757153846018</v>
      </c>
      <c r="T67" s="18">
        <f t="shared" si="33"/>
        <v>56234.623804100229</v>
      </c>
      <c r="U67" s="18">
        <f t="shared" si="33"/>
        <v>4168127.8803066127</v>
      </c>
      <c r="V67" s="18">
        <f t="shared" si="33"/>
        <v>4212312.4496415118</v>
      </c>
      <c r="W67" s="18">
        <f t="shared" si="33"/>
        <v>4256965.4009990757</v>
      </c>
      <c r="X67" s="18">
        <f t="shared" si="33"/>
        <v>4302091.6994999927</v>
      </c>
      <c r="Y67" s="18">
        <f t="shared" si="33"/>
        <v>4347696.3628980992</v>
      </c>
      <c r="Z67" s="18">
        <f t="shared" si="33"/>
        <v>46856207.49986802</v>
      </c>
      <c r="AA67" s="18">
        <f t="shared" si="33"/>
        <v>47352910.434254959</v>
      </c>
      <c r="AB67" s="18">
        <f t="shared" si="33"/>
        <v>47854878.707391925</v>
      </c>
      <c r="AC67" s="18">
        <f t="shared" si="33"/>
        <v>48362168.134918891</v>
      </c>
      <c r="AD67" s="18">
        <f t="shared" si="33"/>
        <v>48874835.124153912</v>
      </c>
      <c r="AE67" s="18">
        <f t="shared" si="33"/>
        <v>49392936.680365294</v>
      </c>
      <c r="AF67" s="18">
        <f t="shared" si="33"/>
        <v>49916530.413110204</v>
      </c>
      <c r="AG67" s="18">
        <f t="shared" si="33"/>
        <v>50445674.54264047</v>
      </c>
      <c r="AH67" s="18">
        <f t="shared" si="33"/>
        <v>50980427.906376295</v>
      </c>
      <c r="AI67" s="18">
        <f t="shared" si="33"/>
        <v>51520849.965448618</v>
      </c>
      <c r="AJ67" s="18">
        <f t="shared" si="33"/>
        <v>0</v>
      </c>
      <c r="AK67" s="18">
        <f t="shared" si="33"/>
        <v>0</v>
      </c>
      <c r="AL67" s="18">
        <f t="shared" si="33"/>
        <v>0</v>
      </c>
      <c r="AM67" s="18">
        <f t="shared" si="33"/>
        <v>0</v>
      </c>
      <c r="AN67" s="18">
        <f t="shared" si="33"/>
        <v>0</v>
      </c>
      <c r="AO67" s="18">
        <f t="shared" si="33"/>
        <v>0</v>
      </c>
      <c r="AP67" s="18">
        <f t="shared" si="33"/>
        <v>0</v>
      </c>
      <c r="AQ67" s="18">
        <f t="shared" si="33"/>
        <v>0</v>
      </c>
      <c r="AR67" s="18">
        <f t="shared" si="33"/>
        <v>0</v>
      </c>
    </row>
    <row r="68" spans="1:44" x14ac:dyDescent="0.2">
      <c r="B68" s="1" t="s">
        <v>243</v>
      </c>
      <c r="C68" s="225" t="s">
        <v>77</v>
      </c>
      <c r="D68" s="70">
        <f>SUM(F68:AR68)</f>
        <v>229952761.43034127</v>
      </c>
      <c r="F68" s="18">
        <f t="shared" ref="F68:AR68" si="34">(F$58-F$62)*F$13*F19</f>
        <v>0</v>
      </c>
      <c r="G68" s="18">
        <f t="shared" si="34"/>
        <v>0</v>
      </c>
      <c r="H68" s="18">
        <f t="shared" si="34"/>
        <v>0</v>
      </c>
      <c r="I68" s="18">
        <f t="shared" si="34"/>
        <v>0</v>
      </c>
      <c r="J68" s="18">
        <f t="shared" si="34"/>
        <v>0</v>
      </c>
      <c r="K68" s="18">
        <f t="shared" si="34"/>
        <v>0</v>
      </c>
      <c r="L68" s="18">
        <f t="shared" si="34"/>
        <v>0</v>
      </c>
      <c r="M68" s="18">
        <f t="shared" si="34"/>
        <v>0</v>
      </c>
      <c r="N68" s="18">
        <f t="shared" si="34"/>
        <v>0</v>
      </c>
      <c r="O68" s="18">
        <f t="shared" si="34"/>
        <v>0</v>
      </c>
      <c r="P68" s="18">
        <f t="shared" si="34"/>
        <v>41291.413709330911</v>
      </c>
      <c r="Q68" s="18">
        <f t="shared" si="34"/>
        <v>40169.159257120526</v>
      </c>
      <c r="R68" s="18">
        <f t="shared" si="34"/>
        <v>39077.406426006775</v>
      </c>
      <c r="S68" s="18">
        <f t="shared" si="34"/>
        <v>38015.326216035413</v>
      </c>
      <c r="T68" s="18">
        <f t="shared" si="34"/>
        <v>36982.11215854394</v>
      </c>
      <c r="U68" s="18">
        <f t="shared" si="34"/>
        <v>2638653.7150048879</v>
      </c>
      <c r="V68" s="18">
        <f t="shared" si="34"/>
        <v>2566938.057596032</v>
      </c>
      <c r="W68" s="18">
        <f t="shared" si="34"/>
        <v>2497171.5515624918</v>
      </c>
      <c r="X68" s="18">
        <f t="shared" si="34"/>
        <v>2429301.2211494446</v>
      </c>
      <c r="Y68" s="18">
        <f t="shared" si="34"/>
        <v>2363275.5304238438</v>
      </c>
      <c r="Z68" s="18">
        <f t="shared" si="34"/>
        <v>24517474.575453777</v>
      </c>
      <c r="AA68" s="18">
        <f t="shared" si="34"/>
        <v>23851117.032141078</v>
      </c>
      <c r="AB68" s="18">
        <f t="shared" si="34"/>
        <v>23202870.341728956</v>
      </c>
      <c r="AC68" s="18">
        <f t="shared" si="34"/>
        <v>22572242.271487292</v>
      </c>
      <c r="AD68" s="18">
        <f t="shared" si="34"/>
        <v>21958753.96702113</v>
      </c>
      <c r="AE68" s="18">
        <f t="shared" si="34"/>
        <v>21361939.588662535</v>
      </c>
      <c r="AF68" s="18">
        <f t="shared" si="34"/>
        <v>20781345.957744822</v>
      </c>
      <c r="AG68" s="18">
        <f t="shared" si="34"/>
        <v>20216532.212490726</v>
      </c>
      <c r="AH68" s="18">
        <f t="shared" si="34"/>
        <v>19667069.473253116</v>
      </c>
      <c r="AI68" s="18">
        <f t="shared" si="34"/>
        <v>19132540.516854085</v>
      </c>
      <c r="AJ68" s="18">
        <f t="shared" si="34"/>
        <v>0</v>
      </c>
      <c r="AK68" s="18">
        <f t="shared" si="34"/>
        <v>0</v>
      </c>
      <c r="AL68" s="18">
        <f t="shared" si="34"/>
        <v>0</v>
      </c>
      <c r="AM68" s="18">
        <f t="shared" si="34"/>
        <v>0</v>
      </c>
      <c r="AN68" s="18">
        <f t="shared" si="34"/>
        <v>0</v>
      </c>
      <c r="AO68" s="18">
        <f t="shared" si="34"/>
        <v>0</v>
      </c>
      <c r="AP68" s="18">
        <f t="shared" si="34"/>
        <v>0</v>
      </c>
      <c r="AQ68" s="18">
        <f t="shared" si="34"/>
        <v>0</v>
      </c>
      <c r="AR68" s="18">
        <f t="shared" si="34"/>
        <v>0</v>
      </c>
    </row>
    <row r="69" spans="1:44" x14ac:dyDescent="0.2">
      <c r="C69" s="71"/>
      <c r="D69" s="70"/>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47D24-3D04-432E-A18B-4FB851415559}">
  <sheetPr>
    <tabColor theme="6"/>
  </sheetPr>
  <dimension ref="A1"/>
  <sheetViews>
    <sheetView workbookViewId="0"/>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1FFE0-8321-4B4D-8FE7-8B1E310FC3C8}">
  <sheetPr>
    <tabColor theme="2" tint="-0.249977111117893"/>
  </sheetPr>
  <dimension ref="A1:AK210"/>
  <sheetViews>
    <sheetView workbookViewId="0">
      <selection activeCell="C1" sqref="C1"/>
    </sheetView>
  </sheetViews>
  <sheetFormatPr defaultColWidth="9.140625" defaultRowHeight="12.75" x14ac:dyDescent="0.25"/>
  <cols>
    <col min="1" max="2" width="1" style="23" customWidth="1"/>
    <col min="3" max="3" width="9.85546875" style="23" customWidth="1"/>
    <col min="4" max="5" width="5" style="23" customWidth="1"/>
    <col min="6" max="8" width="1" style="23" customWidth="1"/>
    <col min="9" max="10" width="1.85546875" style="23" customWidth="1"/>
    <col min="11" max="11" width="2.85546875" style="23" customWidth="1"/>
    <col min="12" max="12" width="1.85546875" style="23" customWidth="1"/>
    <col min="13" max="14" width="2.85546875" style="23" customWidth="1"/>
    <col min="15" max="17" width="1.85546875" style="23" customWidth="1"/>
    <col min="18" max="18" width="1" style="23" customWidth="1"/>
    <col min="19" max="19" width="1.85546875" style="23" customWidth="1"/>
    <col min="20" max="23" width="1" style="23" customWidth="1"/>
    <col min="24" max="25" width="1.85546875" style="23" customWidth="1"/>
    <col min="26" max="26" width="1" style="23" customWidth="1"/>
    <col min="27" max="27" width="9" style="23" customWidth="1"/>
    <col min="28" max="28" width="2.85546875" style="23" customWidth="1"/>
    <col min="29" max="29" width="4" style="23" customWidth="1"/>
    <col min="30" max="30" width="1" style="23" customWidth="1"/>
    <col min="31" max="31" width="21" style="23" customWidth="1"/>
    <col min="32" max="32" width="12" style="23" customWidth="1"/>
    <col min="33" max="16384" width="9.140625" style="23"/>
  </cols>
  <sheetData>
    <row r="1" spans="1:32" s="14" customFormat="1" ht="19.5" x14ac:dyDescent="0.3">
      <c r="C1" s="6" t="s">
        <v>421</v>
      </c>
    </row>
    <row r="2" spans="1:32" s="14" customFormat="1" ht="19.5" x14ac:dyDescent="0.3">
      <c r="C2" s="6"/>
    </row>
    <row r="3" spans="1:32" s="14" customFormat="1" x14ac:dyDescent="0.25">
      <c r="C3" s="16" t="s">
        <v>422</v>
      </c>
      <c r="D3" s="14" t="s">
        <v>423</v>
      </c>
      <c r="Z3" s="16"/>
    </row>
    <row r="4" spans="1:32" s="14" customFormat="1" ht="15" x14ac:dyDescent="0.25">
      <c r="C4" s="16" t="s">
        <v>424</v>
      </c>
      <c r="D4" s="15" t="s">
        <v>425</v>
      </c>
      <c r="Z4" s="16"/>
    </row>
    <row r="8" spans="1:32" ht="16.5" customHeight="1" x14ac:dyDescent="0.2">
      <c r="A8" s="415" t="s">
        <v>426</v>
      </c>
      <c r="B8" s="416"/>
      <c r="C8" s="416"/>
      <c r="D8" s="416"/>
      <c r="E8" s="416"/>
      <c r="F8" s="416"/>
      <c r="G8" s="416"/>
      <c r="H8" s="416"/>
      <c r="I8" s="416"/>
      <c r="J8" s="416"/>
      <c r="K8" s="416"/>
      <c r="L8" s="416"/>
      <c r="M8" s="416"/>
      <c r="N8" s="416"/>
      <c r="O8" s="416"/>
      <c r="P8" s="416"/>
      <c r="Q8" s="416"/>
      <c r="R8" s="416"/>
      <c r="S8" s="416"/>
      <c r="T8" s="416"/>
      <c r="U8" s="416"/>
      <c r="V8" s="417"/>
      <c r="W8" s="415" t="s">
        <v>427</v>
      </c>
      <c r="X8" s="416"/>
      <c r="Y8" s="416"/>
      <c r="Z8" s="416"/>
      <c r="AA8" s="416"/>
      <c r="AB8" s="416"/>
      <c r="AC8" s="416"/>
      <c r="AD8" s="416"/>
      <c r="AE8" s="417"/>
      <c r="AF8" s="25"/>
    </row>
    <row r="9" spans="1:32" ht="12.95" customHeight="1" x14ac:dyDescent="0.2">
      <c r="A9" s="436"/>
      <c r="B9" s="437"/>
      <c r="C9" s="437"/>
      <c r="D9" s="437"/>
      <c r="E9" s="437"/>
      <c r="F9" s="437"/>
      <c r="G9" s="437"/>
      <c r="H9" s="437"/>
      <c r="I9" s="437"/>
      <c r="J9" s="437"/>
      <c r="K9" s="437"/>
      <c r="L9" s="437"/>
      <c r="M9" s="437"/>
      <c r="N9" s="437"/>
      <c r="O9" s="437"/>
      <c r="P9" s="437"/>
      <c r="Q9" s="437"/>
      <c r="R9" s="437"/>
      <c r="S9" s="437"/>
      <c r="T9" s="437"/>
      <c r="U9" s="437"/>
      <c r="V9" s="438"/>
      <c r="W9" s="457" t="s">
        <v>428</v>
      </c>
      <c r="X9" s="458"/>
      <c r="Y9" s="458"/>
      <c r="Z9" s="458"/>
      <c r="AA9" s="458"/>
      <c r="AB9" s="458"/>
      <c r="AC9" s="458"/>
      <c r="AD9" s="458"/>
      <c r="AE9" s="459"/>
      <c r="AF9" s="25"/>
    </row>
    <row r="10" spans="1:32" ht="39.950000000000003" customHeight="1" x14ac:dyDescent="0.25">
      <c r="A10" s="460"/>
      <c r="B10" s="461"/>
      <c r="C10" s="463" t="s">
        <v>429</v>
      </c>
      <c r="D10" s="471"/>
      <c r="E10" s="471"/>
      <c r="F10" s="471"/>
      <c r="G10" s="471"/>
      <c r="H10" s="471"/>
      <c r="I10" s="471"/>
      <c r="J10" s="471"/>
      <c r="K10" s="471"/>
      <c r="L10" s="464"/>
      <c r="M10" s="531" t="s">
        <v>430</v>
      </c>
      <c r="N10" s="532"/>
      <c r="O10" s="532"/>
      <c r="P10" s="532"/>
      <c r="Q10" s="532"/>
      <c r="R10" s="532"/>
      <c r="S10" s="532"/>
      <c r="T10" s="532"/>
      <c r="U10" s="533"/>
      <c r="V10" s="26"/>
      <c r="W10" s="460"/>
      <c r="X10" s="461"/>
      <c r="Y10" s="461"/>
      <c r="Z10" s="461"/>
      <c r="AA10" s="461"/>
      <c r="AB10" s="461"/>
      <c r="AC10" s="461"/>
      <c r="AD10" s="461"/>
      <c r="AE10" s="462"/>
      <c r="AF10" s="347"/>
    </row>
    <row r="11" spans="1:32" ht="15.75" customHeight="1" x14ac:dyDescent="0.2">
      <c r="A11" s="460"/>
      <c r="B11" s="461"/>
      <c r="C11" s="403" t="s">
        <v>431</v>
      </c>
      <c r="D11" s="404"/>
      <c r="E11" s="404"/>
      <c r="F11" s="404"/>
      <c r="G11" s="404"/>
      <c r="H11" s="404"/>
      <c r="I11" s="404"/>
      <c r="J11" s="404"/>
      <c r="K11" s="404"/>
      <c r="L11" s="405"/>
      <c r="M11" s="568">
        <v>4000</v>
      </c>
      <c r="N11" s="569"/>
      <c r="O11" s="569"/>
      <c r="P11" s="569"/>
      <c r="Q11" s="569"/>
      <c r="R11" s="569"/>
      <c r="S11" s="569"/>
      <c r="T11" s="569"/>
      <c r="U11" s="570"/>
      <c r="V11" s="422"/>
      <c r="W11" s="460"/>
      <c r="X11" s="461"/>
      <c r="Y11" s="461"/>
      <c r="Z11" s="461"/>
      <c r="AA11" s="461"/>
      <c r="AB11" s="461"/>
      <c r="AC11" s="461"/>
      <c r="AD11" s="461"/>
      <c r="AE11" s="462"/>
      <c r="AF11" s="25"/>
    </row>
    <row r="12" spans="1:32" ht="15.75" customHeight="1" x14ac:dyDescent="0.2">
      <c r="A12" s="460"/>
      <c r="B12" s="461"/>
      <c r="C12" s="403" t="s">
        <v>432</v>
      </c>
      <c r="D12" s="404"/>
      <c r="E12" s="404"/>
      <c r="F12" s="404"/>
      <c r="G12" s="404"/>
      <c r="H12" s="404"/>
      <c r="I12" s="404"/>
      <c r="J12" s="404"/>
      <c r="K12" s="404"/>
      <c r="L12" s="405"/>
      <c r="M12" s="568">
        <v>78500</v>
      </c>
      <c r="N12" s="569"/>
      <c r="O12" s="569"/>
      <c r="P12" s="569"/>
      <c r="Q12" s="569"/>
      <c r="R12" s="569"/>
      <c r="S12" s="569"/>
      <c r="T12" s="569"/>
      <c r="U12" s="570"/>
      <c r="V12" s="422"/>
      <c r="W12" s="460"/>
      <c r="X12" s="461"/>
      <c r="Y12" s="461"/>
      <c r="Z12" s="461"/>
      <c r="AA12" s="461"/>
      <c r="AB12" s="461"/>
      <c r="AC12" s="461"/>
      <c r="AD12" s="461"/>
      <c r="AE12" s="462"/>
      <c r="AF12" s="82">
        <f>M12</f>
        <v>78500</v>
      </c>
    </row>
    <row r="13" spans="1:32" ht="15.75" customHeight="1" x14ac:dyDescent="0.2">
      <c r="A13" s="460"/>
      <c r="B13" s="461"/>
      <c r="C13" s="403" t="s">
        <v>433</v>
      </c>
      <c r="D13" s="404"/>
      <c r="E13" s="404"/>
      <c r="F13" s="404"/>
      <c r="G13" s="404"/>
      <c r="H13" s="404"/>
      <c r="I13" s="404"/>
      <c r="J13" s="404"/>
      <c r="K13" s="404"/>
      <c r="L13" s="405"/>
      <c r="M13" s="555">
        <v>153700</v>
      </c>
      <c r="N13" s="556"/>
      <c r="O13" s="556"/>
      <c r="P13" s="556"/>
      <c r="Q13" s="556"/>
      <c r="R13" s="556"/>
      <c r="S13" s="556"/>
      <c r="T13" s="556"/>
      <c r="U13" s="557"/>
      <c r="V13" s="422"/>
      <c r="W13" s="460"/>
      <c r="X13" s="461"/>
      <c r="Y13" s="461"/>
      <c r="Z13" s="461"/>
      <c r="AA13" s="461"/>
      <c r="AB13" s="461"/>
      <c r="AC13" s="461"/>
      <c r="AD13" s="461"/>
      <c r="AE13" s="462"/>
      <c r="AF13" s="82">
        <f>M13</f>
        <v>153700</v>
      </c>
    </row>
    <row r="14" spans="1:32" ht="15.75" customHeight="1" x14ac:dyDescent="0.2">
      <c r="A14" s="460"/>
      <c r="B14" s="461"/>
      <c r="C14" s="403" t="s">
        <v>434</v>
      </c>
      <c r="D14" s="404"/>
      <c r="E14" s="404"/>
      <c r="F14" s="404"/>
      <c r="G14" s="404"/>
      <c r="H14" s="404"/>
      <c r="I14" s="404"/>
      <c r="J14" s="404"/>
      <c r="K14" s="404"/>
      <c r="L14" s="405"/>
      <c r="M14" s="555">
        <v>564300</v>
      </c>
      <c r="N14" s="556"/>
      <c r="O14" s="556"/>
      <c r="P14" s="556"/>
      <c r="Q14" s="556"/>
      <c r="R14" s="556"/>
      <c r="S14" s="556"/>
      <c r="T14" s="556"/>
      <c r="U14" s="557"/>
      <c r="V14" s="422"/>
      <c r="W14" s="460"/>
      <c r="X14" s="461"/>
      <c r="Y14" s="461"/>
      <c r="Z14" s="461"/>
      <c r="AA14" s="461"/>
      <c r="AB14" s="461"/>
      <c r="AC14" s="461"/>
      <c r="AD14" s="461"/>
      <c r="AE14" s="462"/>
      <c r="AF14" s="82">
        <f>M14</f>
        <v>564300</v>
      </c>
    </row>
    <row r="15" spans="1:32" ht="15.75" customHeight="1" x14ac:dyDescent="0.2">
      <c r="A15" s="460"/>
      <c r="B15" s="461"/>
      <c r="C15" s="403" t="s">
        <v>435</v>
      </c>
      <c r="D15" s="404"/>
      <c r="E15" s="404"/>
      <c r="F15" s="404"/>
      <c r="G15" s="404"/>
      <c r="H15" s="404"/>
      <c r="I15" s="404"/>
      <c r="J15" s="404"/>
      <c r="K15" s="404"/>
      <c r="L15" s="405"/>
      <c r="M15" s="559">
        <v>11800000</v>
      </c>
      <c r="N15" s="560"/>
      <c r="O15" s="560"/>
      <c r="P15" s="560"/>
      <c r="Q15" s="560"/>
      <c r="R15" s="560"/>
      <c r="S15" s="560"/>
      <c r="T15" s="560"/>
      <c r="U15" s="561"/>
      <c r="V15" s="422"/>
      <c r="W15" s="460"/>
      <c r="X15" s="461"/>
      <c r="Y15" s="461"/>
      <c r="Z15" s="461"/>
      <c r="AA15" s="461"/>
      <c r="AB15" s="461"/>
      <c r="AC15" s="461"/>
      <c r="AD15" s="461"/>
      <c r="AE15" s="462"/>
      <c r="AF15" s="82">
        <f>M15</f>
        <v>11800000</v>
      </c>
    </row>
    <row r="16" spans="1:32" ht="15.75" customHeight="1" x14ac:dyDescent="0.2">
      <c r="A16" s="460"/>
      <c r="B16" s="461"/>
      <c r="C16" s="403" t="s">
        <v>436</v>
      </c>
      <c r="D16" s="404"/>
      <c r="E16" s="404"/>
      <c r="F16" s="404"/>
      <c r="G16" s="404"/>
      <c r="H16" s="404"/>
      <c r="I16" s="404"/>
      <c r="J16" s="404"/>
      <c r="K16" s="404"/>
      <c r="L16" s="405"/>
      <c r="M16" s="555">
        <v>213900</v>
      </c>
      <c r="N16" s="556"/>
      <c r="O16" s="556"/>
      <c r="P16" s="556"/>
      <c r="Q16" s="556"/>
      <c r="R16" s="556"/>
      <c r="S16" s="556"/>
      <c r="T16" s="556"/>
      <c r="U16" s="557"/>
      <c r="V16" s="422"/>
      <c r="W16" s="460"/>
      <c r="X16" s="461"/>
      <c r="Y16" s="461"/>
      <c r="Z16" s="461"/>
      <c r="AA16" s="461"/>
      <c r="AB16" s="461"/>
      <c r="AC16" s="461"/>
      <c r="AD16" s="461"/>
      <c r="AE16" s="462"/>
      <c r="AF16" s="25"/>
    </row>
    <row r="17" spans="1:33" ht="31.5" customHeight="1" x14ac:dyDescent="0.25">
      <c r="A17" s="460"/>
      <c r="B17" s="461"/>
      <c r="C17" s="454" t="s">
        <v>437</v>
      </c>
      <c r="D17" s="455"/>
      <c r="E17" s="455"/>
      <c r="F17" s="455"/>
      <c r="G17" s="455"/>
      <c r="H17" s="455"/>
      <c r="I17" s="455"/>
      <c r="J17" s="455"/>
      <c r="K17" s="455"/>
      <c r="L17" s="456"/>
      <c r="M17" s="555">
        <v>162600</v>
      </c>
      <c r="N17" s="556"/>
      <c r="O17" s="556"/>
      <c r="P17" s="556"/>
      <c r="Q17" s="556"/>
      <c r="R17" s="556"/>
      <c r="S17" s="556"/>
      <c r="T17" s="556"/>
      <c r="U17" s="557"/>
      <c r="V17" s="422"/>
      <c r="W17" s="460"/>
      <c r="X17" s="461"/>
      <c r="Y17" s="461"/>
      <c r="Z17" s="461"/>
      <c r="AA17" s="461"/>
      <c r="AB17" s="461"/>
      <c r="AC17" s="461"/>
      <c r="AD17" s="461"/>
      <c r="AE17" s="462"/>
      <c r="AF17" s="347"/>
    </row>
    <row r="18" spans="1:33" ht="12.95" customHeight="1" x14ac:dyDescent="0.2">
      <c r="A18" s="460"/>
      <c r="B18" s="461"/>
      <c r="C18" s="419"/>
      <c r="D18" s="419"/>
      <c r="E18" s="419"/>
      <c r="F18" s="419"/>
      <c r="G18" s="419"/>
      <c r="H18" s="419"/>
      <c r="I18" s="419"/>
      <c r="J18" s="419"/>
      <c r="K18" s="419"/>
      <c r="L18" s="419"/>
      <c r="M18" s="419"/>
      <c r="N18" s="419"/>
      <c r="O18" s="419"/>
      <c r="P18" s="419"/>
      <c r="Q18" s="419"/>
      <c r="R18" s="419"/>
      <c r="S18" s="419"/>
      <c r="T18" s="419"/>
      <c r="U18" s="419"/>
      <c r="V18" s="27"/>
      <c r="W18" s="460"/>
      <c r="X18" s="461"/>
      <c r="Y18" s="461"/>
      <c r="Z18" s="461"/>
      <c r="AA18" s="461"/>
      <c r="AB18" s="461"/>
      <c r="AC18" s="461"/>
      <c r="AD18" s="461"/>
      <c r="AE18" s="462"/>
      <c r="AF18" s="25"/>
    </row>
    <row r="19" spans="1:33" ht="39.950000000000003" customHeight="1" x14ac:dyDescent="0.25">
      <c r="A19" s="460"/>
      <c r="B19" s="461"/>
      <c r="C19" s="463" t="s">
        <v>438</v>
      </c>
      <c r="D19" s="471"/>
      <c r="E19" s="471"/>
      <c r="F19" s="471"/>
      <c r="G19" s="471"/>
      <c r="H19" s="471"/>
      <c r="I19" s="471"/>
      <c r="J19" s="471"/>
      <c r="K19" s="471"/>
      <c r="L19" s="464"/>
      <c r="M19" s="531" t="s">
        <v>430</v>
      </c>
      <c r="N19" s="532"/>
      <c r="O19" s="532"/>
      <c r="P19" s="532"/>
      <c r="Q19" s="532"/>
      <c r="R19" s="532"/>
      <c r="S19" s="532"/>
      <c r="T19" s="532"/>
      <c r="U19" s="533"/>
      <c r="V19" s="26"/>
      <c r="W19" s="460"/>
      <c r="X19" s="461"/>
      <c r="Y19" s="461"/>
      <c r="Z19" s="461"/>
      <c r="AA19" s="461"/>
      <c r="AB19" s="461"/>
      <c r="AC19" s="461"/>
      <c r="AD19" s="461"/>
      <c r="AE19" s="462"/>
      <c r="AF19" s="347"/>
    </row>
    <row r="20" spans="1:33" ht="15.75" customHeight="1" x14ac:dyDescent="0.2">
      <c r="A20" s="460"/>
      <c r="B20" s="461"/>
      <c r="C20" s="403" t="s">
        <v>439</v>
      </c>
      <c r="D20" s="404"/>
      <c r="E20" s="404"/>
      <c r="F20" s="404"/>
      <c r="G20" s="404"/>
      <c r="H20" s="404"/>
      <c r="I20" s="404"/>
      <c r="J20" s="404"/>
      <c r="K20" s="404"/>
      <c r="L20" s="405"/>
      <c r="M20" s="555">
        <v>307800</v>
      </c>
      <c r="N20" s="556"/>
      <c r="O20" s="556"/>
      <c r="P20" s="556"/>
      <c r="Q20" s="556"/>
      <c r="R20" s="556"/>
      <c r="S20" s="556"/>
      <c r="T20" s="556"/>
      <c r="U20" s="557"/>
      <c r="V20" s="558"/>
      <c r="W20" s="460"/>
      <c r="X20" s="461"/>
      <c r="Y20" s="461"/>
      <c r="Z20" s="461"/>
      <c r="AA20" s="461"/>
      <c r="AB20" s="461"/>
      <c r="AC20" s="461"/>
      <c r="AD20" s="461"/>
      <c r="AE20" s="462"/>
      <c r="AF20" s="82">
        <f>M20</f>
        <v>307800</v>
      </c>
    </row>
    <row r="21" spans="1:33" ht="15.75" customHeight="1" x14ac:dyDescent="0.2">
      <c r="A21" s="460"/>
      <c r="B21" s="461"/>
      <c r="C21" s="403" t="s">
        <v>440</v>
      </c>
      <c r="D21" s="404"/>
      <c r="E21" s="404"/>
      <c r="F21" s="404"/>
      <c r="G21" s="404"/>
      <c r="H21" s="404"/>
      <c r="I21" s="404"/>
      <c r="J21" s="404"/>
      <c r="K21" s="404"/>
      <c r="L21" s="405"/>
      <c r="M21" s="559">
        <v>13046800</v>
      </c>
      <c r="N21" s="560"/>
      <c r="O21" s="560"/>
      <c r="P21" s="560"/>
      <c r="Q21" s="560"/>
      <c r="R21" s="560"/>
      <c r="S21" s="560"/>
      <c r="T21" s="560"/>
      <c r="U21" s="561"/>
      <c r="V21" s="558"/>
      <c r="W21" s="460"/>
      <c r="X21" s="461"/>
      <c r="Y21" s="461"/>
      <c r="Z21" s="461"/>
      <c r="AA21" s="461"/>
      <c r="AB21" s="461"/>
      <c r="AC21" s="461"/>
      <c r="AD21" s="461"/>
      <c r="AE21" s="462"/>
      <c r="AF21" s="82">
        <f>M21</f>
        <v>13046800</v>
      </c>
    </row>
    <row r="22" spans="1:33" ht="102.6" customHeight="1" x14ac:dyDescent="0.25">
      <c r="A22" s="433" t="s">
        <v>441</v>
      </c>
      <c r="B22" s="434"/>
      <c r="C22" s="434"/>
      <c r="D22" s="434"/>
      <c r="E22" s="434"/>
      <c r="F22" s="434"/>
      <c r="G22" s="434"/>
      <c r="H22" s="434"/>
      <c r="I22" s="434"/>
      <c r="J22" s="434"/>
      <c r="K22" s="434"/>
      <c r="L22" s="434"/>
      <c r="M22" s="434"/>
      <c r="N22" s="434"/>
      <c r="O22" s="434"/>
      <c r="P22" s="434"/>
      <c r="Q22" s="434"/>
      <c r="R22" s="434"/>
      <c r="S22" s="434"/>
      <c r="T22" s="434"/>
      <c r="U22" s="434"/>
      <c r="V22" s="435"/>
      <c r="W22" s="433"/>
      <c r="X22" s="434"/>
      <c r="Y22" s="434"/>
      <c r="Z22" s="434"/>
      <c r="AA22" s="434"/>
      <c r="AB22" s="434"/>
      <c r="AC22" s="434"/>
      <c r="AD22" s="434"/>
      <c r="AE22" s="435"/>
      <c r="AF22" s="346"/>
    </row>
    <row r="23" spans="1:33" ht="39.6" customHeight="1" x14ac:dyDescent="0.25">
      <c r="A23" s="530" t="s">
        <v>442</v>
      </c>
      <c r="B23" s="530"/>
      <c r="C23" s="530"/>
      <c r="D23" s="530"/>
      <c r="E23" s="530"/>
      <c r="F23" s="530"/>
      <c r="G23" s="530"/>
      <c r="H23" s="530"/>
      <c r="I23" s="530"/>
      <c r="J23" s="530"/>
      <c r="K23" s="530"/>
      <c r="L23" s="530"/>
      <c r="M23" s="530"/>
      <c r="N23" s="530"/>
      <c r="O23" s="530"/>
      <c r="P23" s="530"/>
      <c r="Q23" s="530"/>
      <c r="R23" s="530"/>
      <c r="S23" s="530"/>
      <c r="T23" s="530"/>
      <c r="U23" s="530"/>
      <c r="V23" s="530"/>
      <c r="W23" s="530"/>
      <c r="X23" s="530"/>
      <c r="Y23" s="530"/>
      <c r="Z23" s="530"/>
      <c r="AA23" s="530"/>
      <c r="AB23" s="530"/>
      <c r="AC23" s="530"/>
      <c r="AD23" s="530"/>
      <c r="AE23" s="530"/>
      <c r="AF23" s="530"/>
    </row>
    <row r="24" spans="1:33" ht="16.5" customHeight="1" x14ac:dyDescent="0.2">
      <c r="A24" s="415" t="s">
        <v>426</v>
      </c>
      <c r="B24" s="416"/>
      <c r="C24" s="416"/>
      <c r="D24" s="416"/>
      <c r="E24" s="416"/>
      <c r="F24" s="416"/>
      <c r="G24" s="416"/>
      <c r="H24" s="416"/>
      <c r="I24" s="416"/>
      <c r="J24" s="416"/>
      <c r="K24" s="416"/>
      <c r="L24" s="416"/>
      <c r="M24" s="416"/>
      <c r="N24" s="416"/>
      <c r="O24" s="416"/>
      <c r="P24" s="416"/>
      <c r="Q24" s="416"/>
      <c r="R24" s="416"/>
      <c r="S24" s="417"/>
      <c r="T24" s="415" t="s">
        <v>443</v>
      </c>
      <c r="U24" s="416"/>
      <c r="V24" s="416"/>
      <c r="W24" s="416"/>
      <c r="X24" s="416"/>
      <c r="Y24" s="416"/>
      <c r="Z24" s="416"/>
      <c r="AA24" s="416"/>
      <c r="AB24" s="416"/>
      <c r="AC24" s="416"/>
      <c r="AD24" s="416"/>
      <c r="AE24" s="417"/>
      <c r="AF24" s="25"/>
    </row>
    <row r="25" spans="1:33" ht="63.2" customHeight="1" x14ac:dyDescent="0.25">
      <c r="A25" s="403" t="s">
        <v>444</v>
      </c>
      <c r="B25" s="404"/>
      <c r="C25" s="404"/>
      <c r="D25" s="404"/>
      <c r="E25" s="404"/>
      <c r="F25" s="404"/>
      <c r="G25" s="404"/>
      <c r="H25" s="404"/>
      <c r="I25" s="404"/>
      <c r="J25" s="404"/>
      <c r="K25" s="404"/>
      <c r="L25" s="404"/>
      <c r="M25" s="404"/>
      <c r="N25" s="404"/>
      <c r="O25" s="404"/>
      <c r="P25" s="404"/>
      <c r="Q25" s="404"/>
      <c r="R25" s="404"/>
      <c r="S25" s="405"/>
      <c r="T25" s="454" t="s">
        <v>445</v>
      </c>
      <c r="U25" s="455"/>
      <c r="V25" s="455"/>
      <c r="W25" s="455"/>
      <c r="X25" s="455"/>
      <c r="Y25" s="455"/>
      <c r="Z25" s="455"/>
      <c r="AA25" s="455"/>
      <c r="AB25" s="455"/>
      <c r="AC25" s="455"/>
      <c r="AD25" s="455"/>
      <c r="AE25" s="456"/>
      <c r="AF25" s="81">
        <v>4800</v>
      </c>
    </row>
    <row r="26" spans="1:33" ht="16.5" customHeight="1" x14ac:dyDescent="0.25">
      <c r="A26" s="415" t="s">
        <v>426</v>
      </c>
      <c r="B26" s="416"/>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7"/>
      <c r="AA26" s="415" t="s">
        <v>427</v>
      </c>
      <c r="AB26" s="416"/>
      <c r="AC26" s="416"/>
      <c r="AD26" s="416"/>
      <c r="AE26" s="417"/>
    </row>
    <row r="27" spans="1:33" ht="26.1" customHeight="1" x14ac:dyDescent="0.25">
      <c r="A27" s="457"/>
      <c r="B27" s="459"/>
      <c r="C27" s="463" t="s">
        <v>446</v>
      </c>
      <c r="D27" s="471"/>
      <c r="E27" s="471"/>
      <c r="F27" s="471"/>
      <c r="G27" s="471"/>
      <c r="H27" s="471"/>
      <c r="I27" s="471"/>
      <c r="J27" s="471"/>
      <c r="K27" s="471"/>
      <c r="L27" s="471"/>
      <c r="M27" s="471"/>
      <c r="N27" s="471"/>
      <c r="O27" s="471"/>
      <c r="P27" s="471"/>
      <c r="Q27" s="471"/>
      <c r="R27" s="471"/>
      <c r="S27" s="471"/>
      <c r="T27" s="471"/>
      <c r="U27" s="471"/>
      <c r="V27" s="471"/>
      <c r="W27" s="471"/>
      <c r="X27" s="464"/>
      <c r="Y27" s="457"/>
      <c r="Z27" s="459"/>
      <c r="AA27" s="457" t="s">
        <v>447</v>
      </c>
      <c r="AB27" s="458"/>
      <c r="AC27" s="458"/>
      <c r="AD27" s="458"/>
      <c r="AE27" s="459"/>
    </row>
    <row r="28" spans="1:33" ht="26.1" customHeight="1" x14ac:dyDescent="0.25">
      <c r="A28" s="460"/>
      <c r="B28" s="462"/>
      <c r="C28" s="463" t="s">
        <v>448</v>
      </c>
      <c r="D28" s="471"/>
      <c r="E28" s="471"/>
      <c r="F28" s="471"/>
      <c r="G28" s="471"/>
      <c r="H28" s="471"/>
      <c r="I28" s="471"/>
      <c r="J28" s="471"/>
      <c r="K28" s="471"/>
      <c r="L28" s="471"/>
      <c r="M28" s="471"/>
      <c r="N28" s="464"/>
      <c r="O28" s="565" t="s">
        <v>449</v>
      </c>
      <c r="P28" s="566"/>
      <c r="Q28" s="566"/>
      <c r="R28" s="566"/>
      <c r="S28" s="566"/>
      <c r="T28" s="566"/>
      <c r="U28" s="566"/>
      <c r="V28" s="566"/>
      <c r="W28" s="566"/>
      <c r="X28" s="567"/>
      <c r="Y28" s="460"/>
      <c r="Z28" s="462"/>
      <c r="AA28" s="460"/>
      <c r="AB28" s="461"/>
      <c r="AC28" s="461"/>
      <c r="AD28" s="461"/>
      <c r="AE28" s="462"/>
    </row>
    <row r="29" spans="1:33" ht="15.75" customHeight="1" x14ac:dyDescent="0.2">
      <c r="A29" s="460"/>
      <c r="B29" s="462"/>
      <c r="C29" s="409" t="s">
        <v>450</v>
      </c>
      <c r="D29" s="410"/>
      <c r="E29" s="410"/>
      <c r="F29" s="410"/>
      <c r="G29" s="410"/>
      <c r="H29" s="410"/>
      <c r="I29" s="410"/>
      <c r="J29" s="410"/>
      <c r="K29" s="410"/>
      <c r="L29" s="410"/>
      <c r="M29" s="410"/>
      <c r="N29" s="411"/>
      <c r="O29" s="436"/>
      <c r="P29" s="437"/>
      <c r="Q29" s="437"/>
      <c r="R29" s="437"/>
      <c r="S29" s="437"/>
      <c r="T29" s="437"/>
      <c r="U29" s="437"/>
      <c r="V29" s="437"/>
      <c r="W29" s="437"/>
      <c r="X29" s="438"/>
      <c r="Y29" s="460"/>
      <c r="Z29" s="462"/>
      <c r="AA29" s="460"/>
      <c r="AB29" s="461"/>
      <c r="AC29" s="461"/>
      <c r="AD29" s="461"/>
      <c r="AE29" s="462"/>
    </row>
    <row r="30" spans="1:33" ht="15.75" customHeight="1" x14ac:dyDescent="0.25">
      <c r="A30" s="460"/>
      <c r="B30" s="462"/>
      <c r="C30" s="397" t="s">
        <v>451</v>
      </c>
      <c r="D30" s="398"/>
      <c r="E30" s="398"/>
      <c r="F30" s="398"/>
      <c r="G30" s="398"/>
      <c r="H30" s="398"/>
      <c r="I30" s="398"/>
      <c r="J30" s="398"/>
      <c r="K30" s="398"/>
      <c r="L30" s="398"/>
      <c r="M30" s="398"/>
      <c r="N30" s="399"/>
      <c r="O30" s="524">
        <v>17</v>
      </c>
      <c r="P30" s="525"/>
      <c r="Q30" s="525"/>
      <c r="R30" s="525"/>
      <c r="S30" s="525"/>
      <c r="T30" s="525"/>
      <c r="U30" s="525"/>
      <c r="V30" s="525"/>
      <c r="W30" s="525"/>
      <c r="X30" s="526"/>
      <c r="Y30" s="460"/>
      <c r="Z30" s="462"/>
      <c r="AA30" s="460"/>
      <c r="AB30" s="461"/>
      <c r="AC30" s="461"/>
      <c r="AD30" s="461"/>
      <c r="AE30" s="462"/>
      <c r="AF30" s="182">
        <f>O30</f>
        <v>17</v>
      </c>
    </row>
    <row r="31" spans="1:33" ht="15.75" customHeight="1" x14ac:dyDescent="0.25">
      <c r="A31" s="460"/>
      <c r="B31" s="462"/>
      <c r="C31" s="397" t="s">
        <v>452</v>
      </c>
      <c r="D31" s="398"/>
      <c r="E31" s="398"/>
      <c r="F31" s="398"/>
      <c r="G31" s="398"/>
      <c r="H31" s="398"/>
      <c r="I31" s="398"/>
      <c r="J31" s="398"/>
      <c r="K31" s="398"/>
      <c r="L31" s="398"/>
      <c r="M31" s="398"/>
      <c r="N31" s="399"/>
      <c r="O31" s="524">
        <v>31.9</v>
      </c>
      <c r="P31" s="525"/>
      <c r="Q31" s="525"/>
      <c r="R31" s="525"/>
      <c r="S31" s="525"/>
      <c r="T31" s="525"/>
      <c r="U31" s="525"/>
      <c r="V31" s="525"/>
      <c r="W31" s="525"/>
      <c r="X31" s="526"/>
      <c r="Y31" s="460"/>
      <c r="Z31" s="462"/>
      <c r="AA31" s="460"/>
      <c r="AB31" s="461"/>
      <c r="AC31" s="461"/>
      <c r="AD31" s="461"/>
      <c r="AE31" s="462"/>
      <c r="AF31" s="182">
        <f>O31</f>
        <v>31.9</v>
      </c>
    </row>
    <row r="32" spans="1:33" ht="63" customHeight="1" x14ac:dyDescent="0.25">
      <c r="A32" s="460"/>
      <c r="B32" s="462"/>
      <c r="C32" s="460" t="s">
        <v>453</v>
      </c>
      <c r="D32" s="461"/>
      <c r="E32" s="461"/>
      <c r="F32" s="461"/>
      <c r="G32" s="461"/>
      <c r="H32" s="461"/>
      <c r="I32" s="461"/>
      <c r="J32" s="461"/>
      <c r="K32" s="461"/>
      <c r="L32" s="461"/>
      <c r="M32" s="461"/>
      <c r="N32" s="462"/>
      <c r="O32" s="562" t="s">
        <v>454</v>
      </c>
      <c r="P32" s="563"/>
      <c r="Q32" s="563"/>
      <c r="R32" s="563"/>
      <c r="S32" s="563"/>
      <c r="T32" s="563"/>
      <c r="U32" s="563"/>
      <c r="V32" s="563"/>
      <c r="W32" s="563"/>
      <c r="X32" s="564"/>
      <c r="Y32" s="460"/>
      <c r="Z32" s="462"/>
      <c r="AA32" s="460"/>
      <c r="AB32" s="461"/>
      <c r="AC32" s="461"/>
      <c r="AD32" s="461"/>
      <c r="AE32" s="462"/>
      <c r="AF32" s="182">
        <v>18.8</v>
      </c>
      <c r="AG32" s="182">
        <v>34</v>
      </c>
    </row>
    <row r="33" spans="1:32" ht="31.5" customHeight="1" x14ac:dyDescent="0.25">
      <c r="A33" s="460"/>
      <c r="B33" s="462"/>
      <c r="C33" s="540" t="s">
        <v>455</v>
      </c>
      <c r="D33" s="541"/>
      <c r="E33" s="541"/>
      <c r="F33" s="541"/>
      <c r="G33" s="541"/>
      <c r="H33" s="541"/>
      <c r="I33" s="541"/>
      <c r="J33" s="541"/>
      <c r="K33" s="541"/>
      <c r="L33" s="541"/>
      <c r="M33" s="541"/>
      <c r="N33" s="542"/>
      <c r="O33" s="543"/>
      <c r="P33" s="544"/>
      <c r="Q33" s="544"/>
      <c r="R33" s="544"/>
      <c r="S33" s="544"/>
      <c r="T33" s="544"/>
      <c r="U33" s="544"/>
      <c r="V33" s="544"/>
      <c r="W33" s="544"/>
      <c r="X33" s="545"/>
      <c r="Y33" s="460"/>
      <c r="Z33" s="462"/>
      <c r="AA33" s="460"/>
      <c r="AB33" s="461"/>
      <c r="AC33" s="461"/>
      <c r="AD33" s="461"/>
      <c r="AE33" s="462"/>
    </row>
    <row r="34" spans="1:32" ht="15.75" customHeight="1" x14ac:dyDescent="0.25">
      <c r="A34" s="460"/>
      <c r="B34" s="462"/>
      <c r="C34" s="397" t="s">
        <v>456</v>
      </c>
      <c r="D34" s="398"/>
      <c r="E34" s="398"/>
      <c r="F34" s="398"/>
      <c r="G34" s="398"/>
      <c r="H34" s="398"/>
      <c r="I34" s="398"/>
      <c r="J34" s="398"/>
      <c r="K34" s="398"/>
      <c r="L34" s="398"/>
      <c r="M34" s="398"/>
      <c r="N34" s="399"/>
      <c r="O34" s="524">
        <v>32.4</v>
      </c>
      <c r="P34" s="525"/>
      <c r="Q34" s="525"/>
      <c r="R34" s="525"/>
      <c r="S34" s="525"/>
      <c r="T34" s="525"/>
      <c r="U34" s="525"/>
      <c r="V34" s="525"/>
      <c r="W34" s="525"/>
      <c r="X34" s="526"/>
      <c r="Y34" s="460"/>
      <c r="Z34" s="462"/>
      <c r="AA34" s="460"/>
      <c r="AB34" s="461"/>
      <c r="AC34" s="461"/>
      <c r="AD34" s="461"/>
      <c r="AE34" s="462"/>
      <c r="AF34" s="182">
        <f>O34</f>
        <v>32.4</v>
      </c>
    </row>
    <row r="35" spans="1:32" ht="15.75" customHeight="1" x14ac:dyDescent="0.25">
      <c r="A35" s="460"/>
      <c r="B35" s="462"/>
      <c r="C35" s="397" t="s">
        <v>457</v>
      </c>
      <c r="D35" s="398"/>
      <c r="E35" s="398"/>
      <c r="F35" s="398"/>
      <c r="G35" s="398"/>
      <c r="H35" s="398"/>
      <c r="I35" s="398"/>
      <c r="J35" s="398"/>
      <c r="K35" s="398"/>
      <c r="L35" s="398"/>
      <c r="M35" s="398"/>
      <c r="N35" s="399"/>
      <c r="O35" s="524">
        <v>35</v>
      </c>
      <c r="P35" s="525"/>
      <c r="Q35" s="525"/>
      <c r="R35" s="525"/>
      <c r="S35" s="525"/>
      <c r="T35" s="525"/>
      <c r="U35" s="525"/>
      <c r="V35" s="525"/>
      <c r="W35" s="525"/>
      <c r="X35" s="526"/>
      <c r="Y35" s="460"/>
      <c r="Z35" s="462"/>
      <c r="AA35" s="460"/>
      <c r="AB35" s="461"/>
      <c r="AC35" s="461"/>
      <c r="AD35" s="461"/>
      <c r="AE35" s="462"/>
      <c r="AF35" s="182">
        <f>O35</f>
        <v>35</v>
      </c>
    </row>
    <row r="36" spans="1:32" ht="15.75" customHeight="1" x14ac:dyDescent="0.25">
      <c r="A36" s="460"/>
      <c r="B36" s="462"/>
      <c r="C36" s="397" t="s">
        <v>458</v>
      </c>
      <c r="D36" s="398"/>
      <c r="E36" s="398"/>
      <c r="F36" s="398"/>
      <c r="G36" s="398"/>
      <c r="H36" s="398"/>
      <c r="I36" s="398"/>
      <c r="J36" s="398"/>
      <c r="K36" s="398"/>
      <c r="L36" s="398"/>
      <c r="M36" s="398"/>
      <c r="N36" s="399"/>
      <c r="O36" s="524">
        <v>58.4</v>
      </c>
      <c r="P36" s="525"/>
      <c r="Q36" s="525"/>
      <c r="R36" s="525"/>
      <c r="S36" s="525"/>
      <c r="T36" s="525"/>
      <c r="U36" s="525"/>
      <c r="V36" s="525"/>
      <c r="W36" s="525"/>
      <c r="X36" s="526"/>
      <c r="Y36" s="460"/>
      <c r="Z36" s="462"/>
      <c r="AA36" s="460"/>
      <c r="AB36" s="461"/>
      <c r="AC36" s="461"/>
      <c r="AD36" s="461"/>
      <c r="AE36" s="462"/>
      <c r="AF36" s="182">
        <f>O36</f>
        <v>58.4</v>
      </c>
    </row>
    <row r="37" spans="1:32" ht="15.95" customHeight="1" x14ac:dyDescent="0.25">
      <c r="A37" s="460"/>
      <c r="B37" s="462"/>
      <c r="C37" s="400" t="s">
        <v>459</v>
      </c>
      <c r="D37" s="401"/>
      <c r="E37" s="401"/>
      <c r="F37" s="401"/>
      <c r="G37" s="401"/>
      <c r="H37" s="401"/>
      <c r="I37" s="401"/>
      <c r="J37" s="401"/>
      <c r="K37" s="401"/>
      <c r="L37" s="401"/>
      <c r="M37" s="401"/>
      <c r="N37" s="402"/>
      <c r="O37" s="527">
        <v>57.4</v>
      </c>
      <c r="P37" s="528"/>
      <c r="Q37" s="528"/>
      <c r="R37" s="528"/>
      <c r="S37" s="528"/>
      <c r="T37" s="528"/>
      <c r="U37" s="528"/>
      <c r="V37" s="528"/>
      <c r="W37" s="528"/>
      <c r="X37" s="529"/>
      <c r="Y37" s="460"/>
      <c r="Z37" s="462"/>
      <c r="AA37" s="460"/>
      <c r="AB37" s="461"/>
      <c r="AC37" s="461"/>
      <c r="AD37" s="461"/>
      <c r="AE37" s="462"/>
      <c r="AF37" s="182">
        <f>O37</f>
        <v>57.4</v>
      </c>
    </row>
    <row r="38" spans="1:32" ht="275.10000000000002" customHeight="1" x14ac:dyDescent="0.25">
      <c r="A38" s="460"/>
      <c r="B38" s="462"/>
      <c r="C38" s="457" t="s">
        <v>460</v>
      </c>
      <c r="D38" s="458"/>
      <c r="E38" s="458"/>
      <c r="F38" s="458"/>
      <c r="G38" s="458"/>
      <c r="H38" s="458"/>
      <c r="I38" s="458"/>
      <c r="J38" s="458"/>
      <c r="K38" s="458"/>
      <c r="L38" s="458"/>
      <c r="M38" s="458"/>
      <c r="N38" s="458"/>
      <c r="O38" s="458"/>
      <c r="P38" s="458"/>
      <c r="Q38" s="458"/>
      <c r="R38" s="458"/>
      <c r="S38" s="458"/>
      <c r="T38" s="458"/>
      <c r="U38" s="458"/>
      <c r="V38" s="458"/>
      <c r="W38" s="458"/>
      <c r="X38" s="459"/>
      <c r="Y38" s="460"/>
      <c r="Z38" s="462"/>
      <c r="AA38" s="460"/>
      <c r="AB38" s="461"/>
      <c r="AC38" s="461"/>
      <c r="AD38" s="461"/>
      <c r="AE38" s="462"/>
    </row>
    <row r="39" spans="1:32" ht="28.7" customHeight="1" x14ac:dyDescent="0.25">
      <c r="A39" s="433"/>
      <c r="B39" s="435"/>
      <c r="C39" s="400" t="s">
        <v>461</v>
      </c>
      <c r="D39" s="401"/>
      <c r="E39" s="401"/>
      <c r="F39" s="401"/>
      <c r="G39" s="401"/>
      <c r="H39" s="401"/>
      <c r="I39" s="401"/>
      <c r="J39" s="401"/>
      <c r="K39" s="401"/>
      <c r="L39" s="401"/>
      <c r="M39" s="401"/>
      <c r="N39" s="401"/>
      <c r="O39" s="401"/>
      <c r="P39" s="401"/>
      <c r="Q39" s="401"/>
      <c r="R39" s="401"/>
      <c r="S39" s="401"/>
      <c r="T39" s="401"/>
      <c r="U39" s="401"/>
      <c r="V39" s="401"/>
      <c r="W39" s="401"/>
      <c r="X39" s="402"/>
      <c r="Y39" s="433"/>
      <c r="Z39" s="435"/>
      <c r="AA39" s="433"/>
      <c r="AB39" s="434"/>
      <c r="AC39" s="434"/>
      <c r="AD39" s="434"/>
      <c r="AE39" s="435"/>
    </row>
    <row r="40" spans="1:32" ht="16.5" customHeight="1" x14ac:dyDescent="0.2">
      <c r="A40" s="415" t="s">
        <v>462</v>
      </c>
      <c r="B40" s="416"/>
      <c r="C40" s="416"/>
      <c r="D40" s="416"/>
      <c r="E40" s="416"/>
      <c r="F40" s="416"/>
      <c r="G40" s="416"/>
      <c r="H40" s="416"/>
      <c r="I40" s="416"/>
      <c r="J40" s="416"/>
      <c r="K40" s="416"/>
      <c r="L40" s="416"/>
      <c r="M40" s="416"/>
      <c r="N40" s="416"/>
      <c r="O40" s="416"/>
      <c r="P40" s="416"/>
      <c r="Q40" s="416"/>
      <c r="R40" s="416"/>
      <c r="S40" s="417"/>
      <c r="T40" s="415" t="s">
        <v>427</v>
      </c>
      <c r="U40" s="416"/>
      <c r="V40" s="416"/>
      <c r="W40" s="416"/>
      <c r="X40" s="416"/>
      <c r="Y40" s="416"/>
      <c r="Z40" s="416"/>
      <c r="AA40" s="416"/>
      <c r="AB40" s="416"/>
      <c r="AC40" s="416"/>
      <c r="AD40" s="416"/>
      <c r="AE40" s="417"/>
      <c r="AF40" s="25"/>
    </row>
    <row r="41" spans="1:32" ht="9.9499999999999993" customHeight="1" x14ac:dyDescent="0.2">
      <c r="A41" s="436"/>
      <c r="B41" s="437"/>
      <c r="C41" s="437"/>
      <c r="D41" s="437"/>
      <c r="E41" s="437"/>
      <c r="F41" s="437"/>
      <c r="G41" s="437"/>
      <c r="H41" s="437"/>
      <c r="I41" s="437"/>
      <c r="J41" s="437"/>
      <c r="K41" s="437"/>
      <c r="L41" s="437"/>
      <c r="M41" s="437"/>
      <c r="N41" s="437"/>
      <c r="O41" s="437"/>
      <c r="P41" s="437"/>
      <c r="Q41" s="437"/>
      <c r="R41" s="437"/>
      <c r="S41" s="438"/>
      <c r="T41" s="546" t="s">
        <v>463</v>
      </c>
      <c r="U41" s="547"/>
      <c r="V41" s="547"/>
      <c r="W41" s="547"/>
      <c r="X41" s="547"/>
      <c r="Y41" s="547"/>
      <c r="Z41" s="547"/>
      <c r="AA41" s="547"/>
      <c r="AB41" s="547"/>
      <c r="AC41" s="547"/>
      <c r="AD41" s="547"/>
      <c r="AE41" s="548"/>
      <c r="AF41" s="25"/>
    </row>
    <row r="42" spans="1:32" ht="33.950000000000003" customHeight="1" x14ac:dyDescent="0.25">
      <c r="A42" s="422"/>
      <c r="B42" s="468" t="s">
        <v>464</v>
      </c>
      <c r="C42" s="469"/>
      <c r="D42" s="469"/>
      <c r="E42" s="469"/>
      <c r="F42" s="469"/>
      <c r="G42" s="470"/>
      <c r="H42" s="448" t="s">
        <v>465</v>
      </c>
      <c r="I42" s="449"/>
      <c r="J42" s="449"/>
      <c r="K42" s="449"/>
      <c r="L42" s="449"/>
      <c r="M42" s="449"/>
      <c r="N42" s="449"/>
      <c r="O42" s="449"/>
      <c r="P42" s="449"/>
      <c r="Q42" s="450"/>
      <c r="R42" s="460"/>
      <c r="S42" s="462"/>
      <c r="T42" s="549"/>
      <c r="U42" s="550"/>
      <c r="V42" s="550"/>
      <c r="W42" s="550"/>
      <c r="X42" s="550"/>
      <c r="Y42" s="550"/>
      <c r="Z42" s="550"/>
      <c r="AA42" s="550"/>
      <c r="AB42" s="550"/>
      <c r="AC42" s="550"/>
      <c r="AD42" s="550"/>
      <c r="AE42" s="551"/>
      <c r="AF42" s="347"/>
    </row>
    <row r="43" spans="1:32" ht="31.5" customHeight="1" x14ac:dyDescent="0.25">
      <c r="A43" s="422"/>
      <c r="B43" s="534" t="s">
        <v>466</v>
      </c>
      <c r="C43" s="535"/>
      <c r="D43" s="535"/>
      <c r="E43" s="535"/>
      <c r="F43" s="535"/>
      <c r="G43" s="536"/>
      <c r="H43" s="537">
        <v>1.48</v>
      </c>
      <c r="I43" s="538"/>
      <c r="J43" s="538"/>
      <c r="K43" s="538"/>
      <c r="L43" s="538"/>
      <c r="M43" s="538"/>
      <c r="N43" s="538"/>
      <c r="O43" s="538"/>
      <c r="P43" s="538"/>
      <c r="Q43" s="539"/>
      <c r="R43" s="460"/>
      <c r="S43" s="462"/>
      <c r="T43" s="549"/>
      <c r="U43" s="550"/>
      <c r="V43" s="550"/>
      <c r="W43" s="550"/>
      <c r="X43" s="550"/>
      <c r="Y43" s="550"/>
      <c r="Z43" s="550"/>
      <c r="AA43" s="550"/>
      <c r="AB43" s="550"/>
      <c r="AC43" s="550"/>
      <c r="AD43" s="550"/>
      <c r="AE43" s="551"/>
      <c r="AF43" s="264">
        <f>H43</f>
        <v>1.48</v>
      </c>
    </row>
    <row r="44" spans="1:32" ht="31.5" customHeight="1" x14ac:dyDescent="0.25">
      <c r="A44" s="422"/>
      <c r="B44" s="534" t="s">
        <v>467</v>
      </c>
      <c r="C44" s="535"/>
      <c r="D44" s="535"/>
      <c r="E44" s="535"/>
      <c r="F44" s="535"/>
      <c r="G44" s="536"/>
      <c r="H44" s="537">
        <v>1.58</v>
      </c>
      <c r="I44" s="538"/>
      <c r="J44" s="538"/>
      <c r="K44" s="538"/>
      <c r="L44" s="538"/>
      <c r="M44" s="538"/>
      <c r="N44" s="538"/>
      <c r="O44" s="538"/>
      <c r="P44" s="538"/>
      <c r="Q44" s="539"/>
      <c r="R44" s="460"/>
      <c r="S44" s="462"/>
      <c r="T44" s="549"/>
      <c r="U44" s="550"/>
      <c r="V44" s="550"/>
      <c r="W44" s="550"/>
      <c r="X44" s="550"/>
      <c r="Y44" s="550"/>
      <c r="Z44" s="550"/>
      <c r="AA44" s="550"/>
      <c r="AB44" s="550"/>
      <c r="AC44" s="550"/>
      <c r="AD44" s="550"/>
      <c r="AE44" s="551"/>
      <c r="AF44" s="264">
        <f>H44</f>
        <v>1.58</v>
      </c>
    </row>
    <row r="45" spans="1:32" ht="26.1" customHeight="1" x14ac:dyDescent="0.25">
      <c r="A45" s="422"/>
      <c r="B45" s="521" t="s">
        <v>468</v>
      </c>
      <c r="C45" s="522"/>
      <c r="D45" s="522"/>
      <c r="E45" s="522"/>
      <c r="F45" s="522"/>
      <c r="G45" s="523"/>
      <c r="H45" s="537">
        <v>2.02</v>
      </c>
      <c r="I45" s="538"/>
      <c r="J45" s="538"/>
      <c r="K45" s="538"/>
      <c r="L45" s="538"/>
      <c r="M45" s="538"/>
      <c r="N45" s="538"/>
      <c r="O45" s="538"/>
      <c r="P45" s="538"/>
      <c r="Q45" s="539"/>
      <c r="R45" s="460"/>
      <c r="S45" s="462"/>
      <c r="T45" s="549"/>
      <c r="U45" s="550"/>
      <c r="V45" s="550"/>
      <c r="W45" s="550"/>
      <c r="X45" s="550"/>
      <c r="Y45" s="550"/>
      <c r="Z45" s="550"/>
      <c r="AA45" s="550"/>
      <c r="AB45" s="550"/>
      <c r="AC45" s="550"/>
      <c r="AD45" s="550"/>
      <c r="AE45" s="551"/>
      <c r="AF45" s="264">
        <f>H45</f>
        <v>2.02</v>
      </c>
    </row>
    <row r="46" spans="1:32" ht="26.1" customHeight="1" x14ac:dyDescent="0.25">
      <c r="A46" s="422"/>
      <c r="B46" s="521" t="s">
        <v>469</v>
      </c>
      <c r="C46" s="522"/>
      <c r="D46" s="522"/>
      <c r="E46" s="522"/>
      <c r="F46" s="522"/>
      <c r="G46" s="523"/>
      <c r="H46" s="537">
        <v>1.67</v>
      </c>
      <c r="I46" s="538"/>
      <c r="J46" s="538"/>
      <c r="K46" s="538"/>
      <c r="L46" s="538"/>
      <c r="M46" s="538"/>
      <c r="N46" s="538"/>
      <c r="O46" s="538"/>
      <c r="P46" s="538"/>
      <c r="Q46" s="539"/>
      <c r="R46" s="460"/>
      <c r="S46" s="462"/>
      <c r="T46" s="549"/>
      <c r="U46" s="550"/>
      <c r="V46" s="550"/>
      <c r="W46" s="550"/>
      <c r="X46" s="550"/>
      <c r="Y46" s="550"/>
      <c r="Z46" s="550"/>
      <c r="AA46" s="550"/>
      <c r="AB46" s="550"/>
      <c r="AC46" s="550"/>
      <c r="AD46" s="550"/>
      <c r="AE46" s="551"/>
      <c r="AF46" s="264">
        <f>H46</f>
        <v>1.67</v>
      </c>
    </row>
    <row r="47" spans="1:32" ht="51.6" customHeight="1" x14ac:dyDescent="0.25">
      <c r="A47" s="400" t="s">
        <v>470</v>
      </c>
      <c r="B47" s="401"/>
      <c r="C47" s="401"/>
      <c r="D47" s="401"/>
      <c r="E47" s="401"/>
      <c r="F47" s="401"/>
      <c r="G47" s="401"/>
      <c r="H47" s="401"/>
      <c r="I47" s="401"/>
      <c r="J47" s="401"/>
      <c r="K47" s="401"/>
      <c r="L47" s="401"/>
      <c r="M47" s="401"/>
      <c r="N47" s="401"/>
      <c r="O47" s="401"/>
      <c r="P47" s="401"/>
      <c r="Q47" s="401"/>
      <c r="R47" s="401"/>
      <c r="S47" s="402"/>
      <c r="T47" s="552"/>
      <c r="U47" s="553"/>
      <c r="V47" s="553"/>
      <c r="W47" s="553"/>
      <c r="X47" s="553"/>
      <c r="Y47" s="553"/>
      <c r="Z47" s="553"/>
      <c r="AA47" s="553"/>
      <c r="AB47" s="553"/>
      <c r="AC47" s="553"/>
      <c r="AD47" s="553"/>
      <c r="AE47" s="554"/>
      <c r="AF47" s="346"/>
    </row>
    <row r="48" spans="1:32" ht="37.35" customHeight="1" x14ac:dyDescent="0.25">
      <c r="A48" s="530" t="s">
        <v>471</v>
      </c>
      <c r="B48" s="530"/>
      <c r="C48" s="530"/>
      <c r="D48" s="530"/>
      <c r="E48" s="530"/>
      <c r="F48" s="530"/>
      <c r="G48" s="530"/>
      <c r="H48" s="530"/>
      <c r="I48" s="530"/>
      <c r="J48" s="530"/>
      <c r="K48" s="530"/>
      <c r="L48" s="530"/>
      <c r="M48" s="530"/>
      <c r="N48" s="530"/>
      <c r="O48" s="530"/>
      <c r="P48" s="530"/>
      <c r="Q48" s="530"/>
      <c r="R48" s="530"/>
      <c r="S48" s="530"/>
      <c r="T48" s="530"/>
      <c r="U48" s="530"/>
      <c r="V48" s="530"/>
      <c r="W48" s="530"/>
      <c r="X48" s="530"/>
      <c r="Y48" s="530"/>
      <c r="Z48" s="530"/>
      <c r="AA48" s="530"/>
      <c r="AB48" s="530"/>
      <c r="AC48" s="530"/>
      <c r="AD48" s="530"/>
      <c r="AE48" s="530"/>
      <c r="AF48" s="530"/>
    </row>
    <row r="49" spans="1:37" ht="16.5" customHeight="1" x14ac:dyDescent="0.2">
      <c r="A49" s="415" t="s">
        <v>426</v>
      </c>
      <c r="B49" s="416"/>
      <c r="C49" s="416"/>
      <c r="D49" s="416"/>
      <c r="E49" s="416"/>
      <c r="F49" s="416"/>
      <c r="G49" s="416"/>
      <c r="H49" s="416"/>
      <c r="I49" s="416"/>
      <c r="J49" s="416"/>
      <c r="K49" s="416"/>
      <c r="L49" s="416"/>
      <c r="M49" s="416"/>
      <c r="N49" s="416"/>
      <c r="O49" s="416"/>
      <c r="P49" s="416"/>
      <c r="Q49" s="416"/>
      <c r="R49" s="416"/>
      <c r="S49" s="417"/>
      <c r="T49" s="415" t="s">
        <v>427</v>
      </c>
      <c r="U49" s="416"/>
      <c r="V49" s="416"/>
      <c r="W49" s="416"/>
      <c r="X49" s="416"/>
      <c r="Y49" s="416"/>
      <c r="Z49" s="416"/>
      <c r="AA49" s="416"/>
      <c r="AB49" s="416"/>
      <c r="AC49" s="416"/>
      <c r="AD49" s="416"/>
      <c r="AE49" s="417"/>
      <c r="AF49" s="25"/>
    </row>
    <row r="50" spans="1:37" ht="12.95" customHeight="1" x14ac:dyDescent="0.2">
      <c r="A50" s="436"/>
      <c r="B50" s="437"/>
      <c r="C50" s="437"/>
      <c r="D50" s="437"/>
      <c r="E50" s="437"/>
      <c r="F50" s="437"/>
      <c r="G50" s="437"/>
      <c r="H50" s="437"/>
      <c r="I50" s="437"/>
      <c r="J50" s="437"/>
      <c r="K50" s="437"/>
      <c r="L50" s="437"/>
      <c r="M50" s="437"/>
      <c r="N50" s="437"/>
      <c r="O50" s="437"/>
      <c r="P50" s="437"/>
      <c r="Q50" s="437"/>
      <c r="R50" s="437"/>
      <c r="S50" s="438"/>
      <c r="T50" s="457" t="s">
        <v>472</v>
      </c>
      <c r="U50" s="458"/>
      <c r="V50" s="458"/>
      <c r="W50" s="458"/>
      <c r="X50" s="458"/>
      <c r="Y50" s="458"/>
      <c r="Z50" s="458"/>
      <c r="AA50" s="458"/>
      <c r="AB50" s="458"/>
      <c r="AC50" s="458"/>
      <c r="AD50" s="458"/>
      <c r="AE50" s="459"/>
      <c r="AF50" s="25"/>
    </row>
    <row r="51" spans="1:37" ht="26.1" customHeight="1" x14ac:dyDescent="0.25">
      <c r="A51" s="422"/>
      <c r="B51" s="468" t="s">
        <v>464</v>
      </c>
      <c r="C51" s="469"/>
      <c r="D51" s="469"/>
      <c r="E51" s="470"/>
      <c r="F51" s="531" t="s">
        <v>473</v>
      </c>
      <c r="G51" s="532"/>
      <c r="H51" s="532"/>
      <c r="I51" s="532"/>
      <c r="J51" s="532"/>
      <c r="K51" s="532"/>
      <c r="L51" s="532"/>
      <c r="M51" s="532"/>
      <c r="N51" s="532"/>
      <c r="O51" s="532"/>
      <c r="P51" s="532"/>
      <c r="Q51" s="532"/>
      <c r="R51" s="533"/>
      <c r="S51" s="422"/>
      <c r="T51" s="460"/>
      <c r="U51" s="461"/>
      <c r="V51" s="461"/>
      <c r="W51" s="461"/>
      <c r="X51" s="461"/>
      <c r="Y51" s="461"/>
      <c r="Z51" s="461"/>
      <c r="AA51" s="461"/>
      <c r="AB51" s="461"/>
      <c r="AC51" s="461"/>
      <c r="AD51" s="461"/>
      <c r="AE51" s="462"/>
      <c r="AF51" s="347"/>
    </row>
    <row r="52" spans="1:37" ht="15.75" customHeight="1" x14ac:dyDescent="0.2">
      <c r="A52" s="422"/>
      <c r="B52" s="521" t="s">
        <v>474</v>
      </c>
      <c r="C52" s="522"/>
      <c r="D52" s="522"/>
      <c r="E52" s="523"/>
      <c r="F52" s="406">
        <v>0.46</v>
      </c>
      <c r="G52" s="407"/>
      <c r="H52" s="407"/>
      <c r="I52" s="407"/>
      <c r="J52" s="407"/>
      <c r="K52" s="407"/>
      <c r="L52" s="407"/>
      <c r="M52" s="407"/>
      <c r="N52" s="407"/>
      <c r="O52" s="407"/>
      <c r="P52" s="407"/>
      <c r="Q52" s="407"/>
      <c r="R52" s="408"/>
      <c r="S52" s="422"/>
      <c r="T52" s="460"/>
      <c r="U52" s="461"/>
      <c r="V52" s="461"/>
      <c r="W52" s="461"/>
      <c r="X52" s="461"/>
      <c r="Y52" s="461"/>
      <c r="Z52" s="461"/>
      <c r="AA52" s="461"/>
      <c r="AB52" s="461"/>
      <c r="AC52" s="461"/>
      <c r="AD52" s="461"/>
      <c r="AE52" s="462"/>
      <c r="AF52" s="25"/>
    </row>
    <row r="53" spans="1:37" ht="15.75" customHeight="1" x14ac:dyDescent="0.2">
      <c r="A53" s="422"/>
      <c r="B53" s="521" t="s">
        <v>475</v>
      </c>
      <c r="C53" s="522"/>
      <c r="D53" s="522"/>
      <c r="E53" s="523"/>
      <c r="F53" s="406">
        <v>1.01</v>
      </c>
      <c r="G53" s="407"/>
      <c r="H53" s="407"/>
      <c r="I53" s="407"/>
      <c r="J53" s="407"/>
      <c r="K53" s="407"/>
      <c r="L53" s="407"/>
      <c r="M53" s="407"/>
      <c r="N53" s="407"/>
      <c r="O53" s="407"/>
      <c r="P53" s="407"/>
      <c r="Q53" s="407"/>
      <c r="R53" s="408"/>
      <c r="S53" s="422"/>
      <c r="T53" s="460"/>
      <c r="U53" s="461"/>
      <c r="V53" s="461"/>
      <c r="W53" s="461"/>
      <c r="X53" s="461"/>
      <c r="Y53" s="461"/>
      <c r="Z53" s="461"/>
      <c r="AA53" s="461"/>
      <c r="AB53" s="461"/>
      <c r="AC53" s="461"/>
      <c r="AD53" s="461"/>
      <c r="AE53" s="462"/>
      <c r="AF53" s="25"/>
    </row>
    <row r="54" spans="1:37" ht="191.1" customHeight="1" x14ac:dyDescent="0.25">
      <c r="A54" s="433" t="s">
        <v>476</v>
      </c>
      <c r="B54" s="434"/>
      <c r="C54" s="434"/>
      <c r="D54" s="434"/>
      <c r="E54" s="434"/>
      <c r="F54" s="434"/>
      <c r="G54" s="434"/>
      <c r="H54" s="434"/>
      <c r="I54" s="434"/>
      <c r="J54" s="434"/>
      <c r="K54" s="434"/>
      <c r="L54" s="434"/>
      <c r="M54" s="434"/>
      <c r="N54" s="434"/>
      <c r="O54" s="434"/>
      <c r="P54" s="434"/>
      <c r="Q54" s="434"/>
      <c r="R54" s="434"/>
      <c r="S54" s="435"/>
      <c r="T54" s="433"/>
      <c r="U54" s="434"/>
      <c r="V54" s="434"/>
      <c r="W54" s="434"/>
      <c r="X54" s="434"/>
      <c r="Y54" s="434"/>
      <c r="Z54" s="434"/>
      <c r="AA54" s="434"/>
      <c r="AB54" s="434"/>
      <c r="AC54" s="434"/>
      <c r="AD54" s="434"/>
      <c r="AE54" s="435"/>
      <c r="AF54" s="346"/>
    </row>
    <row r="55" spans="1:37" ht="16.5" customHeight="1" x14ac:dyDescent="0.25">
      <c r="A55" s="415" t="s">
        <v>426</v>
      </c>
      <c r="B55" s="416"/>
      <c r="C55" s="416"/>
      <c r="D55" s="416"/>
      <c r="E55" s="416"/>
      <c r="F55" s="416"/>
      <c r="G55" s="416"/>
      <c r="H55" s="416"/>
      <c r="I55" s="416"/>
      <c r="J55" s="416"/>
      <c r="K55" s="416"/>
      <c r="L55" s="416"/>
      <c r="M55" s="416"/>
      <c r="N55" s="416"/>
      <c r="O55" s="416"/>
      <c r="P55" s="416"/>
      <c r="Q55" s="416"/>
      <c r="R55" s="416"/>
      <c r="S55" s="416"/>
      <c r="T55" s="416"/>
      <c r="U55" s="416"/>
      <c r="V55" s="416"/>
      <c r="W55" s="416"/>
      <c r="X55" s="416"/>
      <c r="Y55" s="417"/>
      <c r="Z55" s="415" t="s">
        <v>427</v>
      </c>
      <c r="AA55" s="416"/>
      <c r="AB55" s="416"/>
      <c r="AC55" s="416"/>
      <c r="AD55" s="416"/>
      <c r="AE55" s="417"/>
    </row>
    <row r="56" spans="1:37" ht="12.95" customHeight="1" x14ac:dyDescent="0.2">
      <c r="A56" s="436"/>
      <c r="B56" s="437"/>
      <c r="C56" s="437"/>
      <c r="D56" s="437"/>
      <c r="E56" s="437"/>
      <c r="F56" s="437"/>
      <c r="G56" s="437"/>
      <c r="H56" s="437"/>
      <c r="I56" s="437"/>
      <c r="J56" s="437"/>
      <c r="K56" s="437"/>
      <c r="L56" s="437"/>
      <c r="M56" s="437"/>
      <c r="N56" s="437"/>
      <c r="O56" s="437"/>
      <c r="P56" s="437"/>
      <c r="Q56" s="437"/>
      <c r="R56" s="437"/>
      <c r="S56" s="437"/>
      <c r="T56" s="437"/>
      <c r="U56" s="437"/>
      <c r="V56" s="437"/>
      <c r="W56" s="437"/>
      <c r="X56" s="437"/>
      <c r="Y56" s="438"/>
      <c r="Z56" s="457" t="s">
        <v>477</v>
      </c>
      <c r="AA56" s="458"/>
      <c r="AB56" s="458"/>
      <c r="AC56" s="458"/>
      <c r="AD56" s="458"/>
      <c r="AE56" s="459"/>
    </row>
    <row r="57" spans="1:37" ht="31.5" customHeight="1" x14ac:dyDescent="0.25">
      <c r="A57" s="460"/>
      <c r="B57" s="462"/>
      <c r="C57" s="516" t="s">
        <v>478</v>
      </c>
      <c r="D57" s="517"/>
      <c r="E57" s="472" t="s">
        <v>479</v>
      </c>
      <c r="F57" s="473"/>
      <c r="G57" s="473"/>
      <c r="H57" s="473"/>
      <c r="I57" s="474"/>
      <c r="J57" s="472" t="s">
        <v>480</v>
      </c>
      <c r="K57" s="473"/>
      <c r="L57" s="473"/>
      <c r="M57" s="474"/>
      <c r="N57" s="518" t="s">
        <v>481</v>
      </c>
      <c r="O57" s="519"/>
      <c r="P57" s="519"/>
      <c r="Q57" s="519"/>
      <c r="R57" s="520"/>
      <c r="S57" s="518" t="s">
        <v>482</v>
      </c>
      <c r="T57" s="519"/>
      <c r="U57" s="519"/>
      <c r="V57" s="519"/>
      <c r="W57" s="519"/>
      <c r="X57" s="520"/>
      <c r="Y57" s="422"/>
      <c r="Z57" s="460"/>
      <c r="AA57" s="461"/>
      <c r="AB57" s="461"/>
      <c r="AC57" s="461"/>
      <c r="AD57" s="461"/>
      <c r="AE57" s="462"/>
      <c r="AH57" s="23" t="s">
        <v>172</v>
      </c>
      <c r="AI57" s="23" t="s">
        <v>176</v>
      </c>
      <c r="AJ57" s="23" t="s">
        <v>483</v>
      </c>
      <c r="AK57" s="92" t="s">
        <v>162</v>
      </c>
    </row>
    <row r="58" spans="1:37" ht="15.75" customHeight="1" x14ac:dyDescent="0.25">
      <c r="A58" s="460"/>
      <c r="B58" s="462"/>
      <c r="C58" s="505">
        <v>2022</v>
      </c>
      <c r="D58" s="506"/>
      <c r="E58" s="507">
        <v>16600</v>
      </c>
      <c r="F58" s="508"/>
      <c r="G58" s="508"/>
      <c r="H58" s="508"/>
      <c r="I58" s="509"/>
      <c r="J58" s="507">
        <v>44300</v>
      </c>
      <c r="K58" s="508"/>
      <c r="L58" s="508"/>
      <c r="M58" s="509"/>
      <c r="N58" s="510">
        <v>796700</v>
      </c>
      <c r="O58" s="511"/>
      <c r="P58" s="511"/>
      <c r="Q58" s="511"/>
      <c r="R58" s="512"/>
      <c r="S58" s="513">
        <v>56</v>
      </c>
      <c r="T58" s="514"/>
      <c r="U58" s="514"/>
      <c r="V58" s="514"/>
      <c r="W58" s="514"/>
      <c r="X58" s="515"/>
      <c r="Y58" s="422"/>
      <c r="Z58" s="460"/>
      <c r="AA58" s="461"/>
      <c r="AB58" s="461"/>
      <c r="AC58" s="461"/>
      <c r="AD58" s="461"/>
      <c r="AE58" s="462"/>
      <c r="AG58" s="94">
        <v>2022</v>
      </c>
      <c r="AH58" s="93">
        <v>16600</v>
      </c>
      <c r="AI58" s="93">
        <v>44300</v>
      </c>
      <c r="AJ58" s="93">
        <v>796700</v>
      </c>
      <c r="AK58" s="92">
        <v>56</v>
      </c>
    </row>
    <row r="59" spans="1:37" ht="15.75" customHeight="1" x14ac:dyDescent="0.25">
      <c r="A59" s="460"/>
      <c r="B59" s="462"/>
      <c r="C59" s="505">
        <v>2023</v>
      </c>
      <c r="D59" s="506"/>
      <c r="E59" s="507">
        <v>16800</v>
      </c>
      <c r="F59" s="508"/>
      <c r="G59" s="508"/>
      <c r="H59" s="508"/>
      <c r="I59" s="509"/>
      <c r="J59" s="507">
        <v>45100</v>
      </c>
      <c r="K59" s="508"/>
      <c r="L59" s="508"/>
      <c r="M59" s="509"/>
      <c r="N59" s="510">
        <v>810500</v>
      </c>
      <c r="O59" s="511"/>
      <c r="P59" s="511"/>
      <c r="Q59" s="511"/>
      <c r="R59" s="512"/>
      <c r="S59" s="513">
        <v>57</v>
      </c>
      <c r="T59" s="514"/>
      <c r="U59" s="514"/>
      <c r="V59" s="514"/>
      <c r="W59" s="514"/>
      <c r="X59" s="515"/>
      <c r="Y59" s="422"/>
      <c r="Z59" s="460"/>
      <c r="AA59" s="461"/>
      <c r="AB59" s="461"/>
      <c r="AC59" s="461"/>
      <c r="AD59" s="461"/>
      <c r="AE59" s="462"/>
      <c r="AG59" s="94">
        <v>2023</v>
      </c>
      <c r="AH59" s="93">
        <v>16800</v>
      </c>
      <c r="AI59" s="93">
        <v>45100</v>
      </c>
      <c r="AJ59" s="23">
        <v>810500</v>
      </c>
      <c r="AK59" s="92">
        <v>57</v>
      </c>
    </row>
    <row r="60" spans="1:37" ht="15.95" customHeight="1" x14ac:dyDescent="0.25">
      <c r="A60" s="460"/>
      <c r="B60" s="462"/>
      <c r="C60" s="505">
        <v>2024</v>
      </c>
      <c r="D60" s="506"/>
      <c r="E60" s="507">
        <v>17000</v>
      </c>
      <c r="F60" s="508"/>
      <c r="G60" s="508"/>
      <c r="H60" s="508"/>
      <c r="I60" s="509"/>
      <c r="J60" s="507">
        <v>46000</v>
      </c>
      <c r="K60" s="508"/>
      <c r="L60" s="508"/>
      <c r="M60" s="509"/>
      <c r="N60" s="510">
        <v>824500</v>
      </c>
      <c r="O60" s="511"/>
      <c r="P60" s="511"/>
      <c r="Q60" s="511"/>
      <c r="R60" s="512"/>
      <c r="S60" s="513">
        <v>58</v>
      </c>
      <c r="T60" s="514"/>
      <c r="U60" s="514"/>
      <c r="V60" s="514"/>
      <c r="W60" s="514"/>
      <c r="X60" s="515"/>
      <c r="Y60" s="422"/>
      <c r="Z60" s="460"/>
      <c r="AA60" s="461"/>
      <c r="AB60" s="461"/>
      <c r="AC60" s="461"/>
      <c r="AD60" s="461"/>
      <c r="AE60" s="462"/>
      <c r="AG60" s="94">
        <v>2024</v>
      </c>
      <c r="AH60" s="93">
        <v>17000</v>
      </c>
      <c r="AI60" s="93">
        <v>46000</v>
      </c>
      <c r="AJ60" s="23">
        <v>824500</v>
      </c>
      <c r="AK60" s="92">
        <v>58</v>
      </c>
    </row>
    <row r="61" spans="1:37" ht="15.95" customHeight="1" x14ac:dyDescent="0.25">
      <c r="A61" s="460"/>
      <c r="B61" s="462"/>
      <c r="C61" s="505">
        <v>2025</v>
      </c>
      <c r="D61" s="506"/>
      <c r="E61" s="507">
        <v>17200</v>
      </c>
      <c r="F61" s="508"/>
      <c r="G61" s="508"/>
      <c r="H61" s="508"/>
      <c r="I61" s="509"/>
      <c r="J61" s="507">
        <v>46900</v>
      </c>
      <c r="K61" s="508"/>
      <c r="L61" s="508"/>
      <c r="M61" s="509"/>
      <c r="N61" s="510">
        <v>838800</v>
      </c>
      <c r="O61" s="511"/>
      <c r="P61" s="511"/>
      <c r="Q61" s="511"/>
      <c r="R61" s="512"/>
      <c r="S61" s="513">
        <v>59</v>
      </c>
      <c r="T61" s="514"/>
      <c r="U61" s="514"/>
      <c r="V61" s="514"/>
      <c r="W61" s="514"/>
      <c r="X61" s="515"/>
      <c r="Y61" s="422"/>
      <c r="Z61" s="460"/>
      <c r="AA61" s="461"/>
      <c r="AB61" s="461"/>
      <c r="AC61" s="461"/>
      <c r="AD61" s="461"/>
      <c r="AE61" s="462"/>
      <c r="AG61" s="94">
        <v>2025</v>
      </c>
      <c r="AH61" s="93">
        <v>17200</v>
      </c>
      <c r="AI61" s="93">
        <v>46900</v>
      </c>
      <c r="AJ61" s="23">
        <v>838800</v>
      </c>
      <c r="AK61" s="92">
        <v>59</v>
      </c>
    </row>
    <row r="62" spans="1:37" ht="15.75" customHeight="1" x14ac:dyDescent="0.25">
      <c r="A62" s="460"/>
      <c r="B62" s="462"/>
      <c r="C62" s="505">
        <v>2026</v>
      </c>
      <c r="D62" s="506"/>
      <c r="E62" s="507">
        <v>17500</v>
      </c>
      <c r="F62" s="508"/>
      <c r="G62" s="508"/>
      <c r="H62" s="508"/>
      <c r="I62" s="509"/>
      <c r="J62" s="507">
        <v>47800</v>
      </c>
      <c r="K62" s="508"/>
      <c r="L62" s="508"/>
      <c r="M62" s="509"/>
      <c r="N62" s="510">
        <v>852100</v>
      </c>
      <c r="O62" s="511"/>
      <c r="P62" s="511"/>
      <c r="Q62" s="511"/>
      <c r="R62" s="512"/>
      <c r="S62" s="513">
        <v>60</v>
      </c>
      <c r="T62" s="514"/>
      <c r="U62" s="514"/>
      <c r="V62" s="514"/>
      <c r="W62" s="514"/>
      <c r="X62" s="515"/>
      <c r="Y62" s="422"/>
      <c r="Z62" s="460"/>
      <c r="AA62" s="461"/>
      <c r="AB62" s="461"/>
      <c r="AC62" s="461"/>
      <c r="AD62" s="461"/>
      <c r="AE62" s="462"/>
      <c r="AG62" s="94">
        <v>2026</v>
      </c>
      <c r="AH62" s="93">
        <v>17500</v>
      </c>
      <c r="AI62" s="93">
        <v>47800</v>
      </c>
      <c r="AJ62" s="23">
        <v>852100</v>
      </c>
      <c r="AK62" s="92">
        <v>60</v>
      </c>
    </row>
    <row r="63" spans="1:37" ht="15.95" customHeight="1" x14ac:dyDescent="0.25">
      <c r="A63" s="460"/>
      <c r="B63" s="462"/>
      <c r="C63" s="505">
        <v>2027</v>
      </c>
      <c r="D63" s="506"/>
      <c r="E63" s="507">
        <v>17900</v>
      </c>
      <c r="F63" s="508"/>
      <c r="G63" s="508"/>
      <c r="H63" s="508"/>
      <c r="I63" s="509"/>
      <c r="J63" s="507">
        <v>48700</v>
      </c>
      <c r="K63" s="508"/>
      <c r="L63" s="508"/>
      <c r="M63" s="509"/>
      <c r="N63" s="510">
        <v>865600</v>
      </c>
      <c r="O63" s="511"/>
      <c r="P63" s="511"/>
      <c r="Q63" s="511"/>
      <c r="R63" s="512"/>
      <c r="S63" s="513">
        <v>61</v>
      </c>
      <c r="T63" s="514"/>
      <c r="U63" s="514"/>
      <c r="V63" s="514"/>
      <c r="W63" s="514"/>
      <c r="X63" s="515"/>
      <c r="Y63" s="422"/>
      <c r="Z63" s="460"/>
      <c r="AA63" s="461"/>
      <c r="AB63" s="461"/>
      <c r="AC63" s="461"/>
      <c r="AD63" s="461"/>
      <c r="AE63" s="462"/>
      <c r="AG63" s="94">
        <v>2027</v>
      </c>
      <c r="AH63" s="93">
        <v>17900</v>
      </c>
      <c r="AI63" s="93">
        <v>48700</v>
      </c>
      <c r="AJ63" s="23">
        <v>865600</v>
      </c>
      <c r="AK63" s="92">
        <v>61</v>
      </c>
    </row>
    <row r="64" spans="1:37" ht="15.75" customHeight="1" x14ac:dyDescent="0.25">
      <c r="A64" s="460"/>
      <c r="B64" s="462"/>
      <c r="C64" s="505">
        <v>2028</v>
      </c>
      <c r="D64" s="506"/>
      <c r="E64" s="507">
        <v>18200</v>
      </c>
      <c r="F64" s="508"/>
      <c r="G64" s="508"/>
      <c r="H64" s="508"/>
      <c r="I64" s="509"/>
      <c r="J64" s="507">
        <v>49500</v>
      </c>
      <c r="K64" s="508"/>
      <c r="L64" s="508"/>
      <c r="M64" s="509"/>
      <c r="N64" s="510">
        <v>879400</v>
      </c>
      <c r="O64" s="511"/>
      <c r="P64" s="511"/>
      <c r="Q64" s="511"/>
      <c r="R64" s="512"/>
      <c r="S64" s="513">
        <v>62</v>
      </c>
      <c r="T64" s="514"/>
      <c r="U64" s="514"/>
      <c r="V64" s="514"/>
      <c r="W64" s="514"/>
      <c r="X64" s="515"/>
      <c r="Y64" s="422"/>
      <c r="Z64" s="460"/>
      <c r="AA64" s="461"/>
      <c r="AB64" s="461"/>
      <c r="AC64" s="461"/>
      <c r="AD64" s="461"/>
      <c r="AE64" s="462"/>
      <c r="AG64" s="94">
        <v>2028</v>
      </c>
      <c r="AH64" s="93">
        <v>18200</v>
      </c>
      <c r="AI64" s="93">
        <v>49500</v>
      </c>
      <c r="AJ64" s="23">
        <v>879400</v>
      </c>
      <c r="AK64" s="92">
        <v>62</v>
      </c>
    </row>
    <row r="65" spans="1:37" ht="15.95" customHeight="1" x14ac:dyDescent="0.25">
      <c r="A65" s="460"/>
      <c r="B65" s="462"/>
      <c r="C65" s="505">
        <v>2029</v>
      </c>
      <c r="D65" s="506"/>
      <c r="E65" s="507">
        <v>18600</v>
      </c>
      <c r="F65" s="508"/>
      <c r="G65" s="508"/>
      <c r="H65" s="508"/>
      <c r="I65" s="509"/>
      <c r="J65" s="507">
        <v>50400</v>
      </c>
      <c r="K65" s="508"/>
      <c r="L65" s="508"/>
      <c r="M65" s="509"/>
      <c r="N65" s="510">
        <v>893400</v>
      </c>
      <c r="O65" s="511"/>
      <c r="P65" s="511"/>
      <c r="Q65" s="511"/>
      <c r="R65" s="512"/>
      <c r="S65" s="513">
        <v>63</v>
      </c>
      <c r="T65" s="514"/>
      <c r="U65" s="514"/>
      <c r="V65" s="514"/>
      <c r="W65" s="514"/>
      <c r="X65" s="515"/>
      <c r="Y65" s="422"/>
      <c r="Z65" s="460"/>
      <c r="AA65" s="461"/>
      <c r="AB65" s="461"/>
      <c r="AC65" s="461"/>
      <c r="AD65" s="461"/>
      <c r="AE65" s="462"/>
      <c r="AG65" s="94">
        <v>2029</v>
      </c>
      <c r="AH65" s="93">
        <v>18600</v>
      </c>
      <c r="AI65" s="93">
        <v>50400</v>
      </c>
      <c r="AJ65" s="23">
        <v>893400</v>
      </c>
      <c r="AK65" s="92">
        <v>63</v>
      </c>
    </row>
    <row r="66" spans="1:37" ht="15.75" customHeight="1" x14ac:dyDescent="0.25">
      <c r="A66" s="460"/>
      <c r="B66" s="462"/>
      <c r="C66" s="505">
        <v>2030</v>
      </c>
      <c r="D66" s="506"/>
      <c r="E66" s="507">
        <v>18900</v>
      </c>
      <c r="F66" s="508"/>
      <c r="G66" s="508"/>
      <c r="H66" s="508"/>
      <c r="I66" s="509"/>
      <c r="J66" s="507">
        <v>51300</v>
      </c>
      <c r="K66" s="508"/>
      <c r="L66" s="508"/>
      <c r="M66" s="509"/>
      <c r="N66" s="510">
        <v>907600</v>
      </c>
      <c r="O66" s="511"/>
      <c r="P66" s="511"/>
      <c r="Q66" s="511"/>
      <c r="R66" s="512"/>
      <c r="S66" s="513">
        <v>65</v>
      </c>
      <c r="T66" s="514"/>
      <c r="U66" s="514"/>
      <c r="V66" s="514"/>
      <c r="W66" s="514"/>
      <c r="X66" s="515"/>
      <c r="Y66" s="422"/>
      <c r="Z66" s="460"/>
      <c r="AA66" s="461"/>
      <c r="AB66" s="461"/>
      <c r="AC66" s="461"/>
      <c r="AD66" s="461"/>
      <c r="AE66" s="462"/>
      <c r="AG66" s="94">
        <v>2030</v>
      </c>
      <c r="AH66" s="93">
        <v>18900</v>
      </c>
      <c r="AI66" s="93">
        <v>51300</v>
      </c>
      <c r="AJ66" s="23">
        <v>907600</v>
      </c>
      <c r="AK66" s="92">
        <v>65</v>
      </c>
    </row>
    <row r="67" spans="1:37" ht="15.95" customHeight="1" x14ac:dyDescent="0.25">
      <c r="A67" s="460"/>
      <c r="B67" s="462"/>
      <c r="C67" s="505">
        <v>2031</v>
      </c>
      <c r="D67" s="506"/>
      <c r="E67" s="507">
        <v>18900</v>
      </c>
      <c r="F67" s="508"/>
      <c r="G67" s="508"/>
      <c r="H67" s="508"/>
      <c r="I67" s="509"/>
      <c r="J67" s="507">
        <v>51300</v>
      </c>
      <c r="K67" s="508"/>
      <c r="L67" s="508"/>
      <c r="M67" s="509"/>
      <c r="N67" s="510">
        <v>907600</v>
      </c>
      <c r="O67" s="511"/>
      <c r="P67" s="511"/>
      <c r="Q67" s="511"/>
      <c r="R67" s="512"/>
      <c r="S67" s="513">
        <v>66</v>
      </c>
      <c r="T67" s="514"/>
      <c r="U67" s="514"/>
      <c r="V67" s="514"/>
      <c r="W67" s="514"/>
      <c r="X67" s="515"/>
      <c r="Y67" s="422"/>
      <c r="Z67" s="460"/>
      <c r="AA67" s="461"/>
      <c r="AB67" s="461"/>
      <c r="AC67" s="461"/>
      <c r="AD67" s="461"/>
      <c r="AE67" s="462"/>
      <c r="AG67" s="94">
        <v>2031</v>
      </c>
      <c r="AH67" s="93">
        <v>18900</v>
      </c>
      <c r="AI67" s="93">
        <v>51300</v>
      </c>
      <c r="AJ67" s="23">
        <v>907600</v>
      </c>
      <c r="AK67" s="92">
        <v>66</v>
      </c>
    </row>
    <row r="68" spans="1:37" ht="15.75" customHeight="1" x14ac:dyDescent="0.25">
      <c r="A68" s="460"/>
      <c r="B68" s="462"/>
      <c r="C68" s="505">
        <v>2032</v>
      </c>
      <c r="D68" s="506"/>
      <c r="E68" s="507">
        <v>18900</v>
      </c>
      <c r="F68" s="508"/>
      <c r="G68" s="508"/>
      <c r="H68" s="508"/>
      <c r="I68" s="509"/>
      <c r="J68" s="507">
        <v>51300</v>
      </c>
      <c r="K68" s="508"/>
      <c r="L68" s="508"/>
      <c r="M68" s="509"/>
      <c r="N68" s="510">
        <v>907600</v>
      </c>
      <c r="O68" s="511"/>
      <c r="P68" s="511"/>
      <c r="Q68" s="511"/>
      <c r="R68" s="512"/>
      <c r="S68" s="513">
        <v>67</v>
      </c>
      <c r="T68" s="514"/>
      <c r="U68" s="514"/>
      <c r="V68" s="514"/>
      <c r="W68" s="514"/>
      <c r="X68" s="515"/>
      <c r="Y68" s="422"/>
      <c r="Z68" s="460"/>
      <c r="AA68" s="461"/>
      <c r="AB68" s="461"/>
      <c r="AC68" s="461"/>
      <c r="AD68" s="461"/>
      <c r="AE68" s="462"/>
      <c r="AG68" s="94">
        <v>2032</v>
      </c>
      <c r="AH68" s="93">
        <v>18900</v>
      </c>
      <c r="AI68" s="93">
        <v>51300</v>
      </c>
      <c r="AJ68" s="23">
        <v>907600</v>
      </c>
      <c r="AK68" s="92">
        <v>67</v>
      </c>
    </row>
    <row r="69" spans="1:37" ht="15.95" customHeight="1" x14ac:dyDescent="0.25">
      <c r="A69" s="460"/>
      <c r="B69" s="462"/>
      <c r="C69" s="505">
        <v>2033</v>
      </c>
      <c r="D69" s="506"/>
      <c r="E69" s="507">
        <v>18900</v>
      </c>
      <c r="F69" s="508"/>
      <c r="G69" s="508"/>
      <c r="H69" s="508"/>
      <c r="I69" s="509"/>
      <c r="J69" s="507">
        <v>51300</v>
      </c>
      <c r="K69" s="508"/>
      <c r="L69" s="508"/>
      <c r="M69" s="509"/>
      <c r="N69" s="510">
        <v>907600</v>
      </c>
      <c r="O69" s="511"/>
      <c r="P69" s="511"/>
      <c r="Q69" s="511"/>
      <c r="R69" s="512"/>
      <c r="S69" s="513">
        <v>68</v>
      </c>
      <c r="T69" s="514"/>
      <c r="U69" s="514"/>
      <c r="V69" s="514"/>
      <c r="W69" s="514"/>
      <c r="X69" s="515"/>
      <c r="Y69" s="422"/>
      <c r="Z69" s="460"/>
      <c r="AA69" s="461"/>
      <c r="AB69" s="461"/>
      <c r="AC69" s="461"/>
      <c r="AD69" s="461"/>
      <c r="AE69" s="462"/>
      <c r="AG69" s="94">
        <v>2033</v>
      </c>
      <c r="AH69" s="93">
        <v>18900</v>
      </c>
      <c r="AI69" s="93">
        <v>51300</v>
      </c>
      <c r="AJ69" s="23">
        <v>907600</v>
      </c>
      <c r="AK69" s="92">
        <v>68</v>
      </c>
    </row>
    <row r="70" spans="1:37" ht="15.75" customHeight="1" x14ac:dyDescent="0.25">
      <c r="A70" s="460"/>
      <c r="B70" s="462"/>
      <c r="C70" s="505">
        <v>2034</v>
      </c>
      <c r="D70" s="506"/>
      <c r="E70" s="507">
        <v>18900</v>
      </c>
      <c r="F70" s="508"/>
      <c r="G70" s="508"/>
      <c r="H70" s="508"/>
      <c r="I70" s="509"/>
      <c r="J70" s="507">
        <v>51300</v>
      </c>
      <c r="K70" s="508"/>
      <c r="L70" s="508"/>
      <c r="M70" s="509"/>
      <c r="N70" s="510">
        <v>907600</v>
      </c>
      <c r="O70" s="511"/>
      <c r="P70" s="511"/>
      <c r="Q70" s="511"/>
      <c r="R70" s="512"/>
      <c r="S70" s="513">
        <v>69</v>
      </c>
      <c r="T70" s="514"/>
      <c r="U70" s="514"/>
      <c r="V70" s="514"/>
      <c r="W70" s="514"/>
      <c r="X70" s="515"/>
      <c r="Y70" s="422"/>
      <c r="Z70" s="460"/>
      <c r="AA70" s="461"/>
      <c r="AB70" s="461"/>
      <c r="AC70" s="461"/>
      <c r="AD70" s="461"/>
      <c r="AE70" s="462"/>
      <c r="AG70" s="94">
        <v>2034</v>
      </c>
      <c r="AH70" s="93">
        <v>18900</v>
      </c>
      <c r="AI70" s="93">
        <v>51300</v>
      </c>
      <c r="AJ70" s="23">
        <v>907600</v>
      </c>
      <c r="AK70" s="92">
        <v>69</v>
      </c>
    </row>
    <row r="71" spans="1:37" ht="15.95" customHeight="1" x14ac:dyDescent="0.25">
      <c r="A71" s="460"/>
      <c r="B71" s="462"/>
      <c r="C71" s="505">
        <v>2035</v>
      </c>
      <c r="D71" s="506"/>
      <c r="E71" s="507">
        <v>18900</v>
      </c>
      <c r="F71" s="508"/>
      <c r="G71" s="508"/>
      <c r="H71" s="508"/>
      <c r="I71" s="509"/>
      <c r="J71" s="507">
        <v>51300</v>
      </c>
      <c r="K71" s="508"/>
      <c r="L71" s="508"/>
      <c r="M71" s="509"/>
      <c r="N71" s="510">
        <v>907600</v>
      </c>
      <c r="O71" s="511"/>
      <c r="P71" s="511"/>
      <c r="Q71" s="511"/>
      <c r="R71" s="512"/>
      <c r="S71" s="513">
        <v>70</v>
      </c>
      <c r="T71" s="514"/>
      <c r="U71" s="514"/>
      <c r="V71" s="514"/>
      <c r="W71" s="514"/>
      <c r="X71" s="515"/>
      <c r="Y71" s="422"/>
      <c r="Z71" s="460"/>
      <c r="AA71" s="461"/>
      <c r="AB71" s="461"/>
      <c r="AC71" s="461"/>
      <c r="AD71" s="461"/>
      <c r="AE71" s="462"/>
      <c r="AG71" s="94">
        <v>2035</v>
      </c>
      <c r="AH71" s="93">
        <v>18900</v>
      </c>
      <c r="AI71" s="93">
        <v>51300</v>
      </c>
      <c r="AJ71" s="23">
        <v>907600</v>
      </c>
      <c r="AK71" s="92">
        <v>70</v>
      </c>
    </row>
    <row r="72" spans="1:37" ht="15.75" customHeight="1" x14ac:dyDescent="0.25">
      <c r="A72" s="460"/>
      <c r="B72" s="462"/>
      <c r="C72" s="505">
        <v>2036</v>
      </c>
      <c r="D72" s="506"/>
      <c r="E72" s="507">
        <v>18900</v>
      </c>
      <c r="F72" s="508"/>
      <c r="G72" s="508"/>
      <c r="H72" s="508"/>
      <c r="I72" s="509"/>
      <c r="J72" s="507">
        <v>51300</v>
      </c>
      <c r="K72" s="508"/>
      <c r="L72" s="508"/>
      <c r="M72" s="509"/>
      <c r="N72" s="510">
        <v>907600</v>
      </c>
      <c r="O72" s="511"/>
      <c r="P72" s="511"/>
      <c r="Q72" s="511"/>
      <c r="R72" s="512"/>
      <c r="S72" s="513">
        <v>72</v>
      </c>
      <c r="T72" s="514"/>
      <c r="U72" s="514"/>
      <c r="V72" s="514"/>
      <c r="W72" s="514"/>
      <c r="X72" s="515"/>
      <c r="Y72" s="422"/>
      <c r="Z72" s="460"/>
      <c r="AA72" s="461"/>
      <c r="AB72" s="461"/>
      <c r="AC72" s="461"/>
      <c r="AD72" s="461"/>
      <c r="AE72" s="462"/>
      <c r="AG72" s="94">
        <v>2036</v>
      </c>
      <c r="AH72" s="93">
        <v>18900</v>
      </c>
      <c r="AI72" s="93">
        <v>51300</v>
      </c>
      <c r="AJ72" s="23">
        <v>907600</v>
      </c>
      <c r="AK72" s="92">
        <v>72</v>
      </c>
    </row>
    <row r="73" spans="1:37" ht="15.95" customHeight="1" x14ac:dyDescent="0.25">
      <c r="A73" s="460"/>
      <c r="B73" s="462"/>
      <c r="C73" s="505">
        <v>2037</v>
      </c>
      <c r="D73" s="506"/>
      <c r="E73" s="507">
        <v>18900</v>
      </c>
      <c r="F73" s="508"/>
      <c r="G73" s="508"/>
      <c r="H73" s="508"/>
      <c r="I73" s="509"/>
      <c r="J73" s="507">
        <v>51300</v>
      </c>
      <c r="K73" s="508"/>
      <c r="L73" s="508"/>
      <c r="M73" s="509"/>
      <c r="N73" s="510">
        <v>907600</v>
      </c>
      <c r="O73" s="511"/>
      <c r="P73" s="511"/>
      <c r="Q73" s="511"/>
      <c r="R73" s="512"/>
      <c r="S73" s="513">
        <v>73</v>
      </c>
      <c r="T73" s="514"/>
      <c r="U73" s="514"/>
      <c r="V73" s="514"/>
      <c r="W73" s="514"/>
      <c r="X73" s="515"/>
      <c r="Y73" s="422"/>
      <c r="Z73" s="460"/>
      <c r="AA73" s="461"/>
      <c r="AB73" s="461"/>
      <c r="AC73" s="461"/>
      <c r="AD73" s="461"/>
      <c r="AE73" s="462"/>
      <c r="AG73" s="94">
        <v>2037</v>
      </c>
      <c r="AH73" s="93">
        <v>18900</v>
      </c>
      <c r="AI73" s="93">
        <v>51300</v>
      </c>
      <c r="AJ73" s="23">
        <v>907600</v>
      </c>
      <c r="AK73" s="92">
        <v>73</v>
      </c>
    </row>
    <row r="74" spans="1:37" ht="15.75" customHeight="1" x14ac:dyDescent="0.25">
      <c r="A74" s="460"/>
      <c r="B74" s="462"/>
      <c r="C74" s="505">
        <v>2038</v>
      </c>
      <c r="D74" s="506"/>
      <c r="E74" s="507">
        <v>18900</v>
      </c>
      <c r="F74" s="508"/>
      <c r="G74" s="508"/>
      <c r="H74" s="508"/>
      <c r="I74" s="509"/>
      <c r="J74" s="507">
        <v>51300</v>
      </c>
      <c r="K74" s="508"/>
      <c r="L74" s="508"/>
      <c r="M74" s="509"/>
      <c r="N74" s="510">
        <v>907600</v>
      </c>
      <c r="O74" s="511"/>
      <c r="P74" s="511"/>
      <c r="Q74" s="511"/>
      <c r="R74" s="512"/>
      <c r="S74" s="513">
        <v>74</v>
      </c>
      <c r="T74" s="514"/>
      <c r="U74" s="514"/>
      <c r="V74" s="514"/>
      <c r="W74" s="514"/>
      <c r="X74" s="515"/>
      <c r="Y74" s="422"/>
      <c r="Z74" s="460"/>
      <c r="AA74" s="461"/>
      <c r="AB74" s="461"/>
      <c r="AC74" s="461"/>
      <c r="AD74" s="461"/>
      <c r="AE74" s="462"/>
      <c r="AG74" s="94">
        <v>2038</v>
      </c>
      <c r="AH74" s="93">
        <v>18900</v>
      </c>
      <c r="AI74" s="93">
        <v>51300</v>
      </c>
      <c r="AJ74" s="23">
        <v>907600</v>
      </c>
      <c r="AK74" s="92">
        <v>74</v>
      </c>
    </row>
    <row r="75" spans="1:37" ht="15.95" customHeight="1" x14ac:dyDescent="0.25">
      <c r="A75" s="460"/>
      <c r="B75" s="462"/>
      <c r="C75" s="505">
        <v>2039</v>
      </c>
      <c r="D75" s="506"/>
      <c r="E75" s="507">
        <v>18900</v>
      </c>
      <c r="F75" s="508"/>
      <c r="G75" s="508"/>
      <c r="H75" s="508"/>
      <c r="I75" s="509"/>
      <c r="J75" s="507">
        <v>51300</v>
      </c>
      <c r="K75" s="508"/>
      <c r="L75" s="508"/>
      <c r="M75" s="509"/>
      <c r="N75" s="510">
        <v>907600</v>
      </c>
      <c r="O75" s="511"/>
      <c r="P75" s="511"/>
      <c r="Q75" s="511"/>
      <c r="R75" s="512"/>
      <c r="S75" s="513">
        <v>75</v>
      </c>
      <c r="T75" s="514"/>
      <c r="U75" s="514"/>
      <c r="V75" s="514"/>
      <c r="W75" s="514"/>
      <c r="X75" s="515"/>
      <c r="Y75" s="422"/>
      <c r="Z75" s="460"/>
      <c r="AA75" s="461"/>
      <c r="AB75" s="461"/>
      <c r="AC75" s="461"/>
      <c r="AD75" s="461"/>
      <c r="AE75" s="462"/>
      <c r="AG75" s="94">
        <v>2039</v>
      </c>
      <c r="AH75" s="93">
        <v>18900</v>
      </c>
      <c r="AI75" s="93">
        <v>51300</v>
      </c>
      <c r="AJ75" s="23">
        <v>907600</v>
      </c>
      <c r="AK75" s="92">
        <v>75</v>
      </c>
    </row>
    <row r="76" spans="1:37" ht="15.75" customHeight="1" x14ac:dyDescent="0.25">
      <c r="A76" s="460"/>
      <c r="B76" s="462"/>
      <c r="C76" s="505">
        <v>2040</v>
      </c>
      <c r="D76" s="506"/>
      <c r="E76" s="507">
        <v>18900</v>
      </c>
      <c r="F76" s="508"/>
      <c r="G76" s="508"/>
      <c r="H76" s="508"/>
      <c r="I76" s="509"/>
      <c r="J76" s="507">
        <v>51300</v>
      </c>
      <c r="K76" s="508"/>
      <c r="L76" s="508"/>
      <c r="M76" s="509"/>
      <c r="N76" s="510">
        <v>907600</v>
      </c>
      <c r="O76" s="511"/>
      <c r="P76" s="511"/>
      <c r="Q76" s="511"/>
      <c r="R76" s="512"/>
      <c r="S76" s="513">
        <v>76</v>
      </c>
      <c r="T76" s="514"/>
      <c r="U76" s="514"/>
      <c r="V76" s="514"/>
      <c r="W76" s="514"/>
      <c r="X76" s="515"/>
      <c r="Y76" s="422"/>
      <c r="Z76" s="460"/>
      <c r="AA76" s="461"/>
      <c r="AB76" s="461"/>
      <c r="AC76" s="461"/>
      <c r="AD76" s="461"/>
      <c r="AE76" s="462"/>
      <c r="AG76" s="94">
        <v>2040</v>
      </c>
      <c r="AH76" s="93">
        <v>18900</v>
      </c>
      <c r="AI76" s="93">
        <v>51300</v>
      </c>
      <c r="AJ76" s="23">
        <v>907600</v>
      </c>
      <c r="AK76" s="92">
        <v>76</v>
      </c>
    </row>
    <row r="77" spans="1:37" ht="15.95" customHeight="1" x14ac:dyDescent="0.25">
      <c r="A77" s="460"/>
      <c r="B77" s="462"/>
      <c r="C77" s="505">
        <v>2041</v>
      </c>
      <c r="D77" s="506"/>
      <c r="E77" s="507">
        <v>18900</v>
      </c>
      <c r="F77" s="508"/>
      <c r="G77" s="508"/>
      <c r="H77" s="508"/>
      <c r="I77" s="509"/>
      <c r="J77" s="507">
        <v>51300</v>
      </c>
      <c r="K77" s="508"/>
      <c r="L77" s="508"/>
      <c r="M77" s="509"/>
      <c r="N77" s="510">
        <v>907600</v>
      </c>
      <c r="O77" s="511"/>
      <c r="P77" s="511"/>
      <c r="Q77" s="511"/>
      <c r="R77" s="512"/>
      <c r="S77" s="513">
        <v>78</v>
      </c>
      <c r="T77" s="514"/>
      <c r="U77" s="514"/>
      <c r="V77" s="514"/>
      <c r="W77" s="514"/>
      <c r="X77" s="515"/>
      <c r="Y77" s="422"/>
      <c r="Z77" s="460"/>
      <c r="AA77" s="461"/>
      <c r="AB77" s="461"/>
      <c r="AC77" s="461"/>
      <c r="AD77" s="461"/>
      <c r="AE77" s="462"/>
      <c r="AG77" s="94">
        <v>2041</v>
      </c>
      <c r="AH77" s="93">
        <v>18900</v>
      </c>
      <c r="AI77" s="93">
        <v>51300</v>
      </c>
      <c r="AJ77" s="23">
        <v>907600</v>
      </c>
      <c r="AK77" s="92">
        <v>78</v>
      </c>
    </row>
    <row r="78" spans="1:37" ht="15.75" customHeight="1" x14ac:dyDescent="0.25">
      <c r="A78" s="460"/>
      <c r="B78" s="462"/>
      <c r="C78" s="505">
        <v>2042</v>
      </c>
      <c r="D78" s="506"/>
      <c r="E78" s="507">
        <v>18900</v>
      </c>
      <c r="F78" s="508"/>
      <c r="G78" s="508"/>
      <c r="H78" s="508"/>
      <c r="I78" s="509"/>
      <c r="J78" s="507">
        <v>51300</v>
      </c>
      <c r="K78" s="508"/>
      <c r="L78" s="508"/>
      <c r="M78" s="509"/>
      <c r="N78" s="510">
        <v>907600</v>
      </c>
      <c r="O78" s="511"/>
      <c r="P78" s="511"/>
      <c r="Q78" s="511"/>
      <c r="R78" s="512"/>
      <c r="S78" s="513">
        <v>79</v>
      </c>
      <c r="T78" s="514"/>
      <c r="U78" s="514"/>
      <c r="V78" s="514"/>
      <c r="W78" s="514"/>
      <c r="X78" s="515"/>
      <c r="Y78" s="422"/>
      <c r="Z78" s="460"/>
      <c r="AA78" s="461"/>
      <c r="AB78" s="461"/>
      <c r="AC78" s="461"/>
      <c r="AD78" s="461"/>
      <c r="AE78" s="462"/>
      <c r="AG78" s="94">
        <v>2042</v>
      </c>
      <c r="AH78" s="93">
        <v>18900</v>
      </c>
      <c r="AI78" s="93">
        <v>51300</v>
      </c>
      <c r="AJ78" s="23">
        <v>907600</v>
      </c>
      <c r="AK78" s="92">
        <v>79</v>
      </c>
    </row>
    <row r="79" spans="1:37" ht="15.95" customHeight="1" x14ac:dyDescent="0.25">
      <c r="A79" s="460"/>
      <c r="B79" s="462"/>
      <c r="C79" s="505">
        <v>2043</v>
      </c>
      <c r="D79" s="506"/>
      <c r="E79" s="507">
        <v>18900</v>
      </c>
      <c r="F79" s="508"/>
      <c r="G79" s="508"/>
      <c r="H79" s="508"/>
      <c r="I79" s="509"/>
      <c r="J79" s="507">
        <v>51300</v>
      </c>
      <c r="K79" s="508"/>
      <c r="L79" s="508"/>
      <c r="M79" s="509"/>
      <c r="N79" s="510">
        <v>907600</v>
      </c>
      <c r="O79" s="511"/>
      <c r="P79" s="511"/>
      <c r="Q79" s="511"/>
      <c r="R79" s="512"/>
      <c r="S79" s="513">
        <v>80</v>
      </c>
      <c r="T79" s="514"/>
      <c r="U79" s="514"/>
      <c r="V79" s="514"/>
      <c r="W79" s="514"/>
      <c r="X79" s="515"/>
      <c r="Y79" s="422"/>
      <c r="Z79" s="460"/>
      <c r="AA79" s="461"/>
      <c r="AB79" s="461"/>
      <c r="AC79" s="461"/>
      <c r="AD79" s="461"/>
      <c r="AE79" s="462"/>
      <c r="AG79" s="94">
        <v>2043</v>
      </c>
      <c r="AH79" s="93">
        <v>18900</v>
      </c>
      <c r="AI79" s="93">
        <v>51300</v>
      </c>
      <c r="AJ79" s="23">
        <v>907600</v>
      </c>
      <c r="AK79" s="92">
        <v>80</v>
      </c>
    </row>
    <row r="80" spans="1:37" ht="15.75" customHeight="1" x14ac:dyDescent="0.25">
      <c r="A80" s="460"/>
      <c r="B80" s="462"/>
      <c r="C80" s="505">
        <v>2044</v>
      </c>
      <c r="D80" s="506"/>
      <c r="E80" s="507">
        <v>18900</v>
      </c>
      <c r="F80" s="508"/>
      <c r="G80" s="508"/>
      <c r="H80" s="508"/>
      <c r="I80" s="509"/>
      <c r="J80" s="507">
        <v>51300</v>
      </c>
      <c r="K80" s="508"/>
      <c r="L80" s="508"/>
      <c r="M80" s="509"/>
      <c r="N80" s="510">
        <v>907600</v>
      </c>
      <c r="O80" s="511"/>
      <c r="P80" s="511"/>
      <c r="Q80" s="511"/>
      <c r="R80" s="512"/>
      <c r="S80" s="513">
        <v>81</v>
      </c>
      <c r="T80" s="514"/>
      <c r="U80" s="514"/>
      <c r="V80" s="514"/>
      <c r="W80" s="514"/>
      <c r="X80" s="515"/>
      <c r="Y80" s="422"/>
      <c r="Z80" s="460"/>
      <c r="AA80" s="461"/>
      <c r="AB80" s="461"/>
      <c r="AC80" s="461"/>
      <c r="AD80" s="461"/>
      <c r="AE80" s="462"/>
      <c r="AG80" s="94">
        <v>2044</v>
      </c>
      <c r="AH80" s="93">
        <v>18900</v>
      </c>
      <c r="AI80" s="93">
        <v>51300</v>
      </c>
      <c r="AJ80" s="23">
        <v>907600</v>
      </c>
      <c r="AK80" s="92">
        <v>81</v>
      </c>
    </row>
    <row r="81" spans="1:37" ht="15.95" customHeight="1" x14ac:dyDescent="0.25">
      <c r="A81" s="460"/>
      <c r="B81" s="462"/>
      <c r="C81" s="505">
        <v>2045</v>
      </c>
      <c r="D81" s="506"/>
      <c r="E81" s="507">
        <v>18900</v>
      </c>
      <c r="F81" s="508"/>
      <c r="G81" s="508"/>
      <c r="H81" s="508"/>
      <c r="I81" s="509"/>
      <c r="J81" s="507">
        <v>51300</v>
      </c>
      <c r="K81" s="508"/>
      <c r="L81" s="508"/>
      <c r="M81" s="509"/>
      <c r="N81" s="510">
        <v>907600</v>
      </c>
      <c r="O81" s="511"/>
      <c r="P81" s="511"/>
      <c r="Q81" s="511"/>
      <c r="R81" s="512"/>
      <c r="S81" s="513">
        <v>82</v>
      </c>
      <c r="T81" s="514"/>
      <c r="U81" s="514"/>
      <c r="V81" s="514"/>
      <c r="W81" s="514"/>
      <c r="X81" s="515"/>
      <c r="Y81" s="422"/>
      <c r="Z81" s="460"/>
      <c r="AA81" s="461"/>
      <c r="AB81" s="461"/>
      <c r="AC81" s="461"/>
      <c r="AD81" s="461"/>
      <c r="AE81" s="462"/>
      <c r="AG81" s="94">
        <v>2045</v>
      </c>
      <c r="AH81" s="93">
        <v>18900</v>
      </c>
      <c r="AI81" s="93">
        <v>51300</v>
      </c>
      <c r="AJ81" s="23">
        <v>907600</v>
      </c>
      <c r="AK81" s="92">
        <v>82</v>
      </c>
    </row>
    <row r="82" spans="1:37" ht="15.75" customHeight="1" x14ac:dyDescent="0.25">
      <c r="A82" s="460"/>
      <c r="B82" s="462"/>
      <c r="C82" s="505">
        <v>2046</v>
      </c>
      <c r="D82" s="506"/>
      <c r="E82" s="507">
        <v>18900</v>
      </c>
      <c r="F82" s="508"/>
      <c r="G82" s="508"/>
      <c r="H82" s="508"/>
      <c r="I82" s="509"/>
      <c r="J82" s="507">
        <v>51300</v>
      </c>
      <c r="K82" s="508"/>
      <c r="L82" s="508"/>
      <c r="M82" s="509"/>
      <c r="N82" s="510">
        <v>907600</v>
      </c>
      <c r="O82" s="511"/>
      <c r="P82" s="511"/>
      <c r="Q82" s="511"/>
      <c r="R82" s="512"/>
      <c r="S82" s="513">
        <v>84</v>
      </c>
      <c r="T82" s="514"/>
      <c r="U82" s="514"/>
      <c r="V82" s="514"/>
      <c r="W82" s="514"/>
      <c r="X82" s="515"/>
      <c r="Y82" s="422"/>
      <c r="Z82" s="460"/>
      <c r="AA82" s="461"/>
      <c r="AB82" s="461"/>
      <c r="AC82" s="461"/>
      <c r="AD82" s="461"/>
      <c r="AE82" s="462"/>
      <c r="AG82" s="94">
        <v>2046</v>
      </c>
      <c r="AH82" s="93">
        <v>18900</v>
      </c>
      <c r="AI82" s="93">
        <v>51300</v>
      </c>
      <c r="AJ82" s="23">
        <v>907600</v>
      </c>
      <c r="AK82" s="92">
        <v>84</v>
      </c>
    </row>
    <row r="83" spans="1:37" ht="15.95" customHeight="1" x14ac:dyDescent="0.25">
      <c r="A83" s="460"/>
      <c r="B83" s="462"/>
      <c r="C83" s="505">
        <v>2047</v>
      </c>
      <c r="D83" s="506"/>
      <c r="E83" s="507">
        <v>18900</v>
      </c>
      <c r="F83" s="508"/>
      <c r="G83" s="508"/>
      <c r="H83" s="508"/>
      <c r="I83" s="509"/>
      <c r="J83" s="507">
        <v>51300</v>
      </c>
      <c r="K83" s="508"/>
      <c r="L83" s="508"/>
      <c r="M83" s="509"/>
      <c r="N83" s="510">
        <v>907600</v>
      </c>
      <c r="O83" s="511"/>
      <c r="P83" s="511"/>
      <c r="Q83" s="511"/>
      <c r="R83" s="512"/>
      <c r="S83" s="513">
        <v>85</v>
      </c>
      <c r="T83" s="514"/>
      <c r="U83" s="514"/>
      <c r="V83" s="514"/>
      <c r="W83" s="514"/>
      <c r="X83" s="515"/>
      <c r="Y83" s="422"/>
      <c r="Z83" s="460"/>
      <c r="AA83" s="461"/>
      <c r="AB83" s="461"/>
      <c r="AC83" s="461"/>
      <c r="AD83" s="461"/>
      <c r="AE83" s="462"/>
      <c r="AG83" s="94">
        <v>2047</v>
      </c>
      <c r="AH83" s="93">
        <v>18900</v>
      </c>
      <c r="AI83" s="93">
        <v>51300</v>
      </c>
      <c r="AJ83" s="23">
        <v>907600</v>
      </c>
      <c r="AK83" s="92">
        <v>85</v>
      </c>
    </row>
    <row r="84" spans="1:37" ht="15.75" customHeight="1" x14ac:dyDescent="0.25">
      <c r="A84" s="460"/>
      <c r="B84" s="462"/>
      <c r="C84" s="505">
        <v>2048</v>
      </c>
      <c r="D84" s="506"/>
      <c r="E84" s="507">
        <v>18900</v>
      </c>
      <c r="F84" s="508"/>
      <c r="G84" s="508"/>
      <c r="H84" s="508"/>
      <c r="I84" s="509"/>
      <c r="J84" s="507">
        <v>51300</v>
      </c>
      <c r="K84" s="508"/>
      <c r="L84" s="508"/>
      <c r="M84" s="509"/>
      <c r="N84" s="510">
        <v>907600</v>
      </c>
      <c r="O84" s="511"/>
      <c r="P84" s="511"/>
      <c r="Q84" s="511"/>
      <c r="R84" s="512"/>
      <c r="S84" s="513">
        <v>86</v>
      </c>
      <c r="T84" s="514"/>
      <c r="U84" s="514"/>
      <c r="V84" s="514"/>
      <c r="W84" s="514"/>
      <c r="X84" s="515"/>
      <c r="Y84" s="422"/>
      <c r="Z84" s="460"/>
      <c r="AA84" s="461"/>
      <c r="AB84" s="461"/>
      <c r="AC84" s="461"/>
      <c r="AD84" s="461"/>
      <c r="AE84" s="462"/>
      <c r="AG84" s="94">
        <v>2048</v>
      </c>
      <c r="AH84" s="93">
        <v>18900</v>
      </c>
      <c r="AI84" s="93">
        <v>51300</v>
      </c>
      <c r="AJ84" s="23">
        <v>907600</v>
      </c>
      <c r="AK84" s="92">
        <v>86</v>
      </c>
    </row>
    <row r="85" spans="1:37" ht="15.95" customHeight="1" x14ac:dyDescent="0.25">
      <c r="A85" s="460"/>
      <c r="B85" s="462"/>
      <c r="C85" s="505">
        <v>2049</v>
      </c>
      <c r="D85" s="506"/>
      <c r="E85" s="507">
        <v>18900</v>
      </c>
      <c r="F85" s="508"/>
      <c r="G85" s="508"/>
      <c r="H85" s="508"/>
      <c r="I85" s="509"/>
      <c r="J85" s="507">
        <v>51300</v>
      </c>
      <c r="K85" s="508"/>
      <c r="L85" s="508"/>
      <c r="M85" s="509"/>
      <c r="N85" s="510">
        <v>907600</v>
      </c>
      <c r="O85" s="511"/>
      <c r="P85" s="511"/>
      <c r="Q85" s="511"/>
      <c r="R85" s="512"/>
      <c r="S85" s="513">
        <v>87</v>
      </c>
      <c r="T85" s="514"/>
      <c r="U85" s="514"/>
      <c r="V85" s="514"/>
      <c r="W85" s="514"/>
      <c r="X85" s="515"/>
      <c r="Y85" s="422"/>
      <c r="Z85" s="460"/>
      <c r="AA85" s="461"/>
      <c r="AB85" s="461"/>
      <c r="AC85" s="461"/>
      <c r="AD85" s="461"/>
      <c r="AE85" s="462"/>
      <c r="AG85" s="94">
        <v>2049</v>
      </c>
      <c r="AH85" s="93">
        <v>18900</v>
      </c>
      <c r="AI85" s="93">
        <v>51300</v>
      </c>
      <c r="AJ85" s="23">
        <v>907600</v>
      </c>
      <c r="AK85" s="92">
        <v>87</v>
      </c>
    </row>
    <row r="86" spans="1:37" ht="15.75" customHeight="1" x14ac:dyDescent="0.25">
      <c r="A86" s="460"/>
      <c r="B86" s="462"/>
      <c r="C86" s="505">
        <v>2050</v>
      </c>
      <c r="D86" s="506"/>
      <c r="E86" s="507">
        <v>18900</v>
      </c>
      <c r="F86" s="508"/>
      <c r="G86" s="508"/>
      <c r="H86" s="508"/>
      <c r="I86" s="509"/>
      <c r="J86" s="507">
        <v>51300</v>
      </c>
      <c r="K86" s="508"/>
      <c r="L86" s="508"/>
      <c r="M86" s="509"/>
      <c r="N86" s="510">
        <v>907600</v>
      </c>
      <c r="O86" s="511"/>
      <c r="P86" s="511"/>
      <c r="Q86" s="511"/>
      <c r="R86" s="512"/>
      <c r="S86" s="513">
        <v>88</v>
      </c>
      <c r="T86" s="514"/>
      <c r="U86" s="514"/>
      <c r="V86" s="514"/>
      <c r="W86" s="514"/>
      <c r="X86" s="515"/>
      <c r="Y86" s="422"/>
      <c r="Z86" s="460"/>
      <c r="AA86" s="461"/>
      <c r="AB86" s="461"/>
      <c r="AC86" s="461"/>
      <c r="AD86" s="461"/>
      <c r="AE86" s="462"/>
      <c r="AG86" s="94">
        <v>2050</v>
      </c>
      <c r="AH86" s="93">
        <v>18900</v>
      </c>
      <c r="AI86" s="93">
        <v>51300</v>
      </c>
      <c r="AJ86" s="23">
        <v>907600</v>
      </c>
      <c r="AK86" s="92">
        <v>88</v>
      </c>
    </row>
    <row r="87" spans="1:37" ht="63.75" customHeight="1" x14ac:dyDescent="0.25">
      <c r="A87" s="433" t="s">
        <v>484</v>
      </c>
      <c r="B87" s="434"/>
      <c r="C87" s="434"/>
      <c r="D87" s="434"/>
      <c r="E87" s="434"/>
      <c r="F87" s="434"/>
      <c r="G87" s="434"/>
      <c r="H87" s="434"/>
      <c r="I87" s="434"/>
      <c r="J87" s="434"/>
      <c r="K87" s="434"/>
      <c r="L87" s="434"/>
      <c r="M87" s="434"/>
      <c r="N87" s="434"/>
      <c r="O87" s="434"/>
      <c r="P87" s="434"/>
      <c r="Q87" s="434"/>
      <c r="R87" s="434"/>
      <c r="S87" s="434"/>
      <c r="T87" s="434"/>
      <c r="U87" s="434"/>
      <c r="V87" s="434"/>
      <c r="W87" s="434"/>
      <c r="X87" s="434"/>
      <c r="Y87" s="435"/>
      <c r="Z87" s="433"/>
      <c r="AA87" s="434"/>
      <c r="AB87" s="434"/>
      <c r="AC87" s="434"/>
      <c r="AD87" s="434"/>
      <c r="AE87" s="435"/>
    </row>
    <row r="88" spans="1:37" ht="16.5" customHeight="1" x14ac:dyDescent="0.25">
      <c r="A88" s="415" t="s">
        <v>462</v>
      </c>
      <c r="B88" s="416"/>
      <c r="C88" s="416"/>
      <c r="D88" s="416"/>
      <c r="E88" s="416"/>
      <c r="F88" s="416"/>
      <c r="G88" s="416"/>
      <c r="H88" s="416"/>
      <c r="I88" s="416"/>
      <c r="J88" s="416"/>
      <c r="K88" s="416"/>
      <c r="L88" s="416"/>
      <c r="M88" s="416"/>
      <c r="N88" s="416"/>
      <c r="O88" s="416"/>
      <c r="P88" s="416"/>
      <c r="Q88" s="416"/>
      <c r="R88" s="416"/>
      <c r="S88" s="417"/>
      <c r="T88" s="415" t="s">
        <v>427</v>
      </c>
      <c r="U88" s="416"/>
      <c r="V88" s="416"/>
      <c r="W88" s="416"/>
      <c r="X88" s="416"/>
      <c r="Y88" s="416"/>
      <c r="Z88" s="416"/>
      <c r="AA88" s="416"/>
      <c r="AB88" s="416"/>
      <c r="AC88" s="416"/>
      <c r="AD88" s="416"/>
      <c r="AE88" s="417"/>
    </row>
    <row r="89" spans="1:37" ht="12.95" customHeight="1" x14ac:dyDescent="0.2">
      <c r="A89" s="436"/>
      <c r="B89" s="437"/>
      <c r="C89" s="437"/>
      <c r="D89" s="437"/>
      <c r="E89" s="437"/>
      <c r="F89" s="437"/>
      <c r="G89" s="437"/>
      <c r="H89" s="437"/>
      <c r="I89" s="437"/>
      <c r="J89" s="437"/>
      <c r="K89" s="437"/>
      <c r="L89" s="437"/>
      <c r="M89" s="437"/>
      <c r="N89" s="437"/>
      <c r="O89" s="437"/>
      <c r="P89" s="437"/>
      <c r="Q89" s="437"/>
      <c r="R89" s="437"/>
      <c r="S89" s="438"/>
      <c r="T89" s="457" t="s">
        <v>485</v>
      </c>
      <c r="U89" s="458"/>
      <c r="V89" s="458"/>
      <c r="W89" s="458"/>
      <c r="X89" s="458"/>
      <c r="Y89" s="458"/>
      <c r="Z89" s="458"/>
      <c r="AA89" s="458"/>
      <c r="AB89" s="458"/>
      <c r="AC89" s="458"/>
      <c r="AD89" s="458"/>
      <c r="AE89" s="459"/>
    </row>
    <row r="90" spans="1:37" ht="39" customHeight="1" x14ac:dyDescent="0.25">
      <c r="A90" s="460"/>
      <c r="B90" s="462"/>
      <c r="C90" s="463" t="s">
        <v>486</v>
      </c>
      <c r="D90" s="471"/>
      <c r="E90" s="471"/>
      <c r="F90" s="464"/>
      <c r="G90" s="463" t="s">
        <v>487</v>
      </c>
      <c r="H90" s="471"/>
      <c r="I90" s="471"/>
      <c r="J90" s="471"/>
      <c r="K90" s="471"/>
      <c r="L90" s="471"/>
      <c r="M90" s="471"/>
      <c r="N90" s="471"/>
      <c r="O90" s="471"/>
      <c r="P90" s="471"/>
      <c r="Q90" s="471"/>
      <c r="R90" s="464"/>
      <c r="S90" s="422"/>
      <c r="T90" s="460"/>
      <c r="U90" s="461"/>
      <c r="V90" s="461"/>
      <c r="W90" s="461"/>
      <c r="X90" s="461"/>
      <c r="Y90" s="461"/>
      <c r="Z90" s="461"/>
      <c r="AA90" s="461"/>
      <c r="AB90" s="461"/>
      <c r="AC90" s="461"/>
      <c r="AD90" s="461"/>
      <c r="AE90" s="462"/>
    </row>
    <row r="91" spans="1:37" ht="15.75" customHeight="1" x14ac:dyDescent="0.25">
      <c r="A91" s="460"/>
      <c r="B91" s="462"/>
      <c r="C91" s="496">
        <v>2003</v>
      </c>
      <c r="D91" s="497"/>
      <c r="E91" s="497"/>
      <c r="F91" s="498"/>
      <c r="G91" s="499">
        <v>1.44</v>
      </c>
      <c r="H91" s="500"/>
      <c r="I91" s="500"/>
      <c r="J91" s="500"/>
      <c r="K91" s="500"/>
      <c r="L91" s="500"/>
      <c r="M91" s="500"/>
      <c r="N91" s="500"/>
      <c r="O91" s="500"/>
      <c r="P91" s="500"/>
      <c r="Q91" s="500"/>
      <c r="R91" s="501"/>
      <c r="S91" s="422"/>
      <c r="T91" s="460"/>
      <c r="U91" s="461"/>
      <c r="V91" s="461"/>
      <c r="W91" s="461"/>
      <c r="X91" s="461"/>
      <c r="Y91" s="461"/>
      <c r="Z91" s="461"/>
      <c r="AA91" s="461"/>
      <c r="AB91" s="461"/>
      <c r="AC91" s="461"/>
      <c r="AD91" s="461"/>
      <c r="AE91" s="462"/>
      <c r="AF91" s="94">
        <f>C91</f>
        <v>2003</v>
      </c>
      <c r="AG91" s="253">
        <f>G91</f>
        <v>1.44</v>
      </c>
    </row>
    <row r="92" spans="1:37" ht="15.75" customHeight="1" x14ac:dyDescent="0.25">
      <c r="A92" s="460"/>
      <c r="B92" s="462"/>
      <c r="C92" s="496">
        <v>2004</v>
      </c>
      <c r="D92" s="497"/>
      <c r="E92" s="497"/>
      <c r="F92" s="498"/>
      <c r="G92" s="499">
        <v>1.4</v>
      </c>
      <c r="H92" s="500"/>
      <c r="I92" s="500"/>
      <c r="J92" s="500"/>
      <c r="K92" s="500"/>
      <c r="L92" s="500"/>
      <c r="M92" s="500"/>
      <c r="N92" s="500"/>
      <c r="O92" s="500"/>
      <c r="P92" s="500"/>
      <c r="Q92" s="500"/>
      <c r="R92" s="501"/>
      <c r="S92" s="422"/>
      <c r="T92" s="460"/>
      <c r="U92" s="461"/>
      <c r="V92" s="461"/>
      <c r="W92" s="461"/>
      <c r="X92" s="461"/>
      <c r="Y92" s="461"/>
      <c r="Z92" s="461"/>
      <c r="AA92" s="461"/>
      <c r="AB92" s="461"/>
      <c r="AC92" s="461"/>
      <c r="AD92" s="461"/>
      <c r="AE92" s="462"/>
      <c r="AF92" s="94">
        <f t="shared" ref="AF92:AF109" si="0">C92</f>
        <v>2004</v>
      </c>
      <c r="AG92" s="253">
        <f t="shared" ref="AG92:AG109" si="1">G92</f>
        <v>1.4</v>
      </c>
    </row>
    <row r="93" spans="1:37" ht="15.75" customHeight="1" x14ac:dyDescent="0.25">
      <c r="A93" s="460"/>
      <c r="B93" s="462"/>
      <c r="C93" s="496">
        <v>2005</v>
      </c>
      <c r="D93" s="497"/>
      <c r="E93" s="497"/>
      <c r="F93" s="498"/>
      <c r="G93" s="499">
        <v>1.36</v>
      </c>
      <c r="H93" s="500"/>
      <c r="I93" s="500"/>
      <c r="J93" s="500"/>
      <c r="K93" s="500"/>
      <c r="L93" s="500"/>
      <c r="M93" s="500"/>
      <c r="N93" s="500"/>
      <c r="O93" s="500"/>
      <c r="P93" s="500"/>
      <c r="Q93" s="500"/>
      <c r="R93" s="501"/>
      <c r="S93" s="422"/>
      <c r="T93" s="460"/>
      <c r="U93" s="461"/>
      <c r="V93" s="461"/>
      <c r="W93" s="461"/>
      <c r="X93" s="461"/>
      <c r="Y93" s="461"/>
      <c r="Z93" s="461"/>
      <c r="AA93" s="461"/>
      <c r="AB93" s="461"/>
      <c r="AC93" s="461"/>
      <c r="AD93" s="461"/>
      <c r="AE93" s="462"/>
      <c r="AF93" s="94">
        <f t="shared" si="0"/>
        <v>2005</v>
      </c>
      <c r="AG93" s="253">
        <f t="shared" si="1"/>
        <v>1.36</v>
      </c>
    </row>
    <row r="94" spans="1:37" ht="15.75" customHeight="1" x14ac:dyDescent="0.25">
      <c r="A94" s="460"/>
      <c r="B94" s="462"/>
      <c r="C94" s="496">
        <v>2006</v>
      </c>
      <c r="D94" s="497"/>
      <c r="E94" s="497"/>
      <c r="F94" s="498"/>
      <c r="G94" s="499">
        <v>1.32</v>
      </c>
      <c r="H94" s="500"/>
      <c r="I94" s="500"/>
      <c r="J94" s="500"/>
      <c r="K94" s="500"/>
      <c r="L94" s="500"/>
      <c r="M94" s="500"/>
      <c r="N94" s="500"/>
      <c r="O94" s="500"/>
      <c r="P94" s="500"/>
      <c r="Q94" s="500"/>
      <c r="R94" s="501"/>
      <c r="S94" s="422"/>
      <c r="T94" s="460"/>
      <c r="U94" s="461"/>
      <c r="V94" s="461"/>
      <c r="W94" s="461"/>
      <c r="X94" s="461"/>
      <c r="Y94" s="461"/>
      <c r="Z94" s="461"/>
      <c r="AA94" s="461"/>
      <c r="AB94" s="461"/>
      <c r="AC94" s="461"/>
      <c r="AD94" s="461"/>
      <c r="AE94" s="462"/>
      <c r="AF94" s="94">
        <f t="shared" si="0"/>
        <v>2006</v>
      </c>
      <c r="AG94" s="253">
        <f t="shared" si="1"/>
        <v>1.32</v>
      </c>
    </row>
    <row r="95" spans="1:37" ht="15.75" customHeight="1" x14ac:dyDescent="0.25">
      <c r="A95" s="460"/>
      <c r="B95" s="462"/>
      <c r="C95" s="496">
        <v>2007</v>
      </c>
      <c r="D95" s="497"/>
      <c r="E95" s="497"/>
      <c r="F95" s="498"/>
      <c r="G95" s="499">
        <v>1.28</v>
      </c>
      <c r="H95" s="500"/>
      <c r="I95" s="500"/>
      <c r="J95" s="500"/>
      <c r="K95" s="500"/>
      <c r="L95" s="500"/>
      <c r="M95" s="500"/>
      <c r="N95" s="500"/>
      <c r="O95" s="500"/>
      <c r="P95" s="500"/>
      <c r="Q95" s="500"/>
      <c r="R95" s="501"/>
      <c r="S95" s="422"/>
      <c r="T95" s="460"/>
      <c r="U95" s="461"/>
      <c r="V95" s="461"/>
      <c r="W95" s="461"/>
      <c r="X95" s="461"/>
      <c r="Y95" s="461"/>
      <c r="Z95" s="461"/>
      <c r="AA95" s="461"/>
      <c r="AB95" s="461"/>
      <c r="AC95" s="461"/>
      <c r="AD95" s="461"/>
      <c r="AE95" s="462"/>
      <c r="AF95" s="94">
        <f t="shared" si="0"/>
        <v>2007</v>
      </c>
      <c r="AG95" s="253">
        <f t="shared" si="1"/>
        <v>1.28</v>
      </c>
    </row>
    <row r="96" spans="1:37" ht="15.75" customHeight="1" x14ac:dyDescent="0.25">
      <c r="A96" s="460"/>
      <c r="B96" s="462"/>
      <c r="C96" s="496">
        <v>2008</v>
      </c>
      <c r="D96" s="497"/>
      <c r="E96" s="497"/>
      <c r="F96" s="498"/>
      <c r="G96" s="499">
        <v>1.26</v>
      </c>
      <c r="H96" s="500"/>
      <c r="I96" s="500"/>
      <c r="J96" s="500"/>
      <c r="K96" s="500"/>
      <c r="L96" s="500"/>
      <c r="M96" s="500"/>
      <c r="N96" s="500"/>
      <c r="O96" s="500"/>
      <c r="P96" s="500"/>
      <c r="Q96" s="500"/>
      <c r="R96" s="501"/>
      <c r="S96" s="422"/>
      <c r="T96" s="460"/>
      <c r="U96" s="461"/>
      <c r="V96" s="461"/>
      <c r="W96" s="461"/>
      <c r="X96" s="461"/>
      <c r="Y96" s="461"/>
      <c r="Z96" s="461"/>
      <c r="AA96" s="461"/>
      <c r="AB96" s="461"/>
      <c r="AC96" s="461"/>
      <c r="AD96" s="461"/>
      <c r="AE96" s="462"/>
      <c r="AF96" s="94">
        <f t="shared" si="0"/>
        <v>2008</v>
      </c>
      <c r="AG96" s="253">
        <f t="shared" si="1"/>
        <v>1.26</v>
      </c>
    </row>
    <row r="97" spans="1:33" ht="15.75" customHeight="1" x14ac:dyDescent="0.25">
      <c r="A97" s="460"/>
      <c r="B97" s="462"/>
      <c r="C97" s="496">
        <v>2009</v>
      </c>
      <c r="D97" s="497"/>
      <c r="E97" s="497"/>
      <c r="F97" s="498"/>
      <c r="G97" s="499">
        <v>1.25</v>
      </c>
      <c r="H97" s="500"/>
      <c r="I97" s="500"/>
      <c r="J97" s="500"/>
      <c r="K97" s="500"/>
      <c r="L97" s="500"/>
      <c r="M97" s="500"/>
      <c r="N97" s="500"/>
      <c r="O97" s="500"/>
      <c r="P97" s="500"/>
      <c r="Q97" s="500"/>
      <c r="R97" s="501"/>
      <c r="S97" s="422"/>
      <c r="T97" s="460"/>
      <c r="U97" s="461"/>
      <c r="V97" s="461"/>
      <c r="W97" s="461"/>
      <c r="X97" s="461"/>
      <c r="Y97" s="461"/>
      <c r="Z97" s="461"/>
      <c r="AA97" s="461"/>
      <c r="AB97" s="461"/>
      <c r="AC97" s="461"/>
      <c r="AD97" s="461"/>
      <c r="AE97" s="462"/>
      <c r="AF97" s="94">
        <f t="shared" si="0"/>
        <v>2009</v>
      </c>
      <c r="AG97" s="253">
        <f t="shared" si="1"/>
        <v>1.25</v>
      </c>
    </row>
    <row r="98" spans="1:33" ht="15.75" customHeight="1" x14ac:dyDescent="0.25">
      <c r="A98" s="460"/>
      <c r="B98" s="462"/>
      <c r="C98" s="496">
        <v>2010</v>
      </c>
      <c r="D98" s="497"/>
      <c r="E98" s="497"/>
      <c r="F98" s="498"/>
      <c r="G98" s="499">
        <v>1.24</v>
      </c>
      <c r="H98" s="500"/>
      <c r="I98" s="500"/>
      <c r="J98" s="500"/>
      <c r="K98" s="500"/>
      <c r="L98" s="500"/>
      <c r="M98" s="500"/>
      <c r="N98" s="500"/>
      <c r="O98" s="500"/>
      <c r="P98" s="500"/>
      <c r="Q98" s="500"/>
      <c r="R98" s="501"/>
      <c r="S98" s="422"/>
      <c r="T98" s="460"/>
      <c r="U98" s="461"/>
      <c r="V98" s="461"/>
      <c r="W98" s="461"/>
      <c r="X98" s="461"/>
      <c r="Y98" s="461"/>
      <c r="Z98" s="461"/>
      <c r="AA98" s="461"/>
      <c r="AB98" s="461"/>
      <c r="AC98" s="461"/>
      <c r="AD98" s="461"/>
      <c r="AE98" s="462"/>
      <c r="AF98" s="94">
        <f t="shared" si="0"/>
        <v>2010</v>
      </c>
      <c r="AG98" s="253">
        <f t="shared" si="1"/>
        <v>1.24</v>
      </c>
    </row>
    <row r="99" spans="1:33" ht="15.75" customHeight="1" x14ac:dyDescent="0.25">
      <c r="A99" s="460"/>
      <c r="B99" s="462"/>
      <c r="C99" s="496">
        <v>2011</v>
      </c>
      <c r="D99" s="497"/>
      <c r="E99" s="497"/>
      <c r="F99" s="498"/>
      <c r="G99" s="499">
        <v>1.21</v>
      </c>
      <c r="H99" s="500"/>
      <c r="I99" s="500"/>
      <c r="J99" s="500"/>
      <c r="K99" s="500"/>
      <c r="L99" s="500"/>
      <c r="M99" s="500"/>
      <c r="N99" s="500"/>
      <c r="O99" s="500"/>
      <c r="P99" s="500"/>
      <c r="Q99" s="500"/>
      <c r="R99" s="501"/>
      <c r="S99" s="422"/>
      <c r="T99" s="460"/>
      <c r="U99" s="461"/>
      <c r="V99" s="461"/>
      <c r="W99" s="461"/>
      <c r="X99" s="461"/>
      <c r="Y99" s="461"/>
      <c r="Z99" s="461"/>
      <c r="AA99" s="461"/>
      <c r="AB99" s="461"/>
      <c r="AC99" s="461"/>
      <c r="AD99" s="461"/>
      <c r="AE99" s="462"/>
      <c r="AF99" s="94">
        <f t="shared" si="0"/>
        <v>2011</v>
      </c>
      <c r="AG99" s="253">
        <f t="shared" si="1"/>
        <v>1.21</v>
      </c>
    </row>
    <row r="100" spans="1:33" ht="15.75" customHeight="1" x14ac:dyDescent="0.25">
      <c r="A100" s="460"/>
      <c r="B100" s="462"/>
      <c r="C100" s="496">
        <v>2012</v>
      </c>
      <c r="D100" s="497"/>
      <c r="E100" s="497"/>
      <c r="F100" s="498"/>
      <c r="G100" s="499">
        <v>1.19</v>
      </c>
      <c r="H100" s="500"/>
      <c r="I100" s="500"/>
      <c r="J100" s="500"/>
      <c r="K100" s="500"/>
      <c r="L100" s="500"/>
      <c r="M100" s="500"/>
      <c r="N100" s="500"/>
      <c r="O100" s="500"/>
      <c r="P100" s="500"/>
      <c r="Q100" s="500"/>
      <c r="R100" s="501"/>
      <c r="S100" s="422"/>
      <c r="T100" s="460"/>
      <c r="U100" s="461"/>
      <c r="V100" s="461"/>
      <c r="W100" s="461"/>
      <c r="X100" s="461"/>
      <c r="Y100" s="461"/>
      <c r="Z100" s="461"/>
      <c r="AA100" s="461"/>
      <c r="AB100" s="461"/>
      <c r="AC100" s="461"/>
      <c r="AD100" s="461"/>
      <c r="AE100" s="462"/>
      <c r="AF100" s="94">
        <f t="shared" si="0"/>
        <v>2012</v>
      </c>
      <c r="AG100" s="253">
        <f t="shared" si="1"/>
        <v>1.19</v>
      </c>
    </row>
    <row r="101" spans="1:33" ht="15.75" customHeight="1" x14ac:dyDescent="0.25">
      <c r="A101" s="460"/>
      <c r="B101" s="462"/>
      <c r="C101" s="496">
        <v>2013</v>
      </c>
      <c r="D101" s="497"/>
      <c r="E101" s="497"/>
      <c r="F101" s="498"/>
      <c r="G101" s="499">
        <v>1.17</v>
      </c>
      <c r="H101" s="500"/>
      <c r="I101" s="500"/>
      <c r="J101" s="500"/>
      <c r="K101" s="500"/>
      <c r="L101" s="500"/>
      <c r="M101" s="500"/>
      <c r="N101" s="500"/>
      <c r="O101" s="500"/>
      <c r="P101" s="500"/>
      <c r="Q101" s="500"/>
      <c r="R101" s="501"/>
      <c r="S101" s="422"/>
      <c r="T101" s="460"/>
      <c r="U101" s="461"/>
      <c r="V101" s="461"/>
      <c r="W101" s="461"/>
      <c r="X101" s="461"/>
      <c r="Y101" s="461"/>
      <c r="Z101" s="461"/>
      <c r="AA101" s="461"/>
      <c r="AB101" s="461"/>
      <c r="AC101" s="461"/>
      <c r="AD101" s="461"/>
      <c r="AE101" s="462"/>
      <c r="AF101" s="94">
        <f t="shared" si="0"/>
        <v>2013</v>
      </c>
      <c r="AG101" s="253">
        <f t="shared" si="1"/>
        <v>1.17</v>
      </c>
    </row>
    <row r="102" spans="1:33" ht="15.75" customHeight="1" x14ac:dyDescent="0.25">
      <c r="A102" s="460"/>
      <c r="B102" s="462"/>
      <c r="C102" s="496">
        <v>2014</v>
      </c>
      <c r="D102" s="497"/>
      <c r="E102" s="497"/>
      <c r="F102" s="498"/>
      <c r="G102" s="499">
        <v>1.1499999999999999</v>
      </c>
      <c r="H102" s="500"/>
      <c r="I102" s="500"/>
      <c r="J102" s="500"/>
      <c r="K102" s="500"/>
      <c r="L102" s="500"/>
      <c r="M102" s="500"/>
      <c r="N102" s="500"/>
      <c r="O102" s="500"/>
      <c r="P102" s="500"/>
      <c r="Q102" s="500"/>
      <c r="R102" s="501"/>
      <c r="S102" s="422"/>
      <c r="T102" s="460"/>
      <c r="U102" s="461"/>
      <c r="V102" s="461"/>
      <c r="W102" s="461"/>
      <c r="X102" s="461"/>
      <c r="Y102" s="461"/>
      <c r="Z102" s="461"/>
      <c r="AA102" s="461"/>
      <c r="AB102" s="461"/>
      <c r="AC102" s="461"/>
      <c r="AD102" s="461"/>
      <c r="AE102" s="462"/>
      <c r="AF102" s="94">
        <f t="shared" si="0"/>
        <v>2014</v>
      </c>
      <c r="AG102" s="253">
        <f t="shared" si="1"/>
        <v>1.1499999999999999</v>
      </c>
    </row>
    <row r="103" spans="1:33" ht="15.75" customHeight="1" x14ac:dyDescent="0.25">
      <c r="A103" s="460"/>
      <c r="B103" s="462"/>
      <c r="C103" s="496">
        <v>2015</v>
      </c>
      <c r="D103" s="497"/>
      <c r="E103" s="497"/>
      <c r="F103" s="498"/>
      <c r="G103" s="499">
        <v>1.1399999999999999</v>
      </c>
      <c r="H103" s="500"/>
      <c r="I103" s="500"/>
      <c r="J103" s="500"/>
      <c r="K103" s="500"/>
      <c r="L103" s="500"/>
      <c r="M103" s="500"/>
      <c r="N103" s="500"/>
      <c r="O103" s="500"/>
      <c r="P103" s="500"/>
      <c r="Q103" s="500"/>
      <c r="R103" s="501"/>
      <c r="S103" s="422"/>
      <c r="T103" s="460"/>
      <c r="U103" s="461"/>
      <c r="V103" s="461"/>
      <c r="W103" s="461"/>
      <c r="X103" s="461"/>
      <c r="Y103" s="461"/>
      <c r="Z103" s="461"/>
      <c r="AA103" s="461"/>
      <c r="AB103" s="461"/>
      <c r="AC103" s="461"/>
      <c r="AD103" s="461"/>
      <c r="AE103" s="462"/>
      <c r="AF103" s="94">
        <f t="shared" si="0"/>
        <v>2015</v>
      </c>
      <c r="AG103" s="253">
        <f t="shared" si="1"/>
        <v>1.1399999999999999</v>
      </c>
    </row>
    <row r="104" spans="1:33" ht="15.75" customHeight="1" x14ac:dyDescent="0.25">
      <c r="A104" s="460"/>
      <c r="B104" s="462"/>
      <c r="C104" s="496">
        <v>2016</v>
      </c>
      <c r="D104" s="497"/>
      <c r="E104" s="497"/>
      <c r="F104" s="498"/>
      <c r="G104" s="499">
        <v>1.1200000000000001</v>
      </c>
      <c r="H104" s="500"/>
      <c r="I104" s="500"/>
      <c r="J104" s="500"/>
      <c r="K104" s="500"/>
      <c r="L104" s="500"/>
      <c r="M104" s="500"/>
      <c r="N104" s="500"/>
      <c r="O104" s="500"/>
      <c r="P104" s="500"/>
      <c r="Q104" s="500"/>
      <c r="R104" s="501"/>
      <c r="S104" s="422"/>
      <c r="T104" s="460"/>
      <c r="U104" s="461"/>
      <c r="V104" s="461"/>
      <c r="W104" s="461"/>
      <c r="X104" s="461"/>
      <c r="Y104" s="461"/>
      <c r="Z104" s="461"/>
      <c r="AA104" s="461"/>
      <c r="AB104" s="461"/>
      <c r="AC104" s="461"/>
      <c r="AD104" s="461"/>
      <c r="AE104" s="462"/>
      <c r="AF104" s="94">
        <f t="shared" si="0"/>
        <v>2016</v>
      </c>
      <c r="AG104" s="253">
        <f t="shared" si="1"/>
        <v>1.1200000000000001</v>
      </c>
    </row>
    <row r="105" spans="1:33" ht="15.75" customHeight="1" x14ac:dyDescent="0.25">
      <c r="A105" s="460"/>
      <c r="B105" s="462"/>
      <c r="C105" s="496">
        <v>2017</v>
      </c>
      <c r="D105" s="497"/>
      <c r="E105" s="497"/>
      <c r="F105" s="498"/>
      <c r="G105" s="499">
        <v>1.1000000000000001</v>
      </c>
      <c r="H105" s="500"/>
      <c r="I105" s="500"/>
      <c r="J105" s="500"/>
      <c r="K105" s="500"/>
      <c r="L105" s="500"/>
      <c r="M105" s="500"/>
      <c r="N105" s="500"/>
      <c r="O105" s="500"/>
      <c r="P105" s="500"/>
      <c r="Q105" s="500"/>
      <c r="R105" s="501"/>
      <c r="S105" s="422"/>
      <c r="T105" s="460"/>
      <c r="U105" s="461"/>
      <c r="V105" s="461"/>
      <c r="W105" s="461"/>
      <c r="X105" s="461"/>
      <c r="Y105" s="461"/>
      <c r="Z105" s="461"/>
      <c r="AA105" s="461"/>
      <c r="AB105" s="461"/>
      <c r="AC105" s="461"/>
      <c r="AD105" s="461"/>
      <c r="AE105" s="462"/>
      <c r="AF105" s="94">
        <f t="shared" si="0"/>
        <v>2017</v>
      </c>
      <c r="AG105" s="253">
        <f t="shared" si="1"/>
        <v>1.1000000000000001</v>
      </c>
    </row>
    <row r="106" spans="1:33" ht="15.75" customHeight="1" x14ac:dyDescent="0.25">
      <c r="A106" s="460"/>
      <c r="B106" s="462"/>
      <c r="C106" s="496">
        <v>2018</v>
      </c>
      <c r="D106" s="497"/>
      <c r="E106" s="497"/>
      <c r="F106" s="498"/>
      <c r="G106" s="499">
        <v>1.08</v>
      </c>
      <c r="H106" s="500"/>
      <c r="I106" s="500"/>
      <c r="J106" s="500"/>
      <c r="K106" s="500"/>
      <c r="L106" s="500"/>
      <c r="M106" s="500"/>
      <c r="N106" s="500"/>
      <c r="O106" s="500"/>
      <c r="P106" s="500"/>
      <c r="Q106" s="500"/>
      <c r="R106" s="501"/>
      <c r="S106" s="422"/>
      <c r="T106" s="460"/>
      <c r="U106" s="461"/>
      <c r="V106" s="461"/>
      <c r="W106" s="461"/>
      <c r="X106" s="461"/>
      <c r="Y106" s="461"/>
      <c r="Z106" s="461"/>
      <c r="AA106" s="461"/>
      <c r="AB106" s="461"/>
      <c r="AC106" s="461"/>
      <c r="AD106" s="461"/>
      <c r="AE106" s="462"/>
      <c r="AF106" s="94">
        <f t="shared" si="0"/>
        <v>2018</v>
      </c>
      <c r="AG106" s="253">
        <f t="shared" si="1"/>
        <v>1.08</v>
      </c>
    </row>
    <row r="107" spans="1:33" ht="15.75" customHeight="1" x14ac:dyDescent="0.25">
      <c r="A107" s="460"/>
      <c r="B107" s="462"/>
      <c r="C107" s="496">
        <v>2019</v>
      </c>
      <c r="D107" s="497"/>
      <c r="E107" s="497"/>
      <c r="F107" s="498"/>
      <c r="G107" s="499">
        <v>1.06</v>
      </c>
      <c r="H107" s="500"/>
      <c r="I107" s="500"/>
      <c r="J107" s="500"/>
      <c r="K107" s="500"/>
      <c r="L107" s="500"/>
      <c r="M107" s="500"/>
      <c r="N107" s="500"/>
      <c r="O107" s="500"/>
      <c r="P107" s="500"/>
      <c r="Q107" s="500"/>
      <c r="R107" s="501"/>
      <c r="S107" s="422"/>
      <c r="T107" s="460"/>
      <c r="U107" s="461"/>
      <c r="V107" s="461"/>
      <c r="W107" s="461"/>
      <c r="X107" s="461"/>
      <c r="Y107" s="461"/>
      <c r="Z107" s="461"/>
      <c r="AA107" s="461"/>
      <c r="AB107" s="461"/>
      <c r="AC107" s="461"/>
      <c r="AD107" s="461"/>
      <c r="AE107" s="462"/>
      <c r="AF107" s="94">
        <f t="shared" si="0"/>
        <v>2019</v>
      </c>
      <c r="AG107" s="253">
        <f t="shared" si="1"/>
        <v>1.06</v>
      </c>
    </row>
    <row r="108" spans="1:33" ht="15.75" customHeight="1" x14ac:dyDescent="0.25">
      <c r="A108" s="460"/>
      <c r="B108" s="462"/>
      <c r="C108" s="496">
        <v>2020</v>
      </c>
      <c r="D108" s="497"/>
      <c r="E108" s="497"/>
      <c r="F108" s="498"/>
      <c r="G108" s="499">
        <v>1.04</v>
      </c>
      <c r="H108" s="500"/>
      <c r="I108" s="500"/>
      <c r="J108" s="500"/>
      <c r="K108" s="500"/>
      <c r="L108" s="500"/>
      <c r="M108" s="500"/>
      <c r="N108" s="500"/>
      <c r="O108" s="500"/>
      <c r="P108" s="500"/>
      <c r="Q108" s="500"/>
      <c r="R108" s="501"/>
      <c r="S108" s="422"/>
      <c r="T108" s="460"/>
      <c r="U108" s="461"/>
      <c r="V108" s="461"/>
      <c r="W108" s="461"/>
      <c r="X108" s="461"/>
      <c r="Y108" s="461"/>
      <c r="Z108" s="461"/>
      <c r="AA108" s="461"/>
      <c r="AB108" s="461"/>
      <c r="AC108" s="461"/>
      <c r="AD108" s="461"/>
      <c r="AE108" s="462"/>
      <c r="AF108" s="94">
        <f t="shared" si="0"/>
        <v>2020</v>
      </c>
      <c r="AG108" s="253">
        <f t="shared" si="1"/>
        <v>1.04</v>
      </c>
    </row>
    <row r="109" spans="1:33" ht="15.75" customHeight="1" x14ac:dyDescent="0.25">
      <c r="A109" s="460"/>
      <c r="B109" s="462"/>
      <c r="C109" s="496">
        <v>2021</v>
      </c>
      <c r="D109" s="497"/>
      <c r="E109" s="497"/>
      <c r="F109" s="498"/>
      <c r="G109" s="499">
        <v>1</v>
      </c>
      <c r="H109" s="500"/>
      <c r="I109" s="500"/>
      <c r="J109" s="500"/>
      <c r="K109" s="500"/>
      <c r="L109" s="500"/>
      <c r="M109" s="500"/>
      <c r="N109" s="500"/>
      <c r="O109" s="500"/>
      <c r="P109" s="500"/>
      <c r="Q109" s="500"/>
      <c r="R109" s="501"/>
      <c r="S109" s="422"/>
      <c r="T109" s="460"/>
      <c r="U109" s="461"/>
      <c r="V109" s="461"/>
      <c r="W109" s="461"/>
      <c r="X109" s="461"/>
      <c r="Y109" s="461"/>
      <c r="Z109" s="461"/>
      <c r="AA109" s="461"/>
      <c r="AB109" s="461"/>
      <c r="AC109" s="461"/>
      <c r="AD109" s="461"/>
      <c r="AE109" s="462"/>
      <c r="AF109" s="94">
        <f t="shared" si="0"/>
        <v>2021</v>
      </c>
      <c r="AG109" s="253">
        <f t="shared" si="1"/>
        <v>1</v>
      </c>
    </row>
    <row r="110" spans="1:33" ht="26.25" customHeight="1" x14ac:dyDescent="0.25">
      <c r="A110" s="502"/>
      <c r="B110" s="503"/>
      <c r="C110" s="503"/>
      <c r="D110" s="503"/>
      <c r="E110" s="503"/>
      <c r="F110" s="503"/>
      <c r="G110" s="503"/>
      <c r="H110" s="503"/>
      <c r="I110" s="503"/>
      <c r="J110" s="503"/>
      <c r="K110" s="503"/>
      <c r="L110" s="503"/>
      <c r="M110" s="503"/>
      <c r="N110" s="503"/>
      <c r="O110" s="503"/>
      <c r="P110" s="503"/>
      <c r="Q110" s="503"/>
      <c r="R110" s="503"/>
      <c r="S110" s="504"/>
      <c r="T110" s="433"/>
      <c r="U110" s="434"/>
      <c r="V110" s="434"/>
      <c r="W110" s="434"/>
      <c r="X110" s="434"/>
      <c r="Y110" s="434"/>
      <c r="Z110" s="434"/>
      <c r="AA110" s="434"/>
      <c r="AB110" s="434"/>
      <c r="AC110" s="434"/>
      <c r="AD110" s="434"/>
      <c r="AE110" s="435"/>
    </row>
    <row r="111" spans="1:33" ht="16.5" customHeight="1" x14ac:dyDescent="0.25">
      <c r="A111" s="415" t="s">
        <v>426</v>
      </c>
      <c r="B111" s="416"/>
      <c r="C111" s="416"/>
      <c r="D111" s="416"/>
      <c r="E111" s="416"/>
      <c r="F111" s="416"/>
      <c r="G111" s="416"/>
      <c r="H111" s="416"/>
      <c r="I111" s="416"/>
      <c r="J111" s="416"/>
      <c r="K111" s="416"/>
      <c r="L111" s="416"/>
      <c r="M111" s="416"/>
      <c r="N111" s="416"/>
      <c r="O111" s="416"/>
      <c r="P111" s="416"/>
      <c r="Q111" s="416"/>
      <c r="R111" s="416"/>
      <c r="S111" s="416"/>
      <c r="T111" s="416"/>
      <c r="U111" s="416"/>
      <c r="V111" s="416"/>
      <c r="W111" s="417"/>
      <c r="X111" s="415" t="s">
        <v>427</v>
      </c>
      <c r="Y111" s="416"/>
      <c r="Z111" s="416"/>
      <c r="AA111" s="416"/>
      <c r="AB111" s="416"/>
      <c r="AC111" s="416"/>
      <c r="AD111" s="416"/>
      <c r="AE111" s="417"/>
    </row>
    <row r="112" spans="1:33" ht="12.95" customHeight="1" x14ac:dyDescent="0.2">
      <c r="A112" s="436"/>
      <c r="B112" s="437"/>
      <c r="C112" s="437"/>
      <c r="D112" s="437"/>
      <c r="E112" s="437"/>
      <c r="F112" s="437"/>
      <c r="G112" s="437"/>
      <c r="H112" s="437"/>
      <c r="I112" s="437"/>
      <c r="J112" s="437"/>
      <c r="K112" s="437"/>
      <c r="L112" s="437"/>
      <c r="M112" s="437"/>
      <c r="N112" s="437"/>
      <c r="O112" s="437"/>
      <c r="P112" s="437"/>
      <c r="Q112" s="437"/>
      <c r="R112" s="437"/>
      <c r="S112" s="437"/>
      <c r="T112" s="437"/>
      <c r="U112" s="437"/>
      <c r="V112" s="437"/>
      <c r="W112" s="438"/>
      <c r="X112" s="457" t="s">
        <v>488</v>
      </c>
      <c r="Y112" s="458"/>
      <c r="Z112" s="458"/>
      <c r="AA112" s="458"/>
      <c r="AB112" s="458"/>
      <c r="AC112" s="458"/>
      <c r="AD112" s="458"/>
      <c r="AE112" s="459"/>
    </row>
    <row r="113" spans="1:32" ht="38.1" customHeight="1" x14ac:dyDescent="0.25">
      <c r="A113" s="422"/>
      <c r="B113" s="463" t="s">
        <v>489</v>
      </c>
      <c r="C113" s="471"/>
      <c r="D113" s="471"/>
      <c r="E113" s="471"/>
      <c r="F113" s="471"/>
      <c r="G113" s="471"/>
      <c r="H113" s="471"/>
      <c r="I113" s="471"/>
      <c r="J113" s="464"/>
      <c r="K113" s="468" t="s">
        <v>490</v>
      </c>
      <c r="L113" s="469"/>
      <c r="M113" s="469"/>
      <c r="N113" s="469"/>
      <c r="O113" s="469"/>
      <c r="P113" s="469"/>
      <c r="Q113" s="469"/>
      <c r="R113" s="469"/>
      <c r="S113" s="469"/>
      <c r="T113" s="469"/>
      <c r="U113" s="470"/>
      <c r="V113" s="460"/>
      <c r="W113" s="462"/>
      <c r="X113" s="460"/>
      <c r="Y113" s="461"/>
      <c r="Z113" s="461"/>
      <c r="AA113" s="461"/>
      <c r="AB113" s="461"/>
      <c r="AC113" s="461"/>
      <c r="AD113" s="461"/>
      <c r="AE113" s="462"/>
    </row>
    <row r="114" spans="1:32" ht="26.1" customHeight="1" x14ac:dyDescent="0.25">
      <c r="A114" s="422"/>
      <c r="B114" s="403" t="s">
        <v>491</v>
      </c>
      <c r="C114" s="404"/>
      <c r="D114" s="404"/>
      <c r="E114" s="404"/>
      <c r="F114" s="404"/>
      <c r="G114" s="404"/>
      <c r="H114" s="404"/>
      <c r="I114" s="404"/>
      <c r="J114" s="405"/>
      <c r="K114" s="406">
        <v>0.11</v>
      </c>
      <c r="L114" s="407"/>
      <c r="M114" s="407"/>
      <c r="N114" s="407"/>
      <c r="O114" s="407"/>
      <c r="P114" s="407"/>
      <c r="Q114" s="407"/>
      <c r="R114" s="407"/>
      <c r="S114" s="407"/>
      <c r="T114" s="407"/>
      <c r="U114" s="408"/>
      <c r="V114" s="460"/>
      <c r="W114" s="462"/>
      <c r="X114" s="460"/>
      <c r="Y114" s="461"/>
      <c r="Z114" s="461"/>
      <c r="AA114" s="461"/>
      <c r="AB114" s="461"/>
      <c r="AC114" s="461"/>
      <c r="AD114" s="461"/>
      <c r="AE114" s="462"/>
      <c r="AF114" s="182">
        <f>K114</f>
        <v>0.11</v>
      </c>
    </row>
    <row r="115" spans="1:32" ht="15.75" customHeight="1" x14ac:dyDescent="0.25">
      <c r="A115" s="422"/>
      <c r="B115" s="403" t="s">
        <v>492</v>
      </c>
      <c r="C115" s="404"/>
      <c r="D115" s="404"/>
      <c r="E115" s="404"/>
      <c r="F115" s="404"/>
      <c r="G115" s="404"/>
      <c r="H115" s="404"/>
      <c r="I115" s="404"/>
      <c r="J115" s="405"/>
      <c r="K115" s="406">
        <v>1.05</v>
      </c>
      <c r="L115" s="407"/>
      <c r="M115" s="407"/>
      <c r="N115" s="407"/>
      <c r="O115" s="407"/>
      <c r="P115" s="407"/>
      <c r="Q115" s="407"/>
      <c r="R115" s="407"/>
      <c r="S115" s="407"/>
      <c r="T115" s="407"/>
      <c r="U115" s="408"/>
      <c r="V115" s="460"/>
      <c r="W115" s="462"/>
      <c r="X115" s="460"/>
      <c r="Y115" s="461"/>
      <c r="Z115" s="461"/>
      <c r="AA115" s="461"/>
      <c r="AB115" s="461"/>
      <c r="AC115" s="461"/>
      <c r="AD115" s="461"/>
      <c r="AE115" s="462"/>
      <c r="AF115" s="182">
        <f>K115</f>
        <v>1.05</v>
      </c>
    </row>
    <row r="116" spans="1:32" ht="26.1" customHeight="1" x14ac:dyDescent="0.25">
      <c r="A116" s="422"/>
      <c r="B116" s="403" t="s">
        <v>493</v>
      </c>
      <c r="C116" s="404"/>
      <c r="D116" s="404"/>
      <c r="E116" s="404"/>
      <c r="F116" s="404"/>
      <c r="G116" s="404"/>
      <c r="H116" s="404"/>
      <c r="I116" s="404"/>
      <c r="J116" s="405"/>
      <c r="K116" s="406">
        <v>0.09</v>
      </c>
      <c r="L116" s="407"/>
      <c r="M116" s="407"/>
      <c r="N116" s="407"/>
      <c r="O116" s="407"/>
      <c r="P116" s="407"/>
      <c r="Q116" s="407"/>
      <c r="R116" s="407"/>
      <c r="S116" s="407"/>
      <c r="T116" s="407"/>
      <c r="U116" s="408"/>
      <c r="V116" s="460"/>
      <c r="W116" s="462"/>
      <c r="X116" s="460"/>
      <c r="Y116" s="461"/>
      <c r="Z116" s="461"/>
      <c r="AA116" s="461"/>
      <c r="AB116" s="461"/>
      <c r="AC116" s="461"/>
      <c r="AD116" s="461"/>
      <c r="AE116" s="462"/>
      <c r="AF116" s="182">
        <f>K116</f>
        <v>0.09</v>
      </c>
    </row>
    <row r="117" spans="1:32" ht="39" customHeight="1" x14ac:dyDescent="0.25">
      <c r="A117" s="422"/>
      <c r="B117" s="454" t="s">
        <v>494</v>
      </c>
      <c r="C117" s="455"/>
      <c r="D117" s="455"/>
      <c r="E117" s="455"/>
      <c r="F117" s="455"/>
      <c r="G117" s="455"/>
      <c r="H117" s="455"/>
      <c r="I117" s="455"/>
      <c r="J117" s="456"/>
      <c r="K117" s="490">
        <v>8.9999999999999998E-4</v>
      </c>
      <c r="L117" s="491"/>
      <c r="M117" s="491"/>
      <c r="N117" s="491"/>
      <c r="O117" s="491"/>
      <c r="P117" s="491"/>
      <c r="Q117" s="491"/>
      <c r="R117" s="491"/>
      <c r="S117" s="491"/>
      <c r="T117" s="491"/>
      <c r="U117" s="492"/>
      <c r="V117" s="460"/>
      <c r="W117" s="462"/>
      <c r="X117" s="460"/>
      <c r="Y117" s="461"/>
      <c r="Z117" s="461"/>
      <c r="AA117" s="461"/>
      <c r="AB117" s="461"/>
      <c r="AC117" s="461"/>
      <c r="AD117" s="461"/>
      <c r="AE117" s="462"/>
      <c r="AF117" s="182">
        <f>K117</f>
        <v>8.9999999999999998E-4</v>
      </c>
    </row>
    <row r="118" spans="1:32" ht="12.95" customHeight="1" x14ac:dyDescent="0.2">
      <c r="A118" s="422"/>
      <c r="B118" s="418"/>
      <c r="C118" s="419"/>
      <c r="D118" s="419"/>
      <c r="E118" s="419"/>
      <c r="F118" s="419"/>
      <c r="G118" s="419"/>
      <c r="H118" s="419"/>
      <c r="I118" s="419"/>
      <c r="J118" s="420"/>
      <c r="K118" s="418"/>
      <c r="L118" s="419"/>
      <c r="M118" s="419"/>
      <c r="N118" s="419"/>
      <c r="O118" s="419"/>
      <c r="P118" s="419"/>
      <c r="Q118" s="419"/>
      <c r="R118" s="419"/>
      <c r="S118" s="419"/>
      <c r="T118" s="419"/>
      <c r="U118" s="420"/>
      <c r="V118" s="460"/>
      <c r="W118" s="462"/>
      <c r="X118" s="460"/>
      <c r="Y118" s="461"/>
      <c r="Z118" s="461"/>
      <c r="AA118" s="461"/>
      <c r="AB118" s="461"/>
      <c r="AC118" s="461"/>
      <c r="AD118" s="461"/>
      <c r="AE118" s="462"/>
    </row>
    <row r="119" spans="1:32" ht="31.5" customHeight="1" x14ac:dyDescent="0.25">
      <c r="A119" s="422"/>
      <c r="B119" s="493" t="s">
        <v>489</v>
      </c>
      <c r="C119" s="494"/>
      <c r="D119" s="494"/>
      <c r="E119" s="494"/>
      <c r="F119" s="494"/>
      <c r="G119" s="494"/>
      <c r="H119" s="494"/>
      <c r="I119" s="494"/>
      <c r="J119" s="495"/>
      <c r="K119" s="487" t="s">
        <v>495</v>
      </c>
      <c r="L119" s="488"/>
      <c r="M119" s="488"/>
      <c r="N119" s="488"/>
      <c r="O119" s="488"/>
      <c r="P119" s="488"/>
      <c r="Q119" s="488"/>
      <c r="R119" s="488"/>
      <c r="S119" s="488"/>
      <c r="T119" s="488"/>
      <c r="U119" s="489"/>
      <c r="V119" s="460"/>
      <c r="W119" s="462"/>
      <c r="X119" s="460"/>
      <c r="Y119" s="461"/>
      <c r="Z119" s="461"/>
      <c r="AA119" s="461"/>
      <c r="AB119" s="461"/>
      <c r="AC119" s="461"/>
      <c r="AD119" s="461"/>
      <c r="AE119" s="462"/>
    </row>
    <row r="120" spans="1:32" ht="38.1" customHeight="1" x14ac:dyDescent="0.25">
      <c r="A120" s="422"/>
      <c r="B120" s="454" t="s">
        <v>496</v>
      </c>
      <c r="C120" s="455"/>
      <c r="D120" s="455"/>
      <c r="E120" s="455"/>
      <c r="F120" s="455"/>
      <c r="G120" s="455"/>
      <c r="H120" s="455"/>
      <c r="I120" s="455"/>
      <c r="J120" s="456"/>
      <c r="K120" s="490">
        <v>0.18</v>
      </c>
      <c r="L120" s="491"/>
      <c r="M120" s="491"/>
      <c r="N120" s="491"/>
      <c r="O120" s="491"/>
      <c r="P120" s="491"/>
      <c r="Q120" s="491"/>
      <c r="R120" s="491"/>
      <c r="S120" s="491"/>
      <c r="T120" s="491"/>
      <c r="U120" s="492"/>
      <c r="V120" s="460"/>
      <c r="W120" s="462"/>
      <c r="X120" s="460"/>
      <c r="Y120" s="461"/>
      <c r="Z120" s="461"/>
      <c r="AA120" s="461"/>
      <c r="AB120" s="461"/>
      <c r="AC120" s="461"/>
      <c r="AD120" s="461"/>
      <c r="AE120" s="462"/>
      <c r="AF120" s="182">
        <f>K120</f>
        <v>0.18</v>
      </c>
    </row>
    <row r="121" spans="1:32" ht="51" customHeight="1" x14ac:dyDescent="0.25">
      <c r="A121" s="422"/>
      <c r="B121" s="454" t="s">
        <v>497</v>
      </c>
      <c r="C121" s="455"/>
      <c r="D121" s="455"/>
      <c r="E121" s="455"/>
      <c r="F121" s="455"/>
      <c r="G121" s="455"/>
      <c r="H121" s="455"/>
      <c r="I121" s="455"/>
      <c r="J121" s="456"/>
      <c r="K121" s="490">
        <v>0.48</v>
      </c>
      <c r="L121" s="491"/>
      <c r="M121" s="491"/>
      <c r="N121" s="491"/>
      <c r="O121" s="491"/>
      <c r="P121" s="491"/>
      <c r="Q121" s="491"/>
      <c r="R121" s="491"/>
      <c r="S121" s="491"/>
      <c r="T121" s="491"/>
      <c r="U121" s="492"/>
      <c r="V121" s="460"/>
      <c r="W121" s="462"/>
      <c r="X121" s="460"/>
      <c r="Y121" s="461"/>
      <c r="Z121" s="461"/>
      <c r="AA121" s="461"/>
      <c r="AB121" s="461"/>
      <c r="AC121" s="461"/>
      <c r="AD121" s="461"/>
      <c r="AE121" s="462"/>
      <c r="AF121" s="182">
        <f>K121</f>
        <v>0.48</v>
      </c>
    </row>
    <row r="122" spans="1:32" ht="215.85" customHeight="1" x14ac:dyDescent="0.25">
      <c r="A122" s="433" t="s">
        <v>498</v>
      </c>
      <c r="B122" s="434"/>
      <c r="C122" s="434"/>
      <c r="D122" s="434"/>
      <c r="E122" s="434"/>
      <c r="F122" s="434"/>
      <c r="G122" s="434"/>
      <c r="H122" s="434"/>
      <c r="I122" s="434"/>
      <c r="J122" s="434"/>
      <c r="K122" s="434"/>
      <c r="L122" s="434"/>
      <c r="M122" s="434"/>
      <c r="N122" s="434"/>
      <c r="O122" s="434"/>
      <c r="P122" s="434"/>
      <c r="Q122" s="434"/>
      <c r="R122" s="434"/>
      <c r="S122" s="434"/>
      <c r="T122" s="434"/>
      <c r="U122" s="434"/>
      <c r="V122" s="434"/>
      <c r="W122" s="435"/>
      <c r="X122" s="433"/>
      <c r="Y122" s="434"/>
      <c r="Z122" s="434"/>
      <c r="AA122" s="434"/>
      <c r="AB122" s="434"/>
      <c r="AC122" s="434"/>
      <c r="AD122" s="434"/>
      <c r="AE122" s="435"/>
      <c r="AF122" s="23">
        <v>3.2</v>
      </c>
    </row>
    <row r="123" spans="1:32" ht="16.5" customHeight="1" x14ac:dyDescent="0.25">
      <c r="A123" s="415" t="s">
        <v>426</v>
      </c>
      <c r="B123" s="416"/>
      <c r="C123" s="416"/>
      <c r="D123" s="416"/>
      <c r="E123" s="416"/>
      <c r="F123" s="416"/>
      <c r="G123" s="416"/>
      <c r="H123" s="416"/>
      <c r="I123" s="416"/>
      <c r="J123" s="416"/>
      <c r="K123" s="416"/>
      <c r="L123" s="416"/>
      <c r="M123" s="416"/>
      <c r="N123" s="416"/>
      <c r="O123" s="416"/>
      <c r="P123" s="416"/>
      <c r="Q123" s="416"/>
      <c r="R123" s="416"/>
      <c r="S123" s="416"/>
      <c r="T123" s="416"/>
      <c r="U123" s="416"/>
      <c r="V123" s="416"/>
      <c r="W123" s="417"/>
      <c r="X123" s="415" t="s">
        <v>427</v>
      </c>
      <c r="Y123" s="416"/>
      <c r="Z123" s="416"/>
      <c r="AA123" s="416"/>
      <c r="AB123" s="416"/>
      <c r="AC123" s="416"/>
      <c r="AD123" s="416"/>
      <c r="AE123" s="417"/>
    </row>
    <row r="124" spans="1:32" ht="12.95" customHeight="1" x14ac:dyDescent="0.2">
      <c r="A124" s="436"/>
      <c r="B124" s="437"/>
      <c r="C124" s="437"/>
      <c r="D124" s="437"/>
      <c r="E124" s="437"/>
      <c r="F124" s="437"/>
      <c r="G124" s="437"/>
      <c r="H124" s="437"/>
      <c r="I124" s="437"/>
      <c r="J124" s="437"/>
      <c r="K124" s="437"/>
      <c r="L124" s="437"/>
      <c r="M124" s="437"/>
      <c r="N124" s="437"/>
      <c r="O124" s="437"/>
      <c r="P124" s="437"/>
      <c r="Q124" s="437"/>
      <c r="R124" s="437"/>
      <c r="S124" s="437"/>
      <c r="T124" s="437"/>
      <c r="U124" s="437"/>
      <c r="V124" s="437"/>
      <c r="W124" s="438"/>
      <c r="X124" s="457" t="s">
        <v>499</v>
      </c>
      <c r="Y124" s="458"/>
      <c r="Z124" s="458"/>
      <c r="AA124" s="458"/>
      <c r="AB124" s="458"/>
      <c r="AC124" s="458"/>
      <c r="AD124" s="458"/>
      <c r="AE124" s="459"/>
    </row>
    <row r="125" spans="1:32" ht="26.1" customHeight="1" x14ac:dyDescent="0.25">
      <c r="A125" s="422"/>
      <c r="B125" s="463" t="s">
        <v>500</v>
      </c>
      <c r="C125" s="471"/>
      <c r="D125" s="471"/>
      <c r="E125" s="471"/>
      <c r="F125" s="471"/>
      <c r="G125" s="471"/>
      <c r="H125" s="464"/>
      <c r="I125" s="468" t="s">
        <v>501</v>
      </c>
      <c r="J125" s="469"/>
      <c r="K125" s="469"/>
      <c r="L125" s="469"/>
      <c r="M125" s="469"/>
      <c r="N125" s="469"/>
      <c r="O125" s="469"/>
      <c r="P125" s="469"/>
      <c r="Q125" s="469"/>
      <c r="R125" s="469"/>
      <c r="S125" s="469"/>
      <c r="T125" s="469"/>
      <c r="U125" s="470"/>
      <c r="V125" s="460"/>
      <c r="W125" s="462"/>
      <c r="X125" s="460"/>
      <c r="Y125" s="461"/>
      <c r="Z125" s="461"/>
      <c r="AA125" s="461"/>
      <c r="AB125" s="461"/>
      <c r="AC125" s="461"/>
      <c r="AD125" s="461"/>
      <c r="AE125" s="462"/>
    </row>
    <row r="126" spans="1:32" ht="26.1" customHeight="1" x14ac:dyDescent="0.25">
      <c r="A126" s="422"/>
      <c r="B126" s="403" t="s">
        <v>502</v>
      </c>
      <c r="C126" s="404"/>
      <c r="D126" s="404"/>
      <c r="E126" s="404"/>
      <c r="F126" s="404"/>
      <c r="G126" s="404"/>
      <c r="H126" s="405"/>
      <c r="I126" s="406">
        <v>1.49</v>
      </c>
      <c r="J126" s="407"/>
      <c r="K126" s="407"/>
      <c r="L126" s="407"/>
      <c r="M126" s="407"/>
      <c r="N126" s="407"/>
      <c r="O126" s="407"/>
      <c r="P126" s="407"/>
      <c r="Q126" s="407"/>
      <c r="R126" s="407"/>
      <c r="S126" s="407"/>
      <c r="T126" s="407"/>
      <c r="U126" s="408"/>
      <c r="V126" s="460"/>
      <c r="W126" s="462"/>
      <c r="X126" s="460"/>
      <c r="Y126" s="461"/>
      <c r="Z126" s="461"/>
      <c r="AA126" s="461"/>
      <c r="AB126" s="461"/>
      <c r="AC126" s="461"/>
      <c r="AD126" s="461"/>
      <c r="AE126" s="462"/>
    </row>
    <row r="127" spans="1:32" ht="31.5" customHeight="1" x14ac:dyDescent="0.25">
      <c r="A127" s="422"/>
      <c r="B127" s="454" t="s">
        <v>503</v>
      </c>
      <c r="C127" s="455"/>
      <c r="D127" s="455"/>
      <c r="E127" s="455"/>
      <c r="F127" s="455"/>
      <c r="G127" s="455"/>
      <c r="H127" s="456"/>
      <c r="I127" s="406">
        <v>1.87</v>
      </c>
      <c r="J127" s="407"/>
      <c r="K127" s="407"/>
      <c r="L127" s="407"/>
      <c r="M127" s="407"/>
      <c r="N127" s="407"/>
      <c r="O127" s="407"/>
      <c r="P127" s="407"/>
      <c r="Q127" s="407"/>
      <c r="R127" s="407"/>
      <c r="S127" s="407"/>
      <c r="T127" s="407"/>
      <c r="U127" s="408"/>
      <c r="V127" s="460"/>
      <c r="W127" s="462"/>
      <c r="X127" s="460"/>
      <c r="Y127" s="461"/>
      <c r="Z127" s="461"/>
      <c r="AA127" s="461"/>
      <c r="AB127" s="461"/>
      <c r="AC127" s="461"/>
      <c r="AD127" s="461"/>
      <c r="AE127" s="462"/>
    </row>
    <row r="128" spans="1:32" ht="15.75" customHeight="1" x14ac:dyDescent="0.25">
      <c r="A128" s="422"/>
      <c r="B128" s="403" t="s">
        <v>504</v>
      </c>
      <c r="C128" s="404"/>
      <c r="D128" s="404"/>
      <c r="E128" s="404"/>
      <c r="F128" s="404"/>
      <c r="G128" s="404"/>
      <c r="H128" s="405"/>
      <c r="I128" s="406">
        <v>1.77</v>
      </c>
      <c r="J128" s="407"/>
      <c r="K128" s="407"/>
      <c r="L128" s="407"/>
      <c r="M128" s="407"/>
      <c r="N128" s="407"/>
      <c r="O128" s="407"/>
      <c r="P128" s="407"/>
      <c r="Q128" s="407"/>
      <c r="R128" s="407"/>
      <c r="S128" s="407"/>
      <c r="T128" s="407"/>
      <c r="U128" s="408"/>
      <c r="V128" s="460"/>
      <c r="W128" s="462"/>
      <c r="X128" s="460"/>
      <c r="Y128" s="461"/>
      <c r="Z128" s="461"/>
      <c r="AA128" s="461"/>
      <c r="AB128" s="461"/>
      <c r="AC128" s="461"/>
      <c r="AD128" s="461"/>
      <c r="AE128" s="462"/>
    </row>
    <row r="129" spans="1:31" ht="31.5" customHeight="1" x14ac:dyDescent="0.25">
      <c r="A129" s="422"/>
      <c r="B129" s="454" t="s">
        <v>505</v>
      </c>
      <c r="C129" s="455"/>
      <c r="D129" s="455"/>
      <c r="E129" s="455"/>
      <c r="F129" s="455"/>
      <c r="G129" s="455"/>
      <c r="H129" s="456"/>
      <c r="I129" s="406">
        <v>0.28000000000000003</v>
      </c>
      <c r="J129" s="407"/>
      <c r="K129" s="407"/>
      <c r="L129" s="407"/>
      <c r="M129" s="407"/>
      <c r="N129" s="407"/>
      <c r="O129" s="407"/>
      <c r="P129" s="407"/>
      <c r="Q129" s="407"/>
      <c r="R129" s="407"/>
      <c r="S129" s="407"/>
      <c r="T129" s="407"/>
      <c r="U129" s="408"/>
      <c r="V129" s="460"/>
      <c r="W129" s="462"/>
      <c r="X129" s="460"/>
      <c r="Y129" s="461"/>
      <c r="Z129" s="461"/>
      <c r="AA129" s="461"/>
      <c r="AB129" s="461"/>
      <c r="AC129" s="461"/>
      <c r="AD129" s="461"/>
      <c r="AE129" s="462"/>
    </row>
    <row r="130" spans="1:31" ht="15.75" customHeight="1" x14ac:dyDescent="0.25">
      <c r="A130" s="422"/>
      <c r="B130" s="403" t="s">
        <v>506</v>
      </c>
      <c r="C130" s="404"/>
      <c r="D130" s="404"/>
      <c r="E130" s="404"/>
      <c r="F130" s="404"/>
      <c r="G130" s="404"/>
      <c r="H130" s="405"/>
      <c r="I130" s="406">
        <v>1.77</v>
      </c>
      <c r="J130" s="407"/>
      <c r="K130" s="407"/>
      <c r="L130" s="407"/>
      <c r="M130" s="407"/>
      <c r="N130" s="407"/>
      <c r="O130" s="407"/>
      <c r="P130" s="407"/>
      <c r="Q130" s="407"/>
      <c r="R130" s="407"/>
      <c r="S130" s="407"/>
      <c r="T130" s="407"/>
      <c r="U130" s="408"/>
      <c r="V130" s="460"/>
      <c r="W130" s="462"/>
      <c r="X130" s="460"/>
      <c r="Y130" s="461"/>
      <c r="Z130" s="461"/>
      <c r="AA130" s="461"/>
      <c r="AB130" s="461"/>
      <c r="AC130" s="461"/>
      <c r="AD130" s="461"/>
      <c r="AE130" s="462"/>
    </row>
    <row r="131" spans="1:31" ht="278.25" customHeight="1" x14ac:dyDescent="0.25">
      <c r="A131" s="433" t="s">
        <v>507</v>
      </c>
      <c r="B131" s="434"/>
      <c r="C131" s="434"/>
      <c r="D131" s="434"/>
      <c r="E131" s="434"/>
      <c r="F131" s="434"/>
      <c r="G131" s="434"/>
      <c r="H131" s="434"/>
      <c r="I131" s="434"/>
      <c r="J131" s="434"/>
      <c r="K131" s="434"/>
      <c r="L131" s="434"/>
      <c r="M131" s="434"/>
      <c r="N131" s="434"/>
      <c r="O131" s="434"/>
      <c r="P131" s="434"/>
      <c r="Q131" s="434"/>
      <c r="R131" s="434"/>
      <c r="S131" s="434"/>
      <c r="T131" s="434"/>
      <c r="U131" s="434"/>
      <c r="V131" s="434"/>
      <c r="W131" s="435"/>
      <c r="X131" s="433"/>
      <c r="Y131" s="434"/>
      <c r="Z131" s="434"/>
      <c r="AA131" s="434"/>
      <c r="AB131" s="434"/>
      <c r="AC131" s="434"/>
      <c r="AD131" s="434"/>
      <c r="AE131" s="435"/>
    </row>
    <row r="132" spans="1:31" ht="16.5" customHeight="1" x14ac:dyDescent="0.25">
      <c r="A132" s="415" t="s">
        <v>426</v>
      </c>
      <c r="B132" s="416"/>
      <c r="C132" s="416"/>
      <c r="D132" s="416"/>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6"/>
      <c r="AA132" s="417"/>
      <c r="AB132" s="415" t="s">
        <v>427</v>
      </c>
      <c r="AC132" s="416"/>
      <c r="AD132" s="416"/>
      <c r="AE132" s="417"/>
    </row>
    <row r="133" spans="1:31" ht="12.95" customHeight="1" x14ac:dyDescent="0.2">
      <c r="A133" s="418"/>
      <c r="B133" s="419"/>
      <c r="C133" s="419"/>
      <c r="D133" s="419"/>
      <c r="E133" s="419"/>
      <c r="F133" s="419"/>
      <c r="G133" s="419"/>
      <c r="H133" s="419"/>
      <c r="I133" s="419"/>
      <c r="J133" s="419"/>
      <c r="K133" s="419"/>
      <c r="L133" s="419"/>
      <c r="M133" s="419"/>
      <c r="N133" s="419"/>
      <c r="O133" s="419"/>
      <c r="P133" s="419"/>
      <c r="Q133" s="419"/>
      <c r="R133" s="419"/>
      <c r="S133" s="419"/>
      <c r="T133" s="419"/>
      <c r="U133" s="419"/>
      <c r="V133" s="419"/>
      <c r="W133" s="419"/>
      <c r="X133" s="419"/>
      <c r="Y133" s="419"/>
      <c r="Z133" s="419"/>
      <c r="AA133" s="420"/>
      <c r="AB133" s="457" t="s">
        <v>508</v>
      </c>
      <c r="AC133" s="458"/>
      <c r="AD133" s="458"/>
      <c r="AE133" s="459"/>
    </row>
    <row r="134" spans="1:31" ht="15.75" customHeight="1" x14ac:dyDescent="0.25">
      <c r="A134" s="422"/>
      <c r="B134" s="424" t="s">
        <v>509</v>
      </c>
      <c r="C134" s="425"/>
      <c r="D134" s="425"/>
      <c r="E134" s="426"/>
      <c r="F134" s="468" t="s">
        <v>510</v>
      </c>
      <c r="G134" s="469"/>
      <c r="H134" s="469"/>
      <c r="I134" s="469"/>
      <c r="J134" s="469"/>
      <c r="K134" s="469"/>
      <c r="L134" s="469"/>
      <c r="M134" s="469"/>
      <c r="N134" s="469"/>
      <c r="O134" s="469"/>
      <c r="P134" s="469"/>
      <c r="Q134" s="469"/>
      <c r="R134" s="469"/>
      <c r="S134" s="469"/>
      <c r="T134" s="469"/>
      <c r="U134" s="469"/>
      <c r="V134" s="469"/>
      <c r="W134" s="469"/>
      <c r="X134" s="469"/>
      <c r="Y134" s="469"/>
      <c r="Z134" s="469"/>
      <c r="AA134" s="470"/>
      <c r="AB134" s="422"/>
      <c r="AC134" s="461"/>
      <c r="AD134" s="461"/>
      <c r="AE134" s="462"/>
    </row>
    <row r="135" spans="1:31" ht="26.1" customHeight="1" x14ac:dyDescent="0.25">
      <c r="A135" s="422"/>
      <c r="B135" s="478"/>
      <c r="C135" s="479"/>
      <c r="D135" s="479"/>
      <c r="E135" s="480"/>
      <c r="F135" s="484" t="s">
        <v>511</v>
      </c>
      <c r="G135" s="485"/>
      <c r="H135" s="485"/>
      <c r="I135" s="485"/>
      <c r="J135" s="485"/>
      <c r="K135" s="486"/>
      <c r="L135" s="468" t="s">
        <v>512</v>
      </c>
      <c r="M135" s="469"/>
      <c r="N135" s="469"/>
      <c r="O135" s="469"/>
      <c r="P135" s="469"/>
      <c r="Q135" s="469"/>
      <c r="R135" s="469"/>
      <c r="S135" s="469"/>
      <c r="T135" s="469"/>
      <c r="U135" s="469"/>
      <c r="V135" s="469"/>
      <c r="W135" s="470"/>
      <c r="X135" s="448" t="s">
        <v>513</v>
      </c>
      <c r="Y135" s="449"/>
      <c r="Z135" s="449"/>
      <c r="AA135" s="450"/>
      <c r="AB135" s="422"/>
      <c r="AC135" s="461"/>
      <c r="AD135" s="461"/>
      <c r="AE135" s="462"/>
    </row>
    <row r="136" spans="1:31" ht="15.75" customHeight="1" x14ac:dyDescent="0.25">
      <c r="A136" s="422"/>
      <c r="B136" s="403" t="s">
        <v>514</v>
      </c>
      <c r="C136" s="404"/>
      <c r="D136" s="404"/>
      <c r="E136" s="405"/>
      <c r="F136" s="406">
        <v>0.03</v>
      </c>
      <c r="G136" s="407"/>
      <c r="H136" s="407"/>
      <c r="I136" s="407"/>
      <c r="J136" s="407"/>
      <c r="K136" s="408"/>
      <c r="L136" s="406">
        <v>0.03</v>
      </c>
      <c r="M136" s="407"/>
      <c r="N136" s="407"/>
      <c r="O136" s="407"/>
      <c r="P136" s="407"/>
      <c r="Q136" s="407"/>
      <c r="R136" s="407"/>
      <c r="S136" s="407"/>
      <c r="T136" s="407"/>
      <c r="U136" s="407"/>
      <c r="V136" s="407"/>
      <c r="W136" s="408"/>
      <c r="X136" s="406">
        <v>0.06</v>
      </c>
      <c r="Y136" s="407"/>
      <c r="Z136" s="407"/>
      <c r="AA136" s="408"/>
      <c r="AB136" s="422"/>
      <c r="AC136" s="461"/>
      <c r="AD136" s="461"/>
      <c r="AE136" s="462"/>
    </row>
    <row r="137" spans="1:31" ht="26.1" customHeight="1" x14ac:dyDescent="0.25">
      <c r="A137" s="422"/>
      <c r="B137" s="403" t="s">
        <v>515</v>
      </c>
      <c r="C137" s="404"/>
      <c r="D137" s="404"/>
      <c r="E137" s="405"/>
      <c r="F137" s="406">
        <v>0.31</v>
      </c>
      <c r="G137" s="407"/>
      <c r="H137" s="407"/>
      <c r="I137" s="407"/>
      <c r="J137" s="407"/>
      <c r="K137" s="408"/>
      <c r="L137" s="406">
        <v>0.15</v>
      </c>
      <c r="M137" s="407"/>
      <c r="N137" s="407"/>
      <c r="O137" s="407"/>
      <c r="P137" s="407"/>
      <c r="Q137" s="407"/>
      <c r="R137" s="407"/>
      <c r="S137" s="407"/>
      <c r="T137" s="407"/>
      <c r="U137" s="407"/>
      <c r="V137" s="407"/>
      <c r="W137" s="408"/>
      <c r="X137" s="406">
        <v>0.86</v>
      </c>
      <c r="Y137" s="407"/>
      <c r="Z137" s="407"/>
      <c r="AA137" s="408"/>
      <c r="AB137" s="422"/>
      <c r="AC137" s="461"/>
      <c r="AD137" s="461"/>
      <c r="AE137" s="462"/>
    </row>
    <row r="138" spans="1:31" ht="31.5" customHeight="1" x14ac:dyDescent="0.25">
      <c r="A138" s="422"/>
      <c r="B138" s="454" t="s">
        <v>516</v>
      </c>
      <c r="C138" s="455"/>
      <c r="D138" s="455"/>
      <c r="E138" s="456"/>
      <c r="F138" s="406">
        <v>0.24</v>
      </c>
      <c r="G138" s="407"/>
      <c r="H138" s="407"/>
      <c r="I138" s="407"/>
      <c r="J138" s="407"/>
      <c r="K138" s="408"/>
      <c r="L138" s="406">
        <v>0.24</v>
      </c>
      <c r="M138" s="407"/>
      <c r="N138" s="407"/>
      <c r="O138" s="407"/>
      <c r="P138" s="407"/>
      <c r="Q138" s="407"/>
      <c r="R138" s="407"/>
      <c r="S138" s="407"/>
      <c r="T138" s="407"/>
      <c r="U138" s="407"/>
      <c r="V138" s="407"/>
      <c r="W138" s="408"/>
      <c r="X138" s="406">
        <v>0.11</v>
      </c>
      <c r="Y138" s="407"/>
      <c r="Z138" s="407"/>
      <c r="AA138" s="408"/>
      <c r="AB138" s="422"/>
      <c r="AC138" s="461"/>
      <c r="AD138" s="461"/>
      <c r="AE138" s="462"/>
    </row>
    <row r="139" spans="1:31" ht="15.75" customHeight="1" x14ac:dyDescent="0.25">
      <c r="A139" s="422"/>
      <c r="B139" s="403" t="s">
        <v>517</v>
      </c>
      <c r="C139" s="404"/>
      <c r="D139" s="404"/>
      <c r="E139" s="405"/>
      <c r="F139" s="406">
        <v>0.31</v>
      </c>
      <c r="G139" s="407"/>
      <c r="H139" s="407"/>
      <c r="I139" s="407"/>
      <c r="J139" s="407"/>
      <c r="K139" s="408"/>
      <c r="L139" s="406">
        <v>0.05</v>
      </c>
      <c r="M139" s="407"/>
      <c r="N139" s="407"/>
      <c r="O139" s="407"/>
      <c r="P139" s="407"/>
      <c r="Q139" s="407"/>
      <c r="R139" s="407"/>
      <c r="S139" s="407"/>
      <c r="T139" s="407"/>
      <c r="U139" s="407"/>
      <c r="V139" s="407"/>
      <c r="W139" s="408"/>
      <c r="X139" s="406">
        <v>0.1</v>
      </c>
      <c r="Y139" s="407"/>
      <c r="Z139" s="407"/>
      <c r="AA139" s="408"/>
      <c r="AB139" s="422"/>
      <c r="AC139" s="461"/>
      <c r="AD139" s="461"/>
      <c r="AE139" s="462"/>
    </row>
    <row r="140" spans="1:31" ht="26.1" customHeight="1" x14ac:dyDescent="0.25">
      <c r="A140" s="422"/>
      <c r="B140" s="403" t="s">
        <v>518</v>
      </c>
      <c r="C140" s="404"/>
      <c r="D140" s="404"/>
      <c r="E140" s="405"/>
      <c r="F140" s="406">
        <v>0.19</v>
      </c>
      <c r="G140" s="407"/>
      <c r="H140" s="407"/>
      <c r="I140" s="407"/>
      <c r="J140" s="407"/>
      <c r="K140" s="408"/>
      <c r="L140" s="406">
        <v>0.13</v>
      </c>
      <c r="M140" s="407"/>
      <c r="N140" s="407"/>
      <c r="O140" s="407"/>
      <c r="P140" s="407"/>
      <c r="Q140" s="407"/>
      <c r="R140" s="407"/>
      <c r="S140" s="407"/>
      <c r="T140" s="407"/>
      <c r="U140" s="407"/>
      <c r="V140" s="407"/>
      <c r="W140" s="408"/>
      <c r="X140" s="406">
        <v>0.13</v>
      </c>
      <c r="Y140" s="407"/>
      <c r="Z140" s="407"/>
      <c r="AA140" s="408"/>
      <c r="AB140" s="422"/>
      <c r="AC140" s="461"/>
      <c r="AD140" s="461"/>
      <c r="AE140" s="462"/>
    </row>
    <row r="141" spans="1:31" ht="31.5" customHeight="1" x14ac:dyDescent="0.25">
      <c r="A141" s="422"/>
      <c r="B141" s="454" t="s">
        <v>519</v>
      </c>
      <c r="C141" s="455"/>
      <c r="D141" s="455"/>
      <c r="E141" s="456"/>
      <c r="F141" s="406">
        <v>0.25</v>
      </c>
      <c r="G141" s="407"/>
      <c r="H141" s="407"/>
      <c r="I141" s="407"/>
      <c r="J141" s="407"/>
      <c r="K141" s="408"/>
      <c r="L141" s="406">
        <v>0.16</v>
      </c>
      <c r="M141" s="407"/>
      <c r="N141" s="407"/>
      <c r="O141" s="407"/>
      <c r="P141" s="407"/>
      <c r="Q141" s="407"/>
      <c r="R141" s="407"/>
      <c r="S141" s="407"/>
      <c r="T141" s="407"/>
      <c r="U141" s="407"/>
      <c r="V141" s="407"/>
      <c r="W141" s="408"/>
      <c r="X141" s="406">
        <v>0.13</v>
      </c>
      <c r="Y141" s="407"/>
      <c r="Z141" s="407"/>
      <c r="AA141" s="408"/>
      <c r="AB141" s="422"/>
      <c r="AC141" s="461"/>
      <c r="AD141" s="461"/>
      <c r="AE141" s="462"/>
    </row>
    <row r="142" spans="1:31" ht="31.5" customHeight="1" x14ac:dyDescent="0.25">
      <c r="A142" s="422"/>
      <c r="B142" s="454" t="s">
        <v>520</v>
      </c>
      <c r="C142" s="455"/>
      <c r="D142" s="455"/>
      <c r="E142" s="456"/>
      <c r="F142" s="406">
        <v>0.14000000000000001</v>
      </c>
      <c r="G142" s="407"/>
      <c r="H142" s="407"/>
      <c r="I142" s="407"/>
      <c r="J142" s="407"/>
      <c r="K142" s="408"/>
      <c r="L142" s="406">
        <v>0.14000000000000001</v>
      </c>
      <c r="M142" s="407"/>
      <c r="N142" s="407"/>
      <c r="O142" s="407"/>
      <c r="P142" s="407"/>
      <c r="Q142" s="407"/>
      <c r="R142" s="407"/>
      <c r="S142" s="407"/>
      <c r="T142" s="407"/>
      <c r="U142" s="407"/>
      <c r="V142" s="407"/>
      <c r="W142" s="408"/>
      <c r="X142" s="406">
        <v>0.1</v>
      </c>
      <c r="Y142" s="407"/>
      <c r="Z142" s="407"/>
      <c r="AA142" s="408"/>
      <c r="AB142" s="422"/>
      <c r="AC142" s="461"/>
      <c r="AD142" s="461"/>
      <c r="AE142" s="462"/>
    </row>
    <row r="143" spans="1:31" ht="26.1" customHeight="1" x14ac:dyDescent="0.25">
      <c r="A143" s="422"/>
      <c r="B143" s="403" t="s">
        <v>521</v>
      </c>
      <c r="C143" s="404"/>
      <c r="D143" s="404"/>
      <c r="E143" s="405"/>
      <c r="F143" s="406">
        <v>0.11</v>
      </c>
      <c r="G143" s="407"/>
      <c r="H143" s="407"/>
      <c r="I143" s="407"/>
      <c r="J143" s="407"/>
      <c r="K143" s="408"/>
      <c r="L143" s="406">
        <v>0.11</v>
      </c>
      <c r="M143" s="407"/>
      <c r="N143" s="407"/>
      <c r="O143" s="407"/>
      <c r="P143" s="407"/>
      <c r="Q143" s="407"/>
      <c r="R143" s="407"/>
      <c r="S143" s="407"/>
      <c r="T143" s="407"/>
      <c r="U143" s="407"/>
      <c r="V143" s="407"/>
      <c r="W143" s="408"/>
      <c r="X143" s="406">
        <v>0.06</v>
      </c>
      <c r="Y143" s="407"/>
      <c r="Z143" s="407"/>
      <c r="AA143" s="408"/>
      <c r="AB143" s="422"/>
      <c r="AC143" s="461"/>
      <c r="AD143" s="461"/>
      <c r="AE143" s="462"/>
    </row>
    <row r="144" spans="1:31" ht="15.75" customHeight="1" x14ac:dyDescent="0.25">
      <c r="A144" s="422"/>
      <c r="B144" s="403" t="s">
        <v>522</v>
      </c>
      <c r="C144" s="404"/>
      <c r="D144" s="404"/>
      <c r="E144" s="405"/>
      <c r="F144" s="406">
        <v>0.08</v>
      </c>
      <c r="G144" s="407"/>
      <c r="H144" s="407"/>
      <c r="I144" s="407"/>
      <c r="J144" s="407"/>
      <c r="K144" s="408"/>
      <c r="L144" s="406">
        <v>0.03</v>
      </c>
      <c r="M144" s="407"/>
      <c r="N144" s="407"/>
      <c r="O144" s="407"/>
      <c r="P144" s="407"/>
      <c r="Q144" s="407"/>
      <c r="R144" s="407"/>
      <c r="S144" s="407"/>
      <c r="T144" s="407"/>
      <c r="U144" s="407"/>
      <c r="V144" s="407"/>
      <c r="W144" s="408"/>
      <c r="X144" s="406">
        <v>0.18</v>
      </c>
      <c r="Y144" s="407"/>
      <c r="Z144" s="407"/>
      <c r="AA144" s="408"/>
      <c r="AB144" s="422"/>
      <c r="AC144" s="461"/>
      <c r="AD144" s="461"/>
      <c r="AE144" s="462"/>
    </row>
    <row r="145" spans="1:31" ht="26.1" customHeight="1" x14ac:dyDescent="0.25">
      <c r="A145" s="422"/>
      <c r="B145" s="403" t="s">
        <v>523</v>
      </c>
      <c r="C145" s="404"/>
      <c r="D145" s="404"/>
      <c r="E145" s="405"/>
      <c r="F145" s="406">
        <v>0.32</v>
      </c>
      <c r="G145" s="407"/>
      <c r="H145" s="407"/>
      <c r="I145" s="407"/>
      <c r="J145" s="407"/>
      <c r="K145" s="408"/>
      <c r="L145" s="406">
        <v>0.32</v>
      </c>
      <c r="M145" s="407"/>
      <c r="N145" s="407"/>
      <c r="O145" s="407"/>
      <c r="P145" s="407"/>
      <c r="Q145" s="407"/>
      <c r="R145" s="407"/>
      <c r="S145" s="407"/>
      <c r="T145" s="407"/>
      <c r="U145" s="407"/>
      <c r="V145" s="407"/>
      <c r="W145" s="408"/>
      <c r="X145" s="406">
        <v>0.2</v>
      </c>
      <c r="Y145" s="407"/>
      <c r="Z145" s="407"/>
      <c r="AA145" s="408"/>
      <c r="AB145" s="422"/>
      <c r="AC145" s="461"/>
      <c r="AD145" s="461"/>
      <c r="AE145" s="462"/>
    </row>
    <row r="146" spans="1:31" ht="26.1" customHeight="1" x14ac:dyDescent="0.25">
      <c r="A146" s="422"/>
      <c r="B146" s="403" t="s">
        <v>524</v>
      </c>
      <c r="C146" s="404"/>
      <c r="D146" s="404"/>
      <c r="E146" s="405"/>
      <c r="F146" s="406">
        <v>0.42</v>
      </c>
      <c r="G146" s="407"/>
      <c r="H146" s="407"/>
      <c r="I146" s="407"/>
      <c r="J146" s="407"/>
      <c r="K146" s="408"/>
      <c r="L146" s="406">
        <v>0.08</v>
      </c>
      <c r="M146" s="407"/>
      <c r="N146" s="407"/>
      <c r="O146" s="407"/>
      <c r="P146" s="407"/>
      <c r="Q146" s="407"/>
      <c r="R146" s="407"/>
      <c r="S146" s="407"/>
      <c r="T146" s="407"/>
      <c r="U146" s="407"/>
      <c r="V146" s="407"/>
      <c r="W146" s="408"/>
      <c r="X146" s="406">
        <v>7.0000000000000007E-2</v>
      </c>
      <c r="Y146" s="407"/>
      <c r="Z146" s="407"/>
      <c r="AA146" s="408"/>
      <c r="AB146" s="422"/>
      <c r="AC146" s="461"/>
      <c r="AD146" s="461"/>
      <c r="AE146" s="462"/>
    </row>
    <row r="147" spans="1:31" ht="15.75" customHeight="1" x14ac:dyDescent="0.25">
      <c r="A147" s="422"/>
      <c r="B147" s="403" t="s">
        <v>525</v>
      </c>
      <c r="C147" s="404"/>
      <c r="D147" s="404"/>
      <c r="E147" s="405"/>
      <c r="F147" s="406">
        <v>0.31</v>
      </c>
      <c r="G147" s="407"/>
      <c r="H147" s="407"/>
      <c r="I147" s="407"/>
      <c r="J147" s="407"/>
      <c r="K147" s="408"/>
      <c r="L147" s="406">
        <v>0.31</v>
      </c>
      <c r="M147" s="407"/>
      <c r="N147" s="407"/>
      <c r="O147" s="407"/>
      <c r="P147" s="407"/>
      <c r="Q147" s="407"/>
      <c r="R147" s="407"/>
      <c r="S147" s="407"/>
      <c r="T147" s="407"/>
      <c r="U147" s="407"/>
      <c r="V147" s="407"/>
      <c r="W147" s="408"/>
      <c r="X147" s="406">
        <v>0.32</v>
      </c>
      <c r="Y147" s="407"/>
      <c r="Z147" s="407"/>
      <c r="AA147" s="408"/>
      <c r="AB147" s="422"/>
      <c r="AC147" s="461"/>
      <c r="AD147" s="461"/>
      <c r="AE147" s="462"/>
    </row>
    <row r="148" spans="1:31" ht="39" customHeight="1" x14ac:dyDescent="0.25">
      <c r="A148" s="422"/>
      <c r="B148" s="454" t="s">
        <v>526</v>
      </c>
      <c r="C148" s="455"/>
      <c r="D148" s="455"/>
      <c r="E148" s="456"/>
      <c r="F148" s="406">
        <v>0.62</v>
      </c>
      <c r="G148" s="407"/>
      <c r="H148" s="407"/>
      <c r="I148" s="407"/>
      <c r="J148" s="407"/>
      <c r="K148" s="408"/>
      <c r="L148" s="406">
        <v>0.62</v>
      </c>
      <c r="M148" s="407"/>
      <c r="N148" s="407"/>
      <c r="O148" s="407"/>
      <c r="P148" s="407"/>
      <c r="Q148" s="407"/>
      <c r="R148" s="407"/>
      <c r="S148" s="407"/>
      <c r="T148" s="407"/>
      <c r="U148" s="407"/>
      <c r="V148" s="407"/>
      <c r="W148" s="408"/>
      <c r="X148" s="406">
        <v>0.62</v>
      </c>
      <c r="Y148" s="407"/>
      <c r="Z148" s="407"/>
      <c r="AA148" s="408"/>
      <c r="AB148" s="422"/>
      <c r="AC148" s="461"/>
      <c r="AD148" s="461"/>
      <c r="AE148" s="462"/>
    </row>
    <row r="149" spans="1:31" ht="15.75" customHeight="1" x14ac:dyDescent="0.25">
      <c r="A149" s="422"/>
      <c r="B149" s="403" t="s">
        <v>527</v>
      </c>
      <c r="C149" s="404"/>
      <c r="D149" s="404"/>
      <c r="E149" s="405"/>
      <c r="F149" s="406">
        <v>0.1</v>
      </c>
      <c r="G149" s="407"/>
      <c r="H149" s="407"/>
      <c r="I149" s="407"/>
      <c r="J149" s="407"/>
      <c r="K149" s="408"/>
      <c r="L149" s="406">
        <v>0.1</v>
      </c>
      <c r="M149" s="407"/>
      <c r="N149" s="407"/>
      <c r="O149" s="407"/>
      <c r="P149" s="407"/>
      <c r="Q149" s="407"/>
      <c r="R149" s="407"/>
      <c r="S149" s="407"/>
      <c r="T149" s="407"/>
      <c r="U149" s="407"/>
      <c r="V149" s="407"/>
      <c r="W149" s="408"/>
      <c r="X149" s="406">
        <v>7.0000000000000007E-2</v>
      </c>
      <c r="Y149" s="407"/>
      <c r="Z149" s="407"/>
      <c r="AA149" s="408"/>
      <c r="AB149" s="422"/>
      <c r="AC149" s="461"/>
      <c r="AD149" s="461"/>
      <c r="AE149" s="462"/>
    </row>
    <row r="150" spans="1:31" ht="15.75" customHeight="1" x14ac:dyDescent="0.25">
      <c r="A150" s="422"/>
      <c r="B150" s="403" t="s">
        <v>528</v>
      </c>
      <c r="C150" s="404"/>
      <c r="D150" s="404"/>
      <c r="E150" s="405"/>
      <c r="F150" s="406">
        <v>0.23</v>
      </c>
      <c r="G150" s="407"/>
      <c r="H150" s="407"/>
      <c r="I150" s="407"/>
      <c r="J150" s="407"/>
      <c r="K150" s="408"/>
      <c r="L150" s="406">
        <v>0.1</v>
      </c>
      <c r="M150" s="407"/>
      <c r="N150" s="407"/>
      <c r="O150" s="407"/>
      <c r="P150" s="407"/>
      <c r="Q150" s="407"/>
      <c r="R150" s="407"/>
      <c r="S150" s="407"/>
      <c r="T150" s="407"/>
      <c r="U150" s="407"/>
      <c r="V150" s="407"/>
      <c r="W150" s="408"/>
      <c r="X150" s="406">
        <v>0.48</v>
      </c>
      <c r="Y150" s="407"/>
      <c r="Z150" s="407"/>
      <c r="AA150" s="408"/>
      <c r="AB150" s="422"/>
      <c r="AC150" s="461"/>
      <c r="AD150" s="461"/>
      <c r="AE150" s="462"/>
    </row>
    <row r="151" spans="1:31" ht="15.75" customHeight="1" x14ac:dyDescent="0.25">
      <c r="A151" s="422"/>
      <c r="B151" s="403" t="s">
        <v>529</v>
      </c>
      <c r="C151" s="404"/>
      <c r="D151" s="404"/>
      <c r="E151" s="405"/>
      <c r="F151" s="475" t="s">
        <v>530</v>
      </c>
      <c r="G151" s="476"/>
      <c r="H151" s="476"/>
      <c r="I151" s="476"/>
      <c r="J151" s="476"/>
      <c r="K151" s="477"/>
      <c r="L151" s="475" t="s">
        <v>530</v>
      </c>
      <c r="M151" s="476"/>
      <c r="N151" s="476"/>
      <c r="O151" s="476"/>
      <c r="P151" s="476"/>
      <c r="Q151" s="476"/>
      <c r="R151" s="476"/>
      <c r="S151" s="476"/>
      <c r="T151" s="476"/>
      <c r="U151" s="476"/>
      <c r="V151" s="476"/>
      <c r="W151" s="477"/>
      <c r="X151" s="406">
        <v>0.1</v>
      </c>
      <c r="Y151" s="407"/>
      <c r="Z151" s="407"/>
      <c r="AA151" s="408"/>
      <c r="AB151" s="422"/>
      <c r="AC151" s="461"/>
      <c r="AD151" s="461"/>
      <c r="AE151" s="462"/>
    </row>
    <row r="152" spans="1:31" ht="15.75" customHeight="1" x14ac:dyDescent="0.25">
      <c r="A152" s="422"/>
      <c r="B152" s="403" t="s">
        <v>531</v>
      </c>
      <c r="C152" s="404"/>
      <c r="D152" s="404"/>
      <c r="E152" s="405"/>
      <c r="F152" s="475" t="s">
        <v>530</v>
      </c>
      <c r="G152" s="476"/>
      <c r="H152" s="476"/>
      <c r="I152" s="476"/>
      <c r="J152" s="476"/>
      <c r="K152" s="477"/>
      <c r="L152" s="475" t="s">
        <v>530</v>
      </c>
      <c r="M152" s="476"/>
      <c r="N152" s="476"/>
      <c r="O152" s="476"/>
      <c r="P152" s="476"/>
      <c r="Q152" s="476"/>
      <c r="R152" s="476"/>
      <c r="S152" s="476"/>
      <c r="T152" s="476"/>
      <c r="U152" s="476"/>
      <c r="V152" s="476"/>
      <c r="W152" s="477"/>
      <c r="X152" s="406">
        <v>0.11</v>
      </c>
      <c r="Y152" s="407"/>
      <c r="Z152" s="407"/>
      <c r="AA152" s="408"/>
      <c r="AB152" s="422"/>
      <c r="AC152" s="461"/>
      <c r="AD152" s="461"/>
      <c r="AE152" s="462"/>
    </row>
    <row r="153" spans="1:31" ht="15.75" customHeight="1" x14ac:dyDescent="0.25">
      <c r="A153" s="422"/>
      <c r="B153" s="403" t="s">
        <v>532</v>
      </c>
      <c r="C153" s="404"/>
      <c r="D153" s="404"/>
      <c r="E153" s="405"/>
      <c r="F153" s="475" t="s">
        <v>530</v>
      </c>
      <c r="G153" s="476"/>
      <c r="H153" s="476"/>
      <c r="I153" s="476"/>
      <c r="J153" s="476"/>
      <c r="K153" s="477"/>
      <c r="L153" s="475" t="s">
        <v>530</v>
      </c>
      <c r="M153" s="476"/>
      <c r="N153" s="476"/>
      <c r="O153" s="476"/>
      <c r="P153" s="476"/>
      <c r="Q153" s="476"/>
      <c r="R153" s="476"/>
      <c r="S153" s="476"/>
      <c r="T153" s="476"/>
      <c r="U153" s="476"/>
      <c r="V153" s="476"/>
      <c r="W153" s="477"/>
      <c r="X153" s="406">
        <v>7.0000000000000007E-2</v>
      </c>
      <c r="Y153" s="407"/>
      <c r="Z153" s="407"/>
      <c r="AA153" s="408"/>
      <c r="AB153" s="422"/>
      <c r="AC153" s="461"/>
      <c r="AD153" s="461"/>
      <c r="AE153" s="462"/>
    </row>
    <row r="154" spans="1:31" ht="15.75" customHeight="1" x14ac:dyDescent="0.25">
      <c r="A154" s="422"/>
      <c r="B154" s="403" t="s">
        <v>533</v>
      </c>
      <c r="C154" s="404"/>
      <c r="D154" s="404"/>
      <c r="E154" s="405"/>
      <c r="F154" s="475" t="s">
        <v>530</v>
      </c>
      <c r="G154" s="476"/>
      <c r="H154" s="476"/>
      <c r="I154" s="476"/>
      <c r="J154" s="476"/>
      <c r="K154" s="477"/>
      <c r="L154" s="475" t="s">
        <v>530</v>
      </c>
      <c r="M154" s="476"/>
      <c r="N154" s="476"/>
      <c r="O154" s="476"/>
      <c r="P154" s="476"/>
      <c r="Q154" s="476"/>
      <c r="R154" s="476"/>
      <c r="S154" s="476"/>
      <c r="T154" s="476"/>
      <c r="U154" s="476"/>
      <c r="V154" s="476"/>
      <c r="W154" s="477"/>
      <c r="X154" s="406">
        <v>0.04</v>
      </c>
      <c r="Y154" s="407"/>
      <c r="Z154" s="407"/>
      <c r="AA154" s="408"/>
      <c r="AB154" s="422"/>
      <c r="AC154" s="461"/>
      <c r="AD154" s="461"/>
      <c r="AE154" s="462"/>
    </row>
    <row r="155" spans="1:31" ht="15.75" customHeight="1" x14ac:dyDescent="0.25">
      <c r="A155" s="422"/>
      <c r="B155" s="403" t="s">
        <v>534</v>
      </c>
      <c r="C155" s="404"/>
      <c r="D155" s="404"/>
      <c r="E155" s="405"/>
      <c r="F155" s="475" t="s">
        <v>530</v>
      </c>
      <c r="G155" s="476"/>
      <c r="H155" s="476"/>
      <c r="I155" s="476"/>
      <c r="J155" s="476"/>
      <c r="K155" s="477"/>
      <c r="L155" s="475" t="s">
        <v>530</v>
      </c>
      <c r="M155" s="476"/>
      <c r="N155" s="476"/>
      <c r="O155" s="476"/>
      <c r="P155" s="476"/>
      <c r="Q155" s="476"/>
      <c r="R155" s="476"/>
      <c r="S155" s="476"/>
      <c r="T155" s="476"/>
      <c r="U155" s="476"/>
      <c r="V155" s="476"/>
      <c r="W155" s="477"/>
      <c r="X155" s="406">
        <v>0.09</v>
      </c>
      <c r="Y155" s="407"/>
      <c r="Z155" s="407"/>
      <c r="AA155" s="408"/>
      <c r="AB155" s="422"/>
      <c r="AC155" s="461"/>
      <c r="AD155" s="461"/>
      <c r="AE155" s="462"/>
    </row>
    <row r="156" spans="1:31" ht="15.75" customHeight="1" x14ac:dyDescent="0.25">
      <c r="A156" s="422"/>
      <c r="B156" s="403" t="s">
        <v>535</v>
      </c>
      <c r="C156" s="404"/>
      <c r="D156" s="404"/>
      <c r="E156" s="405"/>
      <c r="F156" s="475" t="s">
        <v>530</v>
      </c>
      <c r="G156" s="476"/>
      <c r="H156" s="476"/>
      <c r="I156" s="476"/>
      <c r="J156" s="476"/>
      <c r="K156" s="477"/>
      <c r="L156" s="475" t="s">
        <v>530</v>
      </c>
      <c r="M156" s="476"/>
      <c r="N156" s="476"/>
      <c r="O156" s="476"/>
      <c r="P156" s="476"/>
      <c r="Q156" s="476"/>
      <c r="R156" s="476"/>
      <c r="S156" s="476"/>
      <c r="T156" s="476"/>
      <c r="U156" s="476"/>
      <c r="V156" s="476"/>
      <c r="W156" s="477"/>
      <c r="X156" s="406">
        <v>0.05</v>
      </c>
      <c r="Y156" s="407"/>
      <c r="Z156" s="407"/>
      <c r="AA156" s="408"/>
      <c r="AB156" s="422"/>
      <c r="AC156" s="461"/>
      <c r="AD156" s="461"/>
      <c r="AE156" s="462"/>
    </row>
    <row r="157" spans="1:31" ht="15.75" customHeight="1" x14ac:dyDescent="0.25">
      <c r="A157" s="422"/>
      <c r="B157" s="403" t="s">
        <v>536</v>
      </c>
      <c r="C157" s="404"/>
      <c r="D157" s="404"/>
      <c r="E157" s="405"/>
      <c r="F157" s="475" t="s">
        <v>530</v>
      </c>
      <c r="G157" s="476"/>
      <c r="H157" s="476"/>
      <c r="I157" s="476"/>
      <c r="J157" s="476"/>
      <c r="K157" s="477"/>
      <c r="L157" s="475" t="s">
        <v>530</v>
      </c>
      <c r="M157" s="476"/>
      <c r="N157" s="476"/>
      <c r="O157" s="476"/>
      <c r="P157" s="476"/>
      <c r="Q157" s="476"/>
      <c r="R157" s="476"/>
      <c r="S157" s="476"/>
      <c r="T157" s="476"/>
      <c r="U157" s="476"/>
      <c r="V157" s="476"/>
      <c r="W157" s="477"/>
      <c r="X157" s="406">
        <v>0.2</v>
      </c>
      <c r="Y157" s="407"/>
      <c r="Z157" s="407"/>
      <c r="AA157" s="408"/>
      <c r="AB157" s="422"/>
      <c r="AC157" s="461"/>
      <c r="AD157" s="461"/>
      <c r="AE157" s="462"/>
    </row>
    <row r="158" spans="1:31" ht="89.1" customHeight="1" x14ac:dyDescent="0.25">
      <c r="A158" s="454" t="s">
        <v>537</v>
      </c>
      <c r="B158" s="455"/>
      <c r="C158" s="455"/>
      <c r="D158" s="455"/>
      <c r="E158" s="455"/>
      <c r="F158" s="455"/>
      <c r="G158" s="455"/>
      <c r="H158" s="455"/>
      <c r="I158" s="455"/>
      <c r="J158" s="455"/>
      <c r="K158" s="455"/>
      <c r="L158" s="455"/>
      <c r="M158" s="455"/>
      <c r="N158" s="455"/>
      <c r="O158" s="455"/>
      <c r="P158" s="455"/>
      <c r="Q158" s="455"/>
      <c r="R158" s="455"/>
      <c r="S158" s="455"/>
      <c r="T158" s="455"/>
      <c r="U158" s="455"/>
      <c r="V158" s="455"/>
      <c r="W158" s="455"/>
      <c r="X158" s="455"/>
      <c r="Y158" s="455"/>
      <c r="Z158" s="455"/>
      <c r="AA158" s="456"/>
      <c r="AB158" s="433"/>
      <c r="AC158" s="434"/>
      <c r="AD158" s="434"/>
      <c r="AE158" s="435"/>
    </row>
    <row r="159" spans="1:31" ht="16.5" customHeight="1" x14ac:dyDescent="0.25">
      <c r="A159" s="415" t="s">
        <v>426</v>
      </c>
      <c r="B159" s="416"/>
      <c r="C159" s="416"/>
      <c r="D159" s="416"/>
      <c r="E159" s="416"/>
      <c r="F159" s="416"/>
      <c r="G159" s="416"/>
      <c r="H159" s="416"/>
      <c r="I159" s="416"/>
      <c r="J159" s="416"/>
      <c r="K159" s="416"/>
      <c r="L159" s="416"/>
      <c r="M159" s="416"/>
      <c r="N159" s="416"/>
      <c r="O159" s="416"/>
      <c r="P159" s="416"/>
      <c r="Q159" s="416"/>
      <c r="R159" s="416"/>
      <c r="S159" s="416"/>
      <c r="T159" s="416"/>
      <c r="U159" s="416"/>
      <c r="V159" s="416"/>
      <c r="W159" s="416"/>
      <c r="X159" s="416"/>
      <c r="Y159" s="416"/>
      <c r="Z159" s="416"/>
      <c r="AA159" s="417"/>
      <c r="AB159" s="415" t="s">
        <v>427</v>
      </c>
      <c r="AC159" s="416"/>
      <c r="AD159" s="416"/>
      <c r="AE159" s="417"/>
    </row>
    <row r="160" spans="1:31" ht="12.95" customHeight="1" x14ac:dyDescent="0.2">
      <c r="A160" s="418"/>
      <c r="B160" s="419"/>
      <c r="C160" s="419"/>
      <c r="D160" s="419"/>
      <c r="E160" s="419"/>
      <c r="F160" s="419"/>
      <c r="G160" s="419"/>
      <c r="H160" s="419"/>
      <c r="I160" s="419"/>
      <c r="J160" s="419"/>
      <c r="K160" s="419"/>
      <c r="L160" s="419"/>
      <c r="M160" s="419"/>
      <c r="N160" s="419"/>
      <c r="O160" s="419"/>
      <c r="P160" s="419"/>
      <c r="Q160" s="419"/>
      <c r="R160" s="419"/>
      <c r="S160" s="419"/>
      <c r="T160" s="419"/>
      <c r="U160" s="419"/>
      <c r="V160" s="419"/>
      <c r="W160" s="419"/>
      <c r="X160" s="419"/>
      <c r="Y160" s="419"/>
      <c r="Z160" s="419"/>
      <c r="AA160" s="420"/>
      <c r="AB160" s="457" t="s">
        <v>538</v>
      </c>
      <c r="AC160" s="458"/>
      <c r="AD160" s="458"/>
      <c r="AE160" s="459"/>
    </row>
    <row r="161" spans="1:31" ht="15.75" customHeight="1" x14ac:dyDescent="0.25">
      <c r="A161" s="422"/>
      <c r="B161" s="424" t="s">
        <v>509</v>
      </c>
      <c r="C161" s="425"/>
      <c r="D161" s="425"/>
      <c r="E161" s="426"/>
      <c r="F161" s="468" t="s">
        <v>510</v>
      </c>
      <c r="G161" s="469"/>
      <c r="H161" s="469"/>
      <c r="I161" s="469"/>
      <c r="J161" s="469"/>
      <c r="K161" s="469"/>
      <c r="L161" s="469"/>
      <c r="M161" s="469"/>
      <c r="N161" s="469"/>
      <c r="O161" s="469"/>
      <c r="P161" s="469"/>
      <c r="Q161" s="469"/>
      <c r="R161" s="469"/>
      <c r="S161" s="469"/>
      <c r="T161" s="469"/>
      <c r="U161" s="469"/>
      <c r="V161" s="469"/>
      <c r="W161" s="469"/>
      <c r="X161" s="469"/>
      <c r="Y161" s="469"/>
      <c r="Z161" s="469"/>
      <c r="AA161" s="470"/>
      <c r="AB161" s="422"/>
      <c r="AC161" s="461"/>
      <c r="AD161" s="461"/>
      <c r="AE161" s="462"/>
    </row>
    <row r="162" spans="1:31" ht="26.1" customHeight="1" x14ac:dyDescent="0.25">
      <c r="A162" s="422"/>
      <c r="B162" s="478"/>
      <c r="C162" s="479"/>
      <c r="D162" s="479"/>
      <c r="E162" s="480"/>
      <c r="F162" s="448" t="s">
        <v>539</v>
      </c>
      <c r="G162" s="449"/>
      <c r="H162" s="449"/>
      <c r="I162" s="449"/>
      <c r="J162" s="449"/>
      <c r="K162" s="450"/>
      <c r="L162" s="481" t="s">
        <v>540</v>
      </c>
      <c r="M162" s="482"/>
      <c r="N162" s="482"/>
      <c r="O162" s="482"/>
      <c r="P162" s="482"/>
      <c r="Q162" s="482"/>
      <c r="R162" s="482"/>
      <c r="S162" s="482"/>
      <c r="T162" s="482"/>
      <c r="U162" s="482"/>
      <c r="V162" s="482"/>
      <c r="W162" s="483"/>
      <c r="X162" s="448" t="s">
        <v>541</v>
      </c>
      <c r="Y162" s="449"/>
      <c r="Z162" s="449"/>
      <c r="AA162" s="450"/>
      <c r="AB162" s="422"/>
      <c r="AC162" s="461"/>
      <c r="AD162" s="461"/>
      <c r="AE162" s="462"/>
    </row>
    <row r="163" spans="1:31" ht="31.5" customHeight="1" x14ac:dyDescent="0.25">
      <c r="A163" s="422"/>
      <c r="B163" s="454" t="s">
        <v>542</v>
      </c>
      <c r="C163" s="455"/>
      <c r="D163" s="455"/>
      <c r="E163" s="456"/>
      <c r="F163" s="406">
        <v>0.22</v>
      </c>
      <c r="G163" s="407"/>
      <c r="H163" s="407"/>
      <c r="I163" s="407"/>
      <c r="J163" s="407"/>
      <c r="K163" s="408"/>
      <c r="L163" s="406">
        <v>0.22</v>
      </c>
      <c r="M163" s="407"/>
      <c r="N163" s="407"/>
      <c r="O163" s="407"/>
      <c r="P163" s="407"/>
      <c r="Q163" s="407"/>
      <c r="R163" s="407"/>
      <c r="S163" s="407"/>
      <c r="T163" s="407"/>
      <c r="U163" s="407"/>
      <c r="V163" s="407"/>
      <c r="W163" s="408"/>
      <c r="X163" s="406">
        <v>0.22</v>
      </c>
      <c r="Y163" s="407"/>
      <c r="Z163" s="407"/>
      <c r="AA163" s="408"/>
      <c r="AB163" s="422"/>
      <c r="AC163" s="461"/>
      <c r="AD163" s="461"/>
      <c r="AE163" s="462"/>
    </row>
    <row r="164" spans="1:31" ht="15.75" customHeight="1" x14ac:dyDescent="0.25">
      <c r="A164" s="422"/>
      <c r="B164" s="403" t="s">
        <v>543</v>
      </c>
      <c r="C164" s="404"/>
      <c r="D164" s="404"/>
      <c r="E164" s="405"/>
      <c r="F164" s="406">
        <v>0.13</v>
      </c>
      <c r="G164" s="407"/>
      <c r="H164" s="407"/>
      <c r="I164" s="407"/>
      <c r="J164" s="407"/>
      <c r="K164" s="408"/>
      <c r="L164" s="406">
        <v>0.13</v>
      </c>
      <c r="M164" s="407"/>
      <c r="N164" s="407"/>
      <c r="O164" s="407"/>
      <c r="P164" s="407"/>
      <c r="Q164" s="407"/>
      <c r="R164" s="407"/>
      <c r="S164" s="407"/>
      <c r="T164" s="407"/>
      <c r="U164" s="407"/>
      <c r="V164" s="407"/>
      <c r="W164" s="408"/>
      <c r="X164" s="406">
        <v>0.31</v>
      </c>
      <c r="Y164" s="407"/>
      <c r="Z164" s="407"/>
      <c r="AA164" s="408"/>
      <c r="AB164" s="422"/>
      <c r="AC164" s="461"/>
      <c r="AD164" s="461"/>
      <c r="AE164" s="462"/>
    </row>
    <row r="165" spans="1:31" ht="15.75" customHeight="1" x14ac:dyDescent="0.25">
      <c r="A165" s="422"/>
      <c r="B165" s="403" t="s">
        <v>544</v>
      </c>
      <c r="C165" s="404"/>
      <c r="D165" s="404"/>
      <c r="E165" s="405"/>
      <c r="F165" s="406">
        <v>0.09</v>
      </c>
      <c r="G165" s="407"/>
      <c r="H165" s="407"/>
      <c r="I165" s="407"/>
      <c r="J165" s="407"/>
      <c r="K165" s="408"/>
      <c r="L165" s="406">
        <v>0.09</v>
      </c>
      <c r="M165" s="407"/>
      <c r="N165" s="407"/>
      <c r="O165" s="407"/>
      <c r="P165" s="407"/>
      <c r="Q165" s="407"/>
      <c r="R165" s="407"/>
      <c r="S165" s="407"/>
      <c r="T165" s="407"/>
      <c r="U165" s="407"/>
      <c r="V165" s="407"/>
      <c r="W165" s="408"/>
      <c r="X165" s="406">
        <v>0.09</v>
      </c>
      <c r="Y165" s="407"/>
      <c r="Z165" s="407"/>
      <c r="AA165" s="408"/>
      <c r="AB165" s="422"/>
      <c r="AC165" s="461"/>
      <c r="AD165" s="461"/>
      <c r="AE165" s="462"/>
    </row>
    <row r="166" spans="1:31" ht="15.75" customHeight="1" x14ac:dyDescent="0.25">
      <c r="A166" s="422"/>
      <c r="B166" s="403" t="s">
        <v>517</v>
      </c>
      <c r="C166" s="404"/>
      <c r="D166" s="404"/>
      <c r="E166" s="405"/>
      <c r="F166" s="406">
        <v>0.38</v>
      </c>
      <c r="G166" s="407"/>
      <c r="H166" s="407"/>
      <c r="I166" s="407"/>
      <c r="J166" s="407"/>
      <c r="K166" s="408"/>
      <c r="L166" s="406">
        <v>0.38</v>
      </c>
      <c r="M166" s="407"/>
      <c r="N166" s="407"/>
      <c r="O166" s="407"/>
      <c r="P166" s="407"/>
      <c r="Q166" s="407"/>
      <c r="R166" s="407"/>
      <c r="S166" s="407"/>
      <c r="T166" s="407"/>
      <c r="U166" s="407"/>
      <c r="V166" s="407"/>
      <c r="W166" s="408"/>
      <c r="X166" s="406">
        <v>0.39</v>
      </c>
      <c r="Y166" s="407"/>
      <c r="Z166" s="407"/>
      <c r="AA166" s="408"/>
      <c r="AB166" s="422"/>
      <c r="AC166" s="461"/>
      <c r="AD166" s="461"/>
      <c r="AE166" s="462"/>
    </row>
    <row r="167" spans="1:31" ht="15.75" customHeight="1" x14ac:dyDescent="0.25">
      <c r="A167" s="422"/>
      <c r="B167" s="403" t="s">
        <v>525</v>
      </c>
      <c r="C167" s="404"/>
      <c r="D167" s="404"/>
      <c r="E167" s="405"/>
      <c r="F167" s="406">
        <v>0.22</v>
      </c>
      <c r="G167" s="407"/>
      <c r="H167" s="407"/>
      <c r="I167" s="407"/>
      <c r="J167" s="407"/>
      <c r="K167" s="408"/>
      <c r="L167" s="406">
        <v>0.22</v>
      </c>
      <c r="M167" s="407"/>
      <c r="N167" s="407"/>
      <c r="O167" s="407"/>
      <c r="P167" s="407"/>
      <c r="Q167" s="407"/>
      <c r="R167" s="407"/>
      <c r="S167" s="407"/>
      <c r="T167" s="407"/>
      <c r="U167" s="407"/>
      <c r="V167" s="407"/>
      <c r="W167" s="408"/>
      <c r="X167" s="406">
        <v>0.63</v>
      </c>
      <c r="Y167" s="407"/>
      <c r="Z167" s="407"/>
      <c r="AA167" s="408"/>
      <c r="AB167" s="422"/>
      <c r="AC167" s="461"/>
      <c r="AD167" s="461"/>
      <c r="AE167" s="462"/>
    </row>
    <row r="168" spans="1:31" ht="15.75" customHeight="1" x14ac:dyDescent="0.25">
      <c r="A168" s="422"/>
      <c r="B168" s="403" t="s">
        <v>545</v>
      </c>
      <c r="C168" s="404"/>
      <c r="D168" s="404"/>
      <c r="E168" s="405"/>
      <c r="F168" s="406">
        <v>0.31</v>
      </c>
      <c r="G168" s="407"/>
      <c r="H168" s="407"/>
      <c r="I168" s="407"/>
      <c r="J168" s="407"/>
      <c r="K168" s="408"/>
      <c r="L168" s="406">
        <v>0.12</v>
      </c>
      <c r="M168" s="407"/>
      <c r="N168" s="407"/>
      <c r="O168" s="407"/>
      <c r="P168" s="407"/>
      <c r="Q168" s="407"/>
      <c r="R168" s="407"/>
      <c r="S168" s="407"/>
      <c r="T168" s="407"/>
      <c r="U168" s="407"/>
      <c r="V168" s="407"/>
      <c r="W168" s="408"/>
      <c r="X168" s="406">
        <v>0.47</v>
      </c>
      <c r="Y168" s="407"/>
      <c r="Z168" s="407"/>
      <c r="AA168" s="408"/>
      <c r="AB168" s="422"/>
      <c r="AC168" s="461"/>
      <c r="AD168" s="461"/>
      <c r="AE168" s="462"/>
    </row>
    <row r="169" spans="1:31" ht="15.75" customHeight="1" x14ac:dyDescent="0.25">
      <c r="A169" s="422"/>
      <c r="B169" s="403" t="s">
        <v>546</v>
      </c>
      <c r="C169" s="404"/>
      <c r="D169" s="404"/>
      <c r="E169" s="405"/>
      <c r="F169" s="406">
        <v>0.04</v>
      </c>
      <c r="G169" s="407"/>
      <c r="H169" s="407"/>
      <c r="I169" s="407"/>
      <c r="J169" s="407"/>
      <c r="K169" s="408"/>
      <c r="L169" s="406">
        <v>0.04</v>
      </c>
      <c r="M169" s="407"/>
      <c r="N169" s="407"/>
      <c r="O169" s="407"/>
      <c r="P169" s="407"/>
      <c r="Q169" s="407"/>
      <c r="R169" s="407"/>
      <c r="S169" s="407"/>
      <c r="T169" s="407"/>
      <c r="U169" s="407"/>
      <c r="V169" s="407"/>
      <c r="W169" s="408"/>
      <c r="X169" s="406">
        <v>0.04</v>
      </c>
      <c r="Y169" s="407"/>
      <c r="Z169" s="407"/>
      <c r="AA169" s="408"/>
      <c r="AB169" s="422"/>
      <c r="AC169" s="461"/>
      <c r="AD169" s="461"/>
      <c r="AE169" s="462"/>
    </row>
    <row r="170" spans="1:31" ht="26.1" customHeight="1" x14ac:dyDescent="0.25">
      <c r="A170" s="422"/>
      <c r="B170" s="403" t="s">
        <v>547</v>
      </c>
      <c r="C170" s="404"/>
      <c r="D170" s="404"/>
      <c r="E170" s="405"/>
      <c r="F170" s="475" t="s">
        <v>530</v>
      </c>
      <c r="G170" s="476"/>
      <c r="H170" s="476"/>
      <c r="I170" s="476"/>
      <c r="J170" s="476"/>
      <c r="K170" s="477"/>
      <c r="L170" s="475" t="s">
        <v>530</v>
      </c>
      <c r="M170" s="476"/>
      <c r="N170" s="476"/>
      <c r="O170" s="476"/>
      <c r="P170" s="476"/>
      <c r="Q170" s="476"/>
      <c r="R170" s="476"/>
      <c r="S170" s="476"/>
      <c r="T170" s="476"/>
      <c r="U170" s="476"/>
      <c r="V170" s="476"/>
      <c r="W170" s="477"/>
      <c r="X170" s="406">
        <v>0.03</v>
      </c>
      <c r="Y170" s="407"/>
      <c r="Z170" s="407"/>
      <c r="AA170" s="408"/>
      <c r="AB170" s="422"/>
      <c r="AC170" s="461"/>
      <c r="AD170" s="461"/>
      <c r="AE170" s="462"/>
    </row>
    <row r="171" spans="1:31" ht="26.1" customHeight="1" x14ac:dyDescent="0.25">
      <c r="A171" s="422"/>
      <c r="B171" s="403" t="s">
        <v>548</v>
      </c>
      <c r="C171" s="404"/>
      <c r="D171" s="404"/>
      <c r="E171" s="405"/>
      <c r="F171" s="475" t="s">
        <v>530</v>
      </c>
      <c r="G171" s="476"/>
      <c r="H171" s="476"/>
      <c r="I171" s="476"/>
      <c r="J171" s="476"/>
      <c r="K171" s="477"/>
      <c r="L171" s="475" t="s">
        <v>530</v>
      </c>
      <c r="M171" s="476"/>
      <c r="N171" s="476"/>
      <c r="O171" s="476"/>
      <c r="P171" s="476"/>
      <c r="Q171" s="476"/>
      <c r="R171" s="476"/>
      <c r="S171" s="476"/>
      <c r="T171" s="476"/>
      <c r="U171" s="476"/>
      <c r="V171" s="476"/>
      <c r="W171" s="477"/>
      <c r="X171" s="406">
        <v>0.19</v>
      </c>
      <c r="Y171" s="407"/>
      <c r="Z171" s="407"/>
      <c r="AA171" s="408"/>
      <c r="AB171" s="422"/>
      <c r="AC171" s="461"/>
      <c r="AD171" s="461"/>
      <c r="AE171" s="462"/>
    </row>
    <row r="172" spans="1:31" ht="14.45" customHeight="1" x14ac:dyDescent="0.2">
      <c r="A172" s="418"/>
      <c r="B172" s="419"/>
      <c r="C172" s="419"/>
      <c r="D172" s="419"/>
      <c r="E172" s="419"/>
      <c r="F172" s="419"/>
      <c r="G172" s="419"/>
      <c r="H172" s="419"/>
      <c r="I172" s="419"/>
      <c r="J172" s="419"/>
      <c r="K172" s="419"/>
      <c r="L172" s="419"/>
      <c r="M172" s="419"/>
      <c r="N172" s="419"/>
      <c r="O172" s="419"/>
      <c r="P172" s="419"/>
      <c r="Q172" s="419"/>
      <c r="R172" s="419"/>
      <c r="S172" s="419"/>
      <c r="T172" s="419"/>
      <c r="U172" s="419"/>
      <c r="V172" s="419"/>
      <c r="W172" s="419"/>
      <c r="X172" s="419"/>
      <c r="Y172" s="419"/>
      <c r="Z172" s="419"/>
      <c r="AA172" s="420"/>
      <c r="AB172" s="433"/>
      <c r="AC172" s="434"/>
      <c r="AD172" s="434"/>
      <c r="AE172" s="435"/>
    </row>
    <row r="173" spans="1:31" ht="16.5" customHeight="1" x14ac:dyDescent="0.25">
      <c r="A173" s="415" t="s">
        <v>426</v>
      </c>
      <c r="B173" s="416"/>
      <c r="C173" s="416"/>
      <c r="D173" s="416"/>
      <c r="E173" s="416"/>
      <c r="F173" s="416"/>
      <c r="G173" s="416"/>
      <c r="H173" s="416"/>
      <c r="I173" s="416"/>
      <c r="J173" s="416"/>
      <c r="K173" s="416"/>
      <c r="L173" s="416"/>
      <c r="M173" s="416"/>
      <c r="N173" s="416"/>
      <c r="O173" s="416"/>
      <c r="P173" s="416"/>
      <c r="Q173" s="416"/>
      <c r="R173" s="416"/>
      <c r="S173" s="416"/>
      <c r="T173" s="416"/>
      <c r="U173" s="416"/>
      <c r="V173" s="416"/>
      <c r="W173" s="416"/>
      <c r="X173" s="416"/>
      <c r="Y173" s="416"/>
      <c r="Z173" s="416"/>
      <c r="AA173" s="416"/>
      <c r="AB173" s="417"/>
      <c r="AC173" s="415" t="s">
        <v>427</v>
      </c>
      <c r="AD173" s="416"/>
      <c r="AE173" s="417"/>
    </row>
    <row r="174" spans="1:31" ht="12.95" customHeight="1" x14ac:dyDescent="0.2">
      <c r="A174" s="436"/>
      <c r="B174" s="437"/>
      <c r="C174" s="437"/>
      <c r="D174" s="437"/>
      <c r="E174" s="437"/>
      <c r="F174" s="437"/>
      <c r="G174" s="437"/>
      <c r="H174" s="437"/>
      <c r="I174" s="437"/>
      <c r="J174" s="437"/>
      <c r="K174" s="437"/>
      <c r="L174" s="437"/>
      <c r="M174" s="437"/>
      <c r="N174" s="437"/>
      <c r="O174" s="437"/>
      <c r="P174" s="437"/>
      <c r="Q174" s="437"/>
      <c r="R174" s="437"/>
      <c r="S174" s="437"/>
      <c r="T174" s="437"/>
      <c r="U174" s="437"/>
      <c r="V174" s="437"/>
      <c r="W174" s="437"/>
      <c r="X174" s="437"/>
      <c r="Y174" s="437"/>
      <c r="Z174" s="437"/>
      <c r="AA174" s="437"/>
      <c r="AB174" s="438"/>
      <c r="AC174" s="457" t="s">
        <v>549</v>
      </c>
      <c r="AD174" s="458"/>
      <c r="AE174" s="459"/>
    </row>
    <row r="175" spans="1:31" ht="51" customHeight="1" x14ac:dyDescent="0.25">
      <c r="A175" s="422"/>
      <c r="B175" s="463" t="s">
        <v>550</v>
      </c>
      <c r="C175" s="471"/>
      <c r="D175" s="471"/>
      <c r="E175" s="471"/>
      <c r="F175" s="464"/>
      <c r="G175" s="472" t="s">
        <v>551</v>
      </c>
      <c r="H175" s="473"/>
      <c r="I175" s="473"/>
      <c r="J175" s="473"/>
      <c r="K175" s="473"/>
      <c r="L175" s="473"/>
      <c r="M175" s="473"/>
      <c r="N175" s="473"/>
      <c r="O175" s="473"/>
      <c r="P175" s="474"/>
      <c r="Q175" s="472" t="s">
        <v>552</v>
      </c>
      <c r="R175" s="473"/>
      <c r="S175" s="473"/>
      <c r="T175" s="473"/>
      <c r="U175" s="473"/>
      <c r="V175" s="473"/>
      <c r="W175" s="473"/>
      <c r="X175" s="473"/>
      <c r="Y175" s="473"/>
      <c r="Z175" s="473"/>
      <c r="AA175" s="474"/>
      <c r="AB175" s="422"/>
      <c r="AC175" s="460"/>
      <c r="AD175" s="461"/>
      <c r="AE175" s="462"/>
    </row>
    <row r="176" spans="1:31" ht="15.75" customHeight="1" x14ac:dyDescent="0.25">
      <c r="A176" s="422"/>
      <c r="B176" s="403" t="s">
        <v>553</v>
      </c>
      <c r="C176" s="404"/>
      <c r="D176" s="404"/>
      <c r="E176" s="404"/>
      <c r="F176" s="405"/>
      <c r="G176" s="406">
        <v>0.31</v>
      </c>
      <c r="H176" s="407"/>
      <c r="I176" s="407"/>
      <c r="J176" s="407"/>
      <c r="K176" s="407"/>
      <c r="L176" s="407"/>
      <c r="M176" s="407"/>
      <c r="N176" s="407"/>
      <c r="O176" s="407"/>
      <c r="P176" s="408"/>
      <c r="Q176" s="406">
        <v>0.38</v>
      </c>
      <c r="R176" s="407"/>
      <c r="S176" s="407"/>
      <c r="T176" s="407"/>
      <c r="U176" s="407"/>
      <c r="V176" s="407"/>
      <c r="W176" s="407"/>
      <c r="X176" s="407"/>
      <c r="Y176" s="407"/>
      <c r="Z176" s="407"/>
      <c r="AA176" s="408"/>
      <c r="AB176" s="422"/>
      <c r="AC176" s="460"/>
      <c r="AD176" s="461"/>
      <c r="AE176" s="462"/>
    </row>
    <row r="177" spans="1:31" ht="26.1" customHeight="1" x14ac:dyDescent="0.25">
      <c r="A177" s="422"/>
      <c r="B177" s="403" t="s">
        <v>554</v>
      </c>
      <c r="C177" s="404"/>
      <c r="D177" s="404"/>
      <c r="E177" s="404"/>
      <c r="F177" s="405"/>
      <c r="G177" s="406">
        <v>0.63</v>
      </c>
      <c r="H177" s="407"/>
      <c r="I177" s="407"/>
      <c r="J177" s="407"/>
      <c r="K177" s="407"/>
      <c r="L177" s="407"/>
      <c r="M177" s="407"/>
      <c r="N177" s="407"/>
      <c r="O177" s="407"/>
      <c r="P177" s="408"/>
      <c r="Q177" s="406">
        <v>0.75</v>
      </c>
      <c r="R177" s="407"/>
      <c r="S177" s="407"/>
      <c r="T177" s="407"/>
      <c r="U177" s="407"/>
      <c r="V177" s="407"/>
      <c r="W177" s="407"/>
      <c r="X177" s="407"/>
      <c r="Y177" s="407"/>
      <c r="Z177" s="407"/>
      <c r="AA177" s="408"/>
      <c r="AB177" s="422"/>
      <c r="AC177" s="460"/>
      <c r="AD177" s="461"/>
      <c r="AE177" s="462"/>
    </row>
    <row r="178" spans="1:31" ht="15.75" customHeight="1" x14ac:dyDescent="0.25">
      <c r="A178" s="422"/>
      <c r="B178" s="403" t="s">
        <v>555</v>
      </c>
      <c r="C178" s="404"/>
      <c r="D178" s="404"/>
      <c r="E178" s="404"/>
      <c r="F178" s="405"/>
      <c r="G178" s="406">
        <v>1.57</v>
      </c>
      <c r="H178" s="407"/>
      <c r="I178" s="407"/>
      <c r="J178" s="407"/>
      <c r="K178" s="407"/>
      <c r="L178" s="407"/>
      <c r="M178" s="407"/>
      <c r="N178" s="407"/>
      <c r="O178" s="407"/>
      <c r="P178" s="408"/>
      <c r="Q178" s="406">
        <v>1.5</v>
      </c>
      <c r="R178" s="407"/>
      <c r="S178" s="407"/>
      <c r="T178" s="407"/>
      <c r="U178" s="407"/>
      <c r="V178" s="407"/>
      <c r="W178" s="407"/>
      <c r="X178" s="407"/>
      <c r="Y178" s="407"/>
      <c r="Z178" s="407"/>
      <c r="AA178" s="408"/>
      <c r="AB178" s="422"/>
      <c r="AC178" s="460"/>
      <c r="AD178" s="461"/>
      <c r="AE178" s="462"/>
    </row>
    <row r="179" spans="1:31" ht="26.1" customHeight="1" x14ac:dyDescent="0.25">
      <c r="A179" s="422"/>
      <c r="B179" s="403" t="s">
        <v>556</v>
      </c>
      <c r="C179" s="404"/>
      <c r="D179" s="404"/>
      <c r="E179" s="404"/>
      <c r="F179" s="405"/>
      <c r="G179" s="406">
        <v>1.88</v>
      </c>
      <c r="H179" s="407"/>
      <c r="I179" s="407"/>
      <c r="J179" s="407"/>
      <c r="K179" s="407"/>
      <c r="L179" s="407"/>
      <c r="M179" s="407"/>
      <c r="N179" s="407"/>
      <c r="O179" s="407"/>
      <c r="P179" s="408"/>
      <c r="Q179" s="406">
        <v>1.88</v>
      </c>
      <c r="R179" s="407"/>
      <c r="S179" s="407"/>
      <c r="T179" s="407"/>
      <c r="U179" s="407"/>
      <c r="V179" s="407"/>
      <c r="W179" s="407"/>
      <c r="X179" s="407"/>
      <c r="Y179" s="407"/>
      <c r="Z179" s="407"/>
      <c r="AA179" s="408"/>
      <c r="AB179" s="422"/>
      <c r="AC179" s="460"/>
      <c r="AD179" s="461"/>
      <c r="AE179" s="462"/>
    </row>
    <row r="180" spans="1:31" ht="31.5" customHeight="1" x14ac:dyDescent="0.25">
      <c r="A180" s="422"/>
      <c r="B180" s="454" t="s">
        <v>557</v>
      </c>
      <c r="C180" s="455"/>
      <c r="D180" s="455"/>
      <c r="E180" s="455"/>
      <c r="F180" s="456"/>
      <c r="G180" s="406">
        <v>3.13</v>
      </c>
      <c r="H180" s="407"/>
      <c r="I180" s="407"/>
      <c r="J180" s="407"/>
      <c r="K180" s="407"/>
      <c r="L180" s="407"/>
      <c r="M180" s="407"/>
      <c r="N180" s="407"/>
      <c r="O180" s="407"/>
      <c r="P180" s="408"/>
      <c r="Q180" s="406">
        <v>3.38</v>
      </c>
      <c r="R180" s="407"/>
      <c r="S180" s="407"/>
      <c r="T180" s="407"/>
      <c r="U180" s="407"/>
      <c r="V180" s="407"/>
      <c r="W180" s="407"/>
      <c r="X180" s="407"/>
      <c r="Y180" s="407"/>
      <c r="Z180" s="407"/>
      <c r="AA180" s="408"/>
      <c r="AB180" s="422"/>
      <c r="AC180" s="460"/>
      <c r="AD180" s="461"/>
      <c r="AE180" s="462"/>
    </row>
    <row r="181" spans="1:31" ht="15.75" customHeight="1" x14ac:dyDescent="0.25">
      <c r="A181" s="422"/>
      <c r="B181" s="403" t="s">
        <v>558</v>
      </c>
      <c r="C181" s="404"/>
      <c r="D181" s="404"/>
      <c r="E181" s="404"/>
      <c r="F181" s="405"/>
      <c r="G181" s="406">
        <v>3.45</v>
      </c>
      <c r="H181" s="407"/>
      <c r="I181" s="407"/>
      <c r="J181" s="407"/>
      <c r="K181" s="407"/>
      <c r="L181" s="407"/>
      <c r="M181" s="407"/>
      <c r="N181" s="407"/>
      <c r="O181" s="407"/>
      <c r="P181" s="408"/>
      <c r="Q181" s="406">
        <v>3.76</v>
      </c>
      <c r="R181" s="407"/>
      <c r="S181" s="407"/>
      <c r="T181" s="407"/>
      <c r="U181" s="407"/>
      <c r="V181" s="407"/>
      <c r="W181" s="407"/>
      <c r="X181" s="407"/>
      <c r="Y181" s="407"/>
      <c r="Z181" s="407"/>
      <c r="AA181" s="408"/>
      <c r="AB181" s="422"/>
      <c r="AC181" s="460"/>
      <c r="AD181" s="461"/>
      <c r="AE181" s="462"/>
    </row>
    <row r="182" spans="1:31" ht="15.75" customHeight="1" x14ac:dyDescent="0.25">
      <c r="A182" s="422"/>
      <c r="B182" s="403" t="s">
        <v>559</v>
      </c>
      <c r="C182" s="404"/>
      <c r="D182" s="404"/>
      <c r="E182" s="404"/>
      <c r="F182" s="405"/>
      <c r="G182" s="406">
        <v>5.01</v>
      </c>
      <c r="H182" s="407"/>
      <c r="I182" s="407"/>
      <c r="J182" s="407"/>
      <c r="K182" s="407"/>
      <c r="L182" s="407"/>
      <c r="M182" s="407"/>
      <c r="N182" s="407"/>
      <c r="O182" s="407"/>
      <c r="P182" s="408"/>
      <c r="Q182" s="406">
        <v>3.76</v>
      </c>
      <c r="R182" s="407"/>
      <c r="S182" s="407"/>
      <c r="T182" s="407"/>
      <c r="U182" s="407"/>
      <c r="V182" s="407"/>
      <c r="W182" s="407"/>
      <c r="X182" s="407"/>
      <c r="Y182" s="407"/>
      <c r="Z182" s="407"/>
      <c r="AA182" s="408"/>
      <c r="AB182" s="422"/>
      <c r="AC182" s="460"/>
      <c r="AD182" s="461"/>
      <c r="AE182" s="462"/>
    </row>
    <row r="183" spans="1:31" ht="15.75" customHeight="1" x14ac:dyDescent="0.25">
      <c r="A183" s="422"/>
      <c r="B183" s="403" t="s">
        <v>560</v>
      </c>
      <c r="C183" s="404"/>
      <c r="D183" s="404"/>
      <c r="E183" s="404"/>
      <c r="F183" s="405"/>
      <c r="G183" s="406">
        <v>3.45</v>
      </c>
      <c r="H183" s="407"/>
      <c r="I183" s="407"/>
      <c r="J183" s="407"/>
      <c r="K183" s="407"/>
      <c r="L183" s="407"/>
      <c r="M183" s="407"/>
      <c r="N183" s="407"/>
      <c r="O183" s="407"/>
      <c r="P183" s="408"/>
      <c r="Q183" s="406">
        <v>3.76</v>
      </c>
      <c r="R183" s="407"/>
      <c r="S183" s="407"/>
      <c r="T183" s="407"/>
      <c r="U183" s="407"/>
      <c r="V183" s="407"/>
      <c r="W183" s="407"/>
      <c r="X183" s="407"/>
      <c r="Y183" s="407"/>
      <c r="Z183" s="407"/>
      <c r="AA183" s="408"/>
      <c r="AB183" s="422"/>
      <c r="AC183" s="460"/>
      <c r="AD183" s="461"/>
      <c r="AE183" s="462"/>
    </row>
    <row r="184" spans="1:31" ht="279" customHeight="1" x14ac:dyDescent="0.25">
      <c r="A184" s="433" t="s">
        <v>561</v>
      </c>
      <c r="B184" s="434"/>
      <c r="C184" s="434"/>
      <c r="D184" s="434"/>
      <c r="E184" s="434"/>
      <c r="F184" s="434"/>
      <c r="G184" s="434"/>
      <c r="H184" s="434"/>
      <c r="I184" s="434"/>
      <c r="J184" s="434"/>
      <c r="K184" s="434"/>
      <c r="L184" s="434"/>
      <c r="M184" s="434"/>
      <c r="N184" s="434"/>
      <c r="O184" s="434"/>
      <c r="P184" s="434"/>
      <c r="Q184" s="434"/>
      <c r="R184" s="434"/>
      <c r="S184" s="434"/>
      <c r="T184" s="434"/>
      <c r="U184" s="434"/>
      <c r="V184" s="434"/>
      <c r="W184" s="434"/>
      <c r="X184" s="434"/>
      <c r="Y184" s="434"/>
      <c r="Z184" s="434"/>
      <c r="AA184" s="434"/>
      <c r="AB184" s="435"/>
      <c r="AC184" s="433"/>
      <c r="AD184" s="434"/>
      <c r="AE184" s="435"/>
    </row>
    <row r="185" spans="1:31" ht="16.5" customHeight="1" x14ac:dyDescent="0.25">
      <c r="A185" s="415" t="s">
        <v>426</v>
      </c>
      <c r="B185" s="416"/>
      <c r="C185" s="416"/>
      <c r="D185" s="416"/>
      <c r="E185" s="416"/>
      <c r="F185" s="416"/>
      <c r="G185" s="416"/>
      <c r="H185" s="416"/>
      <c r="I185" s="416"/>
      <c r="J185" s="416"/>
      <c r="K185" s="416"/>
      <c r="L185" s="416"/>
      <c r="M185" s="416"/>
      <c r="N185" s="416"/>
      <c r="O185" s="416"/>
      <c r="P185" s="416"/>
      <c r="Q185" s="416"/>
      <c r="R185" s="416"/>
      <c r="S185" s="416"/>
      <c r="T185" s="416"/>
      <c r="U185" s="416"/>
      <c r="V185" s="417"/>
      <c r="W185" s="415" t="s">
        <v>427</v>
      </c>
      <c r="X185" s="416"/>
      <c r="Y185" s="416"/>
      <c r="Z185" s="416"/>
      <c r="AA185" s="416"/>
      <c r="AB185" s="416"/>
      <c r="AC185" s="416"/>
      <c r="AD185" s="416"/>
      <c r="AE185" s="417"/>
    </row>
    <row r="186" spans="1:31" ht="12.95" customHeight="1" x14ac:dyDescent="0.2">
      <c r="A186" s="436"/>
      <c r="B186" s="437"/>
      <c r="C186" s="437"/>
      <c r="D186" s="437"/>
      <c r="E186" s="437"/>
      <c r="F186" s="437"/>
      <c r="G186" s="437"/>
      <c r="H186" s="437"/>
      <c r="I186" s="437"/>
      <c r="J186" s="437"/>
      <c r="K186" s="437"/>
      <c r="L186" s="437"/>
      <c r="M186" s="437"/>
      <c r="N186" s="437"/>
      <c r="O186" s="437"/>
      <c r="P186" s="437"/>
      <c r="Q186" s="437"/>
      <c r="R186" s="437"/>
      <c r="S186" s="437"/>
      <c r="T186" s="437"/>
      <c r="U186" s="437"/>
      <c r="V186" s="438"/>
      <c r="W186" s="457" t="s">
        <v>562</v>
      </c>
      <c r="X186" s="458"/>
      <c r="Y186" s="458"/>
      <c r="Z186" s="458"/>
      <c r="AA186" s="458"/>
      <c r="AB186" s="458"/>
      <c r="AC186" s="458"/>
      <c r="AD186" s="458"/>
      <c r="AE186" s="459"/>
    </row>
    <row r="187" spans="1:31" ht="38.1" customHeight="1" x14ac:dyDescent="0.25">
      <c r="A187" s="422"/>
      <c r="B187" s="463" t="s">
        <v>563</v>
      </c>
      <c r="C187" s="464"/>
      <c r="D187" s="465" t="s">
        <v>564</v>
      </c>
      <c r="E187" s="466"/>
      <c r="F187" s="466"/>
      <c r="G187" s="467"/>
      <c r="H187" s="468" t="s">
        <v>565</v>
      </c>
      <c r="I187" s="469"/>
      <c r="J187" s="469"/>
      <c r="K187" s="469"/>
      <c r="L187" s="469"/>
      <c r="M187" s="469"/>
      <c r="N187" s="469"/>
      <c r="O187" s="469"/>
      <c r="P187" s="469"/>
      <c r="Q187" s="469"/>
      <c r="R187" s="469"/>
      <c r="S187" s="469"/>
      <c r="T187" s="470"/>
      <c r="U187" s="460"/>
      <c r="V187" s="462"/>
      <c r="W187" s="460"/>
      <c r="X187" s="461"/>
      <c r="Y187" s="461"/>
      <c r="Z187" s="461"/>
      <c r="AA187" s="461"/>
      <c r="AB187" s="461"/>
      <c r="AC187" s="461"/>
      <c r="AD187" s="461"/>
      <c r="AE187" s="462"/>
    </row>
    <row r="188" spans="1:31" ht="15.75" customHeight="1" x14ac:dyDescent="0.25">
      <c r="A188" s="422"/>
      <c r="B188" s="403" t="s">
        <v>566</v>
      </c>
      <c r="C188" s="405"/>
      <c r="D188" s="451" t="s">
        <v>567</v>
      </c>
      <c r="E188" s="452"/>
      <c r="F188" s="452"/>
      <c r="G188" s="453"/>
      <c r="H188" s="406">
        <v>7.2</v>
      </c>
      <c r="I188" s="407"/>
      <c r="J188" s="407"/>
      <c r="K188" s="407"/>
      <c r="L188" s="407"/>
      <c r="M188" s="407"/>
      <c r="N188" s="407"/>
      <c r="O188" s="407"/>
      <c r="P188" s="407"/>
      <c r="Q188" s="407"/>
      <c r="R188" s="407"/>
      <c r="S188" s="407"/>
      <c r="T188" s="408"/>
      <c r="U188" s="460"/>
      <c r="V188" s="462"/>
      <c r="W188" s="460"/>
      <c r="X188" s="461"/>
      <c r="Y188" s="461"/>
      <c r="Z188" s="461"/>
      <c r="AA188" s="461"/>
      <c r="AB188" s="461"/>
      <c r="AC188" s="461"/>
      <c r="AD188" s="461"/>
      <c r="AE188" s="462"/>
    </row>
    <row r="189" spans="1:31" ht="15.75" customHeight="1" x14ac:dyDescent="0.25">
      <c r="A189" s="422"/>
      <c r="B189" s="403" t="s">
        <v>568</v>
      </c>
      <c r="C189" s="405"/>
      <c r="D189" s="451" t="s">
        <v>569</v>
      </c>
      <c r="E189" s="452"/>
      <c r="F189" s="452"/>
      <c r="G189" s="453"/>
      <c r="H189" s="406">
        <v>6.42</v>
      </c>
      <c r="I189" s="407"/>
      <c r="J189" s="407"/>
      <c r="K189" s="407"/>
      <c r="L189" s="407"/>
      <c r="M189" s="407"/>
      <c r="N189" s="407"/>
      <c r="O189" s="407"/>
      <c r="P189" s="407"/>
      <c r="Q189" s="407"/>
      <c r="R189" s="407"/>
      <c r="S189" s="407"/>
      <c r="T189" s="408"/>
      <c r="U189" s="460"/>
      <c r="V189" s="462"/>
      <c r="W189" s="460"/>
      <c r="X189" s="461"/>
      <c r="Y189" s="461"/>
      <c r="Z189" s="461"/>
      <c r="AA189" s="461"/>
      <c r="AB189" s="461"/>
      <c r="AC189" s="461"/>
      <c r="AD189" s="461"/>
      <c r="AE189" s="462"/>
    </row>
    <row r="190" spans="1:31" ht="397.7" customHeight="1" x14ac:dyDescent="0.25">
      <c r="A190" s="433" t="s">
        <v>570</v>
      </c>
      <c r="B190" s="434"/>
      <c r="C190" s="434"/>
      <c r="D190" s="434"/>
      <c r="E190" s="434"/>
      <c r="F190" s="434"/>
      <c r="G190" s="434"/>
      <c r="H190" s="434"/>
      <c r="I190" s="434"/>
      <c r="J190" s="434"/>
      <c r="K190" s="434"/>
      <c r="L190" s="434"/>
      <c r="M190" s="434"/>
      <c r="N190" s="434"/>
      <c r="O190" s="434"/>
      <c r="P190" s="434"/>
      <c r="Q190" s="434"/>
      <c r="R190" s="434"/>
      <c r="S190" s="434"/>
      <c r="T190" s="434"/>
      <c r="U190" s="434"/>
      <c r="V190" s="435"/>
      <c r="W190" s="433"/>
      <c r="X190" s="434"/>
      <c r="Y190" s="434"/>
      <c r="Z190" s="434"/>
      <c r="AA190" s="434"/>
      <c r="AB190" s="434"/>
      <c r="AC190" s="434"/>
      <c r="AD190" s="434"/>
      <c r="AE190" s="435"/>
    </row>
    <row r="191" spans="1:31" ht="27" customHeight="1" x14ac:dyDescent="0.25">
      <c r="A191" s="415" t="s">
        <v>426</v>
      </c>
      <c r="B191" s="416"/>
      <c r="C191" s="416"/>
      <c r="D191" s="416"/>
      <c r="E191" s="416"/>
      <c r="F191" s="416"/>
      <c r="G191" s="416"/>
      <c r="H191" s="416"/>
      <c r="I191" s="416"/>
      <c r="J191" s="416"/>
      <c r="K191" s="416"/>
      <c r="L191" s="416"/>
      <c r="M191" s="416"/>
      <c r="N191" s="416"/>
      <c r="O191" s="416"/>
      <c r="P191" s="416"/>
      <c r="Q191" s="416"/>
      <c r="R191" s="416"/>
      <c r="S191" s="416"/>
      <c r="T191" s="416"/>
      <c r="U191" s="416"/>
      <c r="V191" s="416"/>
      <c r="W191" s="416"/>
      <c r="X191" s="416"/>
      <c r="Y191" s="416"/>
      <c r="Z191" s="416"/>
      <c r="AA191" s="416"/>
      <c r="AB191" s="416"/>
      <c r="AC191" s="416"/>
      <c r="AD191" s="417"/>
      <c r="AE191" s="24" t="s">
        <v>427</v>
      </c>
    </row>
    <row r="192" spans="1:31" ht="12.95" customHeight="1" x14ac:dyDescent="0.2">
      <c r="A192" s="418"/>
      <c r="B192" s="419"/>
      <c r="C192" s="419"/>
      <c r="D192" s="419"/>
      <c r="E192" s="419"/>
      <c r="F192" s="419"/>
      <c r="G192" s="419"/>
      <c r="H192" s="419"/>
      <c r="I192" s="419"/>
      <c r="J192" s="419"/>
      <c r="K192" s="419"/>
      <c r="L192" s="419"/>
      <c r="M192" s="419"/>
      <c r="N192" s="419"/>
      <c r="O192" s="419"/>
      <c r="P192" s="419"/>
      <c r="Q192" s="419"/>
      <c r="R192" s="419"/>
      <c r="S192" s="419"/>
      <c r="T192" s="419"/>
      <c r="U192" s="419"/>
      <c r="V192" s="419"/>
      <c r="W192" s="419"/>
      <c r="X192" s="419"/>
      <c r="Y192" s="419"/>
      <c r="Z192" s="419"/>
      <c r="AA192" s="419"/>
      <c r="AB192" s="419"/>
      <c r="AC192" s="419"/>
      <c r="AD192" s="420"/>
      <c r="AE192" s="421" t="s">
        <v>571</v>
      </c>
    </row>
    <row r="193" spans="1:31" ht="15.75" customHeight="1" x14ac:dyDescent="0.25">
      <c r="A193" s="422"/>
      <c r="B193" s="424" t="s">
        <v>572</v>
      </c>
      <c r="C193" s="425"/>
      <c r="D193" s="425"/>
      <c r="E193" s="425"/>
      <c r="F193" s="425"/>
      <c r="G193" s="425"/>
      <c r="H193" s="425"/>
      <c r="I193" s="425"/>
      <c r="J193" s="426"/>
      <c r="K193" s="427" t="s">
        <v>573</v>
      </c>
      <c r="L193" s="428"/>
      <c r="M193" s="428"/>
      <c r="N193" s="428"/>
      <c r="O193" s="428"/>
      <c r="P193" s="428"/>
      <c r="Q193" s="428"/>
      <c r="R193" s="428"/>
      <c r="S193" s="428"/>
      <c r="T193" s="428"/>
      <c r="U193" s="428"/>
      <c r="V193" s="428"/>
      <c r="W193" s="428"/>
      <c r="X193" s="428"/>
      <c r="Y193" s="428"/>
      <c r="Z193" s="428"/>
      <c r="AA193" s="428"/>
      <c r="AB193" s="428"/>
      <c r="AC193" s="429"/>
      <c r="AD193" s="422"/>
      <c r="AE193" s="422"/>
    </row>
    <row r="194" spans="1:31" ht="15.75" customHeight="1" x14ac:dyDescent="0.2">
      <c r="A194" s="422"/>
      <c r="B194" s="439"/>
      <c r="C194" s="440"/>
      <c r="D194" s="440"/>
      <c r="E194" s="440"/>
      <c r="F194" s="440"/>
      <c r="G194" s="440"/>
      <c r="H194" s="440"/>
      <c r="I194" s="440"/>
      <c r="J194" s="441"/>
      <c r="K194" s="442" t="s">
        <v>574</v>
      </c>
      <c r="L194" s="443"/>
      <c r="M194" s="443"/>
      <c r="N194" s="443"/>
      <c r="O194" s="443"/>
      <c r="P194" s="443"/>
      <c r="Q194" s="443"/>
      <c r="R194" s="443"/>
      <c r="S194" s="443"/>
      <c r="T194" s="443"/>
      <c r="U194" s="443"/>
      <c r="V194" s="443"/>
      <c r="W194" s="443"/>
      <c r="X194" s="443"/>
      <c r="Y194" s="443"/>
      <c r="Z194" s="443"/>
      <c r="AA194" s="443"/>
      <c r="AB194" s="443"/>
      <c r="AC194" s="444"/>
      <c r="AD194" s="422"/>
      <c r="AE194" s="422"/>
    </row>
    <row r="195" spans="1:31" ht="15.75" customHeight="1" x14ac:dyDescent="0.2">
      <c r="A195" s="422"/>
      <c r="B195" s="445"/>
      <c r="C195" s="446"/>
      <c r="D195" s="446"/>
      <c r="E195" s="446"/>
      <c r="F195" s="446"/>
      <c r="G195" s="446"/>
      <c r="H195" s="446"/>
      <c r="I195" s="446"/>
      <c r="J195" s="447"/>
      <c r="K195" s="448" t="s">
        <v>575</v>
      </c>
      <c r="L195" s="449"/>
      <c r="M195" s="449"/>
      <c r="N195" s="449"/>
      <c r="O195" s="450"/>
      <c r="P195" s="448" t="s">
        <v>576</v>
      </c>
      <c r="Q195" s="449"/>
      <c r="R195" s="449"/>
      <c r="S195" s="449"/>
      <c r="T195" s="449"/>
      <c r="U195" s="449"/>
      <c r="V195" s="449"/>
      <c r="W195" s="449"/>
      <c r="X195" s="449"/>
      <c r="Y195" s="449"/>
      <c r="Z195" s="450"/>
      <c r="AA195" s="448" t="s">
        <v>577</v>
      </c>
      <c r="AB195" s="449"/>
      <c r="AC195" s="450"/>
      <c r="AD195" s="422"/>
      <c r="AE195" s="422"/>
    </row>
    <row r="196" spans="1:31" ht="15.75" customHeight="1" x14ac:dyDescent="0.25">
      <c r="A196" s="422"/>
      <c r="B196" s="403" t="s">
        <v>578</v>
      </c>
      <c r="C196" s="404"/>
      <c r="D196" s="404"/>
      <c r="E196" s="404"/>
      <c r="F196" s="404"/>
      <c r="G196" s="404"/>
      <c r="H196" s="404"/>
      <c r="I196" s="404"/>
      <c r="J196" s="405"/>
      <c r="K196" s="406">
        <v>0.13</v>
      </c>
      <c r="L196" s="407"/>
      <c r="M196" s="407"/>
      <c r="N196" s="407"/>
      <c r="O196" s="408"/>
      <c r="P196" s="406">
        <v>1.8E-3</v>
      </c>
      <c r="Q196" s="407"/>
      <c r="R196" s="407"/>
      <c r="S196" s="407"/>
      <c r="T196" s="407"/>
      <c r="U196" s="407"/>
      <c r="V196" s="407"/>
      <c r="W196" s="407"/>
      <c r="X196" s="407"/>
      <c r="Y196" s="407"/>
      <c r="Z196" s="408"/>
      <c r="AA196" s="406">
        <v>1.4999999999999999E-2</v>
      </c>
      <c r="AB196" s="407"/>
      <c r="AC196" s="408"/>
      <c r="AD196" s="422"/>
      <c r="AE196" s="422"/>
    </row>
    <row r="197" spans="1:31" ht="15.75" customHeight="1" x14ac:dyDescent="0.25">
      <c r="A197" s="422"/>
      <c r="B197" s="403" t="s">
        <v>579</v>
      </c>
      <c r="C197" s="404"/>
      <c r="D197" s="404"/>
      <c r="E197" s="404"/>
      <c r="F197" s="404"/>
      <c r="G197" s="404"/>
      <c r="H197" s="404"/>
      <c r="I197" s="404"/>
      <c r="J197" s="405"/>
      <c r="K197" s="406">
        <v>2.8000000000000001E-2</v>
      </c>
      <c r="L197" s="407"/>
      <c r="M197" s="407"/>
      <c r="N197" s="407"/>
      <c r="O197" s="408"/>
      <c r="P197" s="406">
        <v>2.0000000000000001E-4</v>
      </c>
      <c r="Q197" s="407"/>
      <c r="R197" s="407"/>
      <c r="S197" s="407"/>
      <c r="T197" s="407"/>
      <c r="U197" s="407"/>
      <c r="V197" s="407"/>
      <c r="W197" s="407"/>
      <c r="X197" s="407"/>
      <c r="Y197" s="407"/>
      <c r="Z197" s="408"/>
      <c r="AA197" s="406">
        <v>0.08</v>
      </c>
      <c r="AB197" s="407"/>
      <c r="AC197" s="408"/>
      <c r="AD197" s="422"/>
      <c r="AE197" s="422"/>
    </row>
    <row r="198" spans="1:31" ht="15.75" customHeight="1" x14ac:dyDescent="0.25">
      <c r="A198" s="422"/>
      <c r="B198" s="409" t="s">
        <v>580</v>
      </c>
      <c r="C198" s="410"/>
      <c r="D198" s="410"/>
      <c r="E198" s="410"/>
      <c r="F198" s="410"/>
      <c r="G198" s="410"/>
      <c r="H198" s="410"/>
      <c r="I198" s="410"/>
      <c r="J198" s="411"/>
      <c r="K198" s="412">
        <v>0.109</v>
      </c>
      <c r="L198" s="413"/>
      <c r="M198" s="413"/>
      <c r="N198" s="413"/>
      <c r="O198" s="414"/>
      <c r="P198" s="412">
        <v>1E-3</v>
      </c>
      <c r="Q198" s="413"/>
      <c r="R198" s="413"/>
      <c r="S198" s="413"/>
      <c r="T198" s="413"/>
      <c r="U198" s="413"/>
      <c r="V198" s="413"/>
      <c r="W198" s="413"/>
      <c r="X198" s="413"/>
      <c r="Y198" s="413"/>
      <c r="Z198" s="414"/>
      <c r="AA198" s="412">
        <v>3.3000000000000002E-2</v>
      </c>
      <c r="AB198" s="413"/>
      <c r="AC198" s="414"/>
      <c r="AD198" s="422"/>
      <c r="AE198" s="422"/>
    </row>
    <row r="199" spans="1:31" ht="15.75" customHeight="1" x14ac:dyDescent="0.2">
      <c r="A199" s="422"/>
      <c r="B199" s="400" t="s">
        <v>581</v>
      </c>
      <c r="C199" s="401"/>
      <c r="D199" s="401"/>
      <c r="E199" s="401"/>
      <c r="F199" s="401"/>
      <c r="G199" s="401"/>
      <c r="H199" s="401"/>
      <c r="I199" s="401"/>
      <c r="J199" s="402"/>
      <c r="K199" s="430"/>
      <c r="L199" s="431"/>
      <c r="M199" s="431"/>
      <c r="N199" s="431"/>
      <c r="O199" s="432"/>
      <c r="P199" s="430"/>
      <c r="Q199" s="431"/>
      <c r="R199" s="431"/>
      <c r="S199" s="431"/>
      <c r="T199" s="431"/>
      <c r="U199" s="431"/>
      <c r="V199" s="431"/>
      <c r="W199" s="431"/>
      <c r="X199" s="431"/>
      <c r="Y199" s="431"/>
      <c r="Z199" s="432"/>
      <c r="AA199" s="430"/>
      <c r="AB199" s="431"/>
      <c r="AC199" s="432"/>
      <c r="AD199" s="422"/>
      <c r="AE199" s="422"/>
    </row>
    <row r="200" spans="1:31" ht="15.75" customHeight="1" x14ac:dyDescent="0.25">
      <c r="A200" s="422"/>
      <c r="B200" s="403" t="s">
        <v>582</v>
      </c>
      <c r="C200" s="404"/>
      <c r="D200" s="404"/>
      <c r="E200" s="404"/>
      <c r="F200" s="404"/>
      <c r="G200" s="404"/>
      <c r="H200" s="404"/>
      <c r="I200" s="404"/>
      <c r="J200" s="405"/>
      <c r="K200" s="406">
        <v>0.32400000000000001</v>
      </c>
      <c r="L200" s="407"/>
      <c r="M200" s="407"/>
      <c r="N200" s="407"/>
      <c r="O200" s="408"/>
      <c r="P200" s="406">
        <v>4.1099999999999998E-2</v>
      </c>
      <c r="Q200" s="407"/>
      <c r="R200" s="407"/>
      <c r="S200" s="407"/>
      <c r="T200" s="407"/>
      <c r="U200" s="407"/>
      <c r="V200" s="407"/>
      <c r="W200" s="407"/>
      <c r="X200" s="407"/>
      <c r="Y200" s="407"/>
      <c r="Z200" s="408"/>
      <c r="AA200" s="406">
        <v>1.4E-2</v>
      </c>
      <c r="AB200" s="407"/>
      <c r="AC200" s="408"/>
      <c r="AD200" s="422"/>
      <c r="AE200" s="422"/>
    </row>
    <row r="201" spans="1:31" ht="15.75" customHeight="1" x14ac:dyDescent="0.25">
      <c r="A201" s="422"/>
      <c r="B201" s="403" t="s">
        <v>583</v>
      </c>
      <c r="C201" s="404"/>
      <c r="D201" s="404"/>
      <c r="E201" s="404"/>
      <c r="F201" s="404"/>
      <c r="G201" s="404"/>
      <c r="H201" s="404"/>
      <c r="I201" s="404"/>
      <c r="J201" s="405"/>
      <c r="K201" s="406">
        <v>7.0000000000000007E-2</v>
      </c>
      <c r="L201" s="407"/>
      <c r="M201" s="407"/>
      <c r="N201" s="407"/>
      <c r="O201" s="408"/>
      <c r="P201" s="406">
        <v>3.3999999999999998E-3</v>
      </c>
      <c r="Q201" s="407"/>
      <c r="R201" s="407"/>
      <c r="S201" s="407"/>
      <c r="T201" s="407"/>
      <c r="U201" s="407"/>
      <c r="V201" s="407"/>
      <c r="W201" s="407"/>
      <c r="X201" s="407"/>
      <c r="Y201" s="407"/>
      <c r="Z201" s="408"/>
      <c r="AA201" s="406">
        <v>2.1999999999999999E-2</v>
      </c>
      <c r="AB201" s="407"/>
      <c r="AC201" s="408"/>
      <c r="AD201" s="422"/>
      <c r="AE201" s="422"/>
    </row>
    <row r="202" spans="1:31" ht="15.75" customHeight="1" x14ac:dyDescent="0.25">
      <c r="A202" s="422"/>
      <c r="B202" s="409" t="s">
        <v>584</v>
      </c>
      <c r="C202" s="410"/>
      <c r="D202" s="410"/>
      <c r="E202" s="410"/>
      <c r="F202" s="410"/>
      <c r="G202" s="410"/>
      <c r="H202" s="410"/>
      <c r="I202" s="410"/>
      <c r="J202" s="411"/>
      <c r="K202" s="412">
        <v>0.222</v>
      </c>
      <c r="L202" s="413"/>
      <c r="M202" s="413"/>
      <c r="N202" s="413"/>
      <c r="O202" s="414"/>
      <c r="P202" s="412">
        <v>2.07E-2</v>
      </c>
      <c r="Q202" s="413"/>
      <c r="R202" s="413"/>
      <c r="S202" s="413"/>
      <c r="T202" s="413"/>
      <c r="U202" s="413"/>
      <c r="V202" s="413"/>
      <c r="W202" s="413"/>
      <c r="X202" s="413"/>
      <c r="Y202" s="413"/>
      <c r="Z202" s="414"/>
      <c r="AA202" s="412">
        <v>1.7999999999999999E-2</v>
      </c>
      <c r="AB202" s="413"/>
      <c r="AC202" s="414"/>
      <c r="AD202" s="422"/>
      <c r="AE202" s="422"/>
    </row>
    <row r="203" spans="1:31" ht="15.75" customHeight="1" x14ac:dyDescent="0.2">
      <c r="A203" s="422"/>
      <c r="B203" s="400" t="s">
        <v>581</v>
      </c>
      <c r="C203" s="401"/>
      <c r="D203" s="401"/>
      <c r="E203" s="401"/>
      <c r="F203" s="401"/>
      <c r="G203" s="401"/>
      <c r="H203" s="401"/>
      <c r="I203" s="401"/>
      <c r="J203" s="402"/>
      <c r="K203" s="430"/>
      <c r="L203" s="431"/>
      <c r="M203" s="431"/>
      <c r="N203" s="431"/>
      <c r="O203" s="432"/>
      <c r="P203" s="430"/>
      <c r="Q203" s="431"/>
      <c r="R203" s="431"/>
      <c r="S203" s="431"/>
      <c r="T203" s="431"/>
      <c r="U203" s="431"/>
      <c r="V203" s="431"/>
      <c r="W203" s="431"/>
      <c r="X203" s="431"/>
      <c r="Y203" s="431"/>
      <c r="Z203" s="432"/>
      <c r="AA203" s="430"/>
      <c r="AB203" s="431"/>
      <c r="AC203" s="432"/>
      <c r="AD203" s="422"/>
      <c r="AE203" s="422"/>
    </row>
    <row r="204" spans="1:31" ht="15.75" customHeight="1" x14ac:dyDescent="0.25">
      <c r="A204" s="422"/>
      <c r="B204" s="403" t="s">
        <v>585</v>
      </c>
      <c r="C204" s="404"/>
      <c r="D204" s="404"/>
      <c r="E204" s="404"/>
      <c r="F204" s="404"/>
      <c r="G204" s="404"/>
      <c r="H204" s="404"/>
      <c r="I204" s="404"/>
      <c r="J204" s="405"/>
      <c r="K204" s="406">
        <v>0.14399999999999999</v>
      </c>
      <c r="L204" s="407"/>
      <c r="M204" s="407"/>
      <c r="N204" s="407"/>
      <c r="O204" s="408"/>
      <c r="P204" s="406">
        <v>4.7999999999999996E-3</v>
      </c>
      <c r="Q204" s="407"/>
      <c r="R204" s="407"/>
      <c r="S204" s="407"/>
      <c r="T204" s="407"/>
      <c r="U204" s="407"/>
      <c r="V204" s="407"/>
      <c r="W204" s="407"/>
      <c r="X204" s="407"/>
      <c r="Y204" s="407"/>
      <c r="Z204" s="408"/>
      <c r="AA204" s="406">
        <v>1.4999999999999999E-2</v>
      </c>
      <c r="AB204" s="407"/>
      <c r="AC204" s="408"/>
      <c r="AD204" s="422"/>
      <c r="AE204" s="422"/>
    </row>
    <row r="205" spans="1:31" ht="15.75" customHeight="1" x14ac:dyDescent="0.25">
      <c r="A205" s="422"/>
      <c r="B205" s="403" t="s">
        <v>586</v>
      </c>
      <c r="C205" s="404"/>
      <c r="D205" s="404"/>
      <c r="E205" s="404"/>
      <c r="F205" s="404"/>
      <c r="G205" s="404"/>
      <c r="H205" s="404"/>
      <c r="I205" s="404"/>
      <c r="J205" s="405"/>
      <c r="K205" s="406">
        <v>3.4000000000000002E-2</v>
      </c>
      <c r="L205" s="407"/>
      <c r="M205" s="407"/>
      <c r="N205" s="407"/>
      <c r="O205" s="408"/>
      <c r="P205" s="406">
        <v>6.9999999999999999E-4</v>
      </c>
      <c r="Q205" s="407"/>
      <c r="R205" s="407"/>
      <c r="S205" s="407"/>
      <c r="T205" s="407"/>
      <c r="U205" s="407"/>
      <c r="V205" s="407"/>
      <c r="W205" s="407"/>
      <c r="X205" s="407"/>
      <c r="Y205" s="407"/>
      <c r="Z205" s="408"/>
      <c r="AA205" s="406">
        <v>7.0999999999999994E-2</v>
      </c>
      <c r="AB205" s="407"/>
      <c r="AC205" s="408"/>
      <c r="AD205" s="422"/>
      <c r="AE205" s="422"/>
    </row>
    <row r="206" spans="1:31" ht="15.75" customHeight="1" x14ac:dyDescent="0.25">
      <c r="A206" s="422"/>
      <c r="B206" s="403" t="s">
        <v>587</v>
      </c>
      <c r="C206" s="404"/>
      <c r="D206" s="404"/>
      <c r="E206" s="404"/>
      <c r="F206" s="404"/>
      <c r="G206" s="404"/>
      <c r="H206" s="404"/>
      <c r="I206" s="404"/>
      <c r="J206" s="405"/>
      <c r="K206" s="406">
        <v>0.12</v>
      </c>
      <c r="L206" s="407"/>
      <c r="M206" s="407"/>
      <c r="N206" s="407"/>
      <c r="O206" s="408"/>
      <c r="P206" s="406">
        <v>2.8999999999999998E-3</v>
      </c>
      <c r="Q206" s="407"/>
      <c r="R206" s="407"/>
      <c r="S206" s="407"/>
      <c r="T206" s="407"/>
      <c r="U206" s="407"/>
      <c r="V206" s="407"/>
      <c r="W206" s="407"/>
      <c r="X206" s="407"/>
      <c r="Y206" s="407"/>
      <c r="Z206" s="408"/>
      <c r="AA206" s="406">
        <v>3.2000000000000001E-2</v>
      </c>
      <c r="AB206" s="407"/>
      <c r="AC206" s="408"/>
      <c r="AD206" s="422"/>
      <c r="AE206" s="422"/>
    </row>
    <row r="207" spans="1:31" ht="31.5" customHeight="1" x14ac:dyDescent="0.25">
      <c r="A207" s="394" t="s">
        <v>588</v>
      </c>
      <c r="B207" s="395"/>
      <c r="C207" s="395"/>
      <c r="D207" s="395"/>
      <c r="E207" s="395"/>
      <c r="F207" s="395"/>
      <c r="G207" s="395"/>
      <c r="H207" s="395"/>
      <c r="I207" s="395"/>
      <c r="J207" s="395"/>
      <c r="K207" s="395"/>
      <c r="L207" s="395"/>
      <c r="M207" s="395"/>
      <c r="N207" s="395"/>
      <c r="O207" s="395"/>
      <c r="P207" s="395"/>
      <c r="Q207" s="395"/>
      <c r="R207" s="395"/>
      <c r="S207" s="395"/>
      <c r="T207" s="395"/>
      <c r="U207" s="395"/>
      <c r="V207" s="395"/>
      <c r="W207" s="395"/>
      <c r="X207" s="395"/>
      <c r="Y207" s="395"/>
      <c r="Z207" s="395"/>
      <c r="AA207" s="395"/>
      <c r="AB207" s="395"/>
      <c r="AC207" s="395"/>
      <c r="AD207" s="396"/>
      <c r="AE207" s="422"/>
    </row>
    <row r="208" spans="1:31" ht="15.75" customHeight="1" x14ac:dyDescent="0.25">
      <c r="A208" s="397" t="s">
        <v>589</v>
      </c>
      <c r="B208" s="398"/>
      <c r="C208" s="398"/>
      <c r="D208" s="398"/>
      <c r="E208" s="398"/>
      <c r="F208" s="398"/>
      <c r="G208" s="398"/>
      <c r="H208" s="398"/>
      <c r="I208" s="398"/>
      <c r="J208" s="398"/>
      <c r="K208" s="398"/>
      <c r="L208" s="398"/>
      <c r="M208" s="398"/>
      <c r="N208" s="398"/>
      <c r="O208" s="398"/>
      <c r="P208" s="398"/>
      <c r="Q208" s="398"/>
      <c r="R208" s="398"/>
      <c r="S208" s="398"/>
      <c r="T208" s="398"/>
      <c r="U208" s="398"/>
      <c r="V208" s="398"/>
      <c r="W208" s="398"/>
      <c r="X208" s="398"/>
      <c r="Y208" s="398"/>
      <c r="Z208" s="398"/>
      <c r="AA208" s="398"/>
      <c r="AB208" s="398"/>
      <c r="AC208" s="398"/>
      <c r="AD208" s="399"/>
      <c r="AE208" s="422"/>
    </row>
    <row r="209" spans="1:31" ht="15.75" customHeight="1" x14ac:dyDescent="0.25">
      <c r="A209" s="397" t="s">
        <v>590</v>
      </c>
      <c r="B209" s="398"/>
      <c r="C209" s="398"/>
      <c r="D209" s="398"/>
      <c r="E209" s="398"/>
      <c r="F209" s="398"/>
      <c r="G209" s="398"/>
      <c r="H209" s="398"/>
      <c r="I209" s="398"/>
      <c r="J209" s="398"/>
      <c r="K209" s="398"/>
      <c r="L209" s="398"/>
      <c r="M209" s="398"/>
      <c r="N209" s="398"/>
      <c r="O209" s="398"/>
      <c r="P209" s="398"/>
      <c r="Q209" s="398"/>
      <c r="R209" s="398"/>
      <c r="S209" s="398"/>
      <c r="T209" s="398"/>
      <c r="U209" s="398"/>
      <c r="V209" s="398"/>
      <c r="W209" s="398"/>
      <c r="X209" s="398"/>
      <c r="Y209" s="398"/>
      <c r="Z209" s="398"/>
      <c r="AA209" s="398"/>
      <c r="AB209" s="398"/>
      <c r="AC209" s="398"/>
      <c r="AD209" s="399"/>
      <c r="AE209" s="422"/>
    </row>
    <row r="210" spans="1:31" ht="55.5" customHeight="1" x14ac:dyDescent="0.25">
      <c r="A210" s="400" t="s">
        <v>591</v>
      </c>
      <c r="B210" s="401"/>
      <c r="C210" s="401"/>
      <c r="D210" s="401"/>
      <c r="E210" s="401"/>
      <c r="F210" s="401"/>
      <c r="G210" s="401"/>
      <c r="H210" s="401"/>
      <c r="I210" s="401"/>
      <c r="J210" s="401"/>
      <c r="K210" s="401"/>
      <c r="L210" s="401"/>
      <c r="M210" s="401"/>
      <c r="N210" s="401"/>
      <c r="O210" s="401"/>
      <c r="P210" s="401"/>
      <c r="Q210" s="401"/>
      <c r="R210" s="401"/>
      <c r="S210" s="401"/>
      <c r="T210" s="401"/>
      <c r="U210" s="401"/>
      <c r="V210" s="401"/>
      <c r="W210" s="401"/>
      <c r="X210" s="401"/>
      <c r="Y210" s="401"/>
      <c r="Z210" s="401"/>
      <c r="AA210" s="401"/>
      <c r="AB210" s="401"/>
      <c r="AC210" s="401"/>
      <c r="AD210" s="402"/>
      <c r="AE210" s="423"/>
    </row>
  </sheetData>
  <mergeCells count="600">
    <mergeCell ref="A8:V8"/>
    <mergeCell ref="W8:AE8"/>
    <mergeCell ref="A9:V9"/>
    <mergeCell ref="W9:AE22"/>
    <mergeCell ref="A10:B21"/>
    <mergeCell ref="C10:L10"/>
    <mergeCell ref="M10:U10"/>
    <mergeCell ref="C11:L11"/>
    <mergeCell ref="C16:L16"/>
    <mergeCell ref="M16:U16"/>
    <mergeCell ref="C17:L17"/>
    <mergeCell ref="M17:U17"/>
    <mergeCell ref="C18:U18"/>
    <mergeCell ref="C19:L19"/>
    <mergeCell ref="M11:U11"/>
    <mergeCell ref="V11:V17"/>
    <mergeCell ref="C12:L12"/>
    <mergeCell ref="M12:U12"/>
    <mergeCell ref="C13:L13"/>
    <mergeCell ref="M13:U13"/>
    <mergeCell ref="C14:L14"/>
    <mergeCell ref="M14:U14"/>
    <mergeCell ref="C15:L15"/>
    <mergeCell ref="M15:U15"/>
    <mergeCell ref="M19:U19"/>
    <mergeCell ref="C20:L20"/>
    <mergeCell ref="M20:U20"/>
    <mergeCell ref="V20:V21"/>
    <mergeCell ref="C21:L21"/>
    <mergeCell ref="M21:U21"/>
    <mergeCell ref="A22:V22"/>
    <mergeCell ref="A23:AF23"/>
    <mergeCell ref="C32:N32"/>
    <mergeCell ref="O32:X32"/>
    <mergeCell ref="O28:X28"/>
    <mergeCell ref="C29:N29"/>
    <mergeCell ref="O29:X29"/>
    <mergeCell ref="C30:N30"/>
    <mergeCell ref="O30:X30"/>
    <mergeCell ref="C31:N31"/>
    <mergeCell ref="O31:X31"/>
    <mergeCell ref="A24:S24"/>
    <mergeCell ref="T24:AE24"/>
    <mergeCell ref="A25:S25"/>
    <mergeCell ref="T25:AE25"/>
    <mergeCell ref="A26:Z26"/>
    <mergeCell ref="AA26:AE26"/>
    <mergeCell ref="A27:B39"/>
    <mergeCell ref="H45:Q45"/>
    <mergeCell ref="B46:G46"/>
    <mergeCell ref="H46:Q46"/>
    <mergeCell ref="A40:S40"/>
    <mergeCell ref="T40:AE40"/>
    <mergeCell ref="A41:S41"/>
    <mergeCell ref="T41:AE47"/>
    <mergeCell ref="A42:A46"/>
    <mergeCell ref="B42:G42"/>
    <mergeCell ref="H42:Q42"/>
    <mergeCell ref="R42:S46"/>
    <mergeCell ref="B43:G43"/>
    <mergeCell ref="H43:Q43"/>
    <mergeCell ref="C27:X27"/>
    <mergeCell ref="Y27:Z39"/>
    <mergeCell ref="AA27:AE39"/>
    <mergeCell ref="C28:N28"/>
    <mergeCell ref="C35:N35"/>
    <mergeCell ref="O35:X35"/>
    <mergeCell ref="C33:N33"/>
    <mergeCell ref="O33:X33"/>
    <mergeCell ref="C34:N34"/>
    <mergeCell ref="O34:X34"/>
    <mergeCell ref="F52:R52"/>
    <mergeCell ref="B53:E53"/>
    <mergeCell ref="F53:R53"/>
    <mergeCell ref="A54:S54"/>
    <mergeCell ref="C36:N36"/>
    <mergeCell ref="O36:X36"/>
    <mergeCell ref="C37:N37"/>
    <mergeCell ref="O37:X37"/>
    <mergeCell ref="C38:X38"/>
    <mergeCell ref="C39:X39"/>
    <mergeCell ref="A48:AF48"/>
    <mergeCell ref="A49:S49"/>
    <mergeCell ref="T49:AE49"/>
    <mergeCell ref="A50:S50"/>
    <mergeCell ref="T50:AE54"/>
    <mergeCell ref="A51:A53"/>
    <mergeCell ref="B51:E51"/>
    <mergeCell ref="F51:R51"/>
    <mergeCell ref="S51:S53"/>
    <mergeCell ref="B52:E52"/>
    <mergeCell ref="A47:S47"/>
    <mergeCell ref="B44:G44"/>
    <mergeCell ref="H44:Q44"/>
    <mergeCell ref="B45:G45"/>
    <mergeCell ref="E59:I59"/>
    <mergeCell ref="J59:M59"/>
    <mergeCell ref="N59:R59"/>
    <mergeCell ref="S59:X59"/>
    <mergeCell ref="C60:D60"/>
    <mergeCell ref="E60:I60"/>
    <mergeCell ref="J60:M60"/>
    <mergeCell ref="J57:M57"/>
    <mergeCell ref="N57:R57"/>
    <mergeCell ref="S57:X57"/>
    <mergeCell ref="Y57:Y86"/>
    <mergeCell ref="C58:D58"/>
    <mergeCell ref="E58:I58"/>
    <mergeCell ref="J58:M58"/>
    <mergeCell ref="N58:R58"/>
    <mergeCell ref="S58:X58"/>
    <mergeCell ref="C59:D59"/>
    <mergeCell ref="J62:M62"/>
    <mergeCell ref="N62:R62"/>
    <mergeCell ref="S62:X62"/>
    <mergeCell ref="E64:I64"/>
    <mergeCell ref="J64:M64"/>
    <mergeCell ref="N64:R64"/>
    <mergeCell ref="S68:X68"/>
    <mergeCell ref="C65:D65"/>
    <mergeCell ref="E65:I65"/>
    <mergeCell ref="J65:M65"/>
    <mergeCell ref="N65:R65"/>
    <mergeCell ref="S65:X65"/>
    <mergeCell ref="C66:D66"/>
    <mergeCell ref="E66:I66"/>
    <mergeCell ref="J66:M66"/>
    <mergeCell ref="N66:R66"/>
    <mergeCell ref="S70:X70"/>
    <mergeCell ref="A55:Y55"/>
    <mergeCell ref="Z55:AE55"/>
    <mergeCell ref="A56:Y56"/>
    <mergeCell ref="Z56:AE87"/>
    <mergeCell ref="A57:B86"/>
    <mergeCell ref="C57:D57"/>
    <mergeCell ref="E57:I57"/>
    <mergeCell ref="S64:X64"/>
    <mergeCell ref="N60:R60"/>
    <mergeCell ref="S60:X60"/>
    <mergeCell ref="C61:D61"/>
    <mergeCell ref="E61:I61"/>
    <mergeCell ref="J61:M61"/>
    <mergeCell ref="N61:R61"/>
    <mergeCell ref="S61:X61"/>
    <mergeCell ref="C62:D62"/>
    <mergeCell ref="E62:I62"/>
    <mergeCell ref="S66:X66"/>
    <mergeCell ref="C63:D63"/>
    <mergeCell ref="E63:I63"/>
    <mergeCell ref="J63:M63"/>
    <mergeCell ref="N63:R63"/>
    <mergeCell ref="S63:X63"/>
    <mergeCell ref="C64:D64"/>
    <mergeCell ref="C67:D67"/>
    <mergeCell ref="E67:I67"/>
    <mergeCell ref="J67:M67"/>
    <mergeCell ref="N67:R67"/>
    <mergeCell ref="S67:X67"/>
    <mergeCell ref="C68:D68"/>
    <mergeCell ref="E68:I68"/>
    <mergeCell ref="J68:M68"/>
    <mergeCell ref="N68:R68"/>
    <mergeCell ref="C69:D69"/>
    <mergeCell ref="E69:I69"/>
    <mergeCell ref="J69:M69"/>
    <mergeCell ref="N69:R69"/>
    <mergeCell ref="S69:X69"/>
    <mergeCell ref="C70:D70"/>
    <mergeCell ref="E70:I70"/>
    <mergeCell ref="J70:M70"/>
    <mergeCell ref="N70:R70"/>
    <mergeCell ref="C71:D71"/>
    <mergeCell ref="E71:I71"/>
    <mergeCell ref="J71:M71"/>
    <mergeCell ref="N71:R71"/>
    <mergeCell ref="S71:X71"/>
    <mergeCell ref="C72:D72"/>
    <mergeCell ref="E72:I72"/>
    <mergeCell ref="J72:M72"/>
    <mergeCell ref="N72:R72"/>
    <mergeCell ref="S72:X72"/>
    <mergeCell ref="C73:D73"/>
    <mergeCell ref="E73:I73"/>
    <mergeCell ref="J73:M73"/>
    <mergeCell ref="N73:R73"/>
    <mergeCell ref="S73:X73"/>
    <mergeCell ref="C74:D74"/>
    <mergeCell ref="E74:I74"/>
    <mergeCell ref="J74:M74"/>
    <mergeCell ref="N74:R74"/>
    <mergeCell ref="S74:X74"/>
    <mergeCell ref="C75:D75"/>
    <mergeCell ref="E75:I75"/>
    <mergeCell ref="J75:M75"/>
    <mergeCell ref="N75:R75"/>
    <mergeCell ref="S75:X75"/>
    <mergeCell ref="C76:D76"/>
    <mergeCell ref="E76:I76"/>
    <mergeCell ref="J76:M76"/>
    <mergeCell ref="N76:R76"/>
    <mergeCell ref="S76:X76"/>
    <mergeCell ref="C77:D77"/>
    <mergeCell ref="E77:I77"/>
    <mergeCell ref="J77:M77"/>
    <mergeCell ref="N77:R77"/>
    <mergeCell ref="S77:X77"/>
    <mergeCell ref="C78:D78"/>
    <mergeCell ref="E78:I78"/>
    <mergeCell ref="J78:M78"/>
    <mergeCell ref="N78:R78"/>
    <mergeCell ref="S78:X78"/>
    <mergeCell ref="C79:D79"/>
    <mergeCell ref="E79:I79"/>
    <mergeCell ref="J79:M79"/>
    <mergeCell ref="N79:R79"/>
    <mergeCell ref="S79:X79"/>
    <mergeCell ref="C80:D80"/>
    <mergeCell ref="E80:I80"/>
    <mergeCell ref="J80:M80"/>
    <mergeCell ref="N80:R80"/>
    <mergeCell ref="S80:X80"/>
    <mergeCell ref="C81:D81"/>
    <mergeCell ref="E81:I81"/>
    <mergeCell ref="J81:M81"/>
    <mergeCell ref="N81:R81"/>
    <mergeCell ref="S81:X81"/>
    <mergeCell ref="C82:D82"/>
    <mergeCell ref="E82:I82"/>
    <mergeCell ref="J82:M82"/>
    <mergeCell ref="N82:R82"/>
    <mergeCell ref="S82:X82"/>
    <mergeCell ref="S86:X86"/>
    <mergeCell ref="C83:D83"/>
    <mergeCell ref="E83:I83"/>
    <mergeCell ref="J83:M83"/>
    <mergeCell ref="N83:R83"/>
    <mergeCell ref="S83:X83"/>
    <mergeCell ref="C84:D84"/>
    <mergeCell ref="E84:I84"/>
    <mergeCell ref="J84:M84"/>
    <mergeCell ref="N84:R84"/>
    <mergeCell ref="S84:X84"/>
    <mergeCell ref="C98:F98"/>
    <mergeCell ref="C85:D85"/>
    <mergeCell ref="E85:I85"/>
    <mergeCell ref="J85:M85"/>
    <mergeCell ref="N85:R85"/>
    <mergeCell ref="S85:X85"/>
    <mergeCell ref="C86:D86"/>
    <mergeCell ref="E86:I86"/>
    <mergeCell ref="J86:M86"/>
    <mergeCell ref="N86:R86"/>
    <mergeCell ref="C95:F95"/>
    <mergeCell ref="G95:R95"/>
    <mergeCell ref="C96:F96"/>
    <mergeCell ref="G96:R96"/>
    <mergeCell ref="C97:F97"/>
    <mergeCell ref="G97:R97"/>
    <mergeCell ref="G90:R90"/>
    <mergeCell ref="S90:S109"/>
    <mergeCell ref="C91:F91"/>
    <mergeCell ref="G91:R91"/>
    <mergeCell ref="C92:F92"/>
    <mergeCell ref="G92:R92"/>
    <mergeCell ref="C93:F93"/>
    <mergeCell ref="G93:R93"/>
    <mergeCell ref="C94:F94"/>
    <mergeCell ref="G94:R94"/>
    <mergeCell ref="G101:R101"/>
    <mergeCell ref="C102:F102"/>
    <mergeCell ref="G102:R102"/>
    <mergeCell ref="A87:Y87"/>
    <mergeCell ref="A88:S88"/>
    <mergeCell ref="T88:AE88"/>
    <mergeCell ref="A89:S89"/>
    <mergeCell ref="T89:AE110"/>
    <mergeCell ref="A90:B109"/>
    <mergeCell ref="C90:F90"/>
    <mergeCell ref="C106:F106"/>
    <mergeCell ref="G106:R106"/>
    <mergeCell ref="C107:F107"/>
    <mergeCell ref="G107:R107"/>
    <mergeCell ref="G98:R98"/>
    <mergeCell ref="C99:F99"/>
    <mergeCell ref="G99:R99"/>
    <mergeCell ref="C100:F100"/>
    <mergeCell ref="G100:R100"/>
    <mergeCell ref="C101:F101"/>
    <mergeCell ref="C103:F103"/>
    <mergeCell ref="G103:R103"/>
    <mergeCell ref="C104:F104"/>
    <mergeCell ref="G104:R104"/>
    <mergeCell ref="C105:F105"/>
    <mergeCell ref="G105:R105"/>
    <mergeCell ref="K116:U116"/>
    <mergeCell ref="B117:J117"/>
    <mergeCell ref="K117:U117"/>
    <mergeCell ref="B118:J118"/>
    <mergeCell ref="K118:U118"/>
    <mergeCell ref="C108:F108"/>
    <mergeCell ref="G108:R108"/>
    <mergeCell ref="C109:F109"/>
    <mergeCell ref="G109:R109"/>
    <mergeCell ref="A110:S110"/>
    <mergeCell ref="K119:U119"/>
    <mergeCell ref="B120:J120"/>
    <mergeCell ref="K120:U120"/>
    <mergeCell ref="B121:J121"/>
    <mergeCell ref="K121:U121"/>
    <mergeCell ref="A122:W122"/>
    <mergeCell ref="B119:J119"/>
    <mergeCell ref="X111:AE111"/>
    <mergeCell ref="A112:W112"/>
    <mergeCell ref="X112:AE122"/>
    <mergeCell ref="A113:A121"/>
    <mergeCell ref="B113:J113"/>
    <mergeCell ref="K113:U113"/>
    <mergeCell ref="V113:W121"/>
    <mergeCell ref="B114:J114"/>
    <mergeCell ref="K114:U114"/>
    <mergeCell ref="B115:J115"/>
    <mergeCell ref="A111:W111"/>
    <mergeCell ref="K115:U115"/>
    <mergeCell ref="B116:J116"/>
    <mergeCell ref="X123:AE123"/>
    <mergeCell ref="A124:W124"/>
    <mergeCell ref="X124:AE131"/>
    <mergeCell ref="A125:A130"/>
    <mergeCell ref="B125:H125"/>
    <mergeCell ref="I125:U125"/>
    <mergeCell ref="V125:W130"/>
    <mergeCell ref="B126:H126"/>
    <mergeCell ref="I126:U126"/>
    <mergeCell ref="A131:W131"/>
    <mergeCell ref="B130:H130"/>
    <mergeCell ref="I130:U130"/>
    <mergeCell ref="B128:H128"/>
    <mergeCell ref="I128:U128"/>
    <mergeCell ref="B129:H129"/>
    <mergeCell ref="I129:U129"/>
    <mergeCell ref="B127:H127"/>
    <mergeCell ref="I127:U127"/>
    <mergeCell ref="A123:W123"/>
    <mergeCell ref="AB132:AE132"/>
    <mergeCell ref="A133:AA133"/>
    <mergeCell ref="AB133:AE158"/>
    <mergeCell ref="A134:A157"/>
    <mergeCell ref="B134:E135"/>
    <mergeCell ref="F134:AA134"/>
    <mergeCell ref="F135:K135"/>
    <mergeCell ref="L135:W135"/>
    <mergeCell ref="X135:AA135"/>
    <mergeCell ref="B136:E136"/>
    <mergeCell ref="B141:E141"/>
    <mergeCell ref="F141:K141"/>
    <mergeCell ref="L141:W141"/>
    <mergeCell ref="X141:AA141"/>
    <mergeCell ref="A132:AA132"/>
    <mergeCell ref="F136:K136"/>
    <mergeCell ref="L136:W136"/>
    <mergeCell ref="B146:E146"/>
    <mergeCell ref="F146:K146"/>
    <mergeCell ref="L146:W146"/>
    <mergeCell ref="X146:AA146"/>
    <mergeCell ref="X136:AA136"/>
    <mergeCell ref="B137:E137"/>
    <mergeCell ref="F139:K139"/>
    <mergeCell ref="L139:W139"/>
    <mergeCell ref="X139:AA139"/>
    <mergeCell ref="B140:E140"/>
    <mergeCell ref="F140:K140"/>
    <mergeCell ref="L140:W140"/>
    <mergeCell ref="X140:AA140"/>
    <mergeCell ref="B139:E139"/>
    <mergeCell ref="F137:K137"/>
    <mergeCell ref="L137:W137"/>
    <mergeCell ref="X137:AA137"/>
    <mergeCell ref="B138:E138"/>
    <mergeCell ref="F138:K138"/>
    <mergeCell ref="L138:W138"/>
    <mergeCell ref="X138:AA138"/>
    <mergeCell ref="B153:E153"/>
    <mergeCell ref="F153:K153"/>
    <mergeCell ref="L153:W153"/>
    <mergeCell ref="X153:AA153"/>
    <mergeCell ref="B142:E142"/>
    <mergeCell ref="F142:K142"/>
    <mergeCell ref="L142:W142"/>
    <mergeCell ref="X142:AA142"/>
    <mergeCell ref="B143:E143"/>
    <mergeCell ref="F143:K143"/>
    <mergeCell ref="B145:E145"/>
    <mergeCell ref="F145:K145"/>
    <mergeCell ref="L145:W145"/>
    <mergeCell ref="X145:AA145"/>
    <mergeCell ref="L143:W143"/>
    <mergeCell ref="X143:AA143"/>
    <mergeCell ref="B144:E144"/>
    <mergeCell ref="F144:K144"/>
    <mergeCell ref="L144:W144"/>
    <mergeCell ref="X144:AA144"/>
    <mergeCell ref="B147:E147"/>
    <mergeCell ref="F147:K147"/>
    <mergeCell ref="L147:W147"/>
    <mergeCell ref="X147:AA147"/>
    <mergeCell ref="X165:AA165"/>
    <mergeCell ref="B148:E148"/>
    <mergeCell ref="F148:K148"/>
    <mergeCell ref="L148:W148"/>
    <mergeCell ref="X148:AA148"/>
    <mergeCell ref="B149:E149"/>
    <mergeCell ref="F156:K156"/>
    <mergeCell ref="L156:W156"/>
    <mergeCell ref="X156:AA156"/>
    <mergeCell ref="B151:E151"/>
    <mergeCell ref="F151:K151"/>
    <mergeCell ref="L151:W151"/>
    <mergeCell ref="X151:AA151"/>
    <mergeCell ref="B152:E152"/>
    <mergeCell ref="F152:K152"/>
    <mergeCell ref="L152:W152"/>
    <mergeCell ref="F149:K149"/>
    <mergeCell ref="L149:W149"/>
    <mergeCell ref="X149:AA149"/>
    <mergeCell ref="B150:E150"/>
    <mergeCell ref="F150:K150"/>
    <mergeCell ref="L150:W150"/>
    <mergeCell ref="X150:AA150"/>
    <mergeCell ref="X152:AA152"/>
    <mergeCell ref="F165:K165"/>
    <mergeCell ref="L165:W165"/>
    <mergeCell ref="B165:E165"/>
    <mergeCell ref="B154:E154"/>
    <mergeCell ref="F154:K154"/>
    <mergeCell ref="L154:W154"/>
    <mergeCell ref="X154:AA154"/>
    <mergeCell ref="B155:E155"/>
    <mergeCell ref="F155:K155"/>
    <mergeCell ref="L155:W155"/>
    <mergeCell ref="X155:AA155"/>
    <mergeCell ref="B156:E156"/>
    <mergeCell ref="F163:K163"/>
    <mergeCell ref="L163:W163"/>
    <mergeCell ref="X163:AA163"/>
    <mergeCell ref="B164:E164"/>
    <mergeCell ref="F164:K164"/>
    <mergeCell ref="L164:W164"/>
    <mergeCell ref="X164:AA164"/>
    <mergeCell ref="B157:E157"/>
    <mergeCell ref="F157:K157"/>
    <mergeCell ref="L157:W157"/>
    <mergeCell ref="X157:AA157"/>
    <mergeCell ref="A158:AA158"/>
    <mergeCell ref="B171:E171"/>
    <mergeCell ref="F171:K171"/>
    <mergeCell ref="L171:W171"/>
    <mergeCell ref="X171:AA171"/>
    <mergeCell ref="A172:AA172"/>
    <mergeCell ref="AB159:AE159"/>
    <mergeCell ref="A160:AA160"/>
    <mergeCell ref="AB160:AE172"/>
    <mergeCell ref="A161:A171"/>
    <mergeCell ref="B161:E162"/>
    <mergeCell ref="F161:AA161"/>
    <mergeCell ref="F162:K162"/>
    <mergeCell ref="L162:W162"/>
    <mergeCell ref="X162:AA162"/>
    <mergeCell ref="B163:E163"/>
    <mergeCell ref="A159:AA159"/>
    <mergeCell ref="B166:E166"/>
    <mergeCell ref="F166:K166"/>
    <mergeCell ref="L166:W166"/>
    <mergeCell ref="X166:AA166"/>
    <mergeCell ref="B167:E167"/>
    <mergeCell ref="F167:K167"/>
    <mergeCell ref="L167:W167"/>
    <mergeCell ref="X167:AA167"/>
    <mergeCell ref="B168:E168"/>
    <mergeCell ref="F168:K168"/>
    <mergeCell ref="L168:W168"/>
    <mergeCell ref="X168:AA168"/>
    <mergeCell ref="B169:E169"/>
    <mergeCell ref="F169:K169"/>
    <mergeCell ref="L169:W169"/>
    <mergeCell ref="X169:AA169"/>
    <mergeCell ref="B170:E170"/>
    <mergeCell ref="F170:K170"/>
    <mergeCell ref="L170:W170"/>
    <mergeCell ref="X170:AA170"/>
    <mergeCell ref="AC173:AE173"/>
    <mergeCell ref="A174:AB174"/>
    <mergeCell ref="AC174:AE184"/>
    <mergeCell ref="A175:A183"/>
    <mergeCell ref="B175:F175"/>
    <mergeCell ref="G175:P175"/>
    <mergeCell ref="Q175:AA175"/>
    <mergeCell ref="AB175:AB183"/>
    <mergeCell ref="B176:F176"/>
    <mergeCell ref="G176:P176"/>
    <mergeCell ref="Q181:AA181"/>
    <mergeCell ref="B182:F182"/>
    <mergeCell ref="G182:P182"/>
    <mergeCell ref="Q182:AA182"/>
    <mergeCell ref="A173:AB173"/>
    <mergeCell ref="B179:F179"/>
    <mergeCell ref="Q176:AA176"/>
    <mergeCell ref="B177:F177"/>
    <mergeCell ref="G177:P177"/>
    <mergeCell ref="Q177:AA177"/>
    <mergeCell ref="B178:F178"/>
    <mergeCell ref="G178:P178"/>
    <mergeCell ref="Q178:AA178"/>
    <mergeCell ref="D189:G189"/>
    <mergeCell ref="H189:T189"/>
    <mergeCell ref="A190:V190"/>
    <mergeCell ref="G179:P179"/>
    <mergeCell ref="Q179:AA179"/>
    <mergeCell ref="B180:F180"/>
    <mergeCell ref="G180:P180"/>
    <mergeCell ref="Q180:AA180"/>
    <mergeCell ref="B181:F181"/>
    <mergeCell ref="G181:P181"/>
    <mergeCell ref="W186:AE190"/>
    <mergeCell ref="A187:A189"/>
    <mergeCell ref="B187:C187"/>
    <mergeCell ref="D187:G187"/>
    <mergeCell ref="H187:T187"/>
    <mergeCell ref="U187:V189"/>
    <mergeCell ref="B188:C188"/>
    <mergeCell ref="D188:G188"/>
    <mergeCell ref="H188:T188"/>
    <mergeCell ref="B189:C189"/>
    <mergeCell ref="B198:J198"/>
    <mergeCell ref="K198:O198"/>
    <mergeCell ref="P198:Z198"/>
    <mergeCell ref="B183:F183"/>
    <mergeCell ref="G183:P183"/>
    <mergeCell ref="Q183:AA183"/>
    <mergeCell ref="A184:AB184"/>
    <mergeCell ref="A185:V185"/>
    <mergeCell ref="W185:AE185"/>
    <mergeCell ref="A186:V186"/>
    <mergeCell ref="B196:J196"/>
    <mergeCell ref="K196:O196"/>
    <mergeCell ref="P196:Z196"/>
    <mergeCell ref="AA196:AC196"/>
    <mergeCell ref="B197:J197"/>
    <mergeCell ref="K197:O197"/>
    <mergeCell ref="P197:Z197"/>
    <mergeCell ref="AA197:AC197"/>
    <mergeCell ref="B194:J194"/>
    <mergeCell ref="K194:AC194"/>
    <mergeCell ref="B195:J195"/>
    <mergeCell ref="K195:O195"/>
    <mergeCell ref="P195:Z195"/>
    <mergeCell ref="AA195:AC195"/>
    <mergeCell ref="K200:O200"/>
    <mergeCell ref="P200:Z200"/>
    <mergeCell ref="AA200:AC200"/>
    <mergeCell ref="A191:AD191"/>
    <mergeCell ref="A192:AD192"/>
    <mergeCell ref="AE192:AE210"/>
    <mergeCell ref="A193:A206"/>
    <mergeCell ref="B193:J193"/>
    <mergeCell ref="K193:AC193"/>
    <mergeCell ref="AD193:AD206"/>
    <mergeCell ref="B203:J203"/>
    <mergeCell ref="K203:O203"/>
    <mergeCell ref="P203:Z203"/>
    <mergeCell ref="AA203:AC203"/>
    <mergeCell ref="AA198:AC198"/>
    <mergeCell ref="B199:J199"/>
    <mergeCell ref="K199:O199"/>
    <mergeCell ref="P199:Z199"/>
    <mergeCell ref="AA199:AC199"/>
    <mergeCell ref="B200:J200"/>
    <mergeCell ref="B201:J201"/>
    <mergeCell ref="K201:O201"/>
    <mergeCell ref="P201:Z201"/>
    <mergeCell ref="AA201:AC201"/>
    <mergeCell ref="B202:J202"/>
    <mergeCell ref="K202:O202"/>
    <mergeCell ref="P202:Z202"/>
    <mergeCell ref="AA202:AC202"/>
    <mergeCell ref="P205:Z205"/>
    <mergeCell ref="AA205:AC205"/>
    <mergeCell ref="B206:J206"/>
    <mergeCell ref="K206:O206"/>
    <mergeCell ref="P206:Z206"/>
    <mergeCell ref="AA206:AC206"/>
    <mergeCell ref="A207:AD207"/>
    <mergeCell ref="A208:AD208"/>
    <mergeCell ref="A209:AD209"/>
    <mergeCell ref="A210:AD210"/>
    <mergeCell ref="B204:J204"/>
    <mergeCell ref="K204:O204"/>
    <mergeCell ref="P204:Z204"/>
    <mergeCell ref="AA204:AC204"/>
    <mergeCell ref="B205:J205"/>
    <mergeCell ref="K205:O205"/>
  </mergeCells>
  <hyperlinks>
    <hyperlink ref="W9" r:id="rId1" display="https://www.transportation.gov/office-policy/transportation-policy/revised-departmental-guidance-on-valuation-of-a-statistical-life-in-economic-analysis" xr:uid="{16AAE11F-9F41-4FD7-8F6D-45B8FE1BAC5C}"/>
    <hyperlink ref="AA27" r:id="rId2" display="https://www.transportation.gov/office-policy/transportation-policy/revised-departmental-guidance-valuation-travel-time-economic" xr:uid="{D546BD3F-0855-4458-9F5F-F8D3A72DAA37}"/>
    <hyperlink ref="T50" r:id="rId3" display="https://newsroom.aaa.com/wp-content/uploads/2021/08/2021-YDC-Brochure-Live.pdf" xr:uid="{8774FB99-E34F-4BC9-848E-8AFF51258AB6}"/>
    <hyperlink ref="Z56" r:id="rId4" display="https://www.epa.gov/sites/default/files/2018-02/documents/sourceapportionmentbpttsd_2018.pdf" xr:uid="{E133D590-7778-4586-BD32-05E16A0BC514}"/>
    <hyperlink ref="T89" r:id="rId5" display="https://apps.bea.gov/iTable/iTable.cfm?reqid=19&amp;step=3&amp;isuri=1&amp;1921=survey&amp;1903=11%23reqid%3D19&amp;step=3&amp;isuri=1&amp;1921=survey&amp;1903=11" xr:uid="{26A4EAF4-091C-4274-9AAD-60A5233C9BFE}"/>
    <hyperlink ref="X112" r:id="rId6" display="https://www.sciencedirect.com/science/article/abs/pii/S136192090900039X" xr:uid="{72694523-B082-4E6B-8DEC-EEEA0DE58FF9}"/>
    <hyperlink ref="X124" r:id="rId7" display="https://www.sfcta.org/sites/default/files/2019-03/BikeRouteChoiceModel.pdf" xr:uid="{F8B8A744-940A-4852-A616-8C4D2180BD6F}"/>
    <hyperlink ref="AB133" r:id="rId8" display="https://publictransportresearchgroup.info/portfolio-item/best-practice-approaches-to-public-transport-customer-amenity-valuation/" xr:uid="{680AA9FE-03A1-48B2-9CF6-13697614817D}"/>
    <hyperlink ref="AB160" r:id="rId9" display="https://publictransportresearchgroup.info/portfolio-item/best-practice-approaches-to-public-transport-customer-amenity-valuation/" xr:uid="{1D45396B-A2E8-430B-BE41-BCC9134828D9}"/>
    <hyperlink ref="AC174" r:id="rId10" display="https://www.transit.dot.gov/funding/grant-programs/capital-investments/stops" xr:uid="{88CFBC29-0AD0-4C9E-B768-BE251C853FF1}"/>
    <hyperlink ref="W186" r:id="rId11" display="https://www.euro.who.int/__data/assets/pdf_file/0010/352963/Heat.pdf" xr:uid="{25CA74EF-82C8-44A5-8F66-4FE3AAD1D05E}"/>
    <hyperlink ref="AE192" r:id="rId12" display="https://www.fhwa.dot.gov/policy/otps/costallocation.cfm" xr:uid="{DFB3C6FD-DA97-4172-97D5-99FDC7F676F3}"/>
    <hyperlink ref="D4" r:id="rId13" xr:uid="{B31F8349-4934-4D37-9B57-A6488801D52A}"/>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D82D5-0E16-421D-B63A-1C692B447500}">
  <sheetPr>
    <tabColor theme="6"/>
  </sheetPr>
  <dimension ref="A1:I54"/>
  <sheetViews>
    <sheetView topLeftCell="A37" workbookViewId="0">
      <selection activeCell="D47" sqref="D47"/>
    </sheetView>
  </sheetViews>
  <sheetFormatPr defaultRowHeight="15" x14ac:dyDescent="0.25"/>
  <cols>
    <col min="1" max="1" width="28.7109375" bestFit="1" customWidth="1"/>
    <col min="2" max="2" width="19.85546875" customWidth="1"/>
    <col min="3" max="3" width="1" customWidth="1"/>
    <col min="4" max="4" width="20" customWidth="1"/>
    <col min="5" max="8" width="15" customWidth="1"/>
    <col min="9" max="9" width="19.140625" customWidth="1"/>
  </cols>
  <sheetData>
    <row r="1" spans="1:9" ht="27" thickBot="1" x14ac:dyDescent="0.45">
      <c r="A1" s="254" t="s">
        <v>592</v>
      </c>
      <c r="B1" s="254">
        <v>2021</v>
      </c>
    </row>
    <row r="2" spans="1:9" ht="19.5" thickBot="1" x14ac:dyDescent="0.3">
      <c r="A2" s="571" t="s">
        <v>593</v>
      </c>
      <c r="B2" s="28" t="s">
        <v>594</v>
      </c>
      <c r="C2" s="197"/>
      <c r="D2" s="573" t="s">
        <v>595</v>
      </c>
      <c r="E2" s="573"/>
      <c r="F2" s="573"/>
      <c r="G2" s="573"/>
      <c r="H2" s="573"/>
      <c r="I2" s="574"/>
    </row>
    <row r="3" spans="1:9" ht="30.75" thickBot="1" x14ac:dyDescent="0.3">
      <c r="A3" s="572"/>
      <c r="B3" s="192" t="s">
        <v>596</v>
      </c>
      <c r="C3" s="198"/>
      <c r="D3" s="29" t="s">
        <v>597</v>
      </c>
      <c r="E3" s="29" t="s">
        <v>598</v>
      </c>
      <c r="F3" s="29" t="s">
        <v>599</v>
      </c>
      <c r="G3" s="29" t="s">
        <v>600</v>
      </c>
      <c r="H3" s="208" t="s">
        <v>236</v>
      </c>
      <c r="I3" s="214" t="s">
        <v>601</v>
      </c>
    </row>
    <row r="4" spans="1:9" ht="15.75" thickBot="1" x14ac:dyDescent="0.3">
      <c r="A4" s="30">
        <v>2022</v>
      </c>
      <c r="B4" s="219">
        <f>B31*VLOOKUP(B$28,'REF GDP Deflator'!$C$33:$E$53,3)</f>
        <v>0</v>
      </c>
      <c r="C4" s="199"/>
      <c r="D4" s="219">
        <f>D31*(1+$D$25)*VLOOKUP(D$28,'REF GDP Deflator'!$C$33:$E$53,3)</f>
        <v>0</v>
      </c>
      <c r="E4" s="219">
        <f>E31*VLOOKUP(E$28,'REF GDP Deflator'!$C$33:$E$53,3)</f>
        <v>0</v>
      </c>
      <c r="F4" s="219">
        <f>F31*VLOOKUP(F$28,'REF GDP Deflator'!$C$33:$E$53,3)</f>
        <v>0</v>
      </c>
      <c r="G4" s="219">
        <f>G31*VLOOKUP(G$28,'REF GDP Deflator'!$C$33:$E$53,3)</f>
        <v>0</v>
      </c>
      <c r="H4" s="219">
        <f>H31*VLOOKUP(H$28,'REF GDP Deflator'!$C$33:$E$53,3)</f>
        <v>2885245.1200612267</v>
      </c>
      <c r="I4" s="216">
        <f>SUM(D4:H4)</f>
        <v>2885245.1200612267</v>
      </c>
    </row>
    <row r="5" spans="1:9" ht="15.75" thickBot="1" x14ac:dyDescent="0.3">
      <c r="A5" s="32">
        <v>2023</v>
      </c>
      <c r="B5" s="219">
        <f>B32*VLOOKUP(B$28,'REF GDP Deflator'!$C$33:$E$53,3)</f>
        <v>42693.772122835551</v>
      </c>
      <c r="C5" s="200"/>
      <c r="D5" s="219">
        <f>D32*(1+$D$25)*VLOOKUP(D$28,'REF GDP Deflator'!$C$33:$E$53,3)</f>
        <v>0</v>
      </c>
      <c r="E5" s="219">
        <f>E32*VLOOKUP(E$28,'REF GDP Deflator'!$C$33:$E$53,3)</f>
        <v>0</v>
      </c>
      <c r="F5" s="219">
        <f>F32*VLOOKUP(F$28,'REF GDP Deflator'!$C$33:$E$53,3)</f>
        <v>0</v>
      </c>
      <c r="G5" s="219">
        <f>G32*VLOOKUP(G$28,'REF GDP Deflator'!$C$33:$E$53,3)</f>
        <v>0</v>
      </c>
      <c r="H5" s="219">
        <f>H32*VLOOKUP(H$28,'REF GDP Deflator'!$C$33:$E$53,3)</f>
        <v>0</v>
      </c>
      <c r="I5" s="216">
        <f t="shared" ref="I5:I22" si="0">SUM(D5:H5)</f>
        <v>0</v>
      </c>
    </row>
    <row r="6" spans="1:9" x14ac:dyDescent="0.25">
      <c r="A6" s="33">
        <v>2024</v>
      </c>
      <c r="B6" s="219">
        <f>B33*VLOOKUP(B$28,'REF GDP Deflator'!$C$33:$E$53,3)</f>
        <v>0</v>
      </c>
      <c r="C6" s="199"/>
      <c r="D6" s="219">
        <f>D33*(1+$D$25)*VLOOKUP(D$28,'REF GDP Deflator'!$C$33:$E$53,3)</f>
        <v>0</v>
      </c>
      <c r="E6" s="219">
        <f>E33*VLOOKUP(E$28,'REF GDP Deflator'!$C$33:$E$53,3)</f>
        <v>0</v>
      </c>
      <c r="F6" s="219">
        <f>F33*VLOOKUP(F$28,'REF GDP Deflator'!$C$33:$E$53,3)</f>
        <v>0</v>
      </c>
      <c r="G6" s="219">
        <f>G33*VLOOKUP(G$28,'REF GDP Deflator'!$C$33:$E$53,3)</f>
        <v>0</v>
      </c>
      <c r="H6" s="219">
        <f>H33*VLOOKUP(H$28,'REF GDP Deflator'!$C$33:$E$53,3)</f>
        <v>11271155.840428587</v>
      </c>
      <c r="I6" s="220">
        <f t="shared" si="0"/>
        <v>11271155.840428587</v>
      </c>
    </row>
    <row r="7" spans="1:9" x14ac:dyDescent="0.25">
      <c r="A7" s="34">
        <v>2025</v>
      </c>
      <c r="B7" s="219">
        <f>B34*VLOOKUP(B$28,'REF GDP Deflator'!$C$33:$E$53,3)</f>
        <v>42693.772122835551</v>
      </c>
      <c r="C7" s="201"/>
      <c r="D7" s="219">
        <f>D34*(1+$D$25)*VLOOKUP(D$28,'REF GDP Deflator'!$C$33:$E$53,3)</f>
        <v>62617532.446825475</v>
      </c>
      <c r="E7" s="219">
        <f>E34*VLOOKUP(E$28,'REF GDP Deflator'!$C$33:$E$53,3)</f>
        <v>0</v>
      </c>
      <c r="F7" s="219">
        <f>F34*VLOOKUP(F$28,'REF GDP Deflator'!$C$33:$E$53,3)</f>
        <v>0</v>
      </c>
      <c r="G7" s="219">
        <f>G34*VLOOKUP(G$28,'REF GDP Deflator'!$C$33:$E$53,3)</f>
        <v>2134688.6061417777</v>
      </c>
      <c r="H7" s="219">
        <f>H34*VLOOKUP(H$28,'REF GDP Deflator'!$C$33:$E$53,3)</f>
        <v>0</v>
      </c>
      <c r="I7" s="220">
        <f t="shared" si="0"/>
        <v>64752221.05296725</v>
      </c>
    </row>
    <row r="8" spans="1:9" ht="15.75" thickBot="1" x14ac:dyDescent="0.3">
      <c r="A8" s="35">
        <v>2026</v>
      </c>
      <c r="B8" s="219">
        <f>B35*VLOOKUP(B$28,'REF GDP Deflator'!$C$33:$E$53,3)</f>
        <v>0</v>
      </c>
      <c r="C8" s="202"/>
      <c r="D8" s="219">
        <f>D35*(1+$D$25)*VLOOKUP(D$28,'REF GDP Deflator'!$C$33:$E$53,3)</f>
        <v>62617532.446825475</v>
      </c>
      <c r="E8" s="219">
        <f>E35*VLOOKUP(E$28,'REF GDP Deflator'!$C$33:$E$53,3)</f>
        <v>0</v>
      </c>
      <c r="F8" s="219">
        <f>F35*VLOOKUP(F$28,'REF GDP Deflator'!$C$33:$E$53,3)</f>
        <v>10246505.309480533</v>
      </c>
      <c r="G8" s="219">
        <f>G35*VLOOKUP(G$28,'REF GDP Deflator'!$C$33:$E$53,3)</f>
        <v>0</v>
      </c>
      <c r="H8" s="219">
        <f>H35*VLOOKUP(H$28,'REF GDP Deflator'!$C$33:$E$53,3)</f>
        <v>0</v>
      </c>
      <c r="I8" s="220">
        <f t="shared" si="0"/>
        <v>72864037.756306008</v>
      </c>
    </row>
    <row r="9" spans="1:9" ht="15.75" thickBot="1" x14ac:dyDescent="0.3">
      <c r="A9" s="30">
        <v>2027</v>
      </c>
      <c r="B9" s="219">
        <f>B36*VLOOKUP(B$28,'REF GDP Deflator'!$C$33:$E$53,3)</f>
        <v>42693.772122835551</v>
      </c>
      <c r="C9" s="202"/>
      <c r="D9" s="219">
        <f>D36*(1+$D$25)*VLOOKUP(D$28,'REF GDP Deflator'!$C$33:$E$53,3)</f>
        <v>62617532.446825475</v>
      </c>
      <c r="E9" s="219">
        <f>E36*VLOOKUP(E$28,'REF GDP Deflator'!$C$33:$E$53,3)</f>
        <v>0</v>
      </c>
      <c r="F9" s="219">
        <f>F36*VLOOKUP(F$28,'REF GDP Deflator'!$C$33:$E$53,3)</f>
        <v>0</v>
      </c>
      <c r="G9" s="219">
        <f>G36*VLOOKUP(G$28,'REF GDP Deflator'!$C$33:$E$53,3)</f>
        <v>0</v>
      </c>
      <c r="H9" s="219">
        <f>H36*VLOOKUP(H$28,'REF GDP Deflator'!$C$33:$E$53,3)</f>
        <v>0</v>
      </c>
      <c r="I9" s="220">
        <f t="shared" si="0"/>
        <v>62617532.446825475</v>
      </c>
    </row>
    <row r="10" spans="1:9" ht="15.75" thickBot="1" x14ac:dyDescent="0.3">
      <c r="A10" s="30">
        <v>2028</v>
      </c>
      <c r="B10" s="219">
        <f>B37*VLOOKUP(B$28,'REF GDP Deflator'!$C$33:$E$53,3)</f>
        <v>10860584.349805798</v>
      </c>
      <c r="C10" s="202"/>
      <c r="D10" s="219">
        <f>D37*(1+$D$25)*VLOOKUP(D$28,'REF GDP Deflator'!$C$33:$E$53,3)</f>
        <v>0</v>
      </c>
      <c r="E10" s="219">
        <f>E37*VLOOKUP(E$28,'REF GDP Deflator'!$C$33:$E$53,3)</f>
        <v>0</v>
      </c>
      <c r="F10" s="219">
        <f>F37*VLOOKUP(F$28,'REF GDP Deflator'!$C$33:$E$53,3)</f>
        <v>0</v>
      </c>
      <c r="G10" s="219">
        <f>G37*VLOOKUP(G$28,'REF GDP Deflator'!$C$33:$E$53,3)</f>
        <v>0</v>
      </c>
      <c r="H10" s="219">
        <f>H37*VLOOKUP(H$28,'REF GDP Deflator'!$C$33:$E$53,3)</f>
        <v>0</v>
      </c>
      <c r="I10" s="220">
        <f t="shared" ref="I10:I11" si="1">SUM(D10:H10)</f>
        <v>0</v>
      </c>
    </row>
    <row r="11" spans="1:9" ht="15.75" thickBot="1" x14ac:dyDescent="0.3">
      <c r="A11" s="30">
        <v>2029</v>
      </c>
      <c r="B11" s="219">
        <f>B38*VLOOKUP(B$28,'REF GDP Deflator'!$C$33:$E$53,3)</f>
        <v>42693.772122835551</v>
      </c>
      <c r="C11" s="202"/>
      <c r="D11" s="219">
        <f>D38*(1+$D$25)*VLOOKUP(D$28,'REF GDP Deflator'!$C$33:$E$53,3)</f>
        <v>0</v>
      </c>
      <c r="E11" s="219">
        <f>E38*VLOOKUP(E$28,'REF GDP Deflator'!$C$33:$E$53,3)</f>
        <v>17077.508849134221</v>
      </c>
      <c r="F11" s="219">
        <f>F38*VLOOKUP(F$28,'REF GDP Deflator'!$C$33:$E$53,3)</f>
        <v>0</v>
      </c>
      <c r="G11" s="219">
        <f>G38*VLOOKUP(G$28,'REF GDP Deflator'!$C$33:$E$53,3)</f>
        <v>0</v>
      </c>
      <c r="H11" s="219">
        <f>H38*VLOOKUP(H$28,'REF GDP Deflator'!$C$33:$E$53,3)</f>
        <v>0</v>
      </c>
      <c r="I11" s="220">
        <f t="shared" si="1"/>
        <v>17077.508849134221</v>
      </c>
    </row>
    <row r="12" spans="1:9" ht="15.75" thickBot="1" x14ac:dyDescent="0.3">
      <c r="A12" s="30">
        <v>2030</v>
      </c>
      <c r="B12" s="219">
        <f>B39*VLOOKUP(B$28,'REF GDP Deflator'!$C$33:$E$53,3)</f>
        <v>42693.772122835551</v>
      </c>
      <c r="C12" s="202"/>
      <c r="D12" s="219">
        <f>D39*(1+$D$25)*VLOOKUP(D$28,'REF GDP Deflator'!$C$33:$E$53,3)</f>
        <v>0</v>
      </c>
      <c r="E12" s="219">
        <f>E39*VLOOKUP(E$28,'REF GDP Deflator'!$C$33:$E$53,3)</f>
        <v>0</v>
      </c>
      <c r="F12" s="219">
        <f>F39*VLOOKUP(F$28,'REF GDP Deflator'!$C$33:$E$53,3)</f>
        <v>0</v>
      </c>
      <c r="G12" s="219">
        <f>G39*VLOOKUP(G$28,'REF GDP Deflator'!$C$33:$E$53,3)</f>
        <v>0</v>
      </c>
      <c r="H12" s="219">
        <f>H39*VLOOKUP(H$28,'REF GDP Deflator'!$C$33:$E$53,3)</f>
        <v>0</v>
      </c>
      <c r="I12" s="216">
        <f t="shared" si="0"/>
        <v>0</v>
      </c>
    </row>
    <row r="13" spans="1:9" ht="15.75" thickBot="1" x14ac:dyDescent="0.3">
      <c r="A13" s="30">
        <f>A12+1</f>
        <v>2031</v>
      </c>
      <c r="B13" s="219">
        <f>B40*VLOOKUP(B$28,'REF GDP Deflator'!$C$33:$E$53,3)</f>
        <v>42693.772122835551</v>
      </c>
      <c r="C13" s="202"/>
      <c r="D13" s="219">
        <f>D40*(1+$D$25)*VLOOKUP(D$28,'REF GDP Deflator'!$C$33:$E$53,3)</f>
        <v>0</v>
      </c>
      <c r="E13" s="219">
        <f>E40*VLOOKUP(E$28,'REF GDP Deflator'!$C$33:$E$53,3)</f>
        <v>17077.508849134221</v>
      </c>
      <c r="F13" s="219">
        <f>F40*VLOOKUP(F$28,'REF GDP Deflator'!$C$33:$E$53,3)</f>
        <v>0</v>
      </c>
      <c r="G13" s="219">
        <f>G40*VLOOKUP(G$28,'REF GDP Deflator'!$C$33:$E$53,3)</f>
        <v>0</v>
      </c>
      <c r="H13" s="219">
        <f>H40*VLOOKUP(H$28,'REF GDP Deflator'!$C$33:$E$53,3)</f>
        <v>0</v>
      </c>
      <c r="I13" s="216">
        <f t="shared" ref="I13:I16" si="2">SUM(D13:H13)</f>
        <v>17077.508849134221</v>
      </c>
    </row>
    <row r="14" spans="1:9" ht="15.75" thickBot="1" x14ac:dyDescent="0.3">
      <c r="A14" s="30">
        <f>A13+1</f>
        <v>2032</v>
      </c>
      <c r="B14" s="219">
        <f>B41*VLOOKUP(B$28,'REF GDP Deflator'!$C$33:$E$53,3)</f>
        <v>42693.772122835551</v>
      </c>
      <c r="C14" s="202"/>
      <c r="D14" s="219">
        <f>D41*(1+$D$25)*VLOOKUP(D$28,'REF GDP Deflator'!$C$33:$E$53,3)</f>
        <v>0</v>
      </c>
      <c r="E14" s="219">
        <f>E41*VLOOKUP(E$28,'REF GDP Deflator'!$C$33:$E$53,3)</f>
        <v>0</v>
      </c>
      <c r="F14" s="219">
        <f>F41*VLOOKUP(F$28,'REF GDP Deflator'!$C$33:$E$53,3)</f>
        <v>0</v>
      </c>
      <c r="G14" s="219">
        <f>G41*VLOOKUP(G$28,'REF GDP Deflator'!$C$33:$E$53,3)</f>
        <v>0</v>
      </c>
      <c r="H14" s="219">
        <f>H41*VLOOKUP(H$28,'REF GDP Deflator'!$C$33:$E$53,3)</f>
        <v>0</v>
      </c>
      <c r="I14" s="216">
        <f t="shared" si="2"/>
        <v>0</v>
      </c>
    </row>
    <row r="15" spans="1:9" ht="15.75" thickBot="1" x14ac:dyDescent="0.3">
      <c r="A15" s="30">
        <f>A14+1</f>
        <v>2033</v>
      </c>
      <c r="B15" s="219">
        <f>B42*VLOOKUP(B$28,'REF GDP Deflator'!$C$33:$E$53,3)</f>
        <v>42693.772122835551</v>
      </c>
      <c r="C15" s="202"/>
      <c r="D15" s="219">
        <f>D42*(1+$D$25)*VLOOKUP(D$28,'REF GDP Deflator'!$C$33:$E$53,3)</f>
        <v>0</v>
      </c>
      <c r="E15" s="219">
        <f>E42*VLOOKUP(E$28,'REF GDP Deflator'!$C$33:$E$53,3)</f>
        <v>17077.508849134221</v>
      </c>
      <c r="F15" s="219">
        <f>F42*VLOOKUP(F$28,'REF GDP Deflator'!$C$33:$E$53,3)</f>
        <v>0</v>
      </c>
      <c r="G15" s="219">
        <f>G42*VLOOKUP(G$28,'REF GDP Deflator'!$C$33:$E$53,3)</f>
        <v>0</v>
      </c>
      <c r="H15" s="219">
        <f>H42*VLOOKUP(H$28,'REF GDP Deflator'!$C$33:$E$53,3)</f>
        <v>0</v>
      </c>
      <c r="I15" s="216">
        <f t="shared" si="2"/>
        <v>17077.508849134221</v>
      </c>
    </row>
    <row r="16" spans="1:9" ht="15.75" thickBot="1" x14ac:dyDescent="0.3">
      <c r="A16" s="30">
        <f>A15+1</f>
        <v>2034</v>
      </c>
      <c r="B16" s="219">
        <f>B43*VLOOKUP(B$28,'REF GDP Deflator'!$C$33:$E$53,3)</f>
        <v>42693.772122835551</v>
      </c>
      <c r="C16" s="202"/>
      <c r="D16" s="219">
        <f>D43*(1+$D$25)*VLOOKUP(D$28,'REF GDP Deflator'!$C$33:$E$53,3)</f>
        <v>0</v>
      </c>
      <c r="E16" s="219">
        <f>E43*VLOOKUP(E$28,'REF GDP Deflator'!$C$33:$E$53,3)</f>
        <v>0</v>
      </c>
      <c r="F16" s="219">
        <f>F43*VLOOKUP(F$28,'REF GDP Deflator'!$C$33:$E$53,3)</f>
        <v>0</v>
      </c>
      <c r="G16" s="219">
        <f>G43*VLOOKUP(G$28,'REF GDP Deflator'!$C$33:$E$53,3)</f>
        <v>0</v>
      </c>
      <c r="H16" s="219">
        <f>H43*VLOOKUP(H$28,'REF GDP Deflator'!$C$33:$E$53,3)</f>
        <v>0</v>
      </c>
      <c r="I16" s="216">
        <f t="shared" si="2"/>
        <v>0</v>
      </c>
    </row>
    <row r="17" spans="1:9" ht="15.75" thickBot="1" x14ac:dyDescent="0.3">
      <c r="A17" s="30">
        <v>2035</v>
      </c>
      <c r="B17" s="219">
        <f>B44*VLOOKUP(B$28,'REF GDP Deflator'!$C$33:$E$53,3)</f>
        <v>42693.772122835551</v>
      </c>
      <c r="C17" s="202"/>
      <c r="D17" s="219">
        <f>D44*(1+$D$25)*VLOOKUP(D$28,'REF GDP Deflator'!$C$33:$E$53,3)</f>
        <v>0</v>
      </c>
      <c r="E17" s="219">
        <f>E44*VLOOKUP(E$28,'REF GDP Deflator'!$C$33:$E$53,3)</f>
        <v>17077.508849134221</v>
      </c>
      <c r="F17" s="219">
        <f>F44*VLOOKUP(F$28,'REF GDP Deflator'!$C$33:$E$53,3)</f>
        <v>0</v>
      </c>
      <c r="G17" s="219">
        <f>G44*VLOOKUP(G$28,'REF GDP Deflator'!$C$33:$E$53,3)</f>
        <v>0</v>
      </c>
      <c r="H17" s="219">
        <f>H44*VLOOKUP(H$28,'REF GDP Deflator'!$C$33:$E$53,3)</f>
        <v>0</v>
      </c>
      <c r="I17" s="216">
        <f t="shared" si="0"/>
        <v>17077.508849134221</v>
      </c>
    </row>
    <row r="18" spans="1:9" ht="15.75" thickBot="1" x14ac:dyDescent="0.3">
      <c r="A18" s="30">
        <v>2040</v>
      </c>
      <c r="B18" s="219">
        <f>B45*VLOOKUP(B$28,'REF GDP Deflator'!$C$33:$E$53,3)</f>
        <v>213468.86061417777</v>
      </c>
      <c r="C18" s="202"/>
      <c r="D18" s="219">
        <f>D45*(1+$D$25)*VLOOKUP(D$28,'REF GDP Deflator'!$C$33:$E$53,3)</f>
        <v>0</v>
      </c>
      <c r="E18" s="219">
        <f>E45*VLOOKUP(E$28,'REF GDP Deflator'!$C$33:$E$53,3)</f>
        <v>34155.017698268442</v>
      </c>
      <c r="F18" s="219">
        <f>F45*VLOOKUP(F$28,'REF GDP Deflator'!$C$33:$E$53,3)</f>
        <v>0</v>
      </c>
      <c r="G18" s="219">
        <f>G45*VLOOKUP(G$28,'REF GDP Deflator'!$C$33:$E$53,3)</f>
        <v>0</v>
      </c>
      <c r="H18" s="219">
        <f>H45*VLOOKUP(H$28,'REF GDP Deflator'!$C$33:$E$53,3)</f>
        <v>0</v>
      </c>
      <c r="I18" s="216">
        <f t="shared" si="0"/>
        <v>34155.017698268442</v>
      </c>
    </row>
    <row r="19" spans="1:9" ht="15.75" thickBot="1" x14ac:dyDescent="0.3">
      <c r="A19" s="30">
        <v>2045</v>
      </c>
      <c r="B19" s="219">
        <f>B46*VLOOKUP(B$28,'REF GDP Deflator'!$C$33:$E$53,3)</f>
        <v>213468.86061417777</v>
      </c>
      <c r="C19" s="202"/>
      <c r="D19" s="219">
        <f>D46*(1+$D$25)*VLOOKUP(D$28,'REF GDP Deflator'!$C$33:$E$53,3)</f>
        <v>0</v>
      </c>
      <c r="E19" s="219">
        <f>E46*VLOOKUP(E$28,'REF GDP Deflator'!$C$33:$E$53,3)</f>
        <v>710123.80396823888</v>
      </c>
      <c r="F19" s="219">
        <f>F46*VLOOKUP(F$28,'REF GDP Deflator'!$C$33:$E$53,3)</f>
        <v>0</v>
      </c>
      <c r="G19" s="219">
        <f>G46*VLOOKUP(G$28,'REF GDP Deflator'!$C$33:$E$53,3)</f>
        <v>0</v>
      </c>
      <c r="H19" s="219">
        <f>H46*VLOOKUP(H$28,'REF GDP Deflator'!$C$33:$E$53,3)</f>
        <v>0</v>
      </c>
      <c r="I19" s="216">
        <f t="shared" si="0"/>
        <v>710123.80396823888</v>
      </c>
    </row>
    <row r="20" spans="1:9" ht="15.75" thickBot="1" x14ac:dyDescent="0.3">
      <c r="A20" s="32">
        <v>2050</v>
      </c>
      <c r="B20" s="219">
        <f>B47*VLOOKUP(B$28,'REF GDP Deflator'!$C$33:$E$53,3)</f>
        <v>4023881.1915737116</v>
      </c>
      <c r="C20" s="202"/>
      <c r="D20" s="219">
        <f>D47*(1+$D$25)*VLOOKUP(D$28,'REF GDP Deflator'!$C$33:$E$53,3)</f>
        <v>0</v>
      </c>
      <c r="E20" s="219">
        <f>E47*VLOOKUP(E$28,'REF GDP Deflator'!$C$33:$E$53,3)</f>
        <v>34155.017698268442</v>
      </c>
      <c r="F20" s="219">
        <f>F47*VLOOKUP(F$28,'REF GDP Deflator'!$C$33:$E$53,3)</f>
        <v>0</v>
      </c>
      <c r="G20" s="219">
        <f>G47*VLOOKUP(G$28,'REF GDP Deflator'!$C$33:$E$53,3)</f>
        <v>0</v>
      </c>
      <c r="H20" s="219">
        <f>H47*VLOOKUP(H$28,'REF GDP Deflator'!$C$33:$E$53,3)</f>
        <v>0</v>
      </c>
      <c r="I20" s="216">
        <f t="shared" si="0"/>
        <v>34155.017698268442</v>
      </c>
    </row>
    <row r="21" spans="1:9" ht="15.75" thickBot="1" x14ac:dyDescent="0.3">
      <c r="A21" s="40">
        <v>2055</v>
      </c>
      <c r="B21" s="219">
        <f>B48*VLOOKUP(B$28,'REF GDP Deflator'!$C$33:$E$53,3)</f>
        <v>213468.86061417777</v>
      </c>
      <c r="C21" s="199"/>
      <c r="D21" s="219">
        <f>D48*(1+$D$25)*VLOOKUP(D$28,'REF GDP Deflator'!$C$33:$E$53,3)</f>
        <v>0</v>
      </c>
      <c r="E21" s="219">
        <f>E48*VLOOKUP(E$28,'REF GDP Deflator'!$C$33:$E$53,3)</f>
        <v>21260281.744666606</v>
      </c>
      <c r="F21" s="219">
        <f>F48*VLOOKUP(F$28,'REF GDP Deflator'!$C$33:$E$53,3)</f>
        <v>0</v>
      </c>
      <c r="G21" s="219">
        <f>G48*VLOOKUP(G$28,'REF GDP Deflator'!$C$33:$E$53,3)</f>
        <v>0</v>
      </c>
      <c r="H21" s="219">
        <f>H48*VLOOKUP(H$28,'REF GDP Deflator'!$C$33:$E$53,3)</f>
        <v>0</v>
      </c>
      <c r="I21" s="216">
        <f t="shared" si="0"/>
        <v>21260281.744666606</v>
      </c>
    </row>
    <row r="22" spans="1:9" ht="15.75" thickBot="1" x14ac:dyDescent="0.3">
      <c r="A22" s="40">
        <v>2060</v>
      </c>
      <c r="B22" s="219">
        <f>B49*VLOOKUP(B$28,'REF GDP Deflator'!$C$33:$E$53,3)</f>
        <v>7494187.2489237553</v>
      </c>
      <c r="C22" s="203"/>
      <c r="D22" s="219">
        <f>D49*(1+$D$25)*VLOOKUP(D$28,'REF GDP Deflator'!$C$33:$E$53,3)</f>
        <v>0</v>
      </c>
      <c r="E22" s="219">
        <f>E49*VLOOKUP(E$28,'REF GDP Deflator'!$C$33:$E$53,3)</f>
        <v>34155.017698268442</v>
      </c>
      <c r="F22" s="219">
        <f>F49*VLOOKUP(F$28,'REF GDP Deflator'!$C$33:$E$53,3)</f>
        <v>0</v>
      </c>
      <c r="G22" s="219">
        <f>G49*VLOOKUP(G$28,'REF GDP Deflator'!$C$33:$E$53,3)</f>
        <v>0</v>
      </c>
      <c r="H22" s="219">
        <f>H49*VLOOKUP(H$28,'REF GDP Deflator'!$C$33:$E$53,3)</f>
        <v>0</v>
      </c>
      <c r="I22" s="216">
        <f t="shared" si="0"/>
        <v>34155.017698268442</v>
      </c>
    </row>
    <row r="23" spans="1:9" ht="16.5" thickBot="1" x14ac:dyDescent="0.3">
      <c r="A23" s="41" t="s">
        <v>602</v>
      </c>
      <c r="B23" s="204">
        <f>SUM(B4:B22)</f>
        <v>23445997.093374155</v>
      </c>
      <c r="C23" s="205"/>
      <c r="D23" s="206">
        <f t="shared" ref="D23:I23" si="3">SUM(D4:D22)</f>
        <v>187852597.34047642</v>
      </c>
      <c r="E23" s="207">
        <f t="shared" si="3"/>
        <v>22141180.637126189</v>
      </c>
      <c r="F23" s="207">
        <f t="shared" si="3"/>
        <v>10246505.309480533</v>
      </c>
      <c r="G23" s="207">
        <f t="shared" si="3"/>
        <v>2134688.6061417777</v>
      </c>
      <c r="H23" s="204">
        <f t="shared" si="3"/>
        <v>14156400.960489813</v>
      </c>
      <c r="I23" s="215">
        <f t="shared" si="3"/>
        <v>236531372.85371473</v>
      </c>
    </row>
    <row r="24" spans="1:9" ht="15.75" x14ac:dyDescent="0.25">
      <c r="A24" s="307"/>
      <c r="B24" s="308"/>
      <c r="C24" s="308"/>
      <c r="D24" s="308"/>
      <c r="E24" s="308"/>
      <c r="F24" s="308"/>
      <c r="G24" s="308"/>
      <c r="H24" s="308"/>
      <c r="I24" s="309"/>
    </row>
    <row r="25" spans="1:9" x14ac:dyDescent="0.25">
      <c r="A25" t="s">
        <v>5</v>
      </c>
      <c r="D25" s="358">
        <f>INPUTS!$E$32</f>
        <v>0</v>
      </c>
    </row>
    <row r="26" spans="1:9" x14ac:dyDescent="0.25">
      <c r="A26" t="s">
        <v>603</v>
      </c>
      <c r="F26" s="337">
        <f>INPUTS!$E$35</f>
        <v>5.4545454545454543E-2</v>
      </c>
      <c r="H26" s="337">
        <f>INPUTS!$E$33</f>
        <v>0.06</v>
      </c>
    </row>
    <row r="27" spans="1:9" x14ac:dyDescent="0.25">
      <c r="A27" t="s">
        <v>604</v>
      </c>
      <c r="F27" s="337"/>
      <c r="G27" s="338">
        <f>INPUTS!$E$37</f>
        <v>2500000</v>
      </c>
      <c r="H27" s="337"/>
    </row>
    <row r="28" spans="1:9" ht="27" thickBot="1" x14ac:dyDescent="0.45">
      <c r="A28" s="254" t="s">
        <v>592</v>
      </c>
      <c r="B28" s="254">
        <f>INPUTS!$E$40</f>
        <v>2023</v>
      </c>
      <c r="C28" s="254"/>
      <c r="D28" s="254">
        <f>INPUTS!$E$39</f>
        <v>2023</v>
      </c>
      <c r="E28" s="254">
        <f>INPUTS!$E$40</f>
        <v>2023</v>
      </c>
      <c r="F28" s="254">
        <f>INPUTS!$E$41</f>
        <v>2023</v>
      </c>
      <c r="G28" s="254">
        <f>INPUTS!$E$42</f>
        <v>2023</v>
      </c>
      <c r="H28" s="254">
        <f>INPUTS!$E$43</f>
        <v>2023</v>
      </c>
    </row>
    <row r="29" spans="1:9" ht="19.5" thickBot="1" x14ac:dyDescent="0.3">
      <c r="A29" s="571" t="s">
        <v>593</v>
      </c>
      <c r="B29" s="28" t="s">
        <v>594</v>
      </c>
      <c r="C29" s="197"/>
      <c r="D29" s="573" t="s">
        <v>595</v>
      </c>
      <c r="E29" s="573"/>
      <c r="F29" s="573"/>
      <c r="G29" s="573"/>
      <c r="H29" s="573"/>
      <c r="I29" s="574"/>
    </row>
    <row r="30" spans="1:9" ht="15.75" thickBot="1" x14ac:dyDescent="0.3">
      <c r="A30" s="572"/>
      <c r="B30" s="192" t="s">
        <v>805</v>
      </c>
      <c r="C30" s="198"/>
      <c r="D30" s="29" t="s">
        <v>597</v>
      </c>
      <c r="E30" s="29" t="s">
        <v>598</v>
      </c>
      <c r="F30" s="29" t="s">
        <v>599</v>
      </c>
      <c r="G30" s="29" t="s">
        <v>600</v>
      </c>
      <c r="H30" s="208" t="s">
        <v>236</v>
      </c>
      <c r="I30" s="214" t="s">
        <v>601</v>
      </c>
    </row>
    <row r="31" spans="1:9" ht="15.75" thickBot="1" x14ac:dyDescent="0.3">
      <c r="A31" s="30">
        <v>2022</v>
      </c>
      <c r="B31" s="193"/>
      <c r="C31" s="199"/>
      <c r="D31" s="341">
        <f>IF(AND($A31&gt;=INPUTS!$E$14,$A31&lt;INPUTS!$E$16),INPUTS!$E$31/INPUTS!$E$15,0)</f>
        <v>0</v>
      </c>
      <c r="E31" s="342"/>
      <c r="F31" s="31"/>
      <c r="G31" s="31"/>
      <c r="H31" s="210">
        <f>INPUTS!$E$38</f>
        <v>3379000</v>
      </c>
      <c r="I31" s="216">
        <f>SUM(D31:H31)</f>
        <v>3379000</v>
      </c>
    </row>
    <row r="32" spans="1:9" ht="15.75" thickBot="1" x14ac:dyDescent="0.3">
      <c r="A32" s="32">
        <v>2023</v>
      </c>
      <c r="B32" s="194">
        <v>50000</v>
      </c>
      <c r="C32" s="200"/>
      <c r="D32" s="341">
        <f>IF(AND($A32&gt;=INPUTS!$E$14,$A32&lt;INPUTS!$E$16),INPUTS!$E$31/INPUTS!$E$15,0)</f>
        <v>0</v>
      </c>
      <c r="E32" s="31"/>
      <c r="F32" s="31"/>
      <c r="G32" s="31"/>
      <c r="H32" s="210"/>
      <c r="I32" s="216">
        <f t="shared" ref="I32:I49" si="4">SUM(D32:H32)</f>
        <v>0</v>
      </c>
    </row>
    <row r="33" spans="1:9" x14ac:dyDescent="0.25">
      <c r="A33" s="33">
        <v>2024</v>
      </c>
      <c r="B33" s="193"/>
      <c r="C33" s="199"/>
      <c r="D33" s="341">
        <f>IF(AND($A33&gt;=INPUTS!$E$14,$A33&lt;INPUTS!$E$16),INPUTS!$E$31/INPUTS!$E$15,0)</f>
        <v>0</v>
      </c>
      <c r="E33" s="31"/>
      <c r="F33" s="36"/>
      <c r="G33" s="36"/>
      <c r="H33" s="210">
        <f>$H$26*$D$50</f>
        <v>13200000</v>
      </c>
      <c r="I33" s="220">
        <f t="shared" si="4"/>
        <v>13200000</v>
      </c>
    </row>
    <row r="34" spans="1:9" x14ac:dyDescent="0.25">
      <c r="A34" s="34">
        <v>2025</v>
      </c>
      <c r="B34" s="195">
        <v>50000</v>
      </c>
      <c r="C34" s="201"/>
      <c r="D34" s="341">
        <f>IF(AND($A34&gt;=INPUTS!$E$14,$A34&lt;INPUTS!$E$16),INPUTS!$E$31/INPUTS!$E$15,0)</f>
        <v>73333333.333333328</v>
      </c>
      <c r="E34" s="339"/>
      <c r="F34" s="339"/>
      <c r="G34" s="339">
        <f>$G$27</f>
        <v>2500000</v>
      </c>
      <c r="H34" s="340"/>
      <c r="I34" s="220">
        <f t="shared" si="4"/>
        <v>75833333.333333328</v>
      </c>
    </row>
    <row r="35" spans="1:9" ht="15.75" thickBot="1" x14ac:dyDescent="0.3">
      <c r="A35" s="35">
        <v>2026</v>
      </c>
      <c r="B35" s="196"/>
      <c r="C35" s="202"/>
      <c r="D35" s="341">
        <f>IF(AND($A35&gt;=INPUTS!$E$14,$A35&lt;INPUTS!$E$16),INPUTS!$E$31/INPUTS!$E$15,0)</f>
        <v>73333333.333333328</v>
      </c>
      <c r="E35" s="36"/>
      <c r="F35" s="339">
        <f>$F$26*$D$50</f>
        <v>12000000</v>
      </c>
      <c r="G35" s="36"/>
      <c r="H35" s="210"/>
      <c r="I35" s="220">
        <f t="shared" si="4"/>
        <v>85333333.333333328</v>
      </c>
    </row>
    <row r="36" spans="1:9" ht="15.75" thickBot="1" x14ac:dyDescent="0.3">
      <c r="A36" s="30">
        <v>2027</v>
      </c>
      <c r="B36" s="196">
        <v>50000</v>
      </c>
      <c r="C36" s="202"/>
      <c r="D36" s="341">
        <f>IF(AND($A36&gt;=INPUTS!$E$14,$A36&lt;INPUTS!$E$16),INPUTS!$E$31/INPUTS!$E$15,0)</f>
        <v>73333333.333333328</v>
      </c>
      <c r="E36" s="36"/>
      <c r="F36" s="36"/>
      <c r="G36" s="36"/>
      <c r="H36" s="210"/>
      <c r="I36" s="220">
        <f t="shared" si="4"/>
        <v>73333333.333333328</v>
      </c>
    </row>
    <row r="37" spans="1:9" ht="15.75" thickBot="1" x14ac:dyDescent="0.3">
      <c r="A37" s="30">
        <v>2028</v>
      </c>
      <c r="B37" s="196">
        <f>8256675+4056811+405681</f>
        <v>12719167</v>
      </c>
      <c r="C37" s="202"/>
      <c r="D37" s="341">
        <f>IF(AND($A37&gt;=INPUTS!$E$14,$A37&lt;INPUTS!$E$16),INPUTS!$E$31/INPUTS!$E$15,0)</f>
        <v>0</v>
      </c>
      <c r="E37" s="36"/>
      <c r="F37" s="36"/>
      <c r="G37" s="36"/>
      <c r="H37" s="210"/>
      <c r="I37" s="220">
        <f t="shared" ref="I37:I38" si="5">SUM(D37:H37)</f>
        <v>0</v>
      </c>
    </row>
    <row r="38" spans="1:9" ht="15.75" thickBot="1" x14ac:dyDescent="0.3">
      <c r="A38" s="30">
        <v>2029</v>
      </c>
      <c r="B38" s="383">
        <v>50000</v>
      </c>
      <c r="C38" s="202"/>
      <c r="D38" s="342">
        <f>IF(AND($A38&gt;=INPUTS!$E$14,$A38&lt;INPUTS!$E$16),INPUTS!$E$31/INPUTS!$E$15,0)</f>
        <v>0</v>
      </c>
      <c r="E38" s="36">
        <v>20000</v>
      </c>
      <c r="F38" s="36"/>
      <c r="G38" s="36"/>
      <c r="H38" s="210"/>
      <c r="I38" s="220">
        <f t="shared" si="5"/>
        <v>20000</v>
      </c>
    </row>
    <row r="39" spans="1:9" ht="15.75" thickBot="1" x14ac:dyDescent="0.3">
      <c r="A39" s="30">
        <v>2030</v>
      </c>
      <c r="B39" s="383">
        <v>50000</v>
      </c>
      <c r="C39" s="202"/>
      <c r="D39" s="342">
        <f>IF(AND($A39&gt;=INPUTS!$E$14,$A39&lt;INPUTS!$E$16),INPUTS!$E$31/INPUTS!$E$15,0)</f>
        <v>0</v>
      </c>
      <c r="E39" s="384">
        <v>0</v>
      </c>
      <c r="F39" s="37"/>
      <c r="G39" s="37"/>
      <c r="H39" s="211"/>
      <c r="I39" s="216">
        <f t="shared" si="4"/>
        <v>0</v>
      </c>
    </row>
    <row r="40" spans="1:9" ht="15.75" thickBot="1" x14ac:dyDescent="0.3">
      <c r="A40" s="30">
        <f>A39+1</f>
        <v>2031</v>
      </c>
      <c r="B40" s="383">
        <v>50000</v>
      </c>
      <c r="C40" s="202"/>
      <c r="D40" s="342">
        <f>IF(AND($A40&gt;=INPUTS!$E$14,$A40&lt;INPUTS!$E$16),INPUTS!$E$31/INPUTS!$E$15,0)</f>
        <v>0</v>
      </c>
      <c r="E40" s="384">
        <v>20000</v>
      </c>
      <c r="F40" s="37"/>
      <c r="G40" s="37"/>
      <c r="H40" s="211"/>
      <c r="I40" s="216"/>
    </row>
    <row r="41" spans="1:9" ht="15.75" thickBot="1" x14ac:dyDescent="0.3">
      <c r="A41" s="30">
        <f>A40+1</f>
        <v>2032</v>
      </c>
      <c r="B41" s="383">
        <v>50000</v>
      </c>
      <c r="C41" s="202"/>
      <c r="D41" s="342">
        <f>IF(AND($A41&gt;=INPUTS!$E$14,$A41&lt;INPUTS!$E$16),INPUTS!$E$31/INPUTS!$E$15,0)</f>
        <v>0</v>
      </c>
      <c r="E41" s="384">
        <v>0</v>
      </c>
      <c r="F41" s="37"/>
      <c r="G41" s="37"/>
      <c r="H41" s="211"/>
      <c r="I41" s="216"/>
    </row>
    <row r="42" spans="1:9" ht="15.75" thickBot="1" x14ac:dyDescent="0.3">
      <c r="A42" s="30">
        <f>A41+1</f>
        <v>2033</v>
      </c>
      <c r="B42" s="383">
        <v>50000</v>
      </c>
      <c r="C42" s="202"/>
      <c r="D42" s="342">
        <f>IF(AND($A42&gt;=INPUTS!$E$14,$A42&lt;INPUTS!$E$16),INPUTS!$E$31/INPUTS!$E$15,0)</f>
        <v>0</v>
      </c>
      <c r="E42" s="384">
        <v>20000</v>
      </c>
      <c r="F42" s="37"/>
      <c r="G42" s="37"/>
      <c r="H42" s="211"/>
      <c r="I42" s="216"/>
    </row>
    <row r="43" spans="1:9" ht="15.75" thickBot="1" x14ac:dyDescent="0.3">
      <c r="A43" s="30">
        <f>A42+1</f>
        <v>2034</v>
      </c>
      <c r="B43" s="383">
        <v>50000</v>
      </c>
      <c r="C43" s="202"/>
      <c r="D43" s="342">
        <f>IF(AND($A43&gt;=INPUTS!$E$14,$A43&lt;INPUTS!$E$16),INPUTS!$E$31/INPUTS!$E$15,0)</f>
        <v>0</v>
      </c>
      <c r="E43" s="384">
        <v>0</v>
      </c>
      <c r="F43" s="37"/>
      <c r="G43" s="37"/>
      <c r="H43" s="211"/>
      <c r="I43" s="216"/>
    </row>
    <row r="44" spans="1:9" ht="15.75" thickBot="1" x14ac:dyDescent="0.3">
      <c r="A44" s="30">
        <v>2035</v>
      </c>
      <c r="B44" s="383">
        <v>50000</v>
      </c>
      <c r="C44" s="202"/>
      <c r="D44" s="342">
        <f>IF(AND($A44&gt;=INPUTS!$E$14,$A44&lt;INPUTS!$E$16),INPUTS!$E$31/INPUTS!$E$15,0)</f>
        <v>0</v>
      </c>
      <c r="E44" s="384">
        <v>20000</v>
      </c>
      <c r="F44" s="38"/>
      <c r="G44" s="38"/>
      <c r="H44" s="212"/>
      <c r="I44" s="216">
        <f t="shared" si="4"/>
        <v>20000</v>
      </c>
    </row>
    <row r="45" spans="1:9" ht="15.75" thickBot="1" x14ac:dyDescent="0.3">
      <c r="A45" s="30">
        <v>2040</v>
      </c>
      <c r="B45" s="383">
        <f>50000*5</f>
        <v>250000</v>
      </c>
      <c r="C45" s="202"/>
      <c r="D45" s="342">
        <f>IF(AND($A45&gt;=INPUTS!$E$14,$A45&lt;INPUTS!$E$16),INPUTS!$E$31/INPUTS!$E$15,0)</f>
        <v>0</v>
      </c>
      <c r="E45" s="384">
        <f>20000*2</f>
        <v>40000</v>
      </c>
      <c r="F45" s="38"/>
      <c r="G45" s="38"/>
      <c r="H45" s="212"/>
      <c r="I45" s="216">
        <f t="shared" si="4"/>
        <v>40000</v>
      </c>
    </row>
    <row r="46" spans="1:9" ht="15.75" thickBot="1" x14ac:dyDescent="0.3">
      <c r="A46" s="30">
        <v>2045</v>
      </c>
      <c r="B46" s="383">
        <f>50000*5</f>
        <v>250000</v>
      </c>
      <c r="C46" s="202"/>
      <c r="D46" s="342">
        <f>IF(AND($A46&gt;=INPUTS!$E$14,$A46&lt;INPUTS!$E$16),INPUTS!$E$31/INPUTS!$E$15,0)</f>
        <v>0</v>
      </c>
      <c r="E46" s="384">
        <f>20000*3+771648</f>
        <v>831648</v>
      </c>
      <c r="F46" s="38"/>
      <c r="G46" s="38"/>
      <c r="H46" s="212"/>
      <c r="I46" s="216">
        <f t="shared" si="4"/>
        <v>831648</v>
      </c>
    </row>
    <row r="47" spans="1:9" ht="15.75" thickBot="1" x14ac:dyDescent="0.3">
      <c r="A47" s="32">
        <v>2050</v>
      </c>
      <c r="B47" s="383">
        <f>(50000*5)+4056811+405681</f>
        <v>4712492</v>
      </c>
      <c r="C47" s="202"/>
      <c r="D47" s="342">
        <f>IF(AND($A47&gt;=INPUTS!$E$14,$A47&lt;INPUTS!$E$16),INPUTS!$E$31/INPUTS!$E$15,0)</f>
        <v>0</v>
      </c>
      <c r="E47" s="384">
        <f>20000*2</f>
        <v>40000</v>
      </c>
      <c r="F47" s="39"/>
      <c r="G47" s="39"/>
      <c r="H47" s="213"/>
      <c r="I47" s="216">
        <f t="shared" si="4"/>
        <v>40000</v>
      </c>
    </row>
    <row r="48" spans="1:9" ht="15.75" thickBot="1" x14ac:dyDescent="0.3">
      <c r="A48" s="40">
        <v>2055</v>
      </c>
      <c r="B48" s="383">
        <f>50000*5</f>
        <v>250000</v>
      </c>
      <c r="C48" s="199"/>
      <c r="D48" s="342">
        <f>IF(AND($A48&gt;=INPUTS!$E$14,$A48&lt;INPUTS!$E$16),INPUTS!$E$31/INPUTS!$E$15,0)</f>
        <v>0</v>
      </c>
      <c r="E48" s="384">
        <f>20000*3+24838575</f>
        <v>24898575</v>
      </c>
      <c r="F48" s="36"/>
      <c r="G48" s="36"/>
      <c r="H48" s="210"/>
      <c r="I48" s="216">
        <f t="shared" si="4"/>
        <v>24898575</v>
      </c>
    </row>
    <row r="49" spans="1:9" ht="15.75" thickBot="1" x14ac:dyDescent="0.3">
      <c r="A49" s="40">
        <v>2060</v>
      </c>
      <c r="B49" s="383">
        <f>8526675+(50000*5)</f>
        <v>8776675</v>
      </c>
      <c r="C49" s="203"/>
      <c r="D49" s="342"/>
      <c r="E49" s="384">
        <f>20000*2</f>
        <v>40000</v>
      </c>
      <c r="F49" s="31"/>
      <c r="G49" s="31"/>
      <c r="H49" s="209"/>
      <c r="I49" s="216">
        <f t="shared" si="4"/>
        <v>40000</v>
      </c>
    </row>
    <row r="50" spans="1:9" ht="16.5" thickBot="1" x14ac:dyDescent="0.3">
      <c r="A50" s="41" t="s">
        <v>602</v>
      </c>
      <c r="B50" s="204">
        <f>SUM(B31:B49)</f>
        <v>27458334</v>
      </c>
      <c r="C50" s="205"/>
      <c r="D50" s="206">
        <f t="shared" ref="D50:I50" si="6">SUM(D31:D49)</f>
        <v>220000000</v>
      </c>
      <c r="E50" s="207">
        <f t="shared" si="6"/>
        <v>25930223</v>
      </c>
      <c r="F50" s="207">
        <f t="shared" si="6"/>
        <v>12000000</v>
      </c>
      <c r="G50" s="207">
        <f t="shared" si="6"/>
        <v>2500000</v>
      </c>
      <c r="H50" s="204">
        <f t="shared" si="6"/>
        <v>16579000</v>
      </c>
      <c r="I50" s="215">
        <f t="shared" si="6"/>
        <v>276969223</v>
      </c>
    </row>
    <row r="53" spans="1:9" x14ac:dyDescent="0.25">
      <c r="D53" s="381" t="s">
        <v>804</v>
      </c>
      <c r="E53" s="381"/>
      <c r="F53" s="381"/>
      <c r="G53" s="381"/>
      <c r="H53" s="381"/>
      <c r="I53" s="381"/>
    </row>
    <row r="54" spans="1:9" ht="207" customHeight="1" x14ac:dyDescent="0.25">
      <c r="D54" s="575" t="s">
        <v>815</v>
      </c>
      <c r="E54" s="575"/>
      <c r="F54" s="575"/>
      <c r="G54" s="575"/>
      <c r="H54" s="575"/>
      <c r="I54" s="575"/>
    </row>
  </sheetData>
  <mergeCells count="5">
    <mergeCell ref="A2:A3"/>
    <mergeCell ref="D2:I2"/>
    <mergeCell ref="A29:A30"/>
    <mergeCell ref="D29:I29"/>
    <mergeCell ref="D54:I54"/>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2F186-B1CF-417D-B73E-AAC90D0B45EB}">
  <sheetPr>
    <tabColor theme="6"/>
  </sheetPr>
  <dimension ref="A2:J19"/>
  <sheetViews>
    <sheetView zoomScaleNormal="100" workbookViewId="0">
      <selection activeCell="M13" sqref="M13"/>
    </sheetView>
  </sheetViews>
  <sheetFormatPr defaultRowHeight="15" x14ac:dyDescent="0.25"/>
  <cols>
    <col min="1" max="1" width="29" bestFit="1" customWidth="1"/>
    <col min="2" max="2" width="4.7109375" bestFit="1" customWidth="1"/>
    <col min="3" max="3" width="5.85546875" bestFit="1" customWidth="1"/>
    <col min="4" max="4" width="5.5703125" bestFit="1" customWidth="1"/>
    <col min="5" max="5" width="5" bestFit="1" customWidth="1"/>
    <col min="6" max="6" width="5.5703125" bestFit="1" customWidth="1"/>
    <col min="7" max="7" width="5" bestFit="1" customWidth="1"/>
    <col min="8" max="8" width="5.5703125" bestFit="1" customWidth="1"/>
    <col min="9" max="9" width="5.85546875" bestFit="1" customWidth="1"/>
    <col min="10" max="10" width="5.5703125" bestFit="1" customWidth="1"/>
    <col min="15" max="15" width="12.42578125" bestFit="1" customWidth="1"/>
    <col min="21" max="21" width="13.42578125" customWidth="1"/>
    <col min="32" max="32" width="14.42578125" customWidth="1"/>
  </cols>
  <sheetData>
    <row r="2" spans="1:10" x14ac:dyDescent="0.25">
      <c r="A2" t="s">
        <v>752</v>
      </c>
    </row>
    <row r="3" spans="1:10" x14ac:dyDescent="0.25">
      <c r="A3" t="s">
        <v>753</v>
      </c>
    </row>
    <row r="4" spans="1:10" x14ac:dyDescent="0.25">
      <c r="A4" t="s">
        <v>754</v>
      </c>
    </row>
    <row r="5" spans="1:10" x14ac:dyDescent="0.25">
      <c r="B5" t="s">
        <v>50</v>
      </c>
      <c r="C5" t="s">
        <v>759</v>
      </c>
    </row>
    <row r="6" spans="1:10" x14ac:dyDescent="0.25">
      <c r="A6" t="s">
        <v>377</v>
      </c>
      <c r="B6">
        <v>2021</v>
      </c>
      <c r="C6">
        <v>8520</v>
      </c>
    </row>
    <row r="7" spans="1:10" x14ac:dyDescent="0.25">
      <c r="A7" t="s">
        <v>758</v>
      </c>
      <c r="B7">
        <v>2050</v>
      </c>
      <c r="C7">
        <v>27260</v>
      </c>
    </row>
    <row r="11" spans="1:10" x14ac:dyDescent="0.25">
      <c r="A11" t="s">
        <v>775</v>
      </c>
    </row>
    <row r="12" spans="1:10" x14ac:dyDescent="0.25">
      <c r="A12" s="576" t="s">
        <v>755</v>
      </c>
      <c r="B12" s="577"/>
      <c r="C12" s="349">
        <v>2021</v>
      </c>
      <c r="D12" s="350"/>
      <c r="E12" s="350"/>
      <c r="F12" s="351"/>
      <c r="G12" s="349">
        <v>2050</v>
      </c>
      <c r="H12" s="350"/>
      <c r="I12" s="350"/>
      <c r="J12" s="351"/>
    </row>
    <row r="13" spans="1:10" x14ac:dyDescent="0.25">
      <c r="A13" s="578"/>
      <c r="B13" s="579"/>
      <c r="C13" s="582" t="s">
        <v>411</v>
      </c>
      <c r="D13" s="583"/>
      <c r="E13" s="582" t="s">
        <v>412</v>
      </c>
      <c r="F13" s="583"/>
      <c r="G13" s="582" t="s">
        <v>411</v>
      </c>
      <c r="H13" s="583"/>
      <c r="I13" s="582" t="s">
        <v>412</v>
      </c>
      <c r="J13" s="583"/>
    </row>
    <row r="14" spans="1:10" x14ac:dyDescent="0.25">
      <c r="A14" s="580"/>
      <c r="B14" s="581"/>
      <c r="C14" s="300" t="s">
        <v>606</v>
      </c>
      <c r="D14" s="300" t="s">
        <v>595</v>
      </c>
      <c r="E14" s="300" t="s">
        <v>606</v>
      </c>
      <c r="F14" s="300" t="s">
        <v>595</v>
      </c>
      <c r="G14" s="300" t="s">
        <v>606</v>
      </c>
      <c r="H14" s="300" t="s">
        <v>595</v>
      </c>
      <c r="I14" s="300" t="s">
        <v>606</v>
      </c>
      <c r="J14" s="300" t="s">
        <v>595</v>
      </c>
    </row>
    <row r="15" spans="1:10" x14ac:dyDescent="0.25">
      <c r="A15" s="582" t="s">
        <v>756</v>
      </c>
      <c r="B15" s="583"/>
      <c r="C15" s="300">
        <v>5.6</v>
      </c>
      <c r="D15" s="300">
        <v>3.4</v>
      </c>
      <c r="E15" s="300">
        <v>5.6</v>
      </c>
      <c r="F15" s="300">
        <v>3.6</v>
      </c>
      <c r="G15" s="300">
        <v>48.9</v>
      </c>
      <c r="H15" s="300">
        <v>37.5</v>
      </c>
      <c r="I15" s="300">
        <v>182.5</v>
      </c>
      <c r="J15" s="300">
        <v>133</v>
      </c>
    </row>
    <row r="16" spans="1:10" x14ac:dyDescent="0.25">
      <c r="A16" s="300" t="s">
        <v>415</v>
      </c>
      <c r="B16" s="300" t="s">
        <v>607</v>
      </c>
      <c r="C16" s="300">
        <v>8.5</v>
      </c>
      <c r="D16" s="300">
        <v>8.5</v>
      </c>
      <c r="E16" s="300">
        <v>9.51</v>
      </c>
      <c r="F16" s="300">
        <v>9.4700000000000006</v>
      </c>
      <c r="G16" s="300">
        <v>28.8</v>
      </c>
      <c r="H16" s="300">
        <v>28.6</v>
      </c>
      <c r="I16" s="300">
        <v>38.200000000000003</v>
      </c>
      <c r="J16" s="300">
        <v>37</v>
      </c>
    </row>
    <row r="17" spans="1:10" x14ac:dyDescent="0.25">
      <c r="A17" s="300"/>
      <c r="B17" s="300" t="s">
        <v>166</v>
      </c>
      <c r="C17" s="300">
        <v>1.65</v>
      </c>
      <c r="D17" s="300">
        <v>1.65</v>
      </c>
      <c r="E17" s="300">
        <v>1.85</v>
      </c>
      <c r="F17" s="300">
        <v>1.84</v>
      </c>
      <c r="G17" s="300">
        <v>5.6</v>
      </c>
      <c r="H17" s="300">
        <v>5.6</v>
      </c>
      <c r="I17" s="300">
        <v>7.4</v>
      </c>
      <c r="J17" s="300">
        <v>7.2</v>
      </c>
    </row>
    <row r="18" spans="1:10" x14ac:dyDescent="0.25">
      <c r="A18" s="300"/>
      <c r="B18" s="300" t="s">
        <v>419</v>
      </c>
      <c r="C18" s="300">
        <v>1.97</v>
      </c>
      <c r="D18" s="300">
        <v>1.97</v>
      </c>
      <c r="E18" s="300">
        <v>2.21</v>
      </c>
      <c r="F18" s="300">
        <v>2.2000000000000002</v>
      </c>
      <c r="G18" s="300">
        <v>6.7</v>
      </c>
      <c r="H18" s="300">
        <v>6.6</v>
      </c>
      <c r="I18" s="300">
        <v>8.9</v>
      </c>
      <c r="J18" s="300">
        <v>8.6</v>
      </c>
    </row>
    <row r="19" spans="1:10" x14ac:dyDescent="0.25">
      <c r="A19" s="582" t="s">
        <v>757</v>
      </c>
      <c r="B19" s="583"/>
      <c r="C19" s="300">
        <v>122</v>
      </c>
      <c r="D19" s="300">
        <v>122</v>
      </c>
      <c r="E19" s="300">
        <v>136</v>
      </c>
      <c r="F19" s="300">
        <v>136</v>
      </c>
      <c r="G19" s="300">
        <v>412</v>
      </c>
      <c r="H19" s="300">
        <v>410</v>
      </c>
      <c r="I19" s="300">
        <v>547</v>
      </c>
      <c r="J19" s="300">
        <v>530</v>
      </c>
    </row>
  </sheetData>
  <mergeCells count="7">
    <mergeCell ref="A12:B14"/>
    <mergeCell ref="A15:B15"/>
    <mergeCell ref="A19:B19"/>
    <mergeCell ref="G13:H13"/>
    <mergeCell ref="I13:J13"/>
    <mergeCell ref="C13:D13"/>
    <mergeCell ref="E13:F13"/>
  </mergeCells>
  <pageMargins left="0.7" right="0.7" top="0.75" bottom="0.75" header="0.3" footer="0.3"/>
  <pageSetup orientation="portrait"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19F91-6AF0-4F80-BDE6-92CB384296FF}">
  <sheetPr>
    <tabColor theme="2" tint="-0.249977111117893"/>
  </sheetPr>
  <dimension ref="B1:N12"/>
  <sheetViews>
    <sheetView workbookViewId="0">
      <selection activeCell="G12" sqref="G12"/>
    </sheetView>
  </sheetViews>
  <sheetFormatPr defaultRowHeight="15" x14ac:dyDescent="0.25"/>
  <cols>
    <col min="2" max="2" width="23.7109375" bestFit="1" customWidth="1"/>
    <col min="3" max="4" width="6.28515625" customWidth="1"/>
    <col min="5" max="5" width="5.28515625" customWidth="1"/>
    <col min="6" max="6" width="23.7109375" bestFit="1" customWidth="1"/>
    <col min="7" max="8" width="6.28515625" customWidth="1"/>
    <col min="9" max="9" width="3.140625" customWidth="1"/>
    <col min="10" max="10" width="23.7109375" bestFit="1" customWidth="1"/>
    <col min="11" max="12" width="6.28515625" customWidth="1"/>
  </cols>
  <sheetData>
    <row r="1" spans="2:14" ht="15.75" thickBot="1" x14ac:dyDescent="0.3">
      <c r="F1" s="104" t="s">
        <v>616</v>
      </c>
    </row>
    <row r="2" spans="2:14" x14ac:dyDescent="0.25">
      <c r="B2" s="115">
        <v>2019</v>
      </c>
      <c r="F2" s="332">
        <v>2020</v>
      </c>
      <c r="G2" s="102"/>
      <c r="H2" s="103"/>
      <c r="J2" s="115">
        <v>2021</v>
      </c>
    </row>
    <row r="3" spans="2:14" ht="15.75" thickBot="1" x14ac:dyDescent="0.3">
      <c r="B3" t="s">
        <v>617</v>
      </c>
      <c r="C3" t="s">
        <v>57</v>
      </c>
      <c r="D3">
        <v>5</v>
      </c>
      <c r="F3" s="322" t="s">
        <v>618</v>
      </c>
      <c r="G3" t="s">
        <v>57</v>
      </c>
      <c r="H3" s="323">
        <v>5</v>
      </c>
      <c r="J3" t="s">
        <v>619</v>
      </c>
      <c r="K3" t="s">
        <v>57</v>
      </c>
      <c r="L3">
        <v>5</v>
      </c>
    </row>
    <row r="4" spans="2:14" ht="15.75" thickBot="1" x14ac:dyDescent="0.3">
      <c r="B4" s="320" t="s">
        <v>620</v>
      </c>
      <c r="C4" s="326"/>
      <c r="D4" s="321" t="s">
        <v>621</v>
      </c>
      <c r="F4" s="320" t="s">
        <v>620</v>
      </c>
      <c r="G4" s="326"/>
      <c r="H4" s="321" t="s">
        <v>621</v>
      </c>
      <c r="J4" s="320" t="s">
        <v>620</v>
      </c>
      <c r="K4" s="326"/>
      <c r="L4" s="321" t="s">
        <v>621</v>
      </c>
      <c r="N4" t="s">
        <v>809</v>
      </c>
    </row>
    <row r="5" spans="2:14" x14ac:dyDescent="0.25">
      <c r="B5" s="318" t="s">
        <v>115</v>
      </c>
      <c r="C5" s="325">
        <v>32</v>
      </c>
      <c r="D5" s="328">
        <f>C5/D$3</f>
        <v>6.4</v>
      </c>
      <c r="F5" s="318" t="s">
        <v>115</v>
      </c>
      <c r="G5" s="325">
        <v>36</v>
      </c>
      <c r="H5" s="328">
        <f>G5/H$3</f>
        <v>7.2</v>
      </c>
      <c r="J5" s="318" t="s">
        <v>115</v>
      </c>
      <c r="K5" s="325">
        <v>35</v>
      </c>
      <c r="L5" s="328">
        <f>K5/L$3</f>
        <v>7</v>
      </c>
      <c r="N5" t="s">
        <v>810</v>
      </c>
    </row>
    <row r="6" spans="2:14" x14ac:dyDescent="0.25">
      <c r="B6" s="316" t="s">
        <v>118</v>
      </c>
      <c r="C6" s="300">
        <v>5</v>
      </c>
      <c r="D6" s="329">
        <f t="shared" ref="D6:D10" si="0">C6/D$3</f>
        <v>1</v>
      </c>
      <c r="F6" s="316" t="s">
        <v>118</v>
      </c>
      <c r="G6" s="300">
        <v>6</v>
      </c>
      <c r="H6" s="329">
        <f t="shared" ref="H6:H10" si="1">G6/H$3</f>
        <v>1.2</v>
      </c>
      <c r="J6" s="316" t="s">
        <v>118</v>
      </c>
      <c r="K6" s="300">
        <v>8</v>
      </c>
      <c r="L6" s="329">
        <f t="shared" ref="L6:L10" si="2">K6/L$3</f>
        <v>1.6</v>
      </c>
      <c r="N6" t="s">
        <v>811</v>
      </c>
    </row>
    <row r="7" spans="2:14" x14ac:dyDescent="0.25">
      <c r="B7" s="316" t="s">
        <v>119</v>
      </c>
      <c r="C7" s="300">
        <v>9</v>
      </c>
      <c r="D7" s="329">
        <f t="shared" si="0"/>
        <v>1.8</v>
      </c>
      <c r="F7" s="316" t="s">
        <v>119</v>
      </c>
      <c r="G7" s="300">
        <v>9</v>
      </c>
      <c r="H7" s="329">
        <f t="shared" si="1"/>
        <v>1.8</v>
      </c>
      <c r="J7" s="316" t="s">
        <v>119</v>
      </c>
      <c r="K7" s="300">
        <v>8</v>
      </c>
      <c r="L7" s="329">
        <f t="shared" si="2"/>
        <v>1.6</v>
      </c>
      <c r="N7" t="s">
        <v>812</v>
      </c>
    </row>
    <row r="8" spans="2:14" x14ac:dyDescent="0.25">
      <c r="B8" s="316" t="s">
        <v>120</v>
      </c>
      <c r="C8" s="300">
        <v>2</v>
      </c>
      <c r="D8" s="329">
        <f t="shared" si="0"/>
        <v>0.4</v>
      </c>
      <c r="F8" s="316" t="s">
        <v>120</v>
      </c>
      <c r="G8" s="300">
        <v>2</v>
      </c>
      <c r="H8" s="329">
        <f t="shared" si="1"/>
        <v>0.4</v>
      </c>
      <c r="J8" s="316" t="s">
        <v>120</v>
      </c>
      <c r="K8" s="300">
        <v>4</v>
      </c>
      <c r="L8" s="329">
        <f t="shared" si="2"/>
        <v>0.8</v>
      </c>
    </row>
    <row r="9" spans="2:14" ht="15.75" thickBot="1" x14ac:dyDescent="0.3">
      <c r="B9" s="317" t="s">
        <v>121</v>
      </c>
      <c r="C9" s="324">
        <v>4</v>
      </c>
      <c r="D9" s="330">
        <f t="shared" si="0"/>
        <v>0.8</v>
      </c>
      <c r="E9" s="80"/>
      <c r="F9" s="317" t="s">
        <v>121</v>
      </c>
      <c r="G9" s="324">
        <v>4</v>
      </c>
      <c r="H9" s="330">
        <f t="shared" si="1"/>
        <v>0.8</v>
      </c>
      <c r="J9" s="317" t="s">
        <v>121</v>
      </c>
      <c r="K9" s="324">
        <v>3</v>
      </c>
      <c r="L9" s="330">
        <f t="shared" si="2"/>
        <v>0.6</v>
      </c>
      <c r="N9" t="s">
        <v>813</v>
      </c>
    </row>
    <row r="10" spans="2:14" ht="15.75" thickBot="1" x14ac:dyDescent="0.3">
      <c r="B10" s="319" t="s">
        <v>34</v>
      </c>
      <c r="C10" s="327">
        <f>SUM(C5:C9)</f>
        <v>52</v>
      </c>
      <c r="D10" s="331">
        <f t="shared" si="0"/>
        <v>10.4</v>
      </c>
      <c r="E10" s="80"/>
      <c r="F10" s="319" t="s">
        <v>34</v>
      </c>
      <c r="G10" s="327">
        <f>SUM(G5:G9)</f>
        <v>57</v>
      </c>
      <c r="H10" s="331">
        <f t="shared" si="1"/>
        <v>11.4</v>
      </c>
      <c r="J10" s="319" t="s">
        <v>34</v>
      </c>
      <c r="K10" s="327">
        <f>SUM(K5:K9)</f>
        <v>58</v>
      </c>
      <c r="L10" s="331">
        <f t="shared" si="2"/>
        <v>11.6</v>
      </c>
      <c r="N10" t="s">
        <v>814</v>
      </c>
    </row>
    <row r="11" spans="2:14" x14ac:dyDescent="0.25">
      <c r="E11" s="80"/>
    </row>
    <row r="12" spans="2:14" x14ac:dyDescent="0.25">
      <c r="E12" s="80"/>
    </row>
  </sheetData>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D86A8-0D8D-4523-BA07-445DFDA60F17}">
  <sheetPr>
    <tabColor theme="6"/>
  </sheetPr>
  <dimension ref="A2:I21"/>
  <sheetViews>
    <sheetView topLeftCell="A31" zoomScaleNormal="100" workbookViewId="0"/>
  </sheetViews>
  <sheetFormatPr defaultRowHeight="15" x14ac:dyDescent="0.25"/>
  <cols>
    <col min="2" max="2" width="22.140625" customWidth="1"/>
    <col min="3" max="3" width="12.28515625" customWidth="1"/>
    <col min="4" max="4" width="11.5703125" bestFit="1" customWidth="1"/>
    <col min="6" max="6" width="22" customWidth="1"/>
  </cols>
  <sheetData>
    <row r="2" spans="1:9" x14ac:dyDescent="0.25">
      <c r="A2" s="104" t="s">
        <v>385</v>
      </c>
    </row>
    <row r="4" spans="1:9" x14ac:dyDescent="0.25">
      <c r="C4" s="584" t="s">
        <v>760</v>
      </c>
      <c r="D4" s="584"/>
      <c r="E4" s="584"/>
      <c r="F4" s="584"/>
      <c r="G4" s="584"/>
      <c r="H4" s="584"/>
      <c r="I4" s="584"/>
    </row>
    <row r="5" spans="1:9" x14ac:dyDescent="0.25">
      <c r="B5" t="s">
        <v>608</v>
      </c>
      <c r="C5">
        <v>0</v>
      </c>
      <c r="D5" t="s">
        <v>187</v>
      </c>
    </row>
    <row r="6" spans="1:9" x14ac:dyDescent="0.25">
      <c r="B6" t="s">
        <v>609</v>
      </c>
      <c r="C6">
        <v>0</v>
      </c>
      <c r="D6" t="s">
        <v>187</v>
      </c>
    </row>
    <row r="7" spans="1:9" x14ac:dyDescent="0.25">
      <c r="B7" t="s">
        <v>610</v>
      </c>
      <c r="C7">
        <f>AVERAGE(C5:C6)</f>
        <v>0</v>
      </c>
      <c r="D7" t="s">
        <v>187</v>
      </c>
    </row>
    <row r="8" spans="1:9" x14ac:dyDescent="0.25">
      <c r="B8" t="s">
        <v>392</v>
      </c>
      <c r="C8">
        <v>2023</v>
      </c>
    </row>
    <row r="11" spans="1:9" x14ac:dyDescent="0.25">
      <c r="A11" s="104" t="s">
        <v>400</v>
      </c>
    </row>
    <row r="13" spans="1:9" x14ac:dyDescent="0.25">
      <c r="B13" t="s">
        <v>422</v>
      </c>
      <c r="C13" s="131" t="s">
        <v>611</v>
      </c>
    </row>
    <row r="15" spans="1:9" x14ac:dyDescent="0.25">
      <c r="B15" t="s">
        <v>612</v>
      </c>
      <c r="C15" t="s">
        <v>50</v>
      </c>
      <c r="D15">
        <v>2010</v>
      </c>
    </row>
    <row r="16" spans="1:9" x14ac:dyDescent="0.25">
      <c r="B16" t="s">
        <v>612</v>
      </c>
      <c r="C16" t="s">
        <v>613</v>
      </c>
      <c r="D16" s="257">
        <v>15856</v>
      </c>
    </row>
    <row r="17" spans="2:4" x14ac:dyDescent="0.25">
      <c r="B17" t="s">
        <v>614</v>
      </c>
      <c r="C17" t="s">
        <v>50</v>
      </c>
      <c r="D17">
        <v>2022</v>
      </c>
    </row>
    <row r="18" spans="2:4" x14ac:dyDescent="0.25">
      <c r="B18" t="s">
        <v>614</v>
      </c>
      <c r="C18" t="s">
        <v>613</v>
      </c>
      <c r="D18" s="257">
        <v>19628</v>
      </c>
    </row>
    <row r="20" spans="2:4" x14ac:dyDescent="0.25">
      <c r="B20" t="s">
        <v>615</v>
      </c>
      <c r="C20" t="s">
        <v>68</v>
      </c>
      <c r="D20" s="258">
        <f>(D18-D16)/D16</f>
        <v>0.23789101917255298</v>
      </c>
    </row>
    <row r="21" spans="2:4" x14ac:dyDescent="0.25">
      <c r="B21" t="s">
        <v>605</v>
      </c>
      <c r="C21" t="s">
        <v>68</v>
      </c>
      <c r="D21" s="258">
        <f>D20/(D17-D15)</f>
        <v>1.9824251597712748E-2</v>
      </c>
    </row>
  </sheetData>
  <mergeCells count="1">
    <mergeCell ref="C4:I4"/>
  </mergeCells>
  <hyperlinks>
    <hyperlink ref="C13" r:id="rId1" xr:uid="{61493ABA-BB5F-4DBC-AFCB-DDE4530CDE96}"/>
  </hyperlinks>
  <pageMargins left="0.7" right="0.7" top="0.75" bottom="0.75" header="0.3" footer="0.3"/>
  <pageSetup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B5164-386C-41B5-BA8C-FB7356437A1D}">
  <sheetPr>
    <tabColor theme="8"/>
  </sheetPr>
  <dimension ref="A1:AJ179"/>
  <sheetViews>
    <sheetView workbookViewId="0">
      <pane xSplit="1" ySplit="10" topLeftCell="C11" activePane="bottomRight" state="frozen"/>
      <selection pane="topRight" activeCell="B1" sqref="B1"/>
      <selection pane="bottomLeft" activeCell="A5" sqref="A5"/>
      <selection pane="bottomRight" activeCell="E21" sqref="E21"/>
    </sheetView>
  </sheetViews>
  <sheetFormatPr defaultColWidth="9.140625" defaultRowHeight="14.25" x14ac:dyDescent="0.2"/>
  <cols>
    <col min="1" max="1" width="23" style="1" customWidth="1"/>
    <col min="2" max="2" width="2.140625" style="1" hidden="1" customWidth="1"/>
    <col min="3" max="3" width="87.140625" style="1" bestFit="1" customWidth="1"/>
    <col min="4" max="4" width="22.7109375" style="1" bestFit="1" customWidth="1"/>
    <col min="5" max="5" width="17.42578125" style="1" bestFit="1" customWidth="1"/>
    <col min="6" max="6" width="86" style="1" bestFit="1" customWidth="1"/>
    <col min="7" max="7" width="9.140625" style="1"/>
    <col min="8" max="8" width="16.85546875" style="1" bestFit="1" customWidth="1"/>
    <col min="9" max="36" width="13.28515625" style="1" bestFit="1" customWidth="1"/>
    <col min="37" max="16384" width="9.140625" style="1"/>
  </cols>
  <sheetData>
    <row r="1" spans="1:8" ht="19.5" x14ac:dyDescent="0.3">
      <c r="A1" s="191" t="str">
        <f>'OUTPUT Summary'!$A$1</f>
        <v>ODOT Roosevelt Memorial Bridge US-70</v>
      </c>
      <c r="B1" s="191"/>
    </row>
    <row r="2" spans="1:8" ht="19.5" x14ac:dyDescent="0.3">
      <c r="A2" s="191" t="s">
        <v>41</v>
      </c>
      <c r="B2" s="191"/>
    </row>
    <row r="3" spans="1:8" x14ac:dyDescent="0.2">
      <c r="A3" s="51">
        <f ca="1">TODAY()</f>
        <v>45156</v>
      </c>
      <c r="B3" s="51"/>
    </row>
    <row r="4" spans="1:8" x14ac:dyDescent="0.2">
      <c r="A4" s="52" t="s">
        <v>2</v>
      </c>
      <c r="B4" s="52"/>
    </row>
    <row r="5" spans="1:8" ht="15" thickBot="1" x14ac:dyDescent="0.25">
      <c r="A5" s="66" t="s">
        <v>774</v>
      </c>
      <c r="B5" s="66"/>
    </row>
    <row r="6" spans="1:8" ht="15.75" thickBot="1" x14ac:dyDescent="0.3">
      <c r="A6" s="67" t="s">
        <v>3</v>
      </c>
      <c r="B6" s="67"/>
      <c r="C6" s="255" t="str">
        <f>'OUTPUT Summary'!$B$9</f>
        <v>Benefit Cost Ratio (7% disc.)</v>
      </c>
      <c r="D6" s="256">
        <f>'OUTPUT Summary'!$E$9</f>
        <v>2.2715006289444686</v>
      </c>
    </row>
    <row r="7" spans="1:8" x14ac:dyDescent="0.2">
      <c r="A7" s="68" t="s">
        <v>4</v>
      </c>
      <c r="B7" s="68"/>
      <c r="C7" s="290" t="s">
        <v>6</v>
      </c>
      <c r="D7" s="1" t="str">
        <f>IF($B$179=0,"NO","YES")</f>
        <v>NO</v>
      </c>
    </row>
    <row r="8" spans="1:8" x14ac:dyDescent="0.2">
      <c r="A8" s="357" t="s">
        <v>5</v>
      </c>
      <c r="B8" s="217"/>
    </row>
    <row r="9" spans="1:8" x14ac:dyDescent="0.2">
      <c r="C9" s="20" t="str">
        <f>'OUTPUT Summary'!$B$23</f>
        <v>Emissions 7% discount factor includes 3% discount for CO2</v>
      </c>
    </row>
    <row r="10" spans="1:8" ht="18" thickBot="1" x14ac:dyDescent="0.35">
      <c r="A10" s="42" t="s">
        <v>42</v>
      </c>
      <c r="B10" s="42"/>
      <c r="C10" s="42" t="s">
        <v>43</v>
      </c>
      <c r="D10" s="43" t="s">
        <v>44</v>
      </c>
      <c r="E10" s="43" t="s">
        <v>45</v>
      </c>
      <c r="F10" s="43" t="s">
        <v>46</v>
      </c>
      <c r="G10" s="43"/>
      <c r="H10" s="43" t="s">
        <v>47</v>
      </c>
    </row>
    <row r="11" spans="1:8" ht="15.75" thickTop="1" x14ac:dyDescent="0.25">
      <c r="A11" s="2" t="s">
        <v>48</v>
      </c>
      <c r="B11" s="2"/>
    </row>
    <row r="12" spans="1:8" x14ac:dyDescent="0.2">
      <c r="A12" s="53"/>
      <c r="B12" s="63"/>
      <c r="C12" s="63" t="s">
        <v>49</v>
      </c>
      <c r="D12" s="54" t="s">
        <v>50</v>
      </c>
      <c r="E12" s="55">
        <v>2018</v>
      </c>
      <c r="F12" s="56" t="s">
        <v>51</v>
      </c>
    </row>
    <row r="13" spans="1:8" x14ac:dyDescent="0.2">
      <c r="A13" s="57"/>
      <c r="C13" s="1" t="s">
        <v>52</v>
      </c>
      <c r="D13" s="21" t="s">
        <v>50</v>
      </c>
      <c r="E13" s="9">
        <v>2021</v>
      </c>
      <c r="F13" s="58" t="s">
        <v>53</v>
      </c>
    </row>
    <row r="14" spans="1:8" x14ac:dyDescent="0.2">
      <c r="A14" s="57"/>
      <c r="C14" s="1" t="s">
        <v>54</v>
      </c>
      <c r="D14" s="21" t="s">
        <v>50</v>
      </c>
      <c r="E14" s="9">
        <v>2025</v>
      </c>
      <c r="F14" s="58" t="s">
        <v>55</v>
      </c>
    </row>
    <row r="15" spans="1:8" x14ac:dyDescent="0.2">
      <c r="A15" s="57"/>
      <c r="C15" s="1" t="s">
        <v>56</v>
      </c>
      <c r="D15" s="21" t="s">
        <v>57</v>
      </c>
      <c r="E15" s="9">
        <v>3</v>
      </c>
      <c r="F15" s="58" t="s">
        <v>55</v>
      </c>
    </row>
    <row r="16" spans="1:8" x14ac:dyDescent="0.2">
      <c r="A16" s="57"/>
      <c r="C16" s="1" t="s">
        <v>58</v>
      </c>
      <c r="D16" s="21" t="s">
        <v>50</v>
      </c>
      <c r="E16" s="1">
        <f>E14+E15</f>
        <v>2028</v>
      </c>
      <c r="F16" s="58" t="s">
        <v>59</v>
      </c>
    </row>
    <row r="17" spans="1:13" x14ac:dyDescent="0.2">
      <c r="A17" s="57"/>
      <c r="C17" s="1" t="s">
        <v>60</v>
      </c>
      <c r="D17" s="21" t="s">
        <v>50</v>
      </c>
      <c r="E17" s="1">
        <f>E16</f>
        <v>2028</v>
      </c>
      <c r="F17" s="58" t="s">
        <v>59</v>
      </c>
    </row>
    <row r="18" spans="1:13" x14ac:dyDescent="0.2">
      <c r="A18" s="57"/>
      <c r="C18" s="1" t="s">
        <v>61</v>
      </c>
      <c r="D18" s="21" t="s">
        <v>57</v>
      </c>
      <c r="E18" s="1">
        <f>MAX(E19:E20)</f>
        <v>20</v>
      </c>
      <c r="F18" s="58" t="s">
        <v>53</v>
      </c>
    </row>
    <row r="19" spans="1:13" x14ac:dyDescent="0.2">
      <c r="A19" s="57"/>
      <c r="C19" s="1" t="s">
        <v>62</v>
      </c>
      <c r="D19" s="21" t="s">
        <v>57</v>
      </c>
      <c r="E19" s="9">
        <v>20</v>
      </c>
      <c r="F19" s="58" t="s">
        <v>53</v>
      </c>
    </row>
    <row r="20" spans="1:13" x14ac:dyDescent="0.2">
      <c r="A20" s="13"/>
      <c r="B20" s="13">
        <f>IF(E20=0,0,1)</f>
        <v>0</v>
      </c>
      <c r="C20" s="13" t="s">
        <v>63</v>
      </c>
      <c r="D20" s="21" t="s">
        <v>57</v>
      </c>
      <c r="E20" s="357">
        <v>0</v>
      </c>
      <c r="F20" s="360" t="s">
        <v>64</v>
      </c>
    </row>
    <row r="21" spans="1:13" x14ac:dyDescent="0.2">
      <c r="A21" s="59"/>
      <c r="B21" s="64"/>
      <c r="C21" s="64" t="s">
        <v>65</v>
      </c>
      <c r="D21" s="60" t="s">
        <v>50</v>
      </c>
      <c r="E21" s="61">
        <f>E17+E18</f>
        <v>2048</v>
      </c>
      <c r="F21" s="62" t="s">
        <v>59</v>
      </c>
    </row>
    <row r="22" spans="1:13" x14ac:dyDescent="0.2">
      <c r="D22" s="21"/>
      <c r="E22" s="13"/>
    </row>
    <row r="23" spans="1:13" ht="15" x14ac:dyDescent="0.25">
      <c r="A23" s="2" t="s">
        <v>66</v>
      </c>
      <c r="B23" s="2"/>
      <c r="D23" s="21"/>
      <c r="E23" s="13"/>
    </row>
    <row r="24" spans="1:13" x14ac:dyDescent="0.2">
      <c r="A24" s="53"/>
      <c r="B24" s="63"/>
      <c r="C24" s="63" t="s">
        <v>67</v>
      </c>
      <c r="D24" s="54" t="s">
        <v>68</v>
      </c>
      <c r="E24" s="65">
        <v>0</v>
      </c>
      <c r="F24" s="56" t="s">
        <v>53</v>
      </c>
    </row>
    <row r="25" spans="1:13" ht="15" x14ac:dyDescent="0.25">
      <c r="A25" s="57"/>
      <c r="C25" s="1" t="s">
        <v>69</v>
      </c>
      <c r="D25" s="21" t="s">
        <v>68</v>
      </c>
      <c r="E25" s="166">
        <v>0.03</v>
      </c>
      <c r="F25" s="58" t="s">
        <v>53</v>
      </c>
      <c r="H25"/>
      <c r="I25"/>
      <c r="J25"/>
      <c r="K25"/>
      <c r="L25"/>
      <c r="M25"/>
    </row>
    <row r="26" spans="1:13" ht="15" x14ac:dyDescent="0.25">
      <c r="A26" s="57"/>
      <c r="C26" s="1" t="s">
        <v>70</v>
      </c>
      <c r="D26" s="21" t="s">
        <v>68</v>
      </c>
      <c r="E26" s="166">
        <v>7.0000000000000007E-2</v>
      </c>
      <c r="F26" s="58" t="s">
        <v>53</v>
      </c>
      <c r="M26"/>
    </row>
    <row r="27" spans="1:13" x14ac:dyDescent="0.2">
      <c r="A27" s="57"/>
      <c r="C27" s="1" t="s">
        <v>71</v>
      </c>
      <c r="D27" s="71" t="s">
        <v>72</v>
      </c>
      <c r="E27" s="167">
        <v>365</v>
      </c>
      <c r="F27" s="58" t="s">
        <v>73</v>
      </c>
    </row>
    <row r="28" spans="1:13" x14ac:dyDescent="0.2">
      <c r="A28" s="59"/>
      <c r="B28" s="64"/>
      <c r="C28" s="64" t="s">
        <v>74</v>
      </c>
      <c r="D28" s="74" t="s">
        <v>75</v>
      </c>
      <c r="E28" s="224">
        <v>1000</v>
      </c>
      <c r="F28" s="62" t="s">
        <v>73</v>
      </c>
    </row>
    <row r="29" spans="1:13" x14ac:dyDescent="0.2">
      <c r="D29" s="71"/>
    </row>
    <row r="30" spans="1:13" ht="15" x14ac:dyDescent="0.25">
      <c r="A30" s="2" t="s">
        <v>76</v>
      </c>
      <c r="B30" s="2"/>
      <c r="D30" s="20"/>
    </row>
    <row r="31" spans="1:13" ht="15" x14ac:dyDescent="0.25">
      <c r="A31" s="378"/>
      <c r="B31" s="250"/>
      <c r="C31" s="63" t="s">
        <v>23</v>
      </c>
      <c r="D31" s="54" t="s">
        <v>77</v>
      </c>
      <c r="E31" s="334">
        <v>220000000</v>
      </c>
      <c r="F31" s="56" t="s">
        <v>55</v>
      </c>
    </row>
    <row r="32" spans="1:13" ht="14.25" customHeight="1" x14ac:dyDescent="0.2">
      <c r="A32" s="379"/>
      <c r="B32" s="13">
        <f>IF(E32=0,0,1)</f>
        <v>0</v>
      </c>
      <c r="C32" s="13" t="s">
        <v>78</v>
      </c>
      <c r="D32" s="21" t="s">
        <v>81</v>
      </c>
      <c r="E32" s="358">
        <v>0</v>
      </c>
      <c r="F32" s="360" t="s">
        <v>79</v>
      </c>
    </row>
    <row r="33" spans="1:13" ht="14.25" customHeight="1" x14ac:dyDescent="0.2">
      <c r="A33" s="380"/>
      <c r="B33" s="336"/>
      <c r="C33" s="1" t="s">
        <v>80</v>
      </c>
      <c r="D33" s="21" t="s">
        <v>81</v>
      </c>
      <c r="E33" s="348">
        <v>0.06</v>
      </c>
      <c r="F33" s="58" t="s">
        <v>55</v>
      </c>
    </row>
    <row r="34" spans="1:13" ht="14.25" customHeight="1" x14ac:dyDescent="0.2">
      <c r="A34" s="380"/>
      <c r="B34" s="336"/>
      <c r="C34" s="1" t="s">
        <v>82</v>
      </c>
      <c r="D34" s="21" t="s">
        <v>77</v>
      </c>
      <c r="E34" s="234">
        <f>$E$31*E33</f>
        <v>13200000</v>
      </c>
      <c r="F34" s="58" t="s">
        <v>773</v>
      </c>
    </row>
    <row r="35" spans="1:13" ht="14.25" customHeight="1" x14ac:dyDescent="0.2">
      <c r="A35" s="380"/>
      <c r="B35" s="336"/>
      <c r="C35" s="1" t="s">
        <v>83</v>
      </c>
      <c r="D35" s="21" t="s">
        <v>81</v>
      </c>
      <c r="E35" s="376">
        <v>5.4545454545454543E-2</v>
      </c>
      <c r="F35" s="58" t="s">
        <v>55</v>
      </c>
    </row>
    <row r="36" spans="1:13" ht="14.25" customHeight="1" x14ac:dyDescent="0.2">
      <c r="A36" s="380"/>
      <c r="B36" s="336"/>
      <c r="C36" s="1" t="s">
        <v>84</v>
      </c>
      <c r="D36" s="21" t="s">
        <v>77</v>
      </c>
      <c r="E36" s="234">
        <f>$E$31*E35</f>
        <v>12000000</v>
      </c>
      <c r="F36" s="58" t="s">
        <v>55</v>
      </c>
    </row>
    <row r="37" spans="1:13" ht="14.25" customHeight="1" x14ac:dyDescent="0.2">
      <c r="A37" s="380"/>
      <c r="B37" s="336"/>
      <c r="C37" s="1" t="s">
        <v>85</v>
      </c>
      <c r="D37" s="21" t="s">
        <v>77</v>
      </c>
      <c r="E37" s="310">
        <v>2500000</v>
      </c>
      <c r="F37" s="58" t="s">
        <v>55</v>
      </c>
    </row>
    <row r="38" spans="1:13" ht="14.25" customHeight="1" x14ac:dyDescent="0.2">
      <c r="A38" s="380"/>
      <c r="B38" s="336"/>
      <c r="C38" s="1" t="s">
        <v>801</v>
      </c>
      <c r="D38" s="21" t="s">
        <v>77</v>
      </c>
      <c r="E38" s="310">
        <v>3379000</v>
      </c>
      <c r="F38" s="58" t="s">
        <v>55</v>
      </c>
    </row>
    <row r="39" spans="1:13" ht="15" x14ac:dyDescent="0.25">
      <c r="A39" s="57"/>
      <c r="C39" s="1" t="s">
        <v>86</v>
      </c>
      <c r="D39" s="21" t="s">
        <v>50</v>
      </c>
      <c r="E39" s="167">
        <v>2023</v>
      </c>
      <c r="F39" s="58" t="s">
        <v>55</v>
      </c>
      <c r="M39"/>
    </row>
    <row r="40" spans="1:13" x14ac:dyDescent="0.2">
      <c r="A40" s="57"/>
      <c r="C40" s="1" t="s">
        <v>87</v>
      </c>
      <c r="D40" s="21" t="s">
        <v>50</v>
      </c>
      <c r="E40" s="167">
        <v>2023</v>
      </c>
      <c r="F40" s="58" t="s">
        <v>55</v>
      </c>
    </row>
    <row r="41" spans="1:13" x14ac:dyDescent="0.2">
      <c r="A41" s="57"/>
      <c r="C41" s="1" t="s">
        <v>88</v>
      </c>
      <c r="D41" s="21" t="s">
        <v>50</v>
      </c>
      <c r="E41" s="167">
        <v>2023</v>
      </c>
      <c r="F41" s="58" t="s">
        <v>55</v>
      </c>
    </row>
    <row r="42" spans="1:13" x14ac:dyDescent="0.2">
      <c r="A42" s="57"/>
      <c r="C42" s="1" t="s">
        <v>89</v>
      </c>
      <c r="D42" s="21" t="s">
        <v>50</v>
      </c>
      <c r="E42" s="167">
        <v>2023</v>
      </c>
      <c r="F42" s="58" t="s">
        <v>55</v>
      </c>
    </row>
    <row r="43" spans="1:13" x14ac:dyDescent="0.2">
      <c r="A43" s="57"/>
      <c r="C43" s="1" t="s">
        <v>90</v>
      </c>
      <c r="D43" s="21" t="s">
        <v>50</v>
      </c>
      <c r="E43" s="167">
        <v>2023</v>
      </c>
      <c r="F43" s="58" t="s">
        <v>55</v>
      </c>
    </row>
    <row r="44" spans="1:13" x14ac:dyDescent="0.2">
      <c r="A44" s="57"/>
      <c r="C44" s="1" t="s">
        <v>91</v>
      </c>
      <c r="D44" s="21" t="s">
        <v>81</v>
      </c>
      <c r="E44" s="376">
        <v>0.75</v>
      </c>
      <c r="F44" s="58" t="s">
        <v>802</v>
      </c>
    </row>
    <row r="45" spans="1:13" x14ac:dyDescent="0.2">
      <c r="A45" s="57"/>
      <c r="C45" s="1" t="s">
        <v>91</v>
      </c>
      <c r="D45" s="21" t="s">
        <v>77</v>
      </c>
      <c r="E45" s="234">
        <f>E31*E44</f>
        <v>165000000</v>
      </c>
      <c r="F45" s="58" t="s">
        <v>59</v>
      </c>
    </row>
    <row r="46" spans="1:13" x14ac:dyDescent="0.2">
      <c r="A46" s="57"/>
      <c r="C46" s="1" t="s">
        <v>92</v>
      </c>
      <c r="D46" s="21" t="s">
        <v>57</v>
      </c>
      <c r="E46" s="167">
        <v>75</v>
      </c>
      <c r="F46" s="58" t="s">
        <v>93</v>
      </c>
    </row>
    <row r="47" spans="1:13" x14ac:dyDescent="0.2">
      <c r="A47" s="57"/>
      <c r="C47" s="1" t="s">
        <v>94</v>
      </c>
      <c r="D47" s="21" t="s">
        <v>77</v>
      </c>
      <c r="E47" s="168">
        <v>0</v>
      </c>
      <c r="F47" s="58" t="s">
        <v>55</v>
      </c>
    </row>
    <row r="48" spans="1:13" x14ac:dyDescent="0.2">
      <c r="A48" s="57"/>
      <c r="C48" s="1" t="s">
        <v>95</v>
      </c>
      <c r="D48" s="21" t="s">
        <v>96</v>
      </c>
      <c r="E48" s="168">
        <v>0</v>
      </c>
      <c r="F48" s="58" t="s">
        <v>799</v>
      </c>
    </row>
    <row r="49" spans="1:6" x14ac:dyDescent="0.2">
      <c r="A49" s="57"/>
      <c r="C49" s="1" t="s">
        <v>97</v>
      </c>
      <c r="D49" s="21" t="s">
        <v>98</v>
      </c>
      <c r="E49" s="168">
        <v>0</v>
      </c>
      <c r="F49" s="58" t="s">
        <v>799</v>
      </c>
    </row>
    <row r="50" spans="1:6" x14ac:dyDescent="0.2">
      <c r="A50" s="57"/>
      <c r="C50" s="1" t="s">
        <v>99</v>
      </c>
      <c r="D50" s="21" t="s">
        <v>98</v>
      </c>
      <c r="E50" s="168">
        <v>0</v>
      </c>
      <c r="F50" s="58" t="s">
        <v>799</v>
      </c>
    </row>
    <row r="51" spans="1:6" x14ac:dyDescent="0.2">
      <c r="A51" s="59"/>
      <c r="B51" s="64"/>
      <c r="C51" s="64" t="s">
        <v>100</v>
      </c>
      <c r="D51" s="60" t="s">
        <v>101</v>
      </c>
      <c r="E51" s="311">
        <f>E78*2</f>
        <v>0</v>
      </c>
      <c r="F51" s="62" t="s">
        <v>799</v>
      </c>
    </row>
    <row r="52" spans="1:6" x14ac:dyDescent="0.2">
      <c r="D52" s="21"/>
    </row>
    <row r="53" spans="1:6" ht="15" x14ac:dyDescent="0.25">
      <c r="A53" s="2" t="s">
        <v>102</v>
      </c>
      <c r="B53" s="2"/>
      <c r="D53" s="20"/>
    </row>
    <row r="54" spans="1:6" x14ac:dyDescent="0.2">
      <c r="A54" s="53"/>
      <c r="B54" s="63"/>
      <c r="C54" s="63" t="s">
        <v>103</v>
      </c>
      <c r="D54" s="54" t="s">
        <v>68</v>
      </c>
      <c r="E54" s="282">
        <v>0.09</v>
      </c>
      <c r="F54" s="56" t="s">
        <v>104</v>
      </c>
    </row>
    <row r="55" spans="1:6" x14ac:dyDescent="0.2">
      <c r="A55" s="57"/>
      <c r="C55" s="1" t="s">
        <v>105</v>
      </c>
      <c r="D55" s="11" t="s">
        <v>50</v>
      </c>
      <c r="E55" s="1">
        <f>'REF Traffic'!$B$6</f>
        <v>2021</v>
      </c>
      <c r="F55" s="58" t="s">
        <v>104</v>
      </c>
    </row>
    <row r="56" spans="1:6" x14ac:dyDescent="0.2">
      <c r="A56" s="57"/>
      <c r="C56" s="1" t="s">
        <v>762</v>
      </c>
      <c r="D56" s="11" t="s">
        <v>759</v>
      </c>
      <c r="E56" s="283">
        <f>'REF Traffic'!$C$6</f>
        <v>8520</v>
      </c>
      <c r="F56" s="58" t="s">
        <v>104</v>
      </c>
    </row>
    <row r="57" spans="1:6" x14ac:dyDescent="0.2">
      <c r="A57" s="57"/>
      <c r="C57" s="1" t="s">
        <v>108</v>
      </c>
      <c r="D57" s="11" t="s">
        <v>50</v>
      </c>
      <c r="E57" s="1">
        <f>'REF Traffic'!$B$7</f>
        <v>2050</v>
      </c>
      <c r="F57" s="58" t="s">
        <v>104</v>
      </c>
    </row>
    <row r="58" spans="1:6" x14ac:dyDescent="0.2">
      <c r="A58" s="59"/>
      <c r="B58" s="64"/>
      <c r="C58" s="64" t="s">
        <v>761</v>
      </c>
      <c r="D58" s="355" t="s">
        <v>759</v>
      </c>
      <c r="E58" s="356">
        <f>'REF Traffic'!$C$7</f>
        <v>27260</v>
      </c>
      <c r="F58" s="62" t="s">
        <v>104</v>
      </c>
    </row>
    <row r="60" spans="1:6" ht="15" x14ac:dyDescent="0.25">
      <c r="A60" s="2" t="s">
        <v>114</v>
      </c>
      <c r="B60" s="2"/>
      <c r="D60" s="21"/>
      <c r="E60" s="236"/>
    </row>
    <row r="61" spans="1:6" x14ac:dyDescent="0.2">
      <c r="A61" s="53"/>
      <c r="B61" s="63"/>
      <c r="C61" s="63" t="s">
        <v>115</v>
      </c>
      <c r="D61" s="235" t="s">
        <v>116</v>
      </c>
      <c r="E61" s="289">
        <f>'REF Accidents'!$H5</f>
        <v>7.2</v>
      </c>
      <c r="F61" s="56" t="s">
        <v>117</v>
      </c>
    </row>
    <row r="62" spans="1:6" x14ac:dyDescent="0.2">
      <c r="A62" s="57"/>
      <c r="C62" s="1" t="s">
        <v>118</v>
      </c>
      <c r="D62" s="71" t="s">
        <v>116</v>
      </c>
      <c r="E62" s="289">
        <f>'REF Accidents'!$H6</f>
        <v>1.2</v>
      </c>
      <c r="F62" s="58" t="s">
        <v>117</v>
      </c>
    </row>
    <row r="63" spans="1:6" x14ac:dyDescent="0.2">
      <c r="A63" s="57"/>
      <c r="C63" s="1" t="s">
        <v>119</v>
      </c>
      <c r="D63" s="71" t="s">
        <v>116</v>
      </c>
      <c r="E63" s="289">
        <f>'REF Accidents'!$H7</f>
        <v>1.8</v>
      </c>
      <c r="F63" s="58" t="s">
        <v>117</v>
      </c>
    </row>
    <row r="64" spans="1:6" x14ac:dyDescent="0.2">
      <c r="A64" s="57"/>
      <c r="C64" s="1" t="s">
        <v>120</v>
      </c>
      <c r="D64" s="71" t="s">
        <v>116</v>
      </c>
      <c r="E64" s="289">
        <f>'REF Accidents'!$H8</f>
        <v>0.4</v>
      </c>
      <c r="F64" s="58" t="s">
        <v>117</v>
      </c>
    </row>
    <row r="65" spans="1:6" x14ac:dyDescent="0.2">
      <c r="A65" s="57"/>
      <c r="C65" s="1" t="s">
        <v>121</v>
      </c>
      <c r="D65" s="71" t="s">
        <v>116</v>
      </c>
      <c r="E65" s="289">
        <f>'REF Accidents'!$H9</f>
        <v>0.8</v>
      </c>
      <c r="F65" s="58" t="s">
        <v>117</v>
      </c>
    </row>
    <row r="66" spans="1:6" x14ac:dyDescent="0.2">
      <c r="A66" s="57"/>
      <c r="C66" s="1" t="s">
        <v>122</v>
      </c>
      <c r="D66" s="71" t="s">
        <v>123</v>
      </c>
      <c r="E66" s="333">
        <f>'REF Accidents'!F2</f>
        <v>2020</v>
      </c>
      <c r="F66" s="58" t="s">
        <v>117</v>
      </c>
    </row>
    <row r="67" spans="1:6" x14ac:dyDescent="0.2">
      <c r="A67" s="57"/>
      <c r="C67" s="1" t="s">
        <v>115</v>
      </c>
      <c r="D67" s="225" t="s">
        <v>124</v>
      </c>
      <c r="E67" s="234">
        <f>'REF USDOT BCA 2023 Guidlines'!$AF$25</f>
        <v>4800</v>
      </c>
      <c r="F67" s="58" t="s">
        <v>125</v>
      </c>
    </row>
    <row r="68" spans="1:6" x14ac:dyDescent="0.2">
      <c r="A68" s="57"/>
      <c r="C68" s="1" t="s">
        <v>118</v>
      </c>
      <c r="D68" s="225" t="s">
        <v>124</v>
      </c>
      <c r="E68" s="234">
        <f>'REF USDOT BCA 2023 Guidlines'!$AF12</f>
        <v>78500</v>
      </c>
      <c r="F68" s="58" t="s">
        <v>126</v>
      </c>
    </row>
    <row r="69" spans="1:6" x14ac:dyDescent="0.2">
      <c r="A69" s="57"/>
      <c r="C69" s="1" t="s">
        <v>119</v>
      </c>
      <c r="D69" s="225" t="s">
        <v>124</v>
      </c>
      <c r="E69" s="234">
        <f>'REF USDOT BCA 2023 Guidlines'!$AF13</f>
        <v>153700</v>
      </c>
      <c r="F69" s="58" t="s">
        <v>126</v>
      </c>
    </row>
    <row r="70" spans="1:6" x14ac:dyDescent="0.2">
      <c r="A70" s="57"/>
      <c r="C70" s="1" t="s">
        <v>120</v>
      </c>
      <c r="D70" s="225" t="s">
        <v>124</v>
      </c>
      <c r="E70" s="234">
        <f>'REF USDOT BCA 2023 Guidlines'!$AF14</f>
        <v>564300</v>
      </c>
      <c r="F70" s="58" t="s">
        <v>126</v>
      </c>
    </row>
    <row r="71" spans="1:6" ht="14.25" customHeight="1" x14ac:dyDescent="0.2">
      <c r="A71" s="57"/>
      <c r="C71" s="1" t="s">
        <v>121</v>
      </c>
      <c r="D71" s="225" t="s">
        <v>124</v>
      </c>
      <c r="E71" s="234">
        <f>'REF USDOT BCA 2023 Guidlines'!$AF$21</f>
        <v>13046800</v>
      </c>
      <c r="F71" s="58" t="s">
        <v>126</v>
      </c>
    </row>
    <row r="72" spans="1:6" x14ac:dyDescent="0.2">
      <c r="A72" s="57"/>
      <c r="C72" s="1" t="s">
        <v>110</v>
      </c>
      <c r="D72" s="21" t="s">
        <v>111</v>
      </c>
      <c r="E72" s="285">
        <v>0.44</v>
      </c>
      <c r="F72" s="58" t="s">
        <v>803</v>
      </c>
    </row>
    <row r="73" spans="1:6" x14ac:dyDescent="0.2">
      <c r="A73" s="57"/>
      <c r="C73" s="1" t="s">
        <v>112</v>
      </c>
      <c r="D73" s="21" t="s">
        <v>111</v>
      </c>
      <c r="E73" s="289">
        <f>E72*(1+E74)</f>
        <v>0.44</v>
      </c>
      <c r="F73" s="58" t="s">
        <v>59</v>
      </c>
    </row>
    <row r="74" spans="1:6" x14ac:dyDescent="0.2">
      <c r="A74" s="61"/>
      <c r="B74" s="61">
        <f>IF(E74=0,0,1)</f>
        <v>0</v>
      </c>
      <c r="C74" s="61" t="s">
        <v>113</v>
      </c>
      <c r="D74" s="60" t="s">
        <v>68</v>
      </c>
      <c r="E74" s="359">
        <v>0</v>
      </c>
      <c r="F74" s="361" t="s">
        <v>798</v>
      </c>
    </row>
    <row r="75" spans="1:6" ht="14.25" customHeight="1" x14ac:dyDescent="0.2">
      <c r="D75" s="225"/>
      <c r="E75" s="234"/>
    </row>
    <row r="76" spans="1:6" ht="15" x14ac:dyDescent="0.25">
      <c r="A76" s="2" t="s">
        <v>127</v>
      </c>
      <c r="B76" s="2"/>
      <c r="D76" s="20"/>
      <c r="E76" s="64"/>
    </row>
    <row r="77" spans="1:6" x14ac:dyDescent="0.2">
      <c r="A77" s="53"/>
      <c r="B77" s="63"/>
      <c r="C77" s="63" t="s">
        <v>128</v>
      </c>
      <c r="D77" s="54" t="s">
        <v>101</v>
      </c>
      <c r="E77" s="285">
        <v>0</v>
      </c>
      <c r="F77" s="56" t="s">
        <v>763</v>
      </c>
    </row>
    <row r="78" spans="1:6" x14ac:dyDescent="0.2">
      <c r="A78" s="57"/>
      <c r="C78" s="227" t="s">
        <v>129</v>
      </c>
      <c r="D78" s="21" t="s">
        <v>101</v>
      </c>
      <c r="E78" s="285">
        <v>0</v>
      </c>
      <c r="F78" s="58" t="s">
        <v>763</v>
      </c>
    </row>
    <row r="79" spans="1:6" x14ac:dyDescent="0.2">
      <c r="A79" s="57"/>
      <c r="C79" s="227" t="s">
        <v>130</v>
      </c>
      <c r="D79" s="21" t="s">
        <v>131</v>
      </c>
      <c r="E79" s="286">
        <f>'REF USDOT BCA 2023 Guidlines'!$AF$122</f>
        <v>3.2</v>
      </c>
      <c r="F79" s="58" t="s">
        <v>132</v>
      </c>
    </row>
    <row r="80" spans="1:6" ht="15" x14ac:dyDescent="0.25">
      <c r="A80" s="57"/>
      <c r="C80" s="284" t="s">
        <v>133</v>
      </c>
      <c r="D80" s="287"/>
      <c r="E80" s="169"/>
      <c r="F80" s="58"/>
    </row>
    <row r="81" spans="1:6" x14ac:dyDescent="0.2">
      <c r="A81" s="57"/>
      <c r="C81" s="227" t="s">
        <v>134</v>
      </c>
      <c r="D81" s="21" t="s">
        <v>135</v>
      </c>
      <c r="E81" s="231">
        <f>'REF USDOT BCA 2023 Guidlines'!$AF$30</f>
        <v>17</v>
      </c>
      <c r="F81" s="58" t="s">
        <v>136</v>
      </c>
    </row>
    <row r="82" spans="1:6" x14ac:dyDescent="0.2">
      <c r="A82" s="57"/>
      <c r="C82" s="227" t="s">
        <v>137</v>
      </c>
      <c r="D82" s="21" t="s">
        <v>135</v>
      </c>
      <c r="E82" s="231">
        <f>'REF USDOT BCA 2023 Guidlines'!$AF$31</f>
        <v>31.9</v>
      </c>
      <c r="F82" s="58" t="s">
        <v>136</v>
      </c>
    </row>
    <row r="83" spans="1:6" x14ac:dyDescent="0.2">
      <c r="A83" s="57"/>
      <c r="C83" s="227" t="s">
        <v>138</v>
      </c>
      <c r="D83" s="21" t="s">
        <v>135</v>
      </c>
      <c r="E83" s="231">
        <f>'REF USDOT BCA 2023 Guidlines'!$AF$32</f>
        <v>18.8</v>
      </c>
      <c r="F83" s="58" t="s">
        <v>136</v>
      </c>
    </row>
    <row r="84" spans="1:6" x14ac:dyDescent="0.2">
      <c r="A84" s="57"/>
      <c r="C84" s="227" t="s">
        <v>139</v>
      </c>
      <c r="D84" s="21" t="s">
        <v>135</v>
      </c>
      <c r="E84" s="231">
        <f>'REF USDOT BCA 2023 Guidlines'!$AG$32</f>
        <v>34</v>
      </c>
      <c r="F84" s="58" t="s">
        <v>136</v>
      </c>
    </row>
    <row r="85" spans="1:6" x14ac:dyDescent="0.2">
      <c r="A85" s="57"/>
      <c r="C85" s="227" t="s">
        <v>140</v>
      </c>
      <c r="D85" s="21" t="s">
        <v>135</v>
      </c>
      <c r="E85" s="231">
        <f>'REF USDOT BCA 2023 Guidlines'!$AF$34</f>
        <v>32.4</v>
      </c>
      <c r="F85" s="58" t="s">
        <v>136</v>
      </c>
    </row>
    <row r="86" spans="1:6" x14ac:dyDescent="0.2">
      <c r="A86" s="57"/>
      <c r="C86" s="227" t="s">
        <v>141</v>
      </c>
      <c r="D86" s="21" t="s">
        <v>135</v>
      </c>
      <c r="E86" s="231">
        <f>'REF USDOT BCA 2023 Guidlines'!$AF$35</f>
        <v>35</v>
      </c>
      <c r="F86" s="58" t="s">
        <v>136</v>
      </c>
    </row>
    <row r="87" spans="1:6" x14ac:dyDescent="0.2">
      <c r="A87" s="57"/>
      <c r="C87" s="227" t="s">
        <v>142</v>
      </c>
      <c r="D87" s="21" t="s">
        <v>135</v>
      </c>
      <c r="E87" s="231">
        <f>'REF USDOT BCA 2023 Guidlines'!$AF$36</f>
        <v>58.4</v>
      </c>
      <c r="F87" s="58" t="s">
        <v>136</v>
      </c>
    </row>
    <row r="88" spans="1:6" x14ac:dyDescent="0.2">
      <c r="A88" s="57"/>
      <c r="C88" s="227" t="s">
        <v>143</v>
      </c>
      <c r="D88" s="21" t="s">
        <v>135</v>
      </c>
      <c r="E88" s="231">
        <f>'REF USDOT BCA 2023 Guidlines'!$AF$37</f>
        <v>57.4</v>
      </c>
      <c r="F88" s="58" t="s">
        <v>136</v>
      </c>
    </row>
    <row r="89" spans="1:6" ht="15" x14ac:dyDescent="0.25">
      <c r="A89" s="57"/>
      <c r="C89" s="284" t="s">
        <v>144</v>
      </c>
      <c r="D89" s="288"/>
      <c r="E89" s="232"/>
      <c r="F89" s="58"/>
    </row>
    <row r="90" spans="1:6" ht="14.25" customHeight="1" x14ac:dyDescent="0.2">
      <c r="A90" s="57"/>
      <c r="C90" s="227" t="s">
        <v>145</v>
      </c>
      <c r="D90" s="21" t="s">
        <v>146</v>
      </c>
      <c r="E90" s="289">
        <f>'REF USDOT BCA 2023 Guidlines'!$AF$43</f>
        <v>1.48</v>
      </c>
      <c r="F90" s="58" t="s">
        <v>147</v>
      </c>
    </row>
    <row r="91" spans="1:6" ht="14.25" customHeight="1" x14ac:dyDescent="0.2">
      <c r="A91" s="57"/>
      <c r="C91" s="227" t="s">
        <v>148</v>
      </c>
      <c r="D91" s="21" t="s">
        <v>146</v>
      </c>
      <c r="E91" s="289">
        <f>'REF USDOT BCA 2023 Guidlines'!$AF$44</f>
        <v>1.58</v>
      </c>
      <c r="F91" s="58" t="s">
        <v>147</v>
      </c>
    </row>
    <row r="92" spans="1:6" ht="14.25" customHeight="1" x14ac:dyDescent="0.2">
      <c r="A92" s="57"/>
      <c r="C92" s="227" t="s">
        <v>149</v>
      </c>
      <c r="D92" s="21" t="s">
        <v>146</v>
      </c>
      <c r="E92" s="289">
        <f>'REF USDOT BCA 2023 Guidlines'!$AF$45</f>
        <v>2.02</v>
      </c>
      <c r="F92" s="58" t="s">
        <v>147</v>
      </c>
    </row>
    <row r="93" spans="1:6" ht="14.25" customHeight="1" x14ac:dyDescent="0.2">
      <c r="A93" s="57"/>
      <c r="C93" s="227" t="s">
        <v>150</v>
      </c>
      <c r="D93" s="21" t="s">
        <v>146</v>
      </c>
      <c r="E93" s="289">
        <f>'REF USDOT BCA 2023 Guidlines'!$AF$46</f>
        <v>1.67</v>
      </c>
      <c r="F93" s="58" t="s">
        <v>147</v>
      </c>
    </row>
    <row r="94" spans="1:6" ht="14.25" customHeight="1" x14ac:dyDescent="0.2">
      <c r="A94" s="57"/>
      <c r="C94" s="227" t="s">
        <v>151</v>
      </c>
      <c r="D94" s="21" t="s">
        <v>146</v>
      </c>
      <c r="E94" s="168">
        <v>1</v>
      </c>
      <c r="F94" s="58" t="s">
        <v>152</v>
      </c>
    </row>
    <row r="95" spans="1:6" ht="14.25" customHeight="1" x14ac:dyDescent="0.25">
      <c r="A95" s="57"/>
      <c r="C95" s="284" t="s">
        <v>153</v>
      </c>
      <c r="D95" s="21"/>
      <c r="F95" s="58"/>
    </row>
    <row r="96" spans="1:6" ht="14.25" customHeight="1" x14ac:dyDescent="0.2">
      <c r="A96" s="57"/>
      <c r="C96" s="1" t="s">
        <v>154</v>
      </c>
      <c r="D96" s="225" t="s">
        <v>155</v>
      </c>
      <c r="E96" s="83">
        <f>'REF Traffic'!$C$15+'REF Traffic'!$E$15</f>
        <v>11.2</v>
      </c>
      <c r="F96" s="58" t="s">
        <v>156</v>
      </c>
    </row>
    <row r="97" spans="1:6" ht="14.25" customHeight="1" x14ac:dyDescent="0.2">
      <c r="A97" s="57"/>
      <c r="C97" s="1" t="s">
        <v>122</v>
      </c>
      <c r="D97" s="225" t="s">
        <v>123</v>
      </c>
      <c r="E97" s="22">
        <f>'REF Traffic'!$C$12</f>
        <v>2021</v>
      </c>
      <c r="F97" s="58" t="s">
        <v>156</v>
      </c>
    </row>
    <row r="98" spans="1:6" ht="14.25" customHeight="1" x14ac:dyDescent="0.2">
      <c r="A98" s="57"/>
      <c r="C98" s="1" t="s">
        <v>157</v>
      </c>
      <c r="D98" s="225" t="s">
        <v>155</v>
      </c>
      <c r="E98" s="83">
        <f>'REF Traffic'!$G$15+'REF Traffic'!$I$15</f>
        <v>231.4</v>
      </c>
      <c r="F98" s="58" t="s">
        <v>156</v>
      </c>
    </row>
    <row r="99" spans="1:6" ht="14.25" customHeight="1" x14ac:dyDescent="0.2">
      <c r="A99" s="13"/>
      <c r="B99" s="13">
        <f>IF(E99=0,0,1)</f>
        <v>0</v>
      </c>
      <c r="C99" s="13" t="s">
        <v>158</v>
      </c>
      <c r="D99" s="21" t="s">
        <v>68</v>
      </c>
      <c r="E99" s="358">
        <f>E105</f>
        <v>0</v>
      </c>
      <c r="F99" s="360" t="s">
        <v>79</v>
      </c>
    </row>
    <row r="100" spans="1:6" ht="14.25" customHeight="1" x14ac:dyDescent="0.2">
      <c r="A100" s="57"/>
      <c r="C100" s="1" t="s">
        <v>159</v>
      </c>
      <c r="D100" s="225" t="s">
        <v>123</v>
      </c>
      <c r="E100" s="22">
        <f>'REF Traffic'!$G$12</f>
        <v>2050</v>
      </c>
      <c r="F100" s="58" t="s">
        <v>156</v>
      </c>
    </row>
    <row r="101" spans="1:6" ht="14.25" customHeight="1" x14ac:dyDescent="0.25">
      <c r="A101" s="57"/>
      <c r="C101" s="284" t="s">
        <v>160</v>
      </c>
      <c r="D101" s="21"/>
      <c r="F101" s="58"/>
    </row>
    <row r="102" spans="1:6" ht="14.25" customHeight="1" x14ac:dyDescent="0.2">
      <c r="A102" s="57"/>
      <c r="C102" s="1" t="s">
        <v>154</v>
      </c>
      <c r="D102" s="225" t="s">
        <v>155</v>
      </c>
      <c r="E102" s="83">
        <f>'REF Traffic'!$D$15+'REF Traffic'!$F$15</f>
        <v>7</v>
      </c>
      <c r="F102" s="58" t="s">
        <v>156</v>
      </c>
    </row>
    <row r="103" spans="1:6" ht="14.25" customHeight="1" x14ac:dyDescent="0.2">
      <c r="A103" s="57"/>
      <c r="C103" s="1" t="s">
        <v>122</v>
      </c>
      <c r="D103" s="225" t="s">
        <v>123</v>
      </c>
      <c r="E103" s="22">
        <f>'REF Traffic'!$C$12</f>
        <v>2021</v>
      </c>
      <c r="F103" s="58" t="s">
        <v>156</v>
      </c>
    </row>
    <row r="104" spans="1:6" ht="14.25" customHeight="1" x14ac:dyDescent="0.2">
      <c r="A104" s="57"/>
      <c r="C104" s="1" t="s">
        <v>157</v>
      </c>
      <c r="D104" s="225" t="s">
        <v>155</v>
      </c>
      <c r="E104" s="83">
        <f>'REF Traffic'!$H$15+'REF Traffic'!$J$15</f>
        <v>170.5</v>
      </c>
      <c r="F104" s="58" t="s">
        <v>156</v>
      </c>
    </row>
    <row r="105" spans="1:6" ht="14.25" customHeight="1" x14ac:dyDescent="0.2">
      <c r="A105" s="13"/>
      <c r="B105" s="13">
        <f>IF(E105=0,0,1)</f>
        <v>0</v>
      </c>
      <c r="C105" s="13" t="s">
        <v>158</v>
      </c>
      <c r="D105" s="21" t="s">
        <v>68</v>
      </c>
      <c r="E105" s="358">
        <v>0</v>
      </c>
      <c r="F105" s="360" t="s">
        <v>79</v>
      </c>
    </row>
    <row r="106" spans="1:6" ht="14.25" customHeight="1" x14ac:dyDescent="0.2">
      <c r="A106" s="59"/>
      <c r="B106" s="64"/>
      <c r="C106" s="64" t="s">
        <v>159</v>
      </c>
      <c r="D106" s="230" t="s">
        <v>123</v>
      </c>
      <c r="E106" s="245">
        <f>'REF Traffic'!$G$12</f>
        <v>2050</v>
      </c>
      <c r="F106" s="62" t="s">
        <v>156</v>
      </c>
    </row>
    <row r="107" spans="1:6" ht="14.25" customHeight="1" x14ac:dyDescent="0.2">
      <c r="C107" s="227"/>
      <c r="D107" s="21"/>
      <c r="E107" s="233"/>
    </row>
    <row r="108" spans="1:6" ht="15" x14ac:dyDescent="0.25">
      <c r="A108" s="2" t="s">
        <v>161</v>
      </c>
      <c r="B108" s="2"/>
      <c r="D108" s="20"/>
    </row>
    <row r="109" spans="1:6" ht="15" x14ac:dyDescent="0.25">
      <c r="A109" s="53"/>
      <c r="B109" s="63"/>
      <c r="C109" s="250" t="s">
        <v>162</v>
      </c>
      <c r="D109" s="235"/>
      <c r="E109" s="251"/>
      <c r="F109" s="56"/>
    </row>
    <row r="110" spans="1:6" x14ac:dyDescent="0.2">
      <c r="A110" s="57"/>
      <c r="C110" s="1" t="s">
        <v>163</v>
      </c>
      <c r="D110" s="71" t="s">
        <v>164</v>
      </c>
      <c r="E110" s="83">
        <f>'REF Traffic'!$C$16+'REF Traffic'!$E$16</f>
        <v>18.009999999999998</v>
      </c>
      <c r="F110" s="58" t="s">
        <v>156</v>
      </c>
    </row>
    <row r="111" spans="1:6" x14ac:dyDescent="0.2">
      <c r="A111" s="57"/>
      <c r="C111" s="1" t="s">
        <v>163</v>
      </c>
      <c r="D111" s="71" t="s">
        <v>123</v>
      </c>
      <c r="E111" s="22">
        <f>'REF Traffic'!$C$12</f>
        <v>2021</v>
      </c>
      <c r="F111" s="58" t="s">
        <v>156</v>
      </c>
    </row>
    <row r="112" spans="1:6" x14ac:dyDescent="0.2">
      <c r="A112" s="57"/>
      <c r="C112" s="1" t="s">
        <v>165</v>
      </c>
      <c r="D112" s="71" t="s">
        <v>164</v>
      </c>
      <c r="E112" s="83">
        <f>'REF Traffic'!$G$16+'REF Traffic'!$I$16</f>
        <v>67</v>
      </c>
      <c r="F112" s="58" t="s">
        <v>156</v>
      </c>
    </row>
    <row r="113" spans="1:6" x14ac:dyDescent="0.2">
      <c r="A113" s="57"/>
      <c r="C113" s="1" t="s">
        <v>165</v>
      </c>
      <c r="D113" s="71" t="s">
        <v>123</v>
      </c>
      <c r="E113" s="22">
        <f>'REF Traffic'!$G$12</f>
        <v>2050</v>
      </c>
      <c r="F113" s="58" t="s">
        <v>156</v>
      </c>
    </row>
    <row r="114" spans="1:6" ht="15" x14ac:dyDescent="0.25">
      <c r="A114" s="57"/>
      <c r="C114" s="2" t="s">
        <v>166</v>
      </c>
      <c r="D114" s="21"/>
      <c r="E114" s="252"/>
      <c r="F114" s="58"/>
    </row>
    <row r="115" spans="1:6" x14ac:dyDescent="0.2">
      <c r="A115" s="57"/>
      <c r="C115" s="1" t="s">
        <v>167</v>
      </c>
      <c r="D115" s="71" t="s">
        <v>164</v>
      </c>
      <c r="E115" s="83">
        <f>'REF Traffic'!$C$17+'REF Traffic'!$E$17</f>
        <v>3.5</v>
      </c>
      <c r="F115" s="58" t="s">
        <v>156</v>
      </c>
    </row>
    <row r="116" spans="1:6" x14ac:dyDescent="0.2">
      <c r="A116" s="57"/>
      <c r="C116" s="1" t="s">
        <v>163</v>
      </c>
      <c r="D116" s="71" t="s">
        <v>123</v>
      </c>
      <c r="E116" s="22">
        <f>'REF Traffic'!$C$12</f>
        <v>2021</v>
      </c>
      <c r="F116" s="58" t="s">
        <v>156</v>
      </c>
    </row>
    <row r="117" spans="1:6" x14ac:dyDescent="0.2">
      <c r="A117" s="57"/>
      <c r="C117" s="1" t="s">
        <v>165</v>
      </c>
      <c r="D117" s="71" t="s">
        <v>164</v>
      </c>
      <c r="E117" s="83">
        <f>'REF Traffic'!$G$17+'REF Traffic'!$I$17</f>
        <v>13</v>
      </c>
      <c r="F117" s="58" t="s">
        <v>156</v>
      </c>
    </row>
    <row r="118" spans="1:6" x14ac:dyDescent="0.2">
      <c r="A118" s="57"/>
      <c r="C118" s="1" t="s">
        <v>165</v>
      </c>
      <c r="D118" s="71" t="s">
        <v>123</v>
      </c>
      <c r="E118" s="22">
        <f>'REF Traffic'!$G$12</f>
        <v>2050</v>
      </c>
      <c r="F118" s="58" t="s">
        <v>156</v>
      </c>
    </row>
    <row r="119" spans="1:6" ht="15" x14ac:dyDescent="0.25">
      <c r="A119" s="57"/>
      <c r="C119" s="2" t="s">
        <v>162</v>
      </c>
      <c r="D119" s="21"/>
      <c r="E119" s="352"/>
      <c r="F119" s="58"/>
    </row>
    <row r="120" spans="1:6" x14ac:dyDescent="0.2">
      <c r="A120" s="57"/>
      <c r="C120" s="1" t="s">
        <v>168</v>
      </c>
      <c r="D120" s="71" t="s">
        <v>164</v>
      </c>
      <c r="E120" s="83">
        <f>'REF Traffic'!$D$16+'REF Traffic'!$F$16</f>
        <v>17.97</v>
      </c>
      <c r="F120" s="58" t="s">
        <v>156</v>
      </c>
    </row>
    <row r="121" spans="1:6" x14ac:dyDescent="0.2">
      <c r="A121" s="57"/>
      <c r="C121" s="1" t="s">
        <v>169</v>
      </c>
      <c r="D121" s="71" t="s">
        <v>123</v>
      </c>
      <c r="E121" s="22">
        <f>'REF Traffic'!$C$12</f>
        <v>2021</v>
      </c>
      <c r="F121" s="58" t="s">
        <v>156</v>
      </c>
    </row>
    <row r="122" spans="1:6" x14ac:dyDescent="0.2">
      <c r="A122" s="57"/>
      <c r="C122" s="1" t="s">
        <v>170</v>
      </c>
      <c r="D122" s="71" t="s">
        <v>164</v>
      </c>
      <c r="E122" s="83">
        <f>'REF Traffic'!$H$16+'REF Traffic'!$J$16</f>
        <v>65.599999999999994</v>
      </c>
      <c r="F122" s="58" t="s">
        <v>156</v>
      </c>
    </row>
    <row r="123" spans="1:6" x14ac:dyDescent="0.2">
      <c r="A123" s="57"/>
      <c r="C123" s="1" t="s">
        <v>170</v>
      </c>
      <c r="D123" s="71" t="s">
        <v>123</v>
      </c>
      <c r="E123" s="22">
        <f>'REF Traffic'!$G$12</f>
        <v>2050</v>
      </c>
      <c r="F123" s="58" t="s">
        <v>156</v>
      </c>
    </row>
    <row r="124" spans="1:6" ht="15" x14ac:dyDescent="0.25">
      <c r="A124" s="57"/>
      <c r="C124" s="2" t="s">
        <v>166</v>
      </c>
      <c r="D124" s="21"/>
      <c r="E124" s="352"/>
      <c r="F124" s="58"/>
    </row>
    <row r="125" spans="1:6" x14ac:dyDescent="0.2">
      <c r="A125" s="57"/>
      <c r="C125" s="1" t="s">
        <v>168</v>
      </c>
      <c r="D125" s="71" t="s">
        <v>164</v>
      </c>
      <c r="E125" s="83">
        <f>'REF Traffic'!$D$17+'REF Traffic'!$F$17</f>
        <v>3.49</v>
      </c>
      <c r="F125" s="58" t="s">
        <v>156</v>
      </c>
    </row>
    <row r="126" spans="1:6" x14ac:dyDescent="0.2">
      <c r="A126" s="57"/>
      <c r="C126" s="1" t="s">
        <v>169</v>
      </c>
      <c r="D126" s="71" t="s">
        <v>123</v>
      </c>
      <c r="E126" s="22">
        <f>'REF Traffic'!$C$12</f>
        <v>2021</v>
      </c>
      <c r="F126" s="58" t="s">
        <v>156</v>
      </c>
    </row>
    <row r="127" spans="1:6" x14ac:dyDescent="0.2">
      <c r="A127" s="57"/>
      <c r="C127" s="1" t="s">
        <v>170</v>
      </c>
      <c r="D127" s="71" t="s">
        <v>164</v>
      </c>
      <c r="E127" s="83">
        <f>'REF Traffic'!$H$17+'REF Traffic'!$J$17</f>
        <v>12.8</v>
      </c>
      <c r="F127" s="58" t="s">
        <v>156</v>
      </c>
    </row>
    <row r="128" spans="1:6" x14ac:dyDescent="0.2">
      <c r="A128" s="59"/>
      <c r="B128" s="64"/>
      <c r="C128" s="64" t="s">
        <v>170</v>
      </c>
      <c r="D128" s="74" t="s">
        <v>123</v>
      </c>
      <c r="E128" s="245">
        <f>'REF Traffic'!$G$12</f>
        <v>2050</v>
      </c>
      <c r="F128" s="62" t="s">
        <v>156</v>
      </c>
    </row>
    <row r="129" spans="1:36" x14ac:dyDescent="0.2">
      <c r="D129" s="20"/>
    </row>
    <row r="130" spans="1:36" ht="15" x14ac:dyDescent="0.25">
      <c r="A130" s="2" t="s">
        <v>171</v>
      </c>
      <c r="B130" s="2"/>
      <c r="D130" s="20"/>
    </row>
    <row r="131" spans="1:36" x14ac:dyDescent="0.2">
      <c r="A131" s="53"/>
      <c r="B131" s="63"/>
      <c r="C131" s="63"/>
      <c r="D131" s="175"/>
      <c r="E131" s="63"/>
      <c r="F131" s="63"/>
      <c r="G131" s="176" t="s">
        <v>50</v>
      </c>
      <c r="H131" s="177">
        <v>2022</v>
      </c>
      <c r="I131" s="177">
        <v>2023</v>
      </c>
      <c r="J131" s="177">
        <v>2024</v>
      </c>
      <c r="K131" s="177">
        <v>2025</v>
      </c>
      <c r="L131" s="177">
        <v>2026</v>
      </c>
      <c r="M131" s="177">
        <v>2027</v>
      </c>
      <c r="N131" s="177">
        <v>2028</v>
      </c>
      <c r="O131" s="177">
        <v>2029</v>
      </c>
      <c r="P131" s="177">
        <v>2030</v>
      </c>
      <c r="Q131" s="177">
        <v>2031</v>
      </c>
      <c r="R131" s="177">
        <v>2032</v>
      </c>
      <c r="S131" s="177">
        <v>2033</v>
      </c>
      <c r="T131" s="177">
        <v>2034</v>
      </c>
      <c r="U131" s="177">
        <v>2035</v>
      </c>
      <c r="V131" s="177">
        <v>2036</v>
      </c>
      <c r="W131" s="177">
        <v>2037</v>
      </c>
      <c r="X131" s="177">
        <v>2038</v>
      </c>
      <c r="Y131" s="177">
        <v>2039</v>
      </c>
      <c r="Z131" s="177">
        <v>2040</v>
      </c>
      <c r="AA131" s="177">
        <v>2041</v>
      </c>
      <c r="AB131" s="177">
        <v>2042</v>
      </c>
      <c r="AC131" s="177">
        <v>2043</v>
      </c>
      <c r="AD131" s="177">
        <v>2044</v>
      </c>
      <c r="AE131" s="177">
        <v>2045</v>
      </c>
      <c r="AF131" s="177">
        <v>2046</v>
      </c>
      <c r="AG131" s="177">
        <v>2047</v>
      </c>
      <c r="AH131" s="177">
        <v>2048</v>
      </c>
      <c r="AI131" s="177">
        <v>2049</v>
      </c>
      <c r="AJ131" s="178">
        <v>2050</v>
      </c>
    </row>
    <row r="132" spans="1:36" x14ac:dyDescent="0.2">
      <c r="A132" s="57"/>
      <c r="C132" s="1" t="s">
        <v>172</v>
      </c>
      <c r="D132" s="21" t="s">
        <v>173</v>
      </c>
      <c r="E132" s="1" t="s">
        <v>174</v>
      </c>
      <c r="F132" s="1" t="s">
        <v>175</v>
      </c>
      <c r="H132" s="172">
        <v>16600</v>
      </c>
      <c r="I132" s="172">
        <v>16800</v>
      </c>
      <c r="J132" s="172">
        <v>17000</v>
      </c>
      <c r="K132" s="172">
        <v>17200</v>
      </c>
      <c r="L132" s="172">
        <v>17500</v>
      </c>
      <c r="M132" s="172">
        <v>17900</v>
      </c>
      <c r="N132" s="172">
        <v>18200</v>
      </c>
      <c r="O132" s="172">
        <v>18600</v>
      </c>
      <c r="P132" s="172">
        <v>18900</v>
      </c>
      <c r="Q132" s="172">
        <v>18900</v>
      </c>
      <c r="R132" s="172">
        <v>18900</v>
      </c>
      <c r="S132" s="172">
        <v>18900</v>
      </c>
      <c r="T132" s="172">
        <v>18900</v>
      </c>
      <c r="U132" s="172">
        <v>18900</v>
      </c>
      <c r="V132" s="172">
        <v>18900</v>
      </c>
      <c r="W132" s="172">
        <v>18900</v>
      </c>
      <c r="X132" s="172">
        <v>18900</v>
      </c>
      <c r="Y132" s="172">
        <v>18900</v>
      </c>
      <c r="Z132" s="172">
        <v>18900</v>
      </c>
      <c r="AA132" s="172">
        <v>18900</v>
      </c>
      <c r="AB132" s="172">
        <v>18900</v>
      </c>
      <c r="AC132" s="172">
        <v>18900</v>
      </c>
      <c r="AD132" s="172">
        <v>18900</v>
      </c>
      <c r="AE132" s="172">
        <v>18900</v>
      </c>
      <c r="AF132" s="172">
        <v>18900</v>
      </c>
      <c r="AG132" s="172">
        <v>18900</v>
      </c>
      <c r="AH132" s="172">
        <v>18900</v>
      </c>
      <c r="AI132" s="172">
        <v>18900</v>
      </c>
      <c r="AJ132" s="179">
        <v>18900</v>
      </c>
    </row>
    <row r="133" spans="1:36" x14ac:dyDescent="0.2">
      <c r="A133" s="57"/>
      <c r="C133" s="1" t="s">
        <v>176</v>
      </c>
      <c r="D133" s="21" t="s">
        <v>173</v>
      </c>
      <c r="E133" s="1" t="s">
        <v>174</v>
      </c>
      <c r="F133" s="1" t="s">
        <v>175</v>
      </c>
      <c r="H133" s="172">
        <v>44300</v>
      </c>
      <c r="I133" s="172">
        <v>45100</v>
      </c>
      <c r="J133" s="172">
        <v>46000</v>
      </c>
      <c r="K133" s="172">
        <v>46900</v>
      </c>
      <c r="L133" s="172">
        <v>47800</v>
      </c>
      <c r="M133" s="172">
        <v>48700</v>
      </c>
      <c r="N133" s="172">
        <v>49500</v>
      </c>
      <c r="O133" s="172">
        <v>50400</v>
      </c>
      <c r="P133" s="172">
        <v>51300</v>
      </c>
      <c r="Q133" s="172">
        <v>51300</v>
      </c>
      <c r="R133" s="172">
        <v>51300</v>
      </c>
      <c r="S133" s="172">
        <v>51300</v>
      </c>
      <c r="T133" s="172">
        <v>51300</v>
      </c>
      <c r="U133" s="172">
        <v>51300</v>
      </c>
      <c r="V133" s="172">
        <v>51300</v>
      </c>
      <c r="W133" s="172">
        <v>51300</v>
      </c>
      <c r="X133" s="172">
        <v>51300</v>
      </c>
      <c r="Y133" s="172">
        <v>51300</v>
      </c>
      <c r="Z133" s="172">
        <v>51300</v>
      </c>
      <c r="AA133" s="172">
        <v>51300</v>
      </c>
      <c r="AB133" s="172">
        <v>51300</v>
      </c>
      <c r="AC133" s="172">
        <v>51300</v>
      </c>
      <c r="AD133" s="172">
        <v>51300</v>
      </c>
      <c r="AE133" s="172">
        <v>51300</v>
      </c>
      <c r="AF133" s="172">
        <v>51300</v>
      </c>
      <c r="AG133" s="172">
        <v>51300</v>
      </c>
      <c r="AH133" s="172">
        <v>51300</v>
      </c>
      <c r="AI133" s="172">
        <v>51300</v>
      </c>
      <c r="AJ133" s="179">
        <v>51300</v>
      </c>
    </row>
    <row r="134" spans="1:36" x14ac:dyDescent="0.2">
      <c r="A134" s="57"/>
      <c r="C134" s="1" t="s">
        <v>177</v>
      </c>
      <c r="D134" s="21" t="s">
        <v>173</v>
      </c>
      <c r="E134" s="1" t="s">
        <v>174</v>
      </c>
      <c r="F134" s="1" t="s">
        <v>175</v>
      </c>
      <c r="H134" s="172">
        <v>796700</v>
      </c>
      <c r="I134" s="172">
        <v>810500</v>
      </c>
      <c r="J134" s="172">
        <v>824500</v>
      </c>
      <c r="K134" s="172">
        <v>838800</v>
      </c>
      <c r="L134" s="172">
        <v>852100</v>
      </c>
      <c r="M134" s="172">
        <v>865600</v>
      </c>
      <c r="N134" s="172">
        <v>879400</v>
      </c>
      <c r="O134" s="172">
        <v>893400</v>
      </c>
      <c r="P134" s="172">
        <v>907600</v>
      </c>
      <c r="Q134" s="172">
        <v>907600</v>
      </c>
      <c r="R134" s="172">
        <v>907600</v>
      </c>
      <c r="S134" s="172">
        <v>907600</v>
      </c>
      <c r="T134" s="172">
        <v>907600</v>
      </c>
      <c r="U134" s="172">
        <v>907600</v>
      </c>
      <c r="V134" s="172">
        <v>907600</v>
      </c>
      <c r="W134" s="172">
        <v>907600</v>
      </c>
      <c r="X134" s="172">
        <v>907600</v>
      </c>
      <c r="Y134" s="172">
        <v>907600</v>
      </c>
      <c r="Z134" s="172">
        <v>907600</v>
      </c>
      <c r="AA134" s="172">
        <v>907600</v>
      </c>
      <c r="AB134" s="172">
        <v>907600</v>
      </c>
      <c r="AC134" s="172">
        <v>907600</v>
      </c>
      <c r="AD134" s="172">
        <v>907600</v>
      </c>
      <c r="AE134" s="172">
        <v>907600</v>
      </c>
      <c r="AF134" s="172">
        <v>907600</v>
      </c>
      <c r="AG134" s="172">
        <v>907600</v>
      </c>
      <c r="AH134" s="172">
        <v>907600</v>
      </c>
      <c r="AI134" s="172">
        <v>907600</v>
      </c>
      <c r="AJ134" s="179">
        <v>907600</v>
      </c>
    </row>
    <row r="135" spans="1:36" x14ac:dyDescent="0.2">
      <c r="A135" s="59"/>
      <c r="B135" s="64"/>
      <c r="C135" s="64" t="s">
        <v>162</v>
      </c>
      <c r="D135" s="60" t="s">
        <v>173</v>
      </c>
      <c r="E135" s="64" t="s">
        <v>174</v>
      </c>
      <c r="F135" s="64" t="s">
        <v>175</v>
      </c>
      <c r="G135" s="64"/>
      <c r="H135" s="180">
        <v>56</v>
      </c>
      <c r="I135" s="180">
        <v>57</v>
      </c>
      <c r="J135" s="180">
        <v>58</v>
      </c>
      <c r="K135" s="180">
        <v>59</v>
      </c>
      <c r="L135" s="180">
        <v>60</v>
      </c>
      <c r="M135" s="180">
        <v>61</v>
      </c>
      <c r="N135" s="180">
        <v>62</v>
      </c>
      <c r="O135" s="180">
        <v>63</v>
      </c>
      <c r="P135" s="180">
        <v>65</v>
      </c>
      <c r="Q135" s="180">
        <v>66</v>
      </c>
      <c r="R135" s="180">
        <v>67</v>
      </c>
      <c r="S135" s="180">
        <v>68</v>
      </c>
      <c r="T135" s="180">
        <v>69</v>
      </c>
      <c r="U135" s="180">
        <v>70</v>
      </c>
      <c r="V135" s="180">
        <v>72</v>
      </c>
      <c r="W135" s="180">
        <v>73</v>
      </c>
      <c r="X135" s="180">
        <v>74</v>
      </c>
      <c r="Y135" s="180">
        <v>75</v>
      </c>
      <c r="Z135" s="180">
        <v>76</v>
      </c>
      <c r="AA135" s="180">
        <v>78</v>
      </c>
      <c r="AB135" s="180">
        <v>79</v>
      </c>
      <c r="AC135" s="180">
        <v>80</v>
      </c>
      <c r="AD135" s="180">
        <v>81</v>
      </c>
      <c r="AE135" s="180">
        <v>82</v>
      </c>
      <c r="AF135" s="180">
        <v>84</v>
      </c>
      <c r="AG135" s="180">
        <v>85</v>
      </c>
      <c r="AH135" s="180">
        <v>86</v>
      </c>
      <c r="AI135" s="180">
        <v>87</v>
      </c>
      <c r="AJ135" s="181">
        <v>88</v>
      </c>
    </row>
    <row r="136" spans="1:36" x14ac:dyDescent="0.2">
      <c r="C136" s="92"/>
      <c r="D136" s="21"/>
      <c r="H136" s="172"/>
      <c r="I136" s="172"/>
      <c r="J136" s="172"/>
      <c r="K136" s="172"/>
      <c r="L136" s="172"/>
      <c r="M136" s="172"/>
      <c r="N136" s="172"/>
      <c r="O136" s="172"/>
      <c r="P136" s="172"/>
      <c r="Q136" s="172"/>
      <c r="R136" s="172"/>
      <c r="S136" s="172"/>
      <c r="T136" s="172"/>
      <c r="U136" s="172"/>
      <c r="V136" s="172"/>
      <c r="W136" s="172"/>
      <c r="X136" s="172"/>
      <c r="Y136" s="172"/>
      <c r="Z136" s="172"/>
      <c r="AA136" s="172"/>
      <c r="AB136" s="172"/>
      <c r="AC136" s="172"/>
      <c r="AD136" s="172"/>
      <c r="AE136" s="172"/>
      <c r="AF136" s="172"/>
      <c r="AG136" s="172"/>
      <c r="AH136" s="172"/>
      <c r="AI136" s="172"/>
      <c r="AJ136" s="172"/>
    </row>
    <row r="137" spans="1:36" ht="15" x14ac:dyDescent="0.25">
      <c r="A137" s="2" t="s">
        <v>178</v>
      </c>
      <c r="B137" s="2"/>
      <c r="C137" s="228"/>
      <c r="D137" s="21"/>
      <c r="E137" s="246"/>
    </row>
    <row r="138" spans="1:36" x14ac:dyDescent="0.2">
      <c r="A138" s="53"/>
      <c r="B138" s="63"/>
      <c r="C138" s="63" t="s">
        <v>179</v>
      </c>
      <c r="D138" s="235" t="s">
        <v>180</v>
      </c>
      <c r="E138" s="244">
        <f>'REF Traffic'!$C$19+'REF Traffic'!$E$19</f>
        <v>258</v>
      </c>
      <c r="F138" s="56" t="s">
        <v>156</v>
      </c>
    </row>
    <row r="139" spans="1:36" x14ac:dyDescent="0.2">
      <c r="A139" s="57"/>
      <c r="C139" s="1" t="s">
        <v>179</v>
      </c>
      <c r="D139" s="71" t="s">
        <v>123</v>
      </c>
      <c r="E139" s="22">
        <f>'REF Traffic'!$C$12</f>
        <v>2021</v>
      </c>
      <c r="F139" s="58" t="s">
        <v>156</v>
      </c>
    </row>
    <row r="140" spans="1:36" x14ac:dyDescent="0.2">
      <c r="A140" s="57"/>
      <c r="C140" s="1" t="s">
        <v>181</v>
      </c>
      <c r="D140" s="71" t="s">
        <v>180</v>
      </c>
      <c r="E140" s="83">
        <f>'REF Traffic'!$G$19+'REF Traffic'!$I$19</f>
        <v>959</v>
      </c>
      <c r="F140" s="58" t="s">
        <v>156</v>
      </c>
    </row>
    <row r="141" spans="1:36" x14ac:dyDescent="0.2">
      <c r="A141" s="57"/>
      <c r="C141" s="1" t="s">
        <v>181</v>
      </c>
      <c r="D141" s="71" t="s">
        <v>123</v>
      </c>
      <c r="E141" s="22">
        <f>'REF Traffic'!$G$12</f>
        <v>2050</v>
      </c>
      <c r="F141" s="58" t="s">
        <v>156</v>
      </c>
    </row>
    <row r="142" spans="1:36" x14ac:dyDescent="0.2">
      <c r="A142" s="57"/>
      <c r="C142" s="1" t="s">
        <v>182</v>
      </c>
      <c r="D142" s="71" t="s">
        <v>180</v>
      </c>
      <c r="E142" s="83">
        <f>'REF Traffic'!$D$19+'REF Traffic'!$F$19</f>
        <v>258</v>
      </c>
      <c r="F142" s="58" t="s">
        <v>156</v>
      </c>
    </row>
    <row r="143" spans="1:36" x14ac:dyDescent="0.2">
      <c r="A143" s="57"/>
      <c r="C143" s="1" t="s">
        <v>182</v>
      </c>
      <c r="D143" s="71" t="s">
        <v>123</v>
      </c>
      <c r="E143" s="22">
        <f>'REF Traffic'!$C$12</f>
        <v>2021</v>
      </c>
      <c r="F143" s="58" t="s">
        <v>156</v>
      </c>
    </row>
    <row r="144" spans="1:36" x14ac:dyDescent="0.2">
      <c r="A144" s="57"/>
      <c r="C144" s="1" t="s">
        <v>183</v>
      </c>
      <c r="D144" s="71" t="s">
        <v>180</v>
      </c>
      <c r="E144" s="83">
        <f>'REF Traffic'!$H$19+'REF Traffic'!$J$19</f>
        <v>940</v>
      </c>
      <c r="F144" s="58" t="s">
        <v>156</v>
      </c>
    </row>
    <row r="145" spans="1:6" x14ac:dyDescent="0.2">
      <c r="A145" s="59"/>
      <c r="B145" s="64"/>
      <c r="C145" s="64" t="s">
        <v>183</v>
      </c>
      <c r="D145" s="74" t="s">
        <v>123</v>
      </c>
      <c r="E145" s="245">
        <f>'REF Traffic'!$G$12</f>
        <v>2050</v>
      </c>
      <c r="F145" s="62" t="s">
        <v>156</v>
      </c>
    </row>
    <row r="146" spans="1:6" x14ac:dyDescent="0.2">
      <c r="D146" s="71"/>
      <c r="E146" s="22"/>
    </row>
    <row r="147" spans="1:6" ht="15" x14ac:dyDescent="0.25">
      <c r="A147" s="2" t="s">
        <v>184</v>
      </c>
      <c r="B147" s="2"/>
      <c r="D147" s="21"/>
      <c r="E147" s="4"/>
    </row>
    <row r="148" spans="1:6" x14ac:dyDescent="0.2">
      <c r="A148" s="53"/>
      <c r="B148" s="63"/>
      <c r="C148" s="63" t="s">
        <v>185</v>
      </c>
      <c r="D148" s="249" t="s">
        <v>50</v>
      </c>
      <c r="E148" s="63">
        <f>'REF Pedestrian'!$C$8</f>
        <v>2023</v>
      </c>
      <c r="F148" s="56" t="s">
        <v>763</v>
      </c>
    </row>
    <row r="149" spans="1:6" x14ac:dyDescent="0.2">
      <c r="A149" s="57"/>
      <c r="C149" s="1" t="s">
        <v>186</v>
      </c>
      <c r="D149" s="71" t="s">
        <v>187</v>
      </c>
      <c r="E149" s="70">
        <f>'REF Pedestrian'!$C$7</f>
        <v>0</v>
      </c>
      <c r="F149" s="58" t="s">
        <v>763</v>
      </c>
    </row>
    <row r="150" spans="1:6" x14ac:dyDescent="0.2">
      <c r="A150" s="57"/>
      <c r="C150" s="1" t="s">
        <v>188</v>
      </c>
      <c r="D150" s="21" t="s">
        <v>68</v>
      </c>
      <c r="E150" s="232">
        <f>'REF Pedestrian'!$D$21*(1+$E$151)</f>
        <v>1.9824251597712748E-2</v>
      </c>
      <c r="F150" s="58" t="s">
        <v>189</v>
      </c>
    </row>
    <row r="151" spans="1:6" x14ac:dyDescent="0.2">
      <c r="A151" s="13"/>
      <c r="B151" s="13">
        <f>IF(E151=0,0,1)</f>
        <v>0</v>
      </c>
      <c r="C151" s="13" t="s">
        <v>190</v>
      </c>
      <c r="D151" s="21" t="s">
        <v>68</v>
      </c>
      <c r="E151" s="358">
        <v>0</v>
      </c>
      <c r="F151" s="360" t="s">
        <v>79</v>
      </c>
    </row>
    <row r="152" spans="1:6" x14ac:dyDescent="0.2">
      <c r="A152" s="57"/>
      <c r="C152" s="228" t="s">
        <v>191</v>
      </c>
      <c r="D152" s="21" t="s">
        <v>192</v>
      </c>
      <c r="E152" s="231">
        <f>'REF USDOT BCA 2023 Guidlines'!AF114</f>
        <v>0.11</v>
      </c>
      <c r="F152" s="58" t="s">
        <v>193</v>
      </c>
    </row>
    <row r="153" spans="1:6" x14ac:dyDescent="0.2">
      <c r="A153" s="57"/>
      <c r="C153" s="228" t="s">
        <v>194</v>
      </c>
      <c r="D153" s="21" t="s">
        <v>195</v>
      </c>
      <c r="E153" s="231">
        <f>'REF USDOT BCA 2023 Guidlines'!AF120</f>
        <v>0.18</v>
      </c>
      <c r="F153" s="58" t="s">
        <v>193</v>
      </c>
    </row>
    <row r="154" spans="1:6" x14ac:dyDescent="0.2">
      <c r="A154" s="59"/>
      <c r="B154" s="64"/>
      <c r="C154" s="171" t="s">
        <v>196</v>
      </c>
      <c r="D154" s="60" t="s">
        <v>195</v>
      </c>
      <c r="E154" s="314">
        <f>'REF USDOT BCA 2023 Guidlines'!AF121</f>
        <v>0.48</v>
      </c>
      <c r="F154" s="62" t="s">
        <v>193</v>
      </c>
    </row>
    <row r="155" spans="1:6" x14ac:dyDescent="0.2">
      <c r="C155" s="228"/>
      <c r="D155" s="21"/>
      <c r="E155" s="246"/>
    </row>
    <row r="156" spans="1:6" ht="15" x14ac:dyDescent="0.25">
      <c r="A156" s="2" t="s">
        <v>197</v>
      </c>
      <c r="B156" s="2"/>
      <c r="D156" s="20"/>
    </row>
    <row r="157" spans="1:6" x14ac:dyDescent="0.2">
      <c r="A157" s="53"/>
      <c r="B157" s="63"/>
      <c r="C157" s="63" t="s">
        <v>806</v>
      </c>
      <c r="D157" s="54" t="s">
        <v>198</v>
      </c>
      <c r="E157" s="173">
        <v>3</v>
      </c>
      <c r="F157" s="56" t="s">
        <v>199</v>
      </c>
    </row>
    <row r="158" spans="1:6" x14ac:dyDescent="0.2">
      <c r="A158" s="57"/>
      <c r="C158" s="1" t="s">
        <v>200</v>
      </c>
      <c r="D158" s="21" t="s">
        <v>201</v>
      </c>
      <c r="E158" s="168">
        <f>2023-2005</f>
        <v>18</v>
      </c>
      <c r="F158" s="58" t="s">
        <v>199</v>
      </c>
    </row>
    <row r="159" spans="1:6" x14ac:dyDescent="0.2">
      <c r="A159" s="57"/>
      <c r="C159" s="1" t="s">
        <v>202</v>
      </c>
      <c r="D159" s="21" t="s">
        <v>198</v>
      </c>
      <c r="E159" s="168">
        <v>1</v>
      </c>
      <c r="F159" s="58" t="s">
        <v>199</v>
      </c>
    </row>
    <row r="160" spans="1:6" x14ac:dyDescent="0.2">
      <c r="A160" s="57"/>
      <c r="C160" s="1" t="s">
        <v>203</v>
      </c>
      <c r="D160" s="21" t="s">
        <v>204</v>
      </c>
      <c r="E160" s="169">
        <f>E157/E159</f>
        <v>3</v>
      </c>
      <c r="F160" s="58" t="s">
        <v>59</v>
      </c>
    </row>
    <row r="161" spans="1:6" x14ac:dyDescent="0.2">
      <c r="A161" s="57"/>
      <c r="C161" s="1" t="s">
        <v>203</v>
      </c>
      <c r="D161" s="21" t="s">
        <v>205</v>
      </c>
      <c r="E161" s="169">
        <f>E160/E158</f>
        <v>0.16666666666666666</v>
      </c>
      <c r="F161" s="58" t="s">
        <v>59</v>
      </c>
    </row>
    <row r="162" spans="1:6" x14ac:dyDescent="0.2">
      <c r="A162" s="57"/>
      <c r="C162" s="1" t="s">
        <v>206</v>
      </c>
      <c r="D162" s="21" t="s">
        <v>77</v>
      </c>
      <c r="E162" s="170">
        <v>0</v>
      </c>
      <c r="F162" s="58" t="s">
        <v>207</v>
      </c>
    </row>
    <row r="163" spans="1:6" x14ac:dyDescent="0.2">
      <c r="A163" s="57"/>
      <c r="C163" s="1" t="s">
        <v>208</v>
      </c>
      <c r="D163" s="21" t="s">
        <v>77</v>
      </c>
      <c r="E163" s="5">
        <f>75000</f>
        <v>75000</v>
      </c>
      <c r="F163" s="58" t="s">
        <v>199</v>
      </c>
    </row>
    <row r="164" spans="1:6" x14ac:dyDescent="0.2">
      <c r="A164" s="59"/>
      <c r="B164" s="64"/>
      <c r="C164" s="64" t="s">
        <v>209</v>
      </c>
      <c r="D164" s="60" t="s">
        <v>124</v>
      </c>
      <c r="E164" s="174">
        <f>E162+E163</f>
        <v>75000</v>
      </c>
      <c r="F164" s="62" t="s">
        <v>59</v>
      </c>
    </row>
    <row r="166" spans="1:6" ht="15" x14ac:dyDescent="0.25">
      <c r="A166" s="2" t="s">
        <v>19</v>
      </c>
      <c r="B166" s="2"/>
      <c r="D166" s="20"/>
    </row>
    <row r="167" spans="1:6" x14ac:dyDescent="0.2">
      <c r="A167" s="53"/>
      <c r="B167" s="63"/>
      <c r="C167" s="63" t="s">
        <v>210</v>
      </c>
      <c r="D167" s="54" t="s">
        <v>50</v>
      </c>
      <c r="E167" s="335">
        <v>2023</v>
      </c>
      <c r="F167" s="56" t="s">
        <v>152</v>
      </c>
    </row>
    <row r="168" spans="1:6" x14ac:dyDescent="0.2">
      <c r="A168" s="57"/>
      <c r="C168" s="1" t="s">
        <v>211</v>
      </c>
      <c r="D168" s="21" t="s">
        <v>57</v>
      </c>
      <c r="E168" s="167">
        <v>10</v>
      </c>
      <c r="F168" s="58" t="s">
        <v>199</v>
      </c>
    </row>
    <row r="169" spans="1:6" x14ac:dyDescent="0.2">
      <c r="A169" s="57"/>
      <c r="C169" s="1" t="s">
        <v>212</v>
      </c>
      <c r="D169" s="21" t="s">
        <v>57</v>
      </c>
      <c r="E169" s="22">
        <f>E168+E170</f>
        <v>10</v>
      </c>
      <c r="F169" s="58" t="s">
        <v>199</v>
      </c>
    </row>
    <row r="170" spans="1:6" x14ac:dyDescent="0.2">
      <c r="A170" s="336"/>
      <c r="B170" s="357">
        <f>IF(E170=0,0,1)</f>
        <v>0</v>
      </c>
      <c r="C170" s="1" t="s">
        <v>213</v>
      </c>
      <c r="D170" s="21" t="s">
        <v>57</v>
      </c>
      <c r="E170" s="357">
        <v>0</v>
      </c>
      <c r="F170" s="58" t="s">
        <v>214</v>
      </c>
    </row>
    <row r="171" spans="1:6" x14ac:dyDescent="0.2">
      <c r="A171" s="57"/>
      <c r="C171" s="1" t="s">
        <v>215</v>
      </c>
      <c r="D171" s="21" t="s">
        <v>57</v>
      </c>
      <c r="E171" s="167">
        <v>15</v>
      </c>
      <c r="F171" s="58" t="s">
        <v>199</v>
      </c>
    </row>
    <row r="172" spans="1:6" x14ac:dyDescent="0.2">
      <c r="A172" s="57"/>
      <c r="C172" s="1" t="s">
        <v>216</v>
      </c>
      <c r="D172" s="21" t="s">
        <v>57</v>
      </c>
      <c r="E172" s="22">
        <f>E171+E173</f>
        <v>15</v>
      </c>
      <c r="F172" s="58" t="s">
        <v>199</v>
      </c>
    </row>
    <row r="173" spans="1:6" x14ac:dyDescent="0.2">
      <c r="A173" s="336"/>
      <c r="B173" s="357">
        <f>IF(E173=0,0,1)</f>
        <v>0</v>
      </c>
      <c r="C173" s="1" t="s">
        <v>213</v>
      </c>
      <c r="D173" s="21" t="s">
        <v>57</v>
      </c>
      <c r="E173" s="357">
        <v>0</v>
      </c>
      <c r="F173" s="58" t="s">
        <v>214</v>
      </c>
    </row>
    <row r="174" spans="1:6" x14ac:dyDescent="0.2">
      <c r="A174" s="336"/>
      <c r="B174" s="357"/>
      <c r="C174" s="1" t="s">
        <v>788</v>
      </c>
      <c r="D174" s="21" t="s">
        <v>57</v>
      </c>
      <c r="E174" s="167">
        <v>15</v>
      </c>
      <c r="F174" s="58" t="s">
        <v>199</v>
      </c>
    </row>
    <row r="175" spans="1:6" x14ac:dyDescent="0.2">
      <c r="A175" s="336"/>
      <c r="B175" s="357"/>
      <c r="C175" s="1" t="s">
        <v>787</v>
      </c>
      <c r="D175" s="21" t="s">
        <v>786</v>
      </c>
      <c r="E175" s="167">
        <v>7</v>
      </c>
      <c r="F175" s="58" t="s">
        <v>199</v>
      </c>
    </row>
    <row r="176" spans="1:6" x14ac:dyDescent="0.2">
      <c r="A176" s="336"/>
      <c r="B176" s="357"/>
      <c r="C176" s="1" t="s">
        <v>789</v>
      </c>
      <c r="D176" s="21" t="s">
        <v>68</v>
      </c>
      <c r="E176" s="69">
        <f>E175/$E$27/$E$174</f>
        <v>1.2785388127853881E-3</v>
      </c>
      <c r="F176" s="58" t="s">
        <v>59</v>
      </c>
    </row>
    <row r="177" spans="1:6" x14ac:dyDescent="0.2">
      <c r="A177" s="57"/>
      <c r="C177" s="1" t="s">
        <v>770</v>
      </c>
      <c r="D177" s="21" t="s">
        <v>769</v>
      </c>
      <c r="E177" s="229">
        <f>'REF Detour'!$D$31</f>
        <v>24</v>
      </c>
      <c r="F177" s="58" t="s">
        <v>217</v>
      </c>
    </row>
    <row r="178" spans="1:6" x14ac:dyDescent="0.2">
      <c r="A178" s="59"/>
      <c r="B178" s="64"/>
      <c r="C178" s="64" t="s">
        <v>218</v>
      </c>
      <c r="D178" s="60" t="s">
        <v>219</v>
      </c>
      <c r="E178" s="353">
        <f>'REF Detour'!$C$31</f>
        <v>20.9</v>
      </c>
      <c r="F178" s="62" t="s">
        <v>220</v>
      </c>
    </row>
    <row r="179" spans="1:6" x14ac:dyDescent="0.2">
      <c r="B179" s="1">
        <f>SUM(B12:B178)</f>
        <v>0</v>
      </c>
    </row>
  </sheetData>
  <phoneticPr fontId="16" type="noConversion"/>
  <conditionalFormatting sqref="D7">
    <cfRule type="cellIs" dxfId="0" priority="1" operator="equal">
      <formula>"YES"</formula>
    </cfRule>
  </conditionalFormatting>
  <pageMargins left="0.7" right="0.7" top="0.75" bottom="0.75" header="0.3" footer="0.3"/>
  <pageSetup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7569B-2D48-4044-B6AE-31F034CBE803}">
  <sheetPr>
    <tabColor theme="2" tint="-0.249977111117893"/>
  </sheetPr>
  <dimension ref="B2:I53"/>
  <sheetViews>
    <sheetView workbookViewId="0">
      <selection activeCell="E53" sqref="E53"/>
    </sheetView>
  </sheetViews>
  <sheetFormatPr defaultRowHeight="15" x14ac:dyDescent="0.25"/>
  <cols>
    <col min="4" max="4" width="31.85546875" customWidth="1"/>
    <col min="5" max="5" width="9.5703125" bestFit="1" customWidth="1"/>
  </cols>
  <sheetData>
    <row r="2" spans="2:3" x14ac:dyDescent="0.25">
      <c r="B2" t="s">
        <v>422</v>
      </c>
      <c r="C2" s="131" t="s">
        <v>622</v>
      </c>
    </row>
    <row r="28" spans="3:9" x14ac:dyDescent="0.25">
      <c r="I28">
        <v>2020</v>
      </c>
    </row>
    <row r="32" spans="3:9" x14ac:dyDescent="0.25">
      <c r="C32" t="s">
        <v>50</v>
      </c>
      <c r="D32" t="s">
        <v>623</v>
      </c>
      <c r="E32" t="s">
        <v>624</v>
      </c>
    </row>
    <row r="33" spans="3:5" x14ac:dyDescent="0.25">
      <c r="C33">
        <v>2003</v>
      </c>
      <c r="D33" t="s">
        <v>625</v>
      </c>
      <c r="E33" s="80">
        <f>'REF USDOT BCA 2023 Guidlines'!AG91</f>
        <v>1.44</v>
      </c>
    </row>
    <row r="34" spans="3:5" x14ac:dyDescent="0.25">
      <c r="C34">
        <v>2004</v>
      </c>
      <c r="D34" t="s">
        <v>625</v>
      </c>
      <c r="E34" s="80">
        <f>'REF USDOT BCA 2023 Guidlines'!AG92</f>
        <v>1.4</v>
      </c>
    </row>
    <row r="35" spans="3:5" x14ac:dyDescent="0.25">
      <c r="C35">
        <v>2005</v>
      </c>
      <c r="D35" t="s">
        <v>625</v>
      </c>
      <c r="E35" s="80">
        <f>'REF USDOT BCA 2023 Guidlines'!AG93</f>
        <v>1.36</v>
      </c>
    </row>
    <row r="36" spans="3:5" x14ac:dyDescent="0.25">
      <c r="C36">
        <v>2006</v>
      </c>
      <c r="D36" t="s">
        <v>625</v>
      </c>
      <c r="E36" s="80">
        <f>'REF USDOT BCA 2023 Guidlines'!AG94</f>
        <v>1.32</v>
      </c>
    </row>
    <row r="37" spans="3:5" x14ac:dyDescent="0.25">
      <c r="C37">
        <v>2007</v>
      </c>
      <c r="D37" t="s">
        <v>625</v>
      </c>
      <c r="E37" s="80">
        <f>'REF USDOT BCA 2023 Guidlines'!AG95</f>
        <v>1.28</v>
      </c>
    </row>
    <row r="38" spans="3:5" x14ac:dyDescent="0.25">
      <c r="C38">
        <v>2008</v>
      </c>
      <c r="D38" t="s">
        <v>625</v>
      </c>
      <c r="E38" s="80">
        <f>'REF USDOT BCA 2023 Guidlines'!AG96</f>
        <v>1.26</v>
      </c>
    </row>
    <row r="39" spans="3:5" x14ac:dyDescent="0.25">
      <c r="C39">
        <v>2009</v>
      </c>
      <c r="D39" t="s">
        <v>625</v>
      </c>
      <c r="E39" s="80">
        <f>'REF USDOT BCA 2023 Guidlines'!AG97</f>
        <v>1.25</v>
      </c>
    </row>
    <row r="40" spans="3:5" x14ac:dyDescent="0.25">
      <c r="C40">
        <v>2010</v>
      </c>
      <c r="D40" t="s">
        <v>625</v>
      </c>
      <c r="E40" s="80">
        <f>'REF USDOT BCA 2023 Guidlines'!AG98</f>
        <v>1.24</v>
      </c>
    </row>
    <row r="41" spans="3:5" x14ac:dyDescent="0.25">
      <c r="C41">
        <v>2011</v>
      </c>
      <c r="D41" t="s">
        <v>625</v>
      </c>
      <c r="E41" s="80">
        <f>'REF USDOT BCA 2023 Guidlines'!AG99</f>
        <v>1.21</v>
      </c>
    </row>
    <row r="42" spans="3:5" x14ac:dyDescent="0.25">
      <c r="C42">
        <v>2012</v>
      </c>
      <c r="D42" t="s">
        <v>625</v>
      </c>
      <c r="E42" s="80">
        <f>'REF USDOT BCA 2023 Guidlines'!AG100</f>
        <v>1.19</v>
      </c>
    </row>
    <row r="43" spans="3:5" x14ac:dyDescent="0.25">
      <c r="C43">
        <v>2013</v>
      </c>
      <c r="D43" t="s">
        <v>625</v>
      </c>
      <c r="E43" s="80">
        <f>'REF USDOT BCA 2023 Guidlines'!AG101</f>
        <v>1.17</v>
      </c>
    </row>
    <row r="44" spans="3:5" x14ac:dyDescent="0.25">
      <c r="C44">
        <v>2014</v>
      </c>
      <c r="D44" t="s">
        <v>625</v>
      </c>
      <c r="E44" s="80">
        <f>'REF USDOT BCA 2023 Guidlines'!AG102</f>
        <v>1.1499999999999999</v>
      </c>
    </row>
    <row r="45" spans="3:5" x14ac:dyDescent="0.25">
      <c r="C45">
        <v>2015</v>
      </c>
      <c r="D45" t="s">
        <v>625</v>
      </c>
      <c r="E45" s="80">
        <f>'REF USDOT BCA 2023 Guidlines'!AG103</f>
        <v>1.1399999999999999</v>
      </c>
    </row>
    <row r="46" spans="3:5" x14ac:dyDescent="0.25">
      <c r="C46">
        <v>2016</v>
      </c>
      <c r="D46" t="s">
        <v>625</v>
      </c>
      <c r="E46" s="80">
        <f>'REF USDOT BCA 2023 Guidlines'!AG104</f>
        <v>1.1200000000000001</v>
      </c>
    </row>
    <row r="47" spans="3:5" x14ac:dyDescent="0.25">
      <c r="C47">
        <v>2017</v>
      </c>
      <c r="D47" t="s">
        <v>625</v>
      </c>
      <c r="E47" s="80">
        <f>'REF USDOT BCA 2023 Guidlines'!AG105</f>
        <v>1.1000000000000001</v>
      </c>
    </row>
    <row r="48" spans="3:5" x14ac:dyDescent="0.25">
      <c r="C48">
        <v>2018</v>
      </c>
      <c r="D48" t="s">
        <v>625</v>
      </c>
      <c r="E48" s="80">
        <f>'REF USDOT BCA 2023 Guidlines'!AG106</f>
        <v>1.08</v>
      </c>
    </row>
    <row r="49" spans="3:5" x14ac:dyDescent="0.25">
      <c r="C49">
        <v>2019</v>
      </c>
      <c r="D49" t="s">
        <v>625</v>
      </c>
      <c r="E49" s="80">
        <f>'REF USDOT BCA 2023 Guidlines'!AG107</f>
        <v>1.06</v>
      </c>
    </row>
    <row r="50" spans="3:5" x14ac:dyDescent="0.25">
      <c r="C50">
        <v>2020</v>
      </c>
      <c r="D50" t="s">
        <v>625</v>
      </c>
      <c r="E50" s="80">
        <f>'REF USDOT BCA 2023 Guidlines'!AG108</f>
        <v>1.04</v>
      </c>
    </row>
    <row r="51" spans="3:5" x14ac:dyDescent="0.25">
      <c r="C51">
        <v>2021</v>
      </c>
      <c r="D51" s="218">
        <v>22313.9</v>
      </c>
      <c r="E51" s="80">
        <f>'REF USDOT BCA 2023 Guidlines'!AG109</f>
        <v>1</v>
      </c>
    </row>
    <row r="52" spans="3:5" x14ac:dyDescent="0.25">
      <c r="C52">
        <v>2022</v>
      </c>
      <c r="D52" s="218">
        <v>24740.5</v>
      </c>
      <c r="E52" s="80">
        <f>$D$51/D52</f>
        <v>0.9019179078838343</v>
      </c>
    </row>
    <row r="53" spans="3:5" x14ac:dyDescent="0.25">
      <c r="C53">
        <v>2023</v>
      </c>
      <c r="D53" s="218">
        <v>26132.5</v>
      </c>
      <c r="E53" s="80">
        <f>$D$51/D53</f>
        <v>0.8538754424567111</v>
      </c>
    </row>
  </sheetData>
  <hyperlinks>
    <hyperlink ref="C2" r:id="rId1" location="eyJhcHBpZCI6MTksInN0ZXBzIjpbMSwyLDNdLCJkYXRhIjpbWyJOSVBBX1RhYmxlX0xpc3QiLCI1Il0sWyJDYXRlZ29yaWVzIiwiU3VydmV5Il1dfQ==" xr:uid="{59755D55-5B3D-437E-BED0-17AC76C58FA5}"/>
  </hyperlinks>
  <pageMargins left="0.7" right="0.7" top="0.75" bottom="0.75" header="0.3" footer="0.3"/>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2E56B-2FB8-4065-9914-34ED5F60F74A}">
  <sheetPr>
    <tabColor theme="2" tint="-0.249977111117893"/>
  </sheetPr>
  <dimension ref="A1:AG2841"/>
  <sheetViews>
    <sheetView workbookViewId="0">
      <pane xSplit="2" ySplit="13" topLeftCell="C14" activePane="bottomRight" state="frozen"/>
      <selection pane="topRight" activeCell="K8" sqref="K8"/>
      <selection pane="bottomLeft" activeCell="K8" sqref="K8"/>
      <selection pane="bottomRight" activeCell="B2" sqref="B2"/>
    </sheetView>
  </sheetViews>
  <sheetFormatPr defaultRowHeight="15" x14ac:dyDescent="0.25"/>
  <cols>
    <col min="1" max="1" width="4.28515625" customWidth="1"/>
    <col min="2" max="2" width="44.42578125" customWidth="1"/>
  </cols>
  <sheetData>
    <row r="1" spans="1:33" ht="15" customHeight="1" thickBot="1" x14ac:dyDescent="0.3">
      <c r="B1" s="105" t="s">
        <v>626</v>
      </c>
      <c r="C1" s="106">
        <v>2021</v>
      </c>
      <c r="D1" s="106">
        <v>2022</v>
      </c>
      <c r="E1" s="106">
        <v>2023</v>
      </c>
      <c r="F1" s="106">
        <v>2024</v>
      </c>
      <c r="G1" s="106">
        <v>2025</v>
      </c>
      <c r="H1" s="106">
        <v>2026</v>
      </c>
      <c r="I1" s="106">
        <v>2027</v>
      </c>
      <c r="J1" s="106">
        <v>2028</v>
      </c>
      <c r="K1" s="106">
        <v>2029</v>
      </c>
      <c r="L1" s="106">
        <v>2030</v>
      </c>
      <c r="M1" s="106">
        <v>2031</v>
      </c>
      <c r="N1" s="106">
        <v>2032</v>
      </c>
      <c r="O1" s="106">
        <v>2033</v>
      </c>
      <c r="P1" s="106">
        <v>2034</v>
      </c>
      <c r="Q1" s="106">
        <v>2035</v>
      </c>
      <c r="R1" s="106">
        <v>2036</v>
      </c>
      <c r="S1" s="106">
        <v>2037</v>
      </c>
      <c r="T1" s="106">
        <v>2038</v>
      </c>
      <c r="U1" s="106">
        <v>2039</v>
      </c>
      <c r="V1" s="106">
        <v>2040</v>
      </c>
      <c r="W1" s="106">
        <v>2041</v>
      </c>
      <c r="X1" s="106">
        <v>2042</v>
      </c>
      <c r="Y1" s="106">
        <v>2043</v>
      </c>
      <c r="Z1" s="106">
        <v>2044</v>
      </c>
      <c r="AA1" s="106">
        <v>2045</v>
      </c>
      <c r="AB1" s="106">
        <v>2046</v>
      </c>
      <c r="AC1" s="106">
        <v>2047</v>
      </c>
      <c r="AD1" s="106">
        <v>2048</v>
      </c>
      <c r="AE1" s="106">
        <v>2049</v>
      </c>
      <c r="AF1" s="106">
        <v>2050</v>
      </c>
    </row>
    <row r="2" spans="1:33" ht="15" customHeight="1" thickTop="1" x14ac:dyDescent="0.25">
      <c r="B2" s="107" t="s">
        <v>627</v>
      </c>
    </row>
    <row r="3" spans="1:33" ht="15" customHeight="1" x14ac:dyDescent="0.25">
      <c r="B3" s="108" t="s">
        <v>628</v>
      </c>
      <c r="C3" s="109" t="s">
        <v>629</v>
      </c>
      <c r="D3" s="109" t="s">
        <v>630</v>
      </c>
      <c r="E3" s="109"/>
      <c r="F3" s="109"/>
      <c r="G3" s="109"/>
    </row>
    <row r="4" spans="1:33" ht="15" customHeight="1" x14ac:dyDescent="0.25">
      <c r="B4" s="110" t="s">
        <v>631</v>
      </c>
      <c r="C4" s="109" t="s">
        <v>632</v>
      </c>
      <c r="D4" s="109" t="s">
        <v>633</v>
      </c>
      <c r="E4" s="109"/>
      <c r="F4" s="109"/>
      <c r="G4" s="109" t="s">
        <v>634</v>
      </c>
    </row>
    <row r="5" spans="1:33" ht="15" customHeight="1" thickBot="1" x14ac:dyDescent="0.3">
      <c r="B5" s="111"/>
      <c r="C5" s="109" t="s">
        <v>635</v>
      </c>
      <c r="D5" s="109" t="s">
        <v>636</v>
      </c>
      <c r="E5" s="109"/>
      <c r="F5" s="109"/>
      <c r="G5" s="109"/>
    </row>
    <row r="6" spans="1:33" ht="15" customHeight="1" x14ac:dyDescent="0.25">
      <c r="C6" s="109" t="s">
        <v>637</v>
      </c>
      <c r="D6" s="109"/>
      <c r="E6" s="109" t="s">
        <v>638</v>
      </c>
      <c r="F6" s="109"/>
      <c r="G6" s="109"/>
    </row>
    <row r="10" spans="1:33" ht="15" customHeight="1" x14ac:dyDescent="0.25">
      <c r="A10" s="112" t="s">
        <v>639</v>
      </c>
      <c r="B10" s="113" t="s">
        <v>640</v>
      </c>
      <c r="AG10" s="114" t="s">
        <v>641</v>
      </c>
    </row>
    <row r="11" spans="1:33" ht="15" customHeight="1" x14ac:dyDescent="0.25">
      <c r="B11" s="105" t="s">
        <v>642</v>
      </c>
      <c r="AG11" s="114" t="s">
        <v>643</v>
      </c>
    </row>
    <row r="12" spans="1:33" ht="15" customHeight="1" x14ac:dyDescent="0.25">
      <c r="B12" s="105"/>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4" t="s">
        <v>644</v>
      </c>
    </row>
    <row r="13" spans="1:33" ht="15" customHeight="1" thickBot="1" x14ac:dyDescent="0.3">
      <c r="B13" s="106" t="s">
        <v>645</v>
      </c>
      <c r="C13" s="106">
        <v>2021</v>
      </c>
      <c r="D13" s="106">
        <v>2022</v>
      </c>
      <c r="E13" s="106">
        <v>2023</v>
      </c>
      <c r="F13" s="106">
        <v>2024</v>
      </c>
      <c r="G13" s="106">
        <v>2025</v>
      </c>
      <c r="H13" s="106">
        <v>2026</v>
      </c>
      <c r="I13" s="106">
        <v>2027</v>
      </c>
      <c r="J13" s="106">
        <v>2028</v>
      </c>
      <c r="K13" s="106">
        <v>2029</v>
      </c>
      <c r="L13" s="106">
        <v>2030</v>
      </c>
      <c r="M13" s="106">
        <v>2031</v>
      </c>
      <c r="N13" s="106">
        <v>2032</v>
      </c>
      <c r="O13" s="106">
        <v>2033</v>
      </c>
      <c r="P13" s="106">
        <v>2034</v>
      </c>
      <c r="Q13" s="106">
        <v>2035</v>
      </c>
      <c r="R13" s="106">
        <v>2036</v>
      </c>
      <c r="S13" s="106">
        <v>2037</v>
      </c>
      <c r="T13" s="106">
        <v>2038</v>
      </c>
      <c r="U13" s="106">
        <v>2039</v>
      </c>
      <c r="V13" s="106">
        <v>2040</v>
      </c>
      <c r="W13" s="106">
        <v>2041</v>
      </c>
      <c r="X13" s="106">
        <v>2042</v>
      </c>
      <c r="Y13" s="106">
        <v>2043</v>
      </c>
      <c r="Z13" s="106">
        <v>2044</v>
      </c>
      <c r="AA13" s="106">
        <v>2045</v>
      </c>
      <c r="AB13" s="106">
        <v>2046</v>
      </c>
      <c r="AC13" s="106">
        <v>2047</v>
      </c>
      <c r="AD13" s="106">
        <v>2048</v>
      </c>
      <c r="AE13" s="106">
        <v>2049</v>
      </c>
      <c r="AF13" s="106">
        <v>2050</v>
      </c>
      <c r="AG13" s="116" t="s">
        <v>646</v>
      </c>
    </row>
    <row r="14" spans="1:33" ht="15" customHeight="1" thickTop="1" x14ac:dyDescent="0.25"/>
    <row r="15" spans="1:33" ht="15" customHeight="1" x14ac:dyDescent="0.25">
      <c r="B15" s="117" t="s">
        <v>647</v>
      </c>
    </row>
    <row r="16" spans="1:33" ht="15" customHeight="1" x14ac:dyDescent="0.25">
      <c r="A16" s="112" t="s">
        <v>648</v>
      </c>
      <c r="B16" s="118" t="s">
        <v>649</v>
      </c>
      <c r="C16" s="119">
        <v>71.587997000000001</v>
      </c>
      <c r="D16" s="119">
        <v>70.213927999999996</v>
      </c>
      <c r="E16" s="119">
        <v>60.555264000000001</v>
      </c>
      <c r="F16" s="119">
        <v>65.698181000000005</v>
      </c>
      <c r="G16" s="119">
        <v>66.966232000000005</v>
      </c>
      <c r="H16" s="119">
        <v>68.566528000000005</v>
      </c>
      <c r="I16" s="119">
        <v>70.331649999999996</v>
      </c>
      <c r="J16" s="119">
        <v>71.846969999999999</v>
      </c>
      <c r="K16" s="119">
        <v>72.554810000000003</v>
      </c>
      <c r="L16" s="119">
        <v>73.927574000000007</v>
      </c>
      <c r="M16" s="119">
        <v>75.428145999999998</v>
      </c>
      <c r="N16" s="119">
        <v>76.548935</v>
      </c>
      <c r="O16" s="119">
        <v>77.393790999999993</v>
      </c>
      <c r="P16" s="119">
        <v>78.101562000000001</v>
      </c>
      <c r="Q16" s="119">
        <v>78.826622</v>
      </c>
      <c r="R16" s="119">
        <v>79.945999</v>
      </c>
      <c r="S16" s="119">
        <v>80.923584000000005</v>
      </c>
      <c r="T16" s="119">
        <v>81.905868999999996</v>
      </c>
      <c r="U16" s="119">
        <v>82.210007000000004</v>
      </c>
      <c r="V16" s="119">
        <v>83.920638999999994</v>
      </c>
      <c r="W16" s="119">
        <v>84.768226999999996</v>
      </c>
      <c r="X16" s="119">
        <v>85.086143000000007</v>
      </c>
      <c r="Y16" s="119">
        <v>86.488570999999993</v>
      </c>
      <c r="Z16" s="119">
        <v>88.146811999999997</v>
      </c>
      <c r="AA16" s="119">
        <v>88.602631000000002</v>
      </c>
      <c r="AB16" s="119">
        <v>89.846305999999998</v>
      </c>
      <c r="AC16" s="119">
        <v>90.272803999999994</v>
      </c>
      <c r="AD16" s="119">
        <v>90.105484000000004</v>
      </c>
      <c r="AE16" s="119">
        <v>90.229286000000002</v>
      </c>
      <c r="AF16" s="119">
        <v>89.908057999999997</v>
      </c>
      <c r="AG16" s="120">
        <v>7.8879999999999992E-3</v>
      </c>
    </row>
    <row r="17" spans="1:33" ht="15" customHeight="1" x14ac:dyDescent="0.25">
      <c r="A17" s="112" t="s">
        <v>650</v>
      </c>
      <c r="B17" s="118" t="s">
        <v>651</v>
      </c>
      <c r="C17" s="119">
        <v>69.023003000000003</v>
      </c>
      <c r="D17" s="119">
        <v>66.671440000000004</v>
      </c>
      <c r="E17" s="119">
        <v>58.789005000000003</v>
      </c>
      <c r="F17" s="119">
        <v>63.971465999999999</v>
      </c>
      <c r="G17" s="119">
        <v>64.730819999999994</v>
      </c>
      <c r="H17" s="119">
        <v>65.986869999999996</v>
      </c>
      <c r="I17" s="119">
        <v>67.861976999999996</v>
      </c>
      <c r="J17" s="119">
        <v>69.232902999999993</v>
      </c>
      <c r="K17" s="119">
        <v>70.250511000000003</v>
      </c>
      <c r="L17" s="119">
        <v>71.330612000000002</v>
      </c>
      <c r="M17" s="119">
        <v>72.823188999999999</v>
      </c>
      <c r="N17" s="119">
        <v>73.993660000000006</v>
      </c>
      <c r="O17" s="119">
        <v>74.785088000000002</v>
      </c>
      <c r="P17" s="119">
        <v>75.188484000000003</v>
      </c>
      <c r="Q17" s="119">
        <v>75.902907999999996</v>
      </c>
      <c r="R17" s="119">
        <v>77.117073000000005</v>
      </c>
      <c r="S17" s="119">
        <v>78.005936000000005</v>
      </c>
      <c r="T17" s="119">
        <v>79.037025</v>
      </c>
      <c r="U17" s="119">
        <v>79.295051999999998</v>
      </c>
      <c r="V17" s="119">
        <v>80.803855999999996</v>
      </c>
      <c r="W17" s="119">
        <v>81.726851999999994</v>
      </c>
      <c r="X17" s="119">
        <v>82.116341000000006</v>
      </c>
      <c r="Y17" s="119">
        <v>83.541427999999996</v>
      </c>
      <c r="Z17" s="119">
        <v>85.256896999999995</v>
      </c>
      <c r="AA17" s="119">
        <v>85.725876</v>
      </c>
      <c r="AB17" s="119">
        <v>86.969375999999997</v>
      </c>
      <c r="AC17" s="119">
        <v>86.918678</v>
      </c>
      <c r="AD17" s="119">
        <v>87.038887000000003</v>
      </c>
      <c r="AE17" s="119">
        <v>87.344871999999995</v>
      </c>
      <c r="AF17" s="119">
        <v>87.069678999999994</v>
      </c>
      <c r="AG17" s="120">
        <v>8.0409999999999995E-3</v>
      </c>
    </row>
    <row r="18" spans="1:33" ht="15" customHeight="1" x14ac:dyDescent="0.25">
      <c r="A18" s="112" t="s">
        <v>652</v>
      </c>
      <c r="B18" s="118" t="s">
        <v>653</v>
      </c>
      <c r="C18" s="119">
        <v>67.706001000000001</v>
      </c>
      <c r="D18" s="119">
        <v>64.319237000000001</v>
      </c>
      <c r="E18" s="119">
        <v>57.945065</v>
      </c>
      <c r="F18" s="119">
        <v>62.890735999999997</v>
      </c>
      <c r="G18" s="119">
        <v>63.974074999999999</v>
      </c>
      <c r="H18" s="119">
        <v>65.066909999999993</v>
      </c>
      <c r="I18" s="119">
        <v>66.891639999999995</v>
      </c>
      <c r="J18" s="119">
        <v>68.063552999999999</v>
      </c>
      <c r="K18" s="119">
        <v>68.855461000000005</v>
      </c>
      <c r="L18" s="119">
        <v>69.690856999999994</v>
      </c>
      <c r="M18" s="119">
        <v>70.628356999999994</v>
      </c>
      <c r="N18" s="119">
        <v>71.660895999999994</v>
      </c>
      <c r="O18" s="119">
        <v>72.361701999999994</v>
      </c>
      <c r="P18" s="119">
        <v>72.994452999999993</v>
      </c>
      <c r="Q18" s="119">
        <v>73.513107000000005</v>
      </c>
      <c r="R18" s="119">
        <v>74.46199</v>
      </c>
      <c r="S18" s="119">
        <v>74.433318999999997</v>
      </c>
      <c r="T18" s="119">
        <v>75.734886000000003</v>
      </c>
      <c r="U18" s="119">
        <v>75.583427</v>
      </c>
      <c r="V18" s="119">
        <v>78.244843000000003</v>
      </c>
      <c r="W18" s="119">
        <v>79.180992000000003</v>
      </c>
      <c r="X18" s="119">
        <v>79.736382000000006</v>
      </c>
      <c r="Y18" s="119">
        <v>81.552398999999994</v>
      </c>
      <c r="Z18" s="119">
        <v>82.942802</v>
      </c>
      <c r="AA18" s="119">
        <v>83.503570999999994</v>
      </c>
      <c r="AB18" s="119">
        <v>84.887894000000003</v>
      </c>
      <c r="AC18" s="119">
        <v>85.056549000000004</v>
      </c>
      <c r="AD18" s="119">
        <v>84.842690000000005</v>
      </c>
      <c r="AE18" s="119">
        <v>84.916573</v>
      </c>
      <c r="AF18" s="119">
        <v>84.769135000000006</v>
      </c>
      <c r="AG18" s="120">
        <v>7.7799999999999996E-3</v>
      </c>
    </row>
    <row r="19" spans="1:33" ht="15" customHeight="1" x14ac:dyDescent="0.25">
      <c r="A19" s="112" t="s">
        <v>654</v>
      </c>
      <c r="B19" s="118" t="s">
        <v>655</v>
      </c>
      <c r="C19" s="119">
        <v>2.5649950000000001</v>
      </c>
      <c r="D19" s="119">
        <v>3.5424880000000001</v>
      </c>
      <c r="E19" s="119">
        <v>1.7662580000000001</v>
      </c>
      <c r="F19" s="119">
        <v>1.726715</v>
      </c>
      <c r="G19" s="119">
        <v>2.2354129999999999</v>
      </c>
      <c r="H19" s="119">
        <v>2.5796589999999999</v>
      </c>
      <c r="I19" s="119">
        <v>2.4696729999999998</v>
      </c>
      <c r="J19" s="119">
        <v>2.6140669999999999</v>
      </c>
      <c r="K19" s="119">
        <v>2.3042980000000002</v>
      </c>
      <c r="L19" s="119">
        <v>2.596962</v>
      </c>
      <c r="M19" s="119">
        <v>2.6049579999999999</v>
      </c>
      <c r="N19" s="119">
        <v>2.555275</v>
      </c>
      <c r="O19" s="119">
        <v>2.6087039999999999</v>
      </c>
      <c r="P19" s="119">
        <v>2.9130780000000001</v>
      </c>
      <c r="Q19" s="119">
        <v>2.9237139999999999</v>
      </c>
      <c r="R19" s="119">
        <v>2.8289260000000001</v>
      </c>
      <c r="S19" s="119">
        <v>2.9176479999999998</v>
      </c>
      <c r="T19" s="119">
        <v>2.868843</v>
      </c>
      <c r="U19" s="119">
        <v>2.914955</v>
      </c>
      <c r="V19" s="119">
        <v>3.1167829999999999</v>
      </c>
      <c r="W19" s="119">
        <v>3.0413739999999998</v>
      </c>
      <c r="X19" s="119">
        <v>2.9698030000000002</v>
      </c>
      <c r="Y19" s="119">
        <v>2.9471440000000002</v>
      </c>
      <c r="Z19" s="119">
        <v>2.8899149999999998</v>
      </c>
      <c r="AA19" s="119">
        <v>2.8767550000000002</v>
      </c>
      <c r="AB19" s="119">
        <v>2.8769300000000002</v>
      </c>
      <c r="AC19" s="119">
        <v>3.3541259999999999</v>
      </c>
      <c r="AD19" s="119">
        <v>3.0665969999999998</v>
      </c>
      <c r="AE19" s="119">
        <v>2.8844150000000002</v>
      </c>
      <c r="AF19" s="119">
        <v>2.8383790000000002</v>
      </c>
      <c r="AG19" s="120">
        <v>3.4979999999999998E-3</v>
      </c>
    </row>
    <row r="20" spans="1:33" ht="15" customHeight="1" x14ac:dyDescent="0.25"/>
    <row r="21" spans="1:33" ht="15" customHeight="1" x14ac:dyDescent="0.25">
      <c r="B21" s="117" t="s">
        <v>656</v>
      </c>
    </row>
    <row r="22" spans="1:33" ht="15" customHeight="1" x14ac:dyDescent="0.25"/>
    <row r="23" spans="1:33" ht="15" customHeight="1" x14ac:dyDescent="0.25">
      <c r="B23" s="117" t="s">
        <v>657</v>
      </c>
    </row>
    <row r="24" spans="1:33" ht="15" customHeight="1" x14ac:dyDescent="0.25">
      <c r="A24" s="112" t="s">
        <v>658</v>
      </c>
      <c r="B24" s="118" t="s">
        <v>659</v>
      </c>
      <c r="C24" s="121">
        <v>1.964866</v>
      </c>
      <c r="D24" s="121">
        <v>2.123583</v>
      </c>
      <c r="E24" s="121">
        <v>2.1033759999999999</v>
      </c>
      <c r="F24" s="121">
        <v>2.1074329999999999</v>
      </c>
      <c r="G24" s="121">
        <v>2.1023079999999998</v>
      </c>
      <c r="H24" s="121">
        <v>2.1101359999999998</v>
      </c>
      <c r="I24" s="121">
        <v>2.1388739999999999</v>
      </c>
      <c r="J24" s="121">
        <v>2.186563</v>
      </c>
      <c r="K24" s="121">
        <v>2.2316530000000001</v>
      </c>
      <c r="L24" s="121">
        <v>2.278302</v>
      </c>
      <c r="M24" s="121">
        <v>2.3393600000000001</v>
      </c>
      <c r="N24" s="121">
        <v>2.3794110000000002</v>
      </c>
      <c r="O24" s="121">
        <v>2.4191060000000002</v>
      </c>
      <c r="P24" s="121">
        <v>2.44828</v>
      </c>
      <c r="Q24" s="121">
        <v>2.4704090000000001</v>
      </c>
      <c r="R24" s="121">
        <v>2.4916179999999999</v>
      </c>
      <c r="S24" s="121">
        <v>2.5146320000000002</v>
      </c>
      <c r="T24" s="121">
        <v>2.5372150000000002</v>
      </c>
      <c r="U24" s="121">
        <v>2.5539749999999999</v>
      </c>
      <c r="V24" s="121">
        <v>2.5810490000000001</v>
      </c>
      <c r="W24" s="121">
        <v>2.6046179999999999</v>
      </c>
      <c r="X24" s="121">
        <v>2.6174460000000002</v>
      </c>
      <c r="Y24" s="121">
        <v>2.6360969999999999</v>
      </c>
      <c r="Z24" s="121">
        <v>2.6587619999999998</v>
      </c>
      <c r="AA24" s="121">
        <v>2.6716630000000001</v>
      </c>
      <c r="AB24" s="121">
        <v>2.6855470000000001</v>
      </c>
      <c r="AC24" s="121">
        <v>2.6970049999999999</v>
      </c>
      <c r="AD24" s="121">
        <v>2.7051699999999999</v>
      </c>
      <c r="AE24" s="121">
        <v>2.7081029999999999</v>
      </c>
      <c r="AF24" s="121">
        <v>2.7084280000000001</v>
      </c>
      <c r="AG24" s="120">
        <v>1.1129E-2</v>
      </c>
    </row>
    <row r="25" spans="1:33" ht="15" customHeight="1" x14ac:dyDescent="0.25">
      <c r="A25" s="112" t="s">
        <v>660</v>
      </c>
      <c r="B25" s="118" t="s">
        <v>661</v>
      </c>
      <c r="C25" s="121">
        <v>2.981662</v>
      </c>
      <c r="D25" s="121">
        <v>3.0245600000000001</v>
      </c>
      <c r="E25" s="121">
        <v>2.9804010000000001</v>
      </c>
      <c r="F25" s="121">
        <v>3.1727449999999999</v>
      </c>
      <c r="G25" s="121">
        <v>3.2464409999999999</v>
      </c>
      <c r="H25" s="121">
        <v>3.323124</v>
      </c>
      <c r="I25" s="121">
        <v>3.4122539999999999</v>
      </c>
      <c r="J25" s="121">
        <v>3.4375249999999999</v>
      </c>
      <c r="K25" s="121">
        <v>3.4540700000000002</v>
      </c>
      <c r="L25" s="121">
        <v>3.449414</v>
      </c>
      <c r="M25" s="121">
        <v>3.48699</v>
      </c>
      <c r="N25" s="121">
        <v>3.5012590000000001</v>
      </c>
      <c r="O25" s="121">
        <v>3.5098600000000002</v>
      </c>
      <c r="P25" s="121">
        <v>3.5165649999999999</v>
      </c>
      <c r="Q25" s="121">
        <v>3.5273219999999998</v>
      </c>
      <c r="R25" s="121">
        <v>3.5506600000000001</v>
      </c>
      <c r="S25" s="121">
        <v>3.5803419999999999</v>
      </c>
      <c r="T25" s="121">
        <v>3.5975039999999998</v>
      </c>
      <c r="U25" s="121">
        <v>3.6069089999999999</v>
      </c>
      <c r="V25" s="121">
        <v>3.6377250000000001</v>
      </c>
      <c r="W25" s="121">
        <v>3.6507459999999998</v>
      </c>
      <c r="X25" s="121">
        <v>3.6524390000000002</v>
      </c>
      <c r="Y25" s="121">
        <v>3.6834730000000002</v>
      </c>
      <c r="Z25" s="121">
        <v>3.7191299999999998</v>
      </c>
      <c r="AA25" s="121">
        <v>3.7326320000000002</v>
      </c>
      <c r="AB25" s="121">
        <v>3.7608199999999998</v>
      </c>
      <c r="AC25" s="121">
        <v>3.7647390000000001</v>
      </c>
      <c r="AD25" s="121">
        <v>3.753911</v>
      </c>
      <c r="AE25" s="121">
        <v>3.7515239999999999</v>
      </c>
      <c r="AF25" s="121">
        <v>3.744075</v>
      </c>
      <c r="AG25" s="120">
        <v>7.8820000000000001E-3</v>
      </c>
    </row>
    <row r="26" spans="1:33" ht="15" customHeight="1" x14ac:dyDescent="0.25"/>
    <row r="27" spans="1:33" ht="15" customHeight="1" x14ac:dyDescent="0.25">
      <c r="B27" s="117" t="s">
        <v>662</v>
      </c>
    </row>
    <row r="28" spans="1:33" ht="15" customHeight="1" x14ac:dyDescent="0.25">
      <c r="A28" s="112" t="s">
        <v>663</v>
      </c>
      <c r="B28" s="118" t="s">
        <v>661</v>
      </c>
      <c r="C28" s="121">
        <v>2.9924080000000002</v>
      </c>
      <c r="D28" s="121">
        <v>3.0359509999999998</v>
      </c>
      <c r="E28" s="121">
        <v>2.8329140000000002</v>
      </c>
      <c r="F28" s="121">
        <v>2.8822359999999998</v>
      </c>
      <c r="G28" s="121">
        <v>2.807518</v>
      </c>
      <c r="H28" s="121">
        <v>2.7367349999999999</v>
      </c>
      <c r="I28" s="121">
        <v>2.680212</v>
      </c>
      <c r="J28" s="121">
        <v>2.7063730000000001</v>
      </c>
      <c r="K28" s="121">
        <v>2.7221950000000001</v>
      </c>
      <c r="L28" s="121">
        <v>2.7178680000000002</v>
      </c>
      <c r="M28" s="121">
        <v>2.79853</v>
      </c>
      <c r="N28" s="121">
        <v>2.813542</v>
      </c>
      <c r="O28" s="121">
        <v>2.829107</v>
      </c>
      <c r="P28" s="121">
        <v>2.836411</v>
      </c>
      <c r="Q28" s="121">
        <v>2.8491230000000001</v>
      </c>
      <c r="R28" s="121">
        <v>2.8728760000000002</v>
      </c>
      <c r="S28" s="121">
        <v>2.9028879999999999</v>
      </c>
      <c r="T28" s="121">
        <v>2.9206699999999999</v>
      </c>
      <c r="U28" s="121">
        <v>2.930088</v>
      </c>
      <c r="V28" s="121">
        <v>2.9585599999999999</v>
      </c>
      <c r="W28" s="121">
        <v>2.9725820000000001</v>
      </c>
      <c r="X28" s="121">
        <v>2.9747710000000001</v>
      </c>
      <c r="Y28" s="121">
        <v>3.0084270000000002</v>
      </c>
      <c r="Z28" s="121">
        <v>3.0464799999999999</v>
      </c>
      <c r="AA28" s="121">
        <v>3.0611120000000001</v>
      </c>
      <c r="AB28" s="121">
        <v>3.0872320000000002</v>
      </c>
      <c r="AC28" s="121">
        <v>3.0933959999999998</v>
      </c>
      <c r="AD28" s="121">
        <v>3.085175</v>
      </c>
      <c r="AE28" s="121">
        <v>3.0820259999999999</v>
      </c>
      <c r="AF28" s="121">
        <v>3.0718770000000002</v>
      </c>
      <c r="AG28" s="120">
        <v>9.0399999999999996E-4</v>
      </c>
    </row>
    <row r="29" spans="1:33" ht="15" customHeight="1" x14ac:dyDescent="0.25">
      <c r="A29" s="112" t="s">
        <v>664</v>
      </c>
      <c r="B29" s="118" t="s">
        <v>665</v>
      </c>
      <c r="C29" s="121">
        <v>0.97293499999999999</v>
      </c>
      <c r="D29" s="121">
        <v>1.1294219999999999</v>
      </c>
      <c r="E29" s="121">
        <v>1.147985</v>
      </c>
      <c r="F29" s="121">
        <v>1.348249</v>
      </c>
      <c r="G29" s="121">
        <v>1.4287669999999999</v>
      </c>
      <c r="H29" s="121">
        <v>1.5156529999999999</v>
      </c>
      <c r="I29" s="121">
        <v>1.6310750000000001</v>
      </c>
      <c r="J29" s="121">
        <v>1.6618649999999999</v>
      </c>
      <c r="K29" s="121">
        <v>1.6764840000000001</v>
      </c>
      <c r="L29" s="121">
        <v>1.6996849999999999</v>
      </c>
      <c r="M29" s="121">
        <v>1.72675</v>
      </c>
      <c r="N29" s="121">
        <v>1.7478229999999999</v>
      </c>
      <c r="O29" s="121">
        <v>1.7658119999999999</v>
      </c>
      <c r="P29" s="121">
        <v>1.767423</v>
      </c>
      <c r="Q29" s="121">
        <v>1.770181</v>
      </c>
      <c r="R29" s="121">
        <v>1.762726</v>
      </c>
      <c r="S29" s="121">
        <v>1.7594350000000001</v>
      </c>
      <c r="T29" s="121">
        <v>1.7894289999999999</v>
      </c>
      <c r="U29" s="121">
        <v>1.763593</v>
      </c>
      <c r="V29" s="121">
        <v>1.842214</v>
      </c>
      <c r="W29" s="121">
        <v>1.868017</v>
      </c>
      <c r="X29" s="121">
        <v>1.8891279999999999</v>
      </c>
      <c r="Y29" s="121">
        <v>1.944866</v>
      </c>
      <c r="Z29" s="121">
        <v>1.9860120000000001</v>
      </c>
      <c r="AA29" s="121">
        <v>1.9998180000000001</v>
      </c>
      <c r="AB29" s="121">
        <v>2.0218720000000001</v>
      </c>
      <c r="AC29" s="121">
        <v>2.0392459999999999</v>
      </c>
      <c r="AD29" s="121">
        <v>2.0253060000000001</v>
      </c>
      <c r="AE29" s="121">
        <v>2.0337969999999999</v>
      </c>
      <c r="AF29" s="121">
        <v>2.0211700000000001</v>
      </c>
      <c r="AG29" s="120">
        <v>2.5531000000000002E-2</v>
      </c>
    </row>
    <row r="30" spans="1:33" ht="15" customHeight="1" x14ac:dyDescent="0.25">
      <c r="A30" s="112" t="s">
        <v>666</v>
      </c>
      <c r="B30" s="118" t="s">
        <v>667</v>
      </c>
      <c r="C30" s="119">
        <v>40.863289000000002</v>
      </c>
      <c r="D30" s="119">
        <v>47.435715000000002</v>
      </c>
      <c r="E30" s="119">
        <v>48.215378000000001</v>
      </c>
      <c r="F30" s="119">
        <v>56.626441999999997</v>
      </c>
      <c r="G30" s="119">
        <v>60.008217000000002</v>
      </c>
      <c r="H30" s="119">
        <v>63.657429</v>
      </c>
      <c r="I30" s="119">
        <v>68.505134999999996</v>
      </c>
      <c r="J30" s="119">
        <v>69.798316999999997</v>
      </c>
      <c r="K30" s="119">
        <v>70.412315000000007</v>
      </c>
      <c r="L30" s="119">
        <v>71.386764999999997</v>
      </c>
      <c r="M30" s="119">
        <v>72.523491000000007</v>
      </c>
      <c r="N30" s="119">
        <v>73.408585000000002</v>
      </c>
      <c r="O30" s="119">
        <v>74.164092999999994</v>
      </c>
      <c r="P30" s="119">
        <v>74.231773000000004</v>
      </c>
      <c r="Q30" s="119">
        <v>74.347617999999997</v>
      </c>
      <c r="R30" s="119">
        <v>74.034499999999994</v>
      </c>
      <c r="S30" s="119">
        <v>73.896286000000003</v>
      </c>
      <c r="T30" s="119">
        <v>75.156006000000005</v>
      </c>
      <c r="U30" s="119">
        <v>74.070899999999995</v>
      </c>
      <c r="V30" s="119">
        <v>77.372985999999997</v>
      </c>
      <c r="W30" s="119">
        <v>78.456695999999994</v>
      </c>
      <c r="X30" s="119">
        <v>79.343384</v>
      </c>
      <c r="Y30" s="119">
        <v>81.684387000000001</v>
      </c>
      <c r="Z30" s="119">
        <v>83.412520999999998</v>
      </c>
      <c r="AA30" s="119">
        <v>83.992362999999997</v>
      </c>
      <c r="AB30" s="119">
        <v>84.918610000000001</v>
      </c>
      <c r="AC30" s="119">
        <v>85.648330999999999</v>
      </c>
      <c r="AD30" s="119">
        <v>85.062843000000001</v>
      </c>
      <c r="AE30" s="119">
        <v>85.419464000000005</v>
      </c>
      <c r="AF30" s="119">
        <v>84.889144999999999</v>
      </c>
      <c r="AG30" s="120">
        <v>2.5531000000000002E-2</v>
      </c>
    </row>
    <row r="32" spans="1:33" x14ac:dyDescent="0.25">
      <c r="B32" s="117" t="s">
        <v>668</v>
      </c>
    </row>
    <row r="33" spans="1:33" x14ac:dyDescent="0.25">
      <c r="A33" s="112" t="s">
        <v>669</v>
      </c>
      <c r="B33" s="118" t="s">
        <v>659</v>
      </c>
      <c r="C33" s="121">
        <v>1.247592</v>
      </c>
      <c r="D33" s="121">
        <v>1.323669</v>
      </c>
      <c r="E33" s="121">
        <v>1.160595</v>
      </c>
      <c r="F33" s="121">
        <v>1.1590480000000001</v>
      </c>
      <c r="G33" s="121">
        <v>1.1481490000000001</v>
      </c>
      <c r="H33" s="121">
        <v>1.1618569999999999</v>
      </c>
      <c r="I33" s="121">
        <v>1.1992400000000001</v>
      </c>
      <c r="J33" s="121">
        <v>1.251198</v>
      </c>
      <c r="K33" s="121">
        <v>1.2855650000000001</v>
      </c>
      <c r="L33" s="121">
        <v>1.321898</v>
      </c>
      <c r="M33" s="121">
        <v>1.3544419999999999</v>
      </c>
      <c r="N33" s="121">
        <v>1.3812040000000001</v>
      </c>
      <c r="O33" s="121">
        <v>1.4071039999999999</v>
      </c>
      <c r="P33" s="121">
        <v>1.422728</v>
      </c>
      <c r="Q33" s="121">
        <v>1.433298</v>
      </c>
      <c r="R33" s="121">
        <v>1.4479120000000001</v>
      </c>
      <c r="S33" s="121">
        <v>1.4667699999999999</v>
      </c>
      <c r="T33" s="121">
        <v>1.484092</v>
      </c>
      <c r="U33" s="121">
        <v>1.492623</v>
      </c>
      <c r="V33" s="121">
        <v>1.5208809999999999</v>
      </c>
      <c r="W33" s="121">
        <v>1.5377209999999999</v>
      </c>
      <c r="X33" s="121">
        <v>1.5392490000000001</v>
      </c>
      <c r="Y33" s="121">
        <v>1.5569660000000001</v>
      </c>
      <c r="Z33" s="121">
        <v>1.578365</v>
      </c>
      <c r="AA33" s="121">
        <v>1.581539</v>
      </c>
      <c r="AB33" s="121">
        <v>1.5921129999999999</v>
      </c>
      <c r="AC33" s="121">
        <v>1.5991949999999999</v>
      </c>
      <c r="AD33" s="121">
        <v>1.602784</v>
      </c>
      <c r="AE33" s="121">
        <v>1.600606</v>
      </c>
      <c r="AF33" s="121">
        <v>1.598128</v>
      </c>
      <c r="AG33" s="120">
        <v>8.5749999999999993E-3</v>
      </c>
    </row>
    <row r="34" spans="1:33" x14ac:dyDescent="0.25">
      <c r="A34" s="112" t="s">
        <v>670</v>
      </c>
      <c r="B34" s="118" t="s">
        <v>661</v>
      </c>
      <c r="C34" s="121">
        <v>2.9826980000000001</v>
      </c>
      <c r="D34" s="121">
        <v>3.0254799999999999</v>
      </c>
      <c r="E34" s="121">
        <v>2.8335699999999999</v>
      </c>
      <c r="F34" s="121">
        <v>2.8780359999999998</v>
      </c>
      <c r="G34" s="121">
        <v>2.8022230000000001</v>
      </c>
      <c r="H34" s="121">
        <v>2.729158</v>
      </c>
      <c r="I34" s="121">
        <v>2.669314</v>
      </c>
      <c r="J34" s="121">
        <v>2.696113</v>
      </c>
      <c r="K34" s="121">
        <v>2.7132540000000001</v>
      </c>
      <c r="L34" s="121">
        <v>2.709587</v>
      </c>
      <c r="M34" s="121">
        <v>2.7487110000000001</v>
      </c>
      <c r="N34" s="121">
        <v>2.76369</v>
      </c>
      <c r="O34" s="121">
        <v>2.7752279999999998</v>
      </c>
      <c r="P34" s="121">
        <v>2.782178</v>
      </c>
      <c r="Q34" s="121">
        <v>2.7962210000000001</v>
      </c>
      <c r="R34" s="121">
        <v>2.8211879999999998</v>
      </c>
      <c r="S34" s="121">
        <v>2.8520729999999999</v>
      </c>
      <c r="T34" s="121">
        <v>2.8706469999999999</v>
      </c>
      <c r="U34" s="121">
        <v>2.8810069999999999</v>
      </c>
      <c r="V34" s="121">
        <v>2.908944</v>
      </c>
      <c r="W34" s="121">
        <v>2.9243579999999998</v>
      </c>
      <c r="X34" s="121">
        <v>2.927235</v>
      </c>
      <c r="Y34" s="121">
        <v>2.963165</v>
      </c>
      <c r="Z34" s="121">
        <v>3.0025810000000002</v>
      </c>
      <c r="AA34" s="121">
        <v>3.017852</v>
      </c>
      <c r="AB34" s="121">
        <v>3.0434730000000001</v>
      </c>
      <c r="AC34" s="121">
        <v>3.0510950000000001</v>
      </c>
      <c r="AD34" s="121">
        <v>3.0446569999999999</v>
      </c>
      <c r="AE34" s="121">
        <v>3.0415640000000002</v>
      </c>
      <c r="AF34" s="121">
        <v>3.0314749999999999</v>
      </c>
      <c r="AG34" s="120">
        <v>5.5900000000000004E-4</v>
      </c>
    </row>
    <row r="35" spans="1:33" x14ac:dyDescent="0.25">
      <c r="A35" s="112" t="s">
        <v>671</v>
      </c>
      <c r="B35" s="118" t="s">
        <v>665</v>
      </c>
      <c r="C35" s="121">
        <v>1.0599479999999999</v>
      </c>
      <c r="D35" s="121">
        <v>1.239522</v>
      </c>
      <c r="E35" s="121">
        <v>1.2914410000000001</v>
      </c>
      <c r="F35" s="121">
        <v>1.5224200000000001</v>
      </c>
      <c r="G35" s="121">
        <v>1.6322650000000001</v>
      </c>
      <c r="H35" s="121">
        <v>1.755055</v>
      </c>
      <c r="I35" s="121">
        <v>1.902169</v>
      </c>
      <c r="J35" s="121">
        <v>1.9361470000000001</v>
      </c>
      <c r="K35" s="121">
        <v>1.9540709999999999</v>
      </c>
      <c r="L35" s="121">
        <v>1.9795480000000001</v>
      </c>
      <c r="M35" s="121">
        <v>2.009709</v>
      </c>
      <c r="N35" s="121">
        <v>2.0328560000000002</v>
      </c>
      <c r="O35" s="121">
        <v>2.0530059999999999</v>
      </c>
      <c r="P35" s="121">
        <v>2.056616</v>
      </c>
      <c r="Q35" s="121">
        <v>2.061985</v>
      </c>
      <c r="R35" s="121">
        <v>2.0558299999999998</v>
      </c>
      <c r="S35" s="121">
        <v>2.0508739999999999</v>
      </c>
      <c r="T35" s="121">
        <v>2.0863969999999998</v>
      </c>
      <c r="U35" s="121">
        <v>2.0671780000000002</v>
      </c>
      <c r="V35" s="121">
        <v>2.1440790000000001</v>
      </c>
      <c r="W35" s="121">
        <v>2.1709269999999998</v>
      </c>
      <c r="X35" s="121">
        <v>2.192453</v>
      </c>
      <c r="Y35" s="121">
        <v>2.2478410000000002</v>
      </c>
      <c r="Z35" s="121">
        <v>2.2855819999999998</v>
      </c>
      <c r="AA35" s="121">
        <v>2.2985679999999999</v>
      </c>
      <c r="AB35" s="121">
        <v>2.3242910000000001</v>
      </c>
      <c r="AC35" s="121">
        <v>2.3358020000000002</v>
      </c>
      <c r="AD35" s="121">
        <v>2.3309950000000002</v>
      </c>
      <c r="AE35" s="121">
        <v>2.335388</v>
      </c>
      <c r="AF35" s="121">
        <v>2.3282050000000001</v>
      </c>
      <c r="AG35" s="120">
        <v>2.7505000000000002E-2</v>
      </c>
    </row>
    <row r="36" spans="1:33" x14ac:dyDescent="0.25">
      <c r="A36" s="112" t="s">
        <v>672</v>
      </c>
      <c r="B36" s="118" t="s">
        <v>667</v>
      </c>
      <c r="C36" s="119">
        <v>44.517811000000002</v>
      </c>
      <c r="D36" s="119">
        <v>52.059939999999997</v>
      </c>
      <c r="E36" s="119">
        <v>54.240532000000002</v>
      </c>
      <c r="F36" s="119">
        <v>63.941623999999997</v>
      </c>
      <c r="G36" s="119">
        <v>68.555115000000001</v>
      </c>
      <c r="H36" s="119">
        <v>73.712326000000004</v>
      </c>
      <c r="I36" s="119">
        <v>79.891075000000001</v>
      </c>
      <c r="J36" s="119">
        <v>81.318191999999996</v>
      </c>
      <c r="K36" s="119">
        <v>82.070969000000005</v>
      </c>
      <c r="L36" s="119">
        <v>83.141013999999998</v>
      </c>
      <c r="M36" s="119">
        <v>84.407760999999994</v>
      </c>
      <c r="N36" s="119">
        <v>85.379929000000004</v>
      </c>
      <c r="O36" s="119">
        <v>86.226241999999999</v>
      </c>
      <c r="P36" s="119">
        <v>86.377860999999996</v>
      </c>
      <c r="Q36" s="119">
        <v>86.603354999999993</v>
      </c>
      <c r="R36" s="119">
        <v>86.344841000000002</v>
      </c>
      <c r="S36" s="119">
        <v>86.136688000000007</v>
      </c>
      <c r="T36" s="119">
        <v>87.62867</v>
      </c>
      <c r="U36" s="119">
        <v>86.821479999999994</v>
      </c>
      <c r="V36" s="119">
        <v>90.051338000000001</v>
      </c>
      <c r="W36" s="119">
        <v>91.178925000000007</v>
      </c>
      <c r="X36" s="119">
        <v>92.083008000000007</v>
      </c>
      <c r="Y36" s="119">
        <v>94.409332000000006</v>
      </c>
      <c r="Z36" s="119">
        <v>95.994461000000001</v>
      </c>
      <c r="AA36" s="119">
        <v>96.539856</v>
      </c>
      <c r="AB36" s="119">
        <v>97.620200999999994</v>
      </c>
      <c r="AC36" s="119">
        <v>98.103667999999999</v>
      </c>
      <c r="AD36" s="119">
        <v>97.901786999999999</v>
      </c>
      <c r="AE36" s="119">
        <v>98.086287999999996</v>
      </c>
      <c r="AF36" s="119">
        <v>97.784592000000004</v>
      </c>
      <c r="AG36" s="120">
        <v>2.7505000000000002E-2</v>
      </c>
    </row>
    <row r="38" spans="1:33" x14ac:dyDescent="0.25">
      <c r="B38" s="117" t="s">
        <v>673</v>
      </c>
    </row>
    <row r="39" spans="1:33" x14ac:dyDescent="0.25">
      <c r="A39" s="112" t="s">
        <v>674</v>
      </c>
      <c r="B39" s="118" t="s">
        <v>659</v>
      </c>
      <c r="C39" s="121">
        <v>1.622646</v>
      </c>
      <c r="D39" s="121">
        <v>1.678445</v>
      </c>
      <c r="E39" s="121">
        <v>1.5404549999999999</v>
      </c>
      <c r="F39" s="121">
        <v>1.5406770000000001</v>
      </c>
      <c r="G39" s="121">
        <v>1.5315650000000001</v>
      </c>
      <c r="H39" s="121">
        <v>1.543452</v>
      </c>
      <c r="I39" s="121">
        <v>1.575061</v>
      </c>
      <c r="J39" s="121">
        <v>1.6181289999999999</v>
      </c>
      <c r="K39" s="121">
        <v>1.6458410000000001</v>
      </c>
      <c r="L39" s="121">
        <v>1.675092</v>
      </c>
      <c r="M39" s="121">
        <v>1.7319119999999999</v>
      </c>
      <c r="N39" s="121">
        <v>1.7528820000000001</v>
      </c>
      <c r="O39" s="121">
        <v>1.7774460000000001</v>
      </c>
      <c r="P39" s="121">
        <v>1.7893589999999999</v>
      </c>
      <c r="Q39" s="121">
        <v>1.7973399999999999</v>
      </c>
      <c r="R39" s="121">
        <v>1.808567</v>
      </c>
      <c r="S39" s="121">
        <v>1.8230390000000001</v>
      </c>
      <c r="T39" s="121">
        <v>1.836198</v>
      </c>
      <c r="U39" s="121">
        <v>1.842457</v>
      </c>
      <c r="V39" s="121">
        <v>1.8641270000000001</v>
      </c>
      <c r="W39" s="121">
        <v>1.8766259999999999</v>
      </c>
      <c r="X39" s="121">
        <v>1.8773770000000001</v>
      </c>
      <c r="Y39" s="121">
        <v>1.890781</v>
      </c>
      <c r="Z39" s="121">
        <v>1.906803</v>
      </c>
      <c r="AA39" s="121">
        <v>1.9087879999999999</v>
      </c>
      <c r="AB39" s="121">
        <v>1.9166099999999999</v>
      </c>
      <c r="AC39" s="121">
        <v>1.921713</v>
      </c>
      <c r="AD39" s="121">
        <v>1.9241919999999999</v>
      </c>
      <c r="AE39" s="121">
        <v>1.922315</v>
      </c>
      <c r="AF39" s="121">
        <v>1.9202630000000001</v>
      </c>
      <c r="AG39" s="120">
        <v>5.8240000000000002E-3</v>
      </c>
    </row>
    <row r="40" spans="1:33" x14ac:dyDescent="0.25">
      <c r="A40" s="112" t="s">
        <v>675</v>
      </c>
      <c r="B40" s="118" t="s">
        <v>676</v>
      </c>
      <c r="C40" s="121">
        <v>2.4437639999999998</v>
      </c>
      <c r="D40" s="121">
        <v>2.4431340000000001</v>
      </c>
      <c r="E40" s="121">
        <v>2.4571740000000002</v>
      </c>
      <c r="F40" s="121">
        <v>2.4358610000000001</v>
      </c>
      <c r="G40" s="121">
        <v>2.4068019999999999</v>
      </c>
      <c r="H40" s="121">
        <v>2.433751</v>
      </c>
      <c r="I40" s="121">
        <v>2.4650889999999999</v>
      </c>
      <c r="J40" s="121">
        <v>2.4954589999999999</v>
      </c>
      <c r="K40" s="121">
        <v>2.5174910000000001</v>
      </c>
      <c r="L40" s="121">
        <v>2.5831219999999999</v>
      </c>
      <c r="M40" s="121">
        <v>2.6531820000000002</v>
      </c>
      <c r="N40" s="121">
        <v>2.6875360000000001</v>
      </c>
      <c r="O40" s="121">
        <v>2.7033860000000001</v>
      </c>
      <c r="P40" s="121">
        <v>2.748828</v>
      </c>
      <c r="Q40" s="121">
        <v>2.7651780000000001</v>
      </c>
      <c r="R40" s="121">
        <v>2.7691300000000001</v>
      </c>
      <c r="S40" s="121">
        <v>2.781908</v>
      </c>
      <c r="T40" s="121">
        <v>2.8176990000000002</v>
      </c>
      <c r="U40" s="121">
        <v>2.816694</v>
      </c>
      <c r="V40" s="121">
        <v>2.8388550000000001</v>
      </c>
      <c r="W40" s="121">
        <v>2.8592040000000001</v>
      </c>
      <c r="X40" s="121">
        <v>2.8610500000000001</v>
      </c>
      <c r="Y40" s="121">
        <v>2.8889309999999999</v>
      </c>
      <c r="Z40" s="121">
        <v>2.9170479999999999</v>
      </c>
      <c r="AA40" s="121">
        <v>2.926885</v>
      </c>
      <c r="AB40" s="121">
        <v>2.9519579999999999</v>
      </c>
      <c r="AC40" s="121">
        <v>2.9620769999999998</v>
      </c>
      <c r="AD40" s="121">
        <v>2.9547349999999999</v>
      </c>
      <c r="AE40" s="121">
        <v>2.957592</v>
      </c>
      <c r="AF40" s="121">
        <v>2.9572970000000001</v>
      </c>
      <c r="AG40" s="120">
        <v>6.5989999999999998E-3</v>
      </c>
    </row>
    <row r="41" spans="1:33" x14ac:dyDescent="0.25">
      <c r="A41" s="112" t="s">
        <v>677</v>
      </c>
      <c r="B41" s="118" t="s">
        <v>678</v>
      </c>
      <c r="C41" s="121">
        <v>1.4504239999999999</v>
      </c>
      <c r="D41" s="121">
        <v>1.4504239999999999</v>
      </c>
      <c r="E41" s="121">
        <v>1.4916320000000001</v>
      </c>
      <c r="F41" s="121">
        <v>1.5522929999999999</v>
      </c>
      <c r="G41" s="121">
        <v>1.4544539999999999</v>
      </c>
      <c r="H41" s="121">
        <v>1.5392129999999999</v>
      </c>
      <c r="I41" s="121">
        <v>1.567393</v>
      </c>
      <c r="J41" s="121">
        <v>1.5957410000000001</v>
      </c>
      <c r="K41" s="121">
        <v>1.624268</v>
      </c>
      <c r="L41" s="121">
        <v>1.6521650000000001</v>
      </c>
      <c r="M41" s="121">
        <v>1.68336</v>
      </c>
      <c r="N41" s="121">
        <v>1.691838</v>
      </c>
      <c r="O41" s="121">
        <v>1.645732</v>
      </c>
      <c r="P41" s="121">
        <v>1.688267</v>
      </c>
      <c r="Q41" s="121">
        <v>1.694874</v>
      </c>
      <c r="R41" s="121">
        <v>1.635859</v>
      </c>
      <c r="S41" s="121">
        <v>1.6032230000000001</v>
      </c>
      <c r="T41" s="121">
        <v>1.665384</v>
      </c>
      <c r="U41" s="121">
        <v>1.637751</v>
      </c>
      <c r="V41" s="121">
        <v>1.6358440000000001</v>
      </c>
      <c r="W41" s="121">
        <v>1.65815</v>
      </c>
      <c r="X41" s="121">
        <v>1.638474</v>
      </c>
      <c r="Y41" s="121">
        <v>1.6218170000000001</v>
      </c>
      <c r="Z41" s="121">
        <v>1.6014619999999999</v>
      </c>
      <c r="AA41" s="121">
        <v>1.6175870000000001</v>
      </c>
      <c r="AB41" s="121">
        <v>1.601356</v>
      </c>
      <c r="AC41" s="121">
        <v>1.6500570000000001</v>
      </c>
      <c r="AD41" s="121">
        <v>1.5815950000000001</v>
      </c>
      <c r="AE41" s="121">
        <v>1.5997939999999999</v>
      </c>
      <c r="AF41" s="121">
        <v>1.6184609999999999</v>
      </c>
      <c r="AG41" s="120">
        <v>3.787E-3</v>
      </c>
    </row>
    <row r="42" spans="1:33" s="126" customFormat="1" x14ac:dyDescent="0.25">
      <c r="A42" s="122" t="s">
        <v>679</v>
      </c>
      <c r="B42" s="123" t="s">
        <v>680</v>
      </c>
      <c r="C42" s="124">
        <v>3.1092520000000001</v>
      </c>
      <c r="D42" s="124">
        <v>2.9813019999999999</v>
      </c>
      <c r="E42" s="124">
        <v>2.6675990000000001</v>
      </c>
      <c r="F42" s="124">
        <v>2.6499229999999998</v>
      </c>
      <c r="G42" s="124">
        <v>2.6225969999999998</v>
      </c>
      <c r="H42" s="124">
        <v>2.6497000000000002</v>
      </c>
      <c r="I42" s="124">
        <v>2.6807840000000001</v>
      </c>
      <c r="J42" s="124">
        <v>2.7091720000000001</v>
      </c>
      <c r="K42" s="124">
        <v>2.7289089999999998</v>
      </c>
      <c r="L42" s="124">
        <v>2.7957380000000001</v>
      </c>
      <c r="M42" s="124">
        <v>2.884652</v>
      </c>
      <c r="N42" s="124">
        <v>2.9133019999999998</v>
      </c>
      <c r="O42" s="124">
        <v>2.9367969999999999</v>
      </c>
      <c r="P42" s="124">
        <v>2.9589189999999999</v>
      </c>
      <c r="Q42" s="124">
        <v>2.9694120000000002</v>
      </c>
      <c r="R42" s="124">
        <v>2.9900139999999999</v>
      </c>
      <c r="S42" s="124">
        <v>3.0082429999999998</v>
      </c>
      <c r="T42" s="124">
        <v>3.040721</v>
      </c>
      <c r="U42" s="124">
        <v>3.041817</v>
      </c>
      <c r="V42" s="124">
        <v>3.0651860000000002</v>
      </c>
      <c r="W42" s="124">
        <v>3.084158</v>
      </c>
      <c r="X42" s="124">
        <v>3.0886239999999998</v>
      </c>
      <c r="Y42" s="124">
        <v>3.118824</v>
      </c>
      <c r="Z42" s="124">
        <v>3.1478609999999998</v>
      </c>
      <c r="AA42" s="124">
        <v>3.1574930000000001</v>
      </c>
      <c r="AB42" s="124">
        <v>3.1823169999999998</v>
      </c>
      <c r="AC42" s="124">
        <v>3.1916579999999999</v>
      </c>
      <c r="AD42" s="124">
        <v>3.1826210000000001</v>
      </c>
      <c r="AE42" s="124">
        <v>3.184043</v>
      </c>
      <c r="AF42" s="124">
        <v>3.1829610000000002</v>
      </c>
      <c r="AG42" s="125">
        <v>8.0800000000000002E-4</v>
      </c>
    </row>
    <row r="43" spans="1:33" x14ac:dyDescent="0.25">
      <c r="A43" s="112" t="s">
        <v>681</v>
      </c>
      <c r="B43" s="118" t="s">
        <v>682</v>
      </c>
      <c r="C43" s="121">
        <v>1.9841310000000001</v>
      </c>
      <c r="D43" s="121">
        <v>2.074087</v>
      </c>
      <c r="E43" s="121">
        <v>1.9361250000000001</v>
      </c>
      <c r="F43" s="121">
        <v>2.0944099999999999</v>
      </c>
      <c r="G43" s="121">
        <v>2.102668</v>
      </c>
      <c r="H43" s="121">
        <v>2.122528</v>
      </c>
      <c r="I43" s="121">
        <v>2.1605829999999999</v>
      </c>
      <c r="J43" s="121">
        <v>2.1980770000000001</v>
      </c>
      <c r="K43" s="121">
        <v>2.2209110000000001</v>
      </c>
      <c r="L43" s="121">
        <v>2.2132079999999998</v>
      </c>
      <c r="M43" s="121">
        <v>2.278734</v>
      </c>
      <c r="N43" s="121">
        <v>2.3035899999999998</v>
      </c>
      <c r="O43" s="121">
        <v>2.3185989999999999</v>
      </c>
      <c r="P43" s="121">
        <v>2.3414109999999999</v>
      </c>
      <c r="Q43" s="121">
        <v>2.3565649999999998</v>
      </c>
      <c r="R43" s="121">
        <v>2.3831630000000001</v>
      </c>
      <c r="S43" s="121">
        <v>2.4178419999999998</v>
      </c>
      <c r="T43" s="121">
        <v>2.4420540000000002</v>
      </c>
      <c r="U43" s="121">
        <v>2.4560870000000001</v>
      </c>
      <c r="V43" s="121">
        <v>2.4813749999999999</v>
      </c>
      <c r="W43" s="121">
        <v>2.500569</v>
      </c>
      <c r="X43" s="121">
        <v>2.5060980000000002</v>
      </c>
      <c r="Y43" s="121">
        <v>2.5454699999999999</v>
      </c>
      <c r="Z43" s="121">
        <v>2.5874899999999998</v>
      </c>
      <c r="AA43" s="121">
        <v>2.6021800000000002</v>
      </c>
      <c r="AB43" s="121">
        <v>2.630452</v>
      </c>
      <c r="AC43" s="121">
        <v>2.6427960000000001</v>
      </c>
      <c r="AD43" s="121">
        <v>2.639014</v>
      </c>
      <c r="AE43" s="121">
        <v>2.644622</v>
      </c>
      <c r="AF43" s="121">
        <v>2.6367720000000001</v>
      </c>
      <c r="AG43" s="120">
        <v>9.8539999999999999E-3</v>
      </c>
    </row>
    <row r="44" spans="1:33" s="126" customFormat="1" x14ac:dyDescent="0.25">
      <c r="A44" s="122" t="s">
        <v>683</v>
      </c>
      <c r="B44" s="123" t="s">
        <v>684</v>
      </c>
      <c r="C44" s="124">
        <v>3.2566489999999999</v>
      </c>
      <c r="D44" s="124">
        <v>3.1308029999999998</v>
      </c>
      <c r="E44" s="124">
        <v>3.0200170000000002</v>
      </c>
      <c r="F44" s="124">
        <v>3.12771</v>
      </c>
      <c r="G44" s="124">
        <v>3.1251099999999998</v>
      </c>
      <c r="H44" s="124">
        <v>3.1213280000000001</v>
      </c>
      <c r="I44" s="124">
        <v>3.1301559999999999</v>
      </c>
      <c r="J44" s="124">
        <v>3.1547420000000002</v>
      </c>
      <c r="K44" s="124">
        <v>3.173117</v>
      </c>
      <c r="L44" s="124">
        <v>3.1683599999999998</v>
      </c>
      <c r="M44" s="124">
        <v>3.2525050000000002</v>
      </c>
      <c r="N44" s="124">
        <v>3.265755</v>
      </c>
      <c r="O44" s="124">
        <v>3.2837559999999999</v>
      </c>
      <c r="P44" s="124">
        <v>3.2891729999999999</v>
      </c>
      <c r="Q44" s="124">
        <v>3.3027030000000002</v>
      </c>
      <c r="R44" s="124">
        <v>3.3277329999999998</v>
      </c>
      <c r="S44" s="124">
        <v>3.3552279999999999</v>
      </c>
      <c r="T44" s="124">
        <v>3.3733409999999999</v>
      </c>
      <c r="U44" s="124">
        <v>3.385497</v>
      </c>
      <c r="V44" s="124">
        <v>3.4135330000000002</v>
      </c>
      <c r="W44" s="124">
        <v>3.4289960000000002</v>
      </c>
      <c r="X44" s="124">
        <v>3.4306299999999998</v>
      </c>
      <c r="Y44" s="124">
        <v>3.4663840000000001</v>
      </c>
      <c r="Z44" s="124">
        <v>3.5058639999999999</v>
      </c>
      <c r="AA44" s="124">
        <v>3.5199579999999999</v>
      </c>
      <c r="AB44" s="124">
        <v>3.544848</v>
      </c>
      <c r="AC44" s="124">
        <v>3.5529850000000001</v>
      </c>
      <c r="AD44" s="124">
        <v>3.5459320000000001</v>
      </c>
      <c r="AE44" s="124">
        <v>3.5427369999999998</v>
      </c>
      <c r="AF44" s="124">
        <v>3.534176</v>
      </c>
      <c r="AG44" s="125">
        <v>2.8240000000000001E-3</v>
      </c>
    </row>
    <row r="45" spans="1:33" x14ac:dyDescent="0.25">
      <c r="A45" s="112" t="s">
        <v>685</v>
      </c>
      <c r="B45" s="118" t="s">
        <v>665</v>
      </c>
      <c r="C45" s="121">
        <v>1.8469249999999999</v>
      </c>
      <c r="D45" s="121">
        <v>1.561507</v>
      </c>
      <c r="E45" s="121">
        <v>1.9243479999999999</v>
      </c>
      <c r="F45" s="121">
        <v>2.0588869999999999</v>
      </c>
      <c r="G45" s="121">
        <v>2.0843180000000001</v>
      </c>
      <c r="H45" s="121">
        <v>2.110185</v>
      </c>
      <c r="I45" s="121">
        <v>2.1622889999999999</v>
      </c>
      <c r="J45" s="121">
        <v>2.1891370000000001</v>
      </c>
      <c r="K45" s="121">
        <v>2.2043910000000002</v>
      </c>
      <c r="L45" s="121">
        <v>2.222423</v>
      </c>
      <c r="M45" s="121">
        <v>2.2564700000000002</v>
      </c>
      <c r="N45" s="121">
        <v>2.2726280000000001</v>
      </c>
      <c r="O45" s="121">
        <v>2.2921399999999998</v>
      </c>
      <c r="P45" s="121">
        <v>2.2942450000000001</v>
      </c>
      <c r="Q45" s="121">
        <v>2.2993410000000001</v>
      </c>
      <c r="R45" s="121">
        <v>2.297142</v>
      </c>
      <c r="S45" s="121">
        <v>2.302235</v>
      </c>
      <c r="T45" s="121">
        <v>2.3304860000000001</v>
      </c>
      <c r="U45" s="121">
        <v>2.3227679999999999</v>
      </c>
      <c r="V45" s="121">
        <v>2.3716740000000001</v>
      </c>
      <c r="W45" s="121">
        <v>2.3912800000000001</v>
      </c>
      <c r="X45" s="121">
        <v>2.4040050000000002</v>
      </c>
      <c r="Y45" s="121">
        <v>2.449811</v>
      </c>
      <c r="Z45" s="121">
        <v>2.4822609999999998</v>
      </c>
      <c r="AA45" s="121">
        <v>2.496505</v>
      </c>
      <c r="AB45" s="121">
        <v>2.5188419999999998</v>
      </c>
      <c r="AC45" s="121">
        <v>2.5269870000000001</v>
      </c>
      <c r="AD45" s="121">
        <v>2.5226829999999998</v>
      </c>
      <c r="AE45" s="121">
        <v>2.5276969999999999</v>
      </c>
      <c r="AF45" s="121">
        <v>2.5219659999999999</v>
      </c>
      <c r="AG45" s="120">
        <v>1.0800000000000001E-2</v>
      </c>
    </row>
    <row r="46" spans="1:33" x14ac:dyDescent="0.25">
      <c r="A46" s="112" t="s">
        <v>686</v>
      </c>
      <c r="B46" s="118" t="s">
        <v>667</v>
      </c>
      <c r="C46" s="119">
        <v>77.570853999999997</v>
      </c>
      <c r="D46" s="119">
        <v>65.583275</v>
      </c>
      <c r="E46" s="119">
        <v>80.822601000000006</v>
      </c>
      <c r="F46" s="119">
        <v>86.473236</v>
      </c>
      <c r="G46" s="119">
        <v>87.541351000000006</v>
      </c>
      <c r="H46" s="119">
        <v>88.627762000000004</v>
      </c>
      <c r="I46" s="119">
        <v>90.816139000000007</v>
      </c>
      <c r="J46" s="119">
        <v>91.943770999999998</v>
      </c>
      <c r="K46" s="119">
        <v>92.584412</v>
      </c>
      <c r="L46" s="119">
        <v>93.341781999999995</v>
      </c>
      <c r="M46" s="119">
        <v>94.771728999999993</v>
      </c>
      <c r="N46" s="119">
        <v>95.450355999999999</v>
      </c>
      <c r="O46" s="119">
        <v>96.269904999999994</v>
      </c>
      <c r="P46" s="119">
        <v>96.358269000000007</v>
      </c>
      <c r="Q46" s="119">
        <v>96.572333999999998</v>
      </c>
      <c r="R46" s="119">
        <v>96.479957999999996</v>
      </c>
      <c r="S46" s="119">
        <v>96.693862999999993</v>
      </c>
      <c r="T46" s="119">
        <v>97.880409</v>
      </c>
      <c r="U46" s="119">
        <v>97.556244000000007</v>
      </c>
      <c r="V46" s="119">
        <v>99.610320999999999</v>
      </c>
      <c r="W46" s="119">
        <v>100.43375399999999</v>
      </c>
      <c r="X46" s="119">
        <v>100.96820099999999</v>
      </c>
      <c r="Y46" s="119">
        <v>102.892036</v>
      </c>
      <c r="Z46" s="119">
        <v>104.254959</v>
      </c>
      <c r="AA46" s="119">
        <v>104.853195</v>
      </c>
      <c r="AB46" s="119">
        <v>105.791359</v>
      </c>
      <c r="AC46" s="119">
        <v>106.13346900000001</v>
      </c>
      <c r="AD46" s="119">
        <v>105.95270499999999</v>
      </c>
      <c r="AE46" s="119">
        <v>106.16325399999999</v>
      </c>
      <c r="AF46" s="119">
        <v>105.922569</v>
      </c>
      <c r="AG46" s="120">
        <v>1.0800000000000001E-2</v>
      </c>
    </row>
    <row r="48" spans="1:33" x14ac:dyDescent="0.25">
      <c r="B48" s="117" t="s">
        <v>687</v>
      </c>
    </row>
    <row r="49" spans="1:33" x14ac:dyDescent="0.25">
      <c r="A49" s="112" t="s">
        <v>688</v>
      </c>
      <c r="B49" s="118" t="s">
        <v>661</v>
      </c>
      <c r="C49" s="121">
        <v>2.9822760000000001</v>
      </c>
      <c r="D49" s="121">
        <v>3.024108</v>
      </c>
      <c r="E49" s="121">
        <v>2.7995559999999999</v>
      </c>
      <c r="F49" s="121">
        <v>2.8649710000000002</v>
      </c>
      <c r="G49" s="121">
        <v>2.7745129999999998</v>
      </c>
      <c r="H49" s="121">
        <v>2.686159</v>
      </c>
      <c r="I49" s="121">
        <v>2.6222699999999999</v>
      </c>
      <c r="J49" s="121">
        <v>2.6510030000000002</v>
      </c>
      <c r="K49" s="121">
        <v>2.6704059999999998</v>
      </c>
      <c r="L49" s="121">
        <v>2.6720839999999999</v>
      </c>
      <c r="M49" s="121">
        <v>2.6978710000000001</v>
      </c>
      <c r="N49" s="121">
        <v>2.71591</v>
      </c>
      <c r="O49" s="121">
        <v>2.7213750000000001</v>
      </c>
      <c r="P49" s="121">
        <v>2.7382520000000001</v>
      </c>
      <c r="Q49" s="121">
        <v>2.7516500000000002</v>
      </c>
      <c r="R49" s="121">
        <v>2.7772039999999998</v>
      </c>
      <c r="S49" s="121">
        <v>2.8056329999999998</v>
      </c>
      <c r="T49" s="121">
        <v>2.819134</v>
      </c>
      <c r="U49" s="121">
        <v>2.8284639999999999</v>
      </c>
      <c r="V49" s="121">
        <v>2.8581789999999998</v>
      </c>
      <c r="W49" s="121">
        <v>2.8703080000000001</v>
      </c>
      <c r="X49" s="121">
        <v>2.8752200000000001</v>
      </c>
      <c r="Y49" s="121">
        <v>2.9070870000000002</v>
      </c>
      <c r="Z49" s="121">
        <v>2.9443060000000001</v>
      </c>
      <c r="AA49" s="121">
        <v>2.9583949999999999</v>
      </c>
      <c r="AB49" s="121">
        <v>2.9914160000000001</v>
      </c>
      <c r="AC49" s="121">
        <v>3.0005829999999998</v>
      </c>
      <c r="AD49" s="121">
        <v>2.9932629999999998</v>
      </c>
      <c r="AE49" s="121">
        <v>2.9921250000000001</v>
      </c>
      <c r="AF49" s="121">
        <v>2.9843950000000001</v>
      </c>
      <c r="AG49" s="120">
        <v>2.4000000000000001E-5</v>
      </c>
    </row>
    <row r="50" spans="1:33" ht="15" customHeight="1" x14ac:dyDescent="0.25">
      <c r="A50" s="112" t="s">
        <v>689</v>
      </c>
      <c r="B50" s="118" t="s">
        <v>665</v>
      </c>
      <c r="C50" s="121">
        <v>1.943667</v>
      </c>
      <c r="D50" s="121">
        <v>1.9965390000000001</v>
      </c>
      <c r="E50" s="121">
        <v>1.9177580000000001</v>
      </c>
      <c r="F50" s="121">
        <v>2.0550220000000001</v>
      </c>
      <c r="G50" s="121">
        <v>2.0847419999999999</v>
      </c>
      <c r="H50" s="121">
        <v>2.1112329999999999</v>
      </c>
      <c r="I50" s="121">
        <v>2.1743640000000002</v>
      </c>
      <c r="J50" s="121">
        <v>2.1989550000000002</v>
      </c>
      <c r="K50" s="121">
        <v>2.2135500000000001</v>
      </c>
      <c r="L50" s="121">
        <v>2.227239</v>
      </c>
      <c r="M50" s="121">
        <v>2.2692990000000002</v>
      </c>
      <c r="N50" s="121">
        <v>2.2832309999999998</v>
      </c>
      <c r="O50" s="121">
        <v>2.3035169999999998</v>
      </c>
      <c r="P50" s="121">
        <v>2.3074789999999998</v>
      </c>
      <c r="Q50" s="121">
        <v>2.3133840000000001</v>
      </c>
      <c r="R50" s="121">
        <v>2.3106810000000002</v>
      </c>
      <c r="S50" s="121">
        <v>2.3176779999999999</v>
      </c>
      <c r="T50" s="121">
        <v>2.3431150000000001</v>
      </c>
      <c r="U50" s="121">
        <v>2.3406020000000001</v>
      </c>
      <c r="V50" s="121">
        <v>2.3730880000000001</v>
      </c>
      <c r="W50" s="121">
        <v>2.3787539999999998</v>
      </c>
      <c r="X50" s="121">
        <v>2.3703880000000002</v>
      </c>
      <c r="Y50" s="121">
        <v>2.3910170000000002</v>
      </c>
      <c r="Z50" s="121">
        <v>2.3927779999999998</v>
      </c>
      <c r="AA50" s="121">
        <v>2.3653930000000001</v>
      </c>
      <c r="AB50" s="121">
        <v>2.3987970000000001</v>
      </c>
      <c r="AC50" s="121">
        <v>2.4116279999999999</v>
      </c>
      <c r="AD50" s="121">
        <v>2.4173659999999999</v>
      </c>
      <c r="AE50" s="121">
        <v>2.4258410000000001</v>
      </c>
      <c r="AF50" s="121">
        <v>2.4250229999999999</v>
      </c>
      <c r="AG50" s="120">
        <v>7.659E-3</v>
      </c>
    </row>
    <row r="51" spans="1:33" ht="15" customHeight="1" x14ac:dyDescent="0.25">
      <c r="A51" s="112" t="s">
        <v>690</v>
      </c>
      <c r="B51" s="118" t="s">
        <v>667</v>
      </c>
      <c r="C51" s="119">
        <v>81.634033000000002</v>
      </c>
      <c r="D51" s="119">
        <v>83.854659999999996</v>
      </c>
      <c r="E51" s="119">
        <v>80.545845</v>
      </c>
      <c r="F51" s="119">
        <v>86.310905000000005</v>
      </c>
      <c r="G51" s="119">
        <v>87.559173999999999</v>
      </c>
      <c r="H51" s="119">
        <v>88.671806000000004</v>
      </c>
      <c r="I51" s="119">
        <v>91.323279999999997</v>
      </c>
      <c r="J51" s="119">
        <v>92.356110000000001</v>
      </c>
      <c r="K51" s="119">
        <v>92.969116</v>
      </c>
      <c r="L51" s="119">
        <v>93.544051999999994</v>
      </c>
      <c r="M51" s="119">
        <v>95.310539000000006</v>
      </c>
      <c r="N51" s="119">
        <v>95.895720999999995</v>
      </c>
      <c r="O51" s="119">
        <v>96.747703999999999</v>
      </c>
      <c r="P51" s="119">
        <v>96.914107999999999</v>
      </c>
      <c r="Q51" s="119">
        <v>97.162109000000001</v>
      </c>
      <c r="R51" s="119">
        <v>97.048584000000005</v>
      </c>
      <c r="S51" s="119">
        <v>97.342467999999997</v>
      </c>
      <c r="T51" s="119">
        <v>98.410812000000007</v>
      </c>
      <c r="U51" s="119">
        <v>98.305297999999993</v>
      </c>
      <c r="V51" s="119">
        <v>99.669715999999994</v>
      </c>
      <c r="W51" s="119">
        <v>99.907677000000007</v>
      </c>
      <c r="X51" s="119">
        <v>99.556281999999996</v>
      </c>
      <c r="Y51" s="119">
        <v>100.422737</v>
      </c>
      <c r="Z51" s="119">
        <v>100.496681</v>
      </c>
      <c r="AA51" s="119">
        <v>99.346489000000005</v>
      </c>
      <c r="AB51" s="119">
        <v>100.74945099999999</v>
      </c>
      <c r="AC51" s="119">
        <v>101.288383</v>
      </c>
      <c r="AD51" s="119">
        <v>101.529358</v>
      </c>
      <c r="AE51" s="119">
        <v>101.885338</v>
      </c>
      <c r="AF51" s="119">
        <v>101.85097500000001</v>
      </c>
      <c r="AG51" s="120">
        <v>7.659E-3</v>
      </c>
    </row>
    <row r="52" spans="1:33" ht="15" customHeight="1" x14ac:dyDescent="0.25"/>
    <row r="53" spans="1:33" ht="15" customHeight="1" x14ac:dyDescent="0.25">
      <c r="B53" s="117" t="s">
        <v>691</v>
      </c>
    </row>
    <row r="54" spans="1:33" ht="15" customHeight="1" x14ac:dyDescent="0.25">
      <c r="A54" s="112" t="s">
        <v>692</v>
      </c>
      <c r="B54" s="118" t="s">
        <v>659</v>
      </c>
      <c r="C54" s="121">
        <v>1.7823880000000001</v>
      </c>
      <c r="D54" s="121">
        <v>1.954005</v>
      </c>
      <c r="E54" s="121">
        <v>1.845888</v>
      </c>
      <c r="F54" s="121">
        <v>1.845782</v>
      </c>
      <c r="G54" s="121">
        <v>1.837067</v>
      </c>
      <c r="H54" s="121">
        <v>1.845747</v>
      </c>
      <c r="I54" s="121">
        <v>1.8757550000000001</v>
      </c>
      <c r="J54" s="121">
        <v>1.9228810000000001</v>
      </c>
      <c r="K54" s="121">
        <v>1.961082</v>
      </c>
      <c r="L54" s="121">
        <v>2.00075</v>
      </c>
      <c r="M54" s="121">
        <v>2.0529820000000001</v>
      </c>
      <c r="N54" s="121">
        <v>2.0840700000000001</v>
      </c>
      <c r="O54" s="121">
        <v>2.1158990000000002</v>
      </c>
      <c r="P54" s="121">
        <v>2.1367039999999999</v>
      </c>
      <c r="Q54" s="121">
        <v>2.1514280000000001</v>
      </c>
      <c r="R54" s="121">
        <v>2.167189</v>
      </c>
      <c r="S54" s="121">
        <v>2.1853729999999998</v>
      </c>
      <c r="T54" s="121">
        <v>2.202712</v>
      </c>
      <c r="U54" s="121">
        <v>2.2132010000000002</v>
      </c>
      <c r="V54" s="121">
        <v>2.2377820000000002</v>
      </c>
      <c r="W54" s="121">
        <v>2.2558850000000001</v>
      </c>
      <c r="X54" s="121">
        <v>2.2615729999999998</v>
      </c>
      <c r="Y54" s="121">
        <v>2.2771379999999999</v>
      </c>
      <c r="Z54" s="121">
        <v>2.2965460000000002</v>
      </c>
      <c r="AA54" s="121">
        <v>2.302915</v>
      </c>
      <c r="AB54" s="121">
        <v>2.312783</v>
      </c>
      <c r="AC54" s="121">
        <v>2.3200310000000002</v>
      </c>
      <c r="AD54" s="121">
        <v>2.3240630000000002</v>
      </c>
      <c r="AE54" s="121">
        <v>2.3228</v>
      </c>
      <c r="AF54" s="121">
        <v>2.3198850000000002</v>
      </c>
      <c r="AG54" s="120">
        <v>9.1299999999999992E-3</v>
      </c>
    </row>
    <row r="55" spans="1:33" ht="15" customHeight="1" x14ac:dyDescent="0.25">
      <c r="A55" s="112" t="s">
        <v>693</v>
      </c>
      <c r="B55" s="118" t="s">
        <v>680</v>
      </c>
      <c r="C55" s="121">
        <v>3.1081029999999998</v>
      </c>
      <c r="D55" s="121">
        <v>2.9807070000000002</v>
      </c>
      <c r="E55" s="121">
        <v>2.6706409999999998</v>
      </c>
      <c r="F55" s="121">
        <v>2.6543049999999999</v>
      </c>
      <c r="G55" s="121">
        <v>2.6267170000000002</v>
      </c>
      <c r="H55" s="121">
        <v>2.652568</v>
      </c>
      <c r="I55" s="121">
        <v>2.681886</v>
      </c>
      <c r="J55" s="121">
        <v>2.7102900000000001</v>
      </c>
      <c r="K55" s="121">
        <v>2.7300409999999999</v>
      </c>
      <c r="L55" s="121">
        <v>2.7968660000000001</v>
      </c>
      <c r="M55" s="121">
        <v>2.8854890000000002</v>
      </c>
      <c r="N55" s="121">
        <v>2.9141360000000001</v>
      </c>
      <c r="O55" s="121">
        <v>2.937602</v>
      </c>
      <c r="P55" s="121">
        <v>2.9597259999999999</v>
      </c>
      <c r="Q55" s="121">
        <v>2.970234</v>
      </c>
      <c r="R55" s="121">
        <v>2.9908399999999999</v>
      </c>
      <c r="S55" s="121">
        <v>3.0090789999999998</v>
      </c>
      <c r="T55" s="121">
        <v>3.0415730000000001</v>
      </c>
      <c r="U55" s="121">
        <v>3.0426850000000001</v>
      </c>
      <c r="V55" s="121">
        <v>3.066071</v>
      </c>
      <c r="W55" s="121">
        <v>3.0850620000000002</v>
      </c>
      <c r="X55" s="121">
        <v>3.089547</v>
      </c>
      <c r="Y55" s="121">
        <v>3.1197680000000001</v>
      </c>
      <c r="Z55" s="121">
        <v>3.1488130000000001</v>
      </c>
      <c r="AA55" s="121">
        <v>3.1584680000000001</v>
      </c>
      <c r="AB55" s="121">
        <v>3.1833019999999999</v>
      </c>
      <c r="AC55" s="121">
        <v>3.1926580000000002</v>
      </c>
      <c r="AD55" s="121">
        <v>3.1836329999999999</v>
      </c>
      <c r="AE55" s="121">
        <v>3.185066</v>
      </c>
      <c r="AF55" s="121">
        <v>3.184005</v>
      </c>
      <c r="AG55" s="120">
        <v>8.3199999999999995E-4</v>
      </c>
    </row>
    <row r="56" spans="1:33" ht="15" customHeight="1" x14ac:dyDescent="0.25">
      <c r="A56" s="112" t="s">
        <v>694</v>
      </c>
      <c r="B56" s="118" t="s">
        <v>682</v>
      </c>
      <c r="C56" s="121">
        <v>1.9841310000000001</v>
      </c>
      <c r="D56" s="121">
        <v>2.074087</v>
      </c>
      <c r="E56" s="121">
        <v>1.9361250000000001</v>
      </c>
      <c r="F56" s="121">
        <v>2.0944099999999999</v>
      </c>
      <c r="G56" s="121">
        <v>2.102668</v>
      </c>
      <c r="H56" s="121">
        <v>2.122528</v>
      </c>
      <c r="I56" s="121">
        <v>2.1605829999999999</v>
      </c>
      <c r="J56" s="121">
        <v>2.1980770000000001</v>
      </c>
      <c r="K56" s="121">
        <v>2.2209110000000001</v>
      </c>
      <c r="L56" s="121">
        <v>2.2132079999999998</v>
      </c>
      <c r="M56" s="121">
        <v>2.278734</v>
      </c>
      <c r="N56" s="121">
        <v>2.3035899999999998</v>
      </c>
      <c r="O56" s="121">
        <v>2.3185989999999999</v>
      </c>
      <c r="P56" s="121">
        <v>2.3414109999999999</v>
      </c>
      <c r="Q56" s="121">
        <v>2.3565649999999998</v>
      </c>
      <c r="R56" s="121">
        <v>2.3831630000000001</v>
      </c>
      <c r="S56" s="121">
        <v>2.4178419999999998</v>
      </c>
      <c r="T56" s="121">
        <v>2.4420540000000002</v>
      </c>
      <c r="U56" s="121">
        <v>2.4560870000000001</v>
      </c>
      <c r="V56" s="121">
        <v>2.4813749999999999</v>
      </c>
      <c r="W56" s="121">
        <v>2.500569</v>
      </c>
      <c r="X56" s="121">
        <v>2.5060980000000002</v>
      </c>
      <c r="Y56" s="121">
        <v>2.5454699999999999</v>
      </c>
      <c r="Z56" s="121">
        <v>2.5874899999999998</v>
      </c>
      <c r="AA56" s="121">
        <v>2.6021800000000002</v>
      </c>
      <c r="AB56" s="121">
        <v>2.630452</v>
      </c>
      <c r="AC56" s="121">
        <v>2.6427960000000001</v>
      </c>
      <c r="AD56" s="121">
        <v>2.639014</v>
      </c>
      <c r="AE56" s="121">
        <v>2.644622</v>
      </c>
      <c r="AF56" s="121">
        <v>2.6367720000000001</v>
      </c>
      <c r="AG56" s="120">
        <v>9.8539999999999999E-3</v>
      </c>
    </row>
    <row r="57" spans="1:33" ht="15" customHeight="1" x14ac:dyDescent="0.25">
      <c r="A57" s="112" t="s">
        <v>695</v>
      </c>
      <c r="B57" s="118" t="s">
        <v>661</v>
      </c>
      <c r="C57" s="121">
        <v>3.1917279999999999</v>
      </c>
      <c r="D57" s="121">
        <v>3.104994</v>
      </c>
      <c r="E57" s="121">
        <v>2.9822899999999999</v>
      </c>
      <c r="F57" s="121">
        <v>3.083304</v>
      </c>
      <c r="G57" s="121">
        <v>3.0690050000000002</v>
      </c>
      <c r="H57" s="121">
        <v>3.0547240000000002</v>
      </c>
      <c r="I57" s="121">
        <v>3.0537459999999998</v>
      </c>
      <c r="J57" s="121">
        <v>3.0785809999999998</v>
      </c>
      <c r="K57" s="121">
        <v>3.0948669999999998</v>
      </c>
      <c r="L57" s="121">
        <v>3.0896479999999999</v>
      </c>
      <c r="M57" s="121">
        <v>3.1622650000000001</v>
      </c>
      <c r="N57" s="121">
        <v>3.1746289999999999</v>
      </c>
      <c r="O57" s="121">
        <v>3.1901920000000001</v>
      </c>
      <c r="P57" s="121">
        <v>3.1948340000000002</v>
      </c>
      <c r="Q57" s="121">
        <v>3.2073610000000001</v>
      </c>
      <c r="R57" s="121">
        <v>3.2302369999999998</v>
      </c>
      <c r="S57" s="121">
        <v>3.2599119999999999</v>
      </c>
      <c r="T57" s="121">
        <v>3.2772670000000002</v>
      </c>
      <c r="U57" s="121">
        <v>3.2871229999999998</v>
      </c>
      <c r="V57" s="121">
        <v>3.3143500000000001</v>
      </c>
      <c r="W57" s="121">
        <v>3.328751</v>
      </c>
      <c r="X57" s="121">
        <v>3.3304209999999999</v>
      </c>
      <c r="Y57" s="121">
        <v>3.3655270000000002</v>
      </c>
      <c r="Z57" s="121">
        <v>3.4035850000000001</v>
      </c>
      <c r="AA57" s="121">
        <v>3.4180380000000001</v>
      </c>
      <c r="AB57" s="121">
        <v>3.4427810000000001</v>
      </c>
      <c r="AC57" s="121">
        <v>3.4493450000000001</v>
      </c>
      <c r="AD57" s="121">
        <v>3.4420790000000001</v>
      </c>
      <c r="AE57" s="121">
        <v>3.4383539999999999</v>
      </c>
      <c r="AF57" s="121">
        <v>3.4277639999999998</v>
      </c>
      <c r="AG57" s="120">
        <v>2.4629999999999999E-3</v>
      </c>
    </row>
    <row r="58" spans="1:33" ht="15" customHeight="1" x14ac:dyDescent="0.25">
      <c r="A58" s="112" t="s">
        <v>696</v>
      </c>
      <c r="B58" s="118" t="s">
        <v>665</v>
      </c>
      <c r="C58" s="121">
        <v>1.7983180000000001</v>
      </c>
      <c r="D58" s="121">
        <v>1.565569</v>
      </c>
      <c r="E58" s="121">
        <v>1.882933</v>
      </c>
      <c r="F58" s="121">
        <v>2.025118</v>
      </c>
      <c r="G58" s="121">
        <v>2.0563889999999998</v>
      </c>
      <c r="H58" s="121">
        <v>2.087075</v>
      </c>
      <c r="I58" s="121">
        <v>2.1449609999999999</v>
      </c>
      <c r="J58" s="121">
        <v>2.1712250000000002</v>
      </c>
      <c r="K58" s="121">
        <v>2.1857959999999999</v>
      </c>
      <c r="L58" s="121">
        <v>2.2032910000000001</v>
      </c>
      <c r="M58" s="121">
        <v>2.2371889999999999</v>
      </c>
      <c r="N58" s="121">
        <v>2.2531340000000002</v>
      </c>
      <c r="O58" s="121">
        <v>2.2720820000000002</v>
      </c>
      <c r="P58" s="121">
        <v>2.2739699999999998</v>
      </c>
      <c r="Q58" s="121">
        <v>2.2788200000000001</v>
      </c>
      <c r="R58" s="121">
        <v>2.275827</v>
      </c>
      <c r="S58" s="121">
        <v>2.2796729999999998</v>
      </c>
      <c r="T58" s="121">
        <v>2.30802</v>
      </c>
      <c r="U58" s="121">
        <v>2.2988789999999999</v>
      </c>
      <c r="V58" s="121">
        <v>2.34918</v>
      </c>
      <c r="W58" s="121">
        <v>2.3683550000000002</v>
      </c>
      <c r="X58" s="121">
        <v>2.3806929999999999</v>
      </c>
      <c r="Y58" s="121">
        <v>2.426139</v>
      </c>
      <c r="Z58" s="121">
        <v>2.4580660000000001</v>
      </c>
      <c r="AA58" s="121">
        <v>2.4709460000000001</v>
      </c>
      <c r="AB58" s="121">
        <v>2.4936569999999998</v>
      </c>
      <c r="AC58" s="121">
        <v>2.502068</v>
      </c>
      <c r="AD58" s="121">
        <v>2.4977809999999998</v>
      </c>
      <c r="AE58" s="121">
        <v>2.502669</v>
      </c>
      <c r="AF58" s="121">
        <v>2.496651</v>
      </c>
      <c r="AG58" s="120">
        <v>1.1377999999999999E-2</v>
      </c>
    </row>
    <row r="59" spans="1:33" ht="15" customHeight="1" x14ac:dyDescent="0.25">
      <c r="A59" s="112" t="s">
        <v>697</v>
      </c>
      <c r="B59" s="118" t="s">
        <v>667</v>
      </c>
      <c r="C59" s="119">
        <v>75.529373000000007</v>
      </c>
      <c r="D59" s="119">
        <v>65.753906000000001</v>
      </c>
      <c r="E59" s="119">
        <v>79.083183000000005</v>
      </c>
      <c r="F59" s="119">
        <v>85.054939000000005</v>
      </c>
      <c r="G59" s="119">
        <v>86.368331999999995</v>
      </c>
      <c r="H59" s="119">
        <v>87.657143000000005</v>
      </c>
      <c r="I59" s="119">
        <v>90.088356000000005</v>
      </c>
      <c r="J59" s="119">
        <v>91.191451999999998</v>
      </c>
      <c r="K59" s="119">
        <v>91.803428999999994</v>
      </c>
      <c r="L59" s="119">
        <v>92.538230999999996</v>
      </c>
      <c r="M59" s="119">
        <v>93.961928999999998</v>
      </c>
      <c r="N59" s="119">
        <v>94.631630000000001</v>
      </c>
      <c r="O59" s="119">
        <v>95.427452000000002</v>
      </c>
      <c r="P59" s="119">
        <v>95.506743999999998</v>
      </c>
      <c r="Q59" s="119">
        <v>95.710434000000006</v>
      </c>
      <c r="R59" s="119">
        <v>95.584739999999996</v>
      </c>
      <c r="S59" s="119">
        <v>95.746277000000006</v>
      </c>
      <c r="T59" s="119">
        <v>96.936843999999994</v>
      </c>
      <c r="U59" s="119">
        <v>96.552902000000003</v>
      </c>
      <c r="V59" s="119">
        <v>98.665565000000001</v>
      </c>
      <c r="W59" s="119">
        <v>99.470909000000006</v>
      </c>
      <c r="X59" s="119">
        <v>99.98912</v>
      </c>
      <c r="Y59" s="119">
        <v>101.89785000000001</v>
      </c>
      <c r="Z59" s="119">
        <v>103.238747</v>
      </c>
      <c r="AA59" s="119">
        <v>103.779724</v>
      </c>
      <c r="AB59" s="119">
        <v>104.733604</v>
      </c>
      <c r="AC59" s="119">
        <v>105.086838</v>
      </c>
      <c r="AD59" s="119">
        <v>104.906807</v>
      </c>
      <c r="AE59" s="119">
        <v>105.11211400000001</v>
      </c>
      <c r="AF59" s="119">
        <v>104.85936</v>
      </c>
      <c r="AG59" s="120">
        <v>1.1377999999999999E-2</v>
      </c>
    </row>
    <row r="60" spans="1:33" ht="15" customHeight="1" x14ac:dyDescent="0.25">
      <c r="A60" s="112" t="s">
        <v>698</v>
      </c>
      <c r="B60" s="117" t="s">
        <v>699</v>
      </c>
      <c r="C60" s="127">
        <v>2.540254</v>
      </c>
      <c r="D60" s="127">
        <v>2.4439500000000001</v>
      </c>
      <c r="E60" s="127">
        <v>2.2429109999999999</v>
      </c>
      <c r="F60" s="127">
        <v>2.2644630000000001</v>
      </c>
      <c r="G60" s="127">
        <v>2.2357770000000001</v>
      </c>
      <c r="H60" s="127">
        <v>2.2351909999999999</v>
      </c>
      <c r="I60" s="127">
        <v>2.2473359999999998</v>
      </c>
      <c r="J60" s="127">
        <v>2.2673019999999999</v>
      </c>
      <c r="K60" s="127">
        <v>2.2800370000000001</v>
      </c>
      <c r="L60" s="127">
        <v>2.3086319999999998</v>
      </c>
      <c r="M60" s="127">
        <v>2.3638370000000002</v>
      </c>
      <c r="N60" s="127">
        <v>2.383794</v>
      </c>
      <c r="O60" s="127">
        <v>2.4029310000000002</v>
      </c>
      <c r="P60" s="127">
        <v>2.4140619999999999</v>
      </c>
      <c r="Q60" s="127">
        <v>2.4229349999999998</v>
      </c>
      <c r="R60" s="127">
        <v>2.4404889999999999</v>
      </c>
      <c r="S60" s="127">
        <v>2.4587129999999999</v>
      </c>
      <c r="T60" s="127">
        <v>2.4814829999999999</v>
      </c>
      <c r="U60" s="127">
        <v>2.4824999999999999</v>
      </c>
      <c r="V60" s="127">
        <v>2.5030329999999998</v>
      </c>
      <c r="W60" s="127">
        <v>2.5152290000000002</v>
      </c>
      <c r="X60" s="127">
        <v>2.5175900000000002</v>
      </c>
      <c r="Y60" s="127">
        <v>2.5467590000000002</v>
      </c>
      <c r="Z60" s="127">
        <v>2.573108</v>
      </c>
      <c r="AA60" s="127">
        <v>2.5806170000000002</v>
      </c>
      <c r="AB60" s="127">
        <v>2.6023320000000001</v>
      </c>
      <c r="AC60" s="127">
        <v>2.6113559999999998</v>
      </c>
      <c r="AD60" s="127">
        <v>2.6094330000000001</v>
      </c>
      <c r="AE60" s="127">
        <v>2.6103529999999999</v>
      </c>
      <c r="AF60" s="127">
        <v>2.6080299999999998</v>
      </c>
      <c r="AG60" s="128">
        <v>9.0799999999999995E-4</v>
      </c>
    </row>
    <row r="61" spans="1:33" ht="15" customHeight="1" x14ac:dyDescent="0.25"/>
    <row r="62" spans="1:33" ht="15" customHeight="1" x14ac:dyDescent="0.25"/>
    <row r="63" spans="1:33" ht="15" customHeight="1" x14ac:dyDescent="0.25">
      <c r="B63" s="117" t="s">
        <v>700</v>
      </c>
    </row>
    <row r="64" spans="1:33" ht="15" customHeight="1" x14ac:dyDescent="0.25">
      <c r="B64" s="117" t="s">
        <v>701</v>
      </c>
    </row>
    <row r="65" spans="1:33" ht="15" customHeight="1" x14ac:dyDescent="0.25">
      <c r="A65" s="112" t="s">
        <v>702</v>
      </c>
      <c r="B65" s="118" t="s">
        <v>649</v>
      </c>
      <c r="C65" s="119">
        <v>71.587997000000001</v>
      </c>
      <c r="D65" s="119">
        <v>71.908996999999999</v>
      </c>
      <c r="E65" s="119">
        <v>63.119633</v>
      </c>
      <c r="F65" s="119">
        <v>70.030754000000002</v>
      </c>
      <c r="G65" s="119">
        <v>73.077590999999998</v>
      </c>
      <c r="H65" s="119">
        <v>76.659148999999999</v>
      </c>
      <c r="I65" s="119">
        <v>80.626732000000004</v>
      </c>
      <c r="J65" s="119">
        <v>84.434218999999999</v>
      </c>
      <c r="K65" s="119">
        <v>87.341201999999996</v>
      </c>
      <c r="L65" s="119">
        <v>91.066528000000005</v>
      </c>
      <c r="M65" s="119">
        <v>95.058066999999994</v>
      </c>
      <c r="N65" s="119">
        <v>98.613822999999996</v>
      </c>
      <c r="O65" s="119">
        <v>101.909042</v>
      </c>
      <c r="P65" s="119">
        <v>105.137276</v>
      </c>
      <c r="Q65" s="119">
        <v>108.46315</v>
      </c>
      <c r="R65" s="119">
        <v>112.433739</v>
      </c>
      <c r="S65" s="119">
        <v>116.328453</v>
      </c>
      <c r="T65" s="119">
        <v>120.363411</v>
      </c>
      <c r="U65" s="119">
        <v>123.48275</v>
      </c>
      <c r="V65" s="119">
        <v>128.911697</v>
      </c>
      <c r="W65" s="119">
        <v>133.167023</v>
      </c>
      <c r="X65" s="119">
        <v>136.71412699999999</v>
      </c>
      <c r="Y65" s="119">
        <v>142.15248099999999</v>
      </c>
      <c r="Z65" s="119">
        <v>148.18592799999999</v>
      </c>
      <c r="AA65" s="119">
        <v>152.33590699999999</v>
      </c>
      <c r="AB65" s="119">
        <v>158.004425</v>
      </c>
      <c r="AC65" s="119">
        <v>162.371307</v>
      </c>
      <c r="AD65" s="119">
        <v>165.773224</v>
      </c>
      <c r="AE65" s="119">
        <v>169.80813599999999</v>
      </c>
      <c r="AF65" s="119">
        <v>173.077652</v>
      </c>
      <c r="AG65" s="120">
        <v>3.091E-2</v>
      </c>
    </row>
    <row r="66" spans="1:33" x14ac:dyDescent="0.25">
      <c r="A66" s="112" t="s">
        <v>703</v>
      </c>
      <c r="B66" s="118" t="s">
        <v>651</v>
      </c>
      <c r="C66" s="119">
        <v>69.023003000000003</v>
      </c>
      <c r="D66" s="119">
        <v>68.280997999999997</v>
      </c>
      <c r="E66" s="119">
        <v>61.278576000000001</v>
      </c>
      <c r="F66" s="119">
        <v>68.190169999999995</v>
      </c>
      <c r="G66" s="119">
        <v>70.638176000000001</v>
      </c>
      <c r="H66" s="119">
        <v>73.775024000000002</v>
      </c>
      <c r="I66" s="119">
        <v>77.795546999999999</v>
      </c>
      <c r="J66" s="119">
        <v>81.362174999999993</v>
      </c>
      <c r="K66" s="119">
        <v>84.567290999999997</v>
      </c>
      <c r="L66" s="119">
        <v>87.867508000000001</v>
      </c>
      <c r="M66" s="119">
        <v>91.775176999999999</v>
      </c>
      <c r="N66" s="119">
        <v>95.321999000000005</v>
      </c>
      <c r="O66" s="119">
        <v>98.474007</v>
      </c>
      <c r="P66" s="119">
        <v>101.215805</v>
      </c>
      <c r="Q66" s="119">
        <v>104.440201</v>
      </c>
      <c r="R66" s="119">
        <v>108.455223</v>
      </c>
      <c r="S66" s="119">
        <v>112.134308</v>
      </c>
      <c r="T66" s="119">
        <v>116.147552</v>
      </c>
      <c r="U66" s="119">
        <v>119.10437</v>
      </c>
      <c r="V66" s="119">
        <v>124.12396200000001</v>
      </c>
      <c r="W66" s="119">
        <v>128.38916</v>
      </c>
      <c r="X66" s="119">
        <v>131.94232199999999</v>
      </c>
      <c r="Y66" s="119">
        <v>137.30856299999999</v>
      </c>
      <c r="Z66" s="119">
        <v>143.32762099999999</v>
      </c>
      <c r="AA66" s="119">
        <v>147.389847</v>
      </c>
      <c r="AB66" s="119">
        <v>152.94503800000001</v>
      </c>
      <c r="AC66" s="119">
        <v>156.33833300000001</v>
      </c>
      <c r="AD66" s="119">
        <v>160.131393</v>
      </c>
      <c r="AE66" s="119">
        <v>164.37977599999999</v>
      </c>
      <c r="AF66" s="119">
        <v>167.613632</v>
      </c>
      <c r="AG66" s="120">
        <v>3.1067000000000001E-2</v>
      </c>
    </row>
    <row r="67" spans="1:33" ht="15" customHeight="1" x14ac:dyDescent="0.25">
      <c r="A67" s="112" t="s">
        <v>704</v>
      </c>
      <c r="B67" s="118" t="s">
        <v>653</v>
      </c>
      <c r="C67" s="119">
        <v>67.706001000000001</v>
      </c>
      <c r="D67" s="119">
        <v>65.872001999999995</v>
      </c>
      <c r="E67" s="119">
        <v>60.398895000000003</v>
      </c>
      <c r="F67" s="119">
        <v>67.038169999999994</v>
      </c>
      <c r="G67" s="119">
        <v>69.812370000000001</v>
      </c>
      <c r="H67" s="119">
        <v>72.746482999999998</v>
      </c>
      <c r="I67" s="119">
        <v>76.683166999999997</v>
      </c>
      <c r="J67" s="119">
        <v>79.987967999999995</v>
      </c>
      <c r="K67" s="119">
        <v>82.887939000000003</v>
      </c>
      <c r="L67" s="119">
        <v>85.847594999999998</v>
      </c>
      <c r="M67" s="119">
        <v>89.009155000000007</v>
      </c>
      <c r="N67" s="119">
        <v>92.316826000000006</v>
      </c>
      <c r="O67" s="119">
        <v>95.282996999999995</v>
      </c>
      <c r="P67" s="119">
        <v>98.262282999999996</v>
      </c>
      <c r="Q67" s="119">
        <v>101.151901</v>
      </c>
      <c r="R67" s="119">
        <v>104.72118399999999</v>
      </c>
      <c r="S67" s="119">
        <v>106.998634</v>
      </c>
      <c r="T67" s="119">
        <v>111.294945</v>
      </c>
      <c r="U67" s="119">
        <v>113.529366</v>
      </c>
      <c r="V67" s="119">
        <v>120.19302399999999</v>
      </c>
      <c r="W67" s="119">
        <v>124.389732</v>
      </c>
      <c r="X67" s="119">
        <v>128.118256</v>
      </c>
      <c r="Y67" s="119">
        <v>134.03939800000001</v>
      </c>
      <c r="Z67" s="119">
        <v>139.437332</v>
      </c>
      <c r="AA67" s="119">
        <v>143.56899999999999</v>
      </c>
      <c r="AB67" s="119">
        <v>149.284515</v>
      </c>
      <c r="AC67" s="119">
        <v>152.988968</v>
      </c>
      <c r="AD67" s="119">
        <v>156.090881</v>
      </c>
      <c r="AE67" s="119">
        <v>159.809799</v>
      </c>
      <c r="AF67" s="119">
        <v>163.184967</v>
      </c>
      <c r="AG67" s="120">
        <v>3.0800000000000001E-2</v>
      </c>
    </row>
    <row r="68" spans="1:33" ht="15" customHeight="1" x14ac:dyDescent="0.25"/>
    <row r="69" spans="1:33" ht="15" customHeight="1" x14ac:dyDescent="0.25">
      <c r="B69" s="117" t="s">
        <v>705</v>
      </c>
    </row>
    <row r="70" spans="1:33" ht="15" customHeight="1" x14ac:dyDescent="0.25">
      <c r="B70" s="117" t="s">
        <v>706</v>
      </c>
    </row>
    <row r="71" spans="1:33" ht="15" customHeight="1" x14ac:dyDescent="0.25">
      <c r="B71" s="117" t="s">
        <v>657</v>
      </c>
    </row>
    <row r="72" spans="1:33" ht="15" customHeight="1" x14ac:dyDescent="0.25">
      <c r="A72" s="112" t="s">
        <v>707</v>
      </c>
      <c r="B72" s="118" t="s">
        <v>659</v>
      </c>
      <c r="C72" s="121">
        <v>1.964866</v>
      </c>
      <c r="D72" s="121">
        <v>2.1748500000000002</v>
      </c>
      <c r="E72" s="121">
        <v>2.1924489999999999</v>
      </c>
      <c r="F72" s="121">
        <v>2.2464110000000002</v>
      </c>
      <c r="G72" s="121">
        <v>2.2941660000000001</v>
      </c>
      <c r="H72" s="121">
        <v>2.3591859999999998</v>
      </c>
      <c r="I72" s="121">
        <v>2.4519600000000001</v>
      </c>
      <c r="J72" s="121">
        <v>2.5696379999999999</v>
      </c>
      <c r="K72" s="121">
        <v>2.686455</v>
      </c>
      <c r="L72" s="121">
        <v>2.8064909999999998</v>
      </c>
      <c r="M72" s="121">
        <v>2.9481700000000002</v>
      </c>
      <c r="N72" s="121">
        <v>3.0652659999999998</v>
      </c>
      <c r="O72" s="121">
        <v>3.1853820000000002</v>
      </c>
      <c r="P72" s="121">
        <v>3.295779</v>
      </c>
      <c r="Q72" s="121">
        <v>3.3992110000000002</v>
      </c>
      <c r="R72" s="121">
        <v>3.50414</v>
      </c>
      <c r="S72" s="121">
        <v>3.614808</v>
      </c>
      <c r="T72" s="121">
        <v>3.728523</v>
      </c>
      <c r="U72" s="121">
        <v>3.8361740000000002</v>
      </c>
      <c r="V72" s="121">
        <v>3.9647860000000001</v>
      </c>
      <c r="W72" s="121">
        <v>4.0917349999999999</v>
      </c>
      <c r="X72" s="121">
        <v>4.2056420000000001</v>
      </c>
      <c r="Y72" s="121">
        <v>4.3326849999999997</v>
      </c>
      <c r="Z72" s="121">
        <v>4.4697149999999999</v>
      </c>
      <c r="AA72" s="121">
        <v>4.5934330000000001</v>
      </c>
      <c r="AB72" s="121">
        <v>4.7228250000000003</v>
      </c>
      <c r="AC72" s="121">
        <v>4.851032</v>
      </c>
      <c r="AD72" s="121">
        <v>4.9768860000000004</v>
      </c>
      <c r="AE72" s="121">
        <v>5.0965490000000004</v>
      </c>
      <c r="AF72" s="121">
        <v>5.2138640000000001</v>
      </c>
      <c r="AG72" s="120">
        <v>3.4223999999999997E-2</v>
      </c>
    </row>
    <row r="73" spans="1:33" x14ac:dyDescent="0.25">
      <c r="A73" s="112" t="s">
        <v>708</v>
      </c>
      <c r="B73" s="118" t="s">
        <v>661</v>
      </c>
      <c r="C73" s="121">
        <v>2.981662</v>
      </c>
      <c r="D73" s="121">
        <v>3.0975779999999999</v>
      </c>
      <c r="E73" s="121">
        <v>3.1066129999999998</v>
      </c>
      <c r="F73" s="121">
        <v>3.3819780000000002</v>
      </c>
      <c r="G73" s="121">
        <v>3.542713</v>
      </c>
      <c r="H73" s="121">
        <v>3.715338</v>
      </c>
      <c r="I73" s="121">
        <v>3.911737</v>
      </c>
      <c r="J73" s="121">
        <v>4.0397629999999998</v>
      </c>
      <c r="K73" s="121">
        <v>4.1579959999999998</v>
      </c>
      <c r="L73" s="121">
        <v>4.2491060000000003</v>
      </c>
      <c r="M73" s="121">
        <v>4.3944669999999997</v>
      </c>
      <c r="N73" s="121">
        <v>4.5104810000000004</v>
      </c>
      <c r="O73" s="121">
        <v>4.6216429999999997</v>
      </c>
      <c r="P73" s="121">
        <v>4.7338620000000002</v>
      </c>
      <c r="Q73" s="121">
        <v>4.8534930000000003</v>
      </c>
      <c r="R73" s="121">
        <v>4.9935460000000003</v>
      </c>
      <c r="S73" s="121">
        <v>5.1467780000000003</v>
      </c>
      <c r="T73" s="121">
        <v>5.2866520000000001</v>
      </c>
      <c r="U73" s="121">
        <v>5.4177220000000004</v>
      </c>
      <c r="V73" s="121">
        <v>5.5879620000000001</v>
      </c>
      <c r="W73" s="121">
        <v>5.7351549999999998</v>
      </c>
      <c r="X73" s="121">
        <v>5.8686410000000002</v>
      </c>
      <c r="Y73" s="121">
        <v>6.0541510000000001</v>
      </c>
      <c r="Z73" s="121">
        <v>6.2523260000000001</v>
      </c>
      <c r="AA73" s="121">
        <v>6.417573</v>
      </c>
      <c r="AB73" s="121">
        <v>6.6138089999999998</v>
      </c>
      <c r="AC73" s="121">
        <v>6.7715360000000002</v>
      </c>
      <c r="AD73" s="121">
        <v>6.9063270000000001</v>
      </c>
      <c r="AE73" s="121">
        <v>7.0602280000000004</v>
      </c>
      <c r="AF73" s="121">
        <v>7.2075389999999997</v>
      </c>
      <c r="AG73" s="120">
        <v>3.0904000000000001E-2</v>
      </c>
    </row>
    <row r="74" spans="1:33" ht="15" customHeight="1" x14ac:dyDescent="0.25"/>
    <row r="75" spans="1:33" ht="15" customHeight="1" x14ac:dyDescent="0.25">
      <c r="B75" s="117" t="s">
        <v>662</v>
      </c>
    </row>
    <row r="76" spans="1:33" ht="15" customHeight="1" x14ac:dyDescent="0.25">
      <c r="A76" s="112" t="s">
        <v>709</v>
      </c>
      <c r="B76" s="118" t="s">
        <v>661</v>
      </c>
      <c r="C76" s="121">
        <v>2.9924080000000002</v>
      </c>
      <c r="D76" s="121">
        <v>3.1092439999999999</v>
      </c>
      <c r="E76" s="121">
        <v>2.9528810000000001</v>
      </c>
      <c r="F76" s="121">
        <v>3.0723099999999999</v>
      </c>
      <c r="G76" s="121">
        <v>3.063733</v>
      </c>
      <c r="H76" s="121">
        <v>3.0597409999999998</v>
      </c>
      <c r="I76" s="121">
        <v>3.0725380000000002</v>
      </c>
      <c r="J76" s="121">
        <v>3.180517</v>
      </c>
      <c r="K76" s="121">
        <v>3.2769680000000001</v>
      </c>
      <c r="L76" s="121">
        <v>3.3479640000000002</v>
      </c>
      <c r="M76" s="121">
        <v>3.5268389999999998</v>
      </c>
      <c r="N76" s="121">
        <v>3.624533</v>
      </c>
      <c r="O76" s="121">
        <v>3.7252540000000001</v>
      </c>
      <c r="P76" s="121">
        <v>3.8182659999999999</v>
      </c>
      <c r="Q76" s="121">
        <v>3.9203100000000002</v>
      </c>
      <c r="R76" s="121">
        <v>4.04033</v>
      </c>
      <c r="S76" s="121">
        <v>4.17293</v>
      </c>
      <c r="T76" s="121">
        <v>4.2920230000000004</v>
      </c>
      <c r="U76" s="121">
        <v>4.4011100000000001</v>
      </c>
      <c r="V76" s="121">
        <v>4.5446850000000003</v>
      </c>
      <c r="W76" s="121">
        <v>4.669791</v>
      </c>
      <c r="X76" s="121">
        <v>4.779782</v>
      </c>
      <c r="Y76" s="121">
        <v>4.9446469999999998</v>
      </c>
      <c r="Z76" s="121">
        <v>5.121518</v>
      </c>
      <c r="AA76" s="121">
        <v>5.2630179999999998</v>
      </c>
      <c r="AB76" s="121">
        <v>5.4292299999999996</v>
      </c>
      <c r="AC76" s="121">
        <v>5.5640099999999997</v>
      </c>
      <c r="AD76" s="121">
        <v>5.6760070000000002</v>
      </c>
      <c r="AE76" s="121">
        <v>5.8002580000000004</v>
      </c>
      <c r="AF76" s="121">
        <v>5.9135210000000002</v>
      </c>
      <c r="AG76" s="120">
        <v>2.3765999999999999E-2</v>
      </c>
    </row>
    <row r="77" spans="1:33" ht="15" customHeight="1" x14ac:dyDescent="0.25">
      <c r="A77" s="112" t="s">
        <v>710</v>
      </c>
      <c r="B77" s="118" t="s">
        <v>665</v>
      </c>
      <c r="C77" s="121">
        <v>0.97293499999999999</v>
      </c>
      <c r="D77" s="121">
        <v>1.1566879999999999</v>
      </c>
      <c r="E77" s="121">
        <v>1.1966000000000001</v>
      </c>
      <c r="F77" s="121">
        <v>1.4371609999999999</v>
      </c>
      <c r="G77" s="121">
        <v>1.5591569999999999</v>
      </c>
      <c r="H77" s="121">
        <v>1.694539</v>
      </c>
      <c r="I77" s="121">
        <v>1.8698300000000001</v>
      </c>
      <c r="J77" s="121">
        <v>1.9530149999999999</v>
      </c>
      <c r="K77" s="121">
        <v>2.0181450000000001</v>
      </c>
      <c r="L77" s="121">
        <v>2.0937299999999999</v>
      </c>
      <c r="M77" s="121">
        <v>2.1761309999999998</v>
      </c>
      <c r="N77" s="121">
        <v>2.2516259999999999</v>
      </c>
      <c r="O77" s="121">
        <v>2.3251499999999998</v>
      </c>
      <c r="P77" s="121">
        <v>2.3792360000000001</v>
      </c>
      <c r="Q77" s="121">
        <v>2.435718</v>
      </c>
      <c r="R77" s="121">
        <v>2.479047</v>
      </c>
      <c r="S77" s="121">
        <v>2.5292059999999998</v>
      </c>
      <c r="T77" s="121">
        <v>2.6296249999999999</v>
      </c>
      <c r="U77" s="121">
        <v>2.6489880000000001</v>
      </c>
      <c r="V77" s="121">
        <v>2.8298510000000001</v>
      </c>
      <c r="W77" s="121">
        <v>2.9345690000000002</v>
      </c>
      <c r="X77" s="121">
        <v>3.0354000000000001</v>
      </c>
      <c r="Y77" s="121">
        <v>3.1965789999999998</v>
      </c>
      <c r="Z77" s="121">
        <v>3.3387380000000002</v>
      </c>
      <c r="AA77" s="121">
        <v>3.4383189999999999</v>
      </c>
      <c r="AB77" s="121">
        <v>3.555679</v>
      </c>
      <c r="AC77" s="121">
        <v>3.6679379999999999</v>
      </c>
      <c r="AD77" s="121">
        <v>3.7260939999999998</v>
      </c>
      <c r="AE77" s="121">
        <v>3.8275290000000002</v>
      </c>
      <c r="AF77" s="121">
        <v>3.890857</v>
      </c>
      <c r="AG77" s="120">
        <v>4.8956E-2</v>
      </c>
    </row>
    <row r="78" spans="1:33" ht="15" customHeight="1" x14ac:dyDescent="0.25"/>
    <row r="79" spans="1:33" x14ac:dyDescent="0.25">
      <c r="B79" s="117" t="s">
        <v>668</v>
      </c>
    </row>
    <row r="80" spans="1:33" ht="15" customHeight="1" x14ac:dyDescent="0.25">
      <c r="A80" s="112" t="s">
        <v>711</v>
      </c>
      <c r="B80" s="118" t="s">
        <v>659</v>
      </c>
      <c r="C80" s="121">
        <v>1.247592</v>
      </c>
      <c r="D80" s="121">
        <v>1.3556239999999999</v>
      </c>
      <c r="E80" s="121">
        <v>1.209743</v>
      </c>
      <c r="F80" s="121">
        <v>1.2354830000000001</v>
      </c>
      <c r="G80" s="121">
        <v>1.252929</v>
      </c>
      <c r="H80" s="121">
        <v>1.298986</v>
      </c>
      <c r="I80" s="121">
        <v>1.374784</v>
      </c>
      <c r="J80" s="121">
        <v>1.470402</v>
      </c>
      <c r="K80" s="121">
        <v>1.547558</v>
      </c>
      <c r="L80" s="121">
        <v>1.62836</v>
      </c>
      <c r="M80" s="121">
        <v>1.706931</v>
      </c>
      <c r="N80" s="121">
        <v>1.7793300000000001</v>
      </c>
      <c r="O80" s="121">
        <v>1.8528180000000001</v>
      </c>
      <c r="P80" s="121">
        <v>1.9152210000000001</v>
      </c>
      <c r="Q80" s="121">
        <v>1.9721759999999999</v>
      </c>
      <c r="R80" s="121">
        <v>2.0363020000000001</v>
      </c>
      <c r="S80" s="121">
        <v>2.1084960000000001</v>
      </c>
      <c r="T80" s="121">
        <v>2.1809229999999999</v>
      </c>
      <c r="U80" s="121">
        <v>2.2419799999999999</v>
      </c>
      <c r="V80" s="121">
        <v>2.3362470000000002</v>
      </c>
      <c r="W80" s="121">
        <v>2.4156900000000001</v>
      </c>
      <c r="X80" s="121">
        <v>2.4732229999999999</v>
      </c>
      <c r="Y80" s="121">
        <v>2.5590259999999998</v>
      </c>
      <c r="Z80" s="121">
        <v>2.6534309999999999</v>
      </c>
      <c r="AA80" s="121">
        <v>2.7191649999999998</v>
      </c>
      <c r="AB80" s="121">
        <v>2.7999010000000002</v>
      </c>
      <c r="AC80" s="121">
        <v>2.87643</v>
      </c>
      <c r="AD80" s="121">
        <v>2.9487510000000001</v>
      </c>
      <c r="AE80" s="121">
        <v>3.0122800000000001</v>
      </c>
      <c r="AF80" s="121">
        <v>3.0764800000000001</v>
      </c>
      <c r="AG80" s="120">
        <v>3.1613000000000002E-2</v>
      </c>
    </row>
    <row r="81" spans="1:33" x14ac:dyDescent="0.25">
      <c r="A81" s="112" t="s">
        <v>712</v>
      </c>
      <c r="B81" s="118" t="s">
        <v>661</v>
      </c>
      <c r="C81" s="121">
        <v>2.9826980000000001</v>
      </c>
      <c r="D81" s="121">
        <v>3.0985200000000002</v>
      </c>
      <c r="E81" s="121">
        <v>2.9535650000000002</v>
      </c>
      <c r="F81" s="121">
        <v>3.0678320000000001</v>
      </c>
      <c r="G81" s="121">
        <v>3.0579550000000002</v>
      </c>
      <c r="H81" s="121">
        <v>3.051269</v>
      </c>
      <c r="I81" s="121">
        <v>3.0600450000000001</v>
      </c>
      <c r="J81" s="121">
        <v>3.1684589999999999</v>
      </c>
      <c r="K81" s="121">
        <v>3.2662049999999998</v>
      </c>
      <c r="L81" s="121">
        <v>3.3377629999999998</v>
      </c>
      <c r="M81" s="121">
        <v>3.464054</v>
      </c>
      <c r="N81" s="121">
        <v>3.5603120000000001</v>
      </c>
      <c r="O81" s="121">
        <v>3.654309</v>
      </c>
      <c r="P81" s="121">
        <v>3.74526</v>
      </c>
      <c r="Q81" s="121">
        <v>3.8475190000000001</v>
      </c>
      <c r="R81" s="121">
        <v>3.9676369999999999</v>
      </c>
      <c r="S81" s="121">
        <v>4.0998830000000002</v>
      </c>
      <c r="T81" s="121">
        <v>4.2185110000000003</v>
      </c>
      <c r="U81" s="121">
        <v>4.3273890000000002</v>
      </c>
      <c r="V81" s="121">
        <v>4.4684699999999999</v>
      </c>
      <c r="W81" s="121">
        <v>4.5940329999999996</v>
      </c>
      <c r="X81" s="121">
        <v>4.7034019999999996</v>
      </c>
      <c r="Y81" s="121">
        <v>4.8702540000000001</v>
      </c>
      <c r="Z81" s="121">
        <v>5.0477179999999997</v>
      </c>
      <c r="AA81" s="121">
        <v>5.1886409999999996</v>
      </c>
      <c r="AB81" s="121">
        <v>5.3522749999999997</v>
      </c>
      <c r="AC81" s="121">
        <v>5.4879249999999997</v>
      </c>
      <c r="AD81" s="121">
        <v>5.601464</v>
      </c>
      <c r="AE81" s="121">
        <v>5.7241090000000003</v>
      </c>
      <c r="AF81" s="121">
        <v>5.8357450000000002</v>
      </c>
      <c r="AG81" s="120">
        <v>2.3414000000000001E-2</v>
      </c>
    </row>
    <row r="82" spans="1:33" ht="15" customHeight="1" x14ac:dyDescent="0.25">
      <c r="A82" s="112" t="s">
        <v>713</v>
      </c>
      <c r="B82" s="118" t="s">
        <v>665</v>
      </c>
      <c r="C82" s="121">
        <v>1.0599479999999999</v>
      </c>
      <c r="D82" s="121">
        <v>1.2694460000000001</v>
      </c>
      <c r="E82" s="121">
        <v>1.346131</v>
      </c>
      <c r="F82" s="121">
        <v>1.6228180000000001</v>
      </c>
      <c r="G82" s="121">
        <v>1.781226</v>
      </c>
      <c r="H82" s="121">
        <v>1.962197</v>
      </c>
      <c r="I82" s="121">
        <v>2.180606</v>
      </c>
      <c r="J82" s="121">
        <v>2.2753510000000001</v>
      </c>
      <c r="K82" s="121">
        <v>2.352303</v>
      </c>
      <c r="L82" s="121">
        <v>2.4384749999999999</v>
      </c>
      <c r="M82" s="121">
        <v>2.5327280000000001</v>
      </c>
      <c r="N82" s="121">
        <v>2.618817</v>
      </c>
      <c r="O82" s="121">
        <v>2.7033160000000001</v>
      </c>
      <c r="P82" s="121">
        <v>2.7685360000000001</v>
      </c>
      <c r="Q82" s="121">
        <v>2.8372310000000001</v>
      </c>
      <c r="R82" s="121">
        <v>2.8912589999999998</v>
      </c>
      <c r="S82" s="121">
        <v>2.9481510000000002</v>
      </c>
      <c r="T82" s="121">
        <v>3.06603</v>
      </c>
      <c r="U82" s="121">
        <v>3.1049850000000001</v>
      </c>
      <c r="V82" s="121">
        <v>3.2935509999999999</v>
      </c>
      <c r="W82" s="121">
        <v>3.4104269999999999</v>
      </c>
      <c r="X82" s="121">
        <v>3.5227740000000001</v>
      </c>
      <c r="Y82" s="121">
        <v>3.6945489999999999</v>
      </c>
      <c r="Z82" s="121">
        <v>3.8423530000000001</v>
      </c>
      <c r="AA82" s="121">
        <v>3.9519639999999998</v>
      </c>
      <c r="AB82" s="121">
        <v>4.0875149999999998</v>
      </c>
      <c r="AC82" s="121">
        <v>4.2013439999999997</v>
      </c>
      <c r="AD82" s="121">
        <v>4.2884900000000004</v>
      </c>
      <c r="AE82" s="121">
        <v>4.3951130000000003</v>
      </c>
      <c r="AF82" s="121">
        <v>4.4819139999999997</v>
      </c>
      <c r="AG82" s="120">
        <v>5.0974999999999999E-2</v>
      </c>
    </row>
    <row r="83" spans="1:33" ht="15" customHeight="1" x14ac:dyDescent="0.25"/>
    <row r="84" spans="1:33" ht="15" customHeight="1" x14ac:dyDescent="0.25">
      <c r="B84" s="117" t="s">
        <v>673</v>
      </c>
    </row>
    <row r="85" spans="1:33" ht="15" customHeight="1" x14ac:dyDescent="0.25">
      <c r="A85" s="112" t="s">
        <v>714</v>
      </c>
      <c r="B85" s="118" t="s">
        <v>659</v>
      </c>
      <c r="C85" s="121">
        <v>1.622646</v>
      </c>
      <c r="D85" s="121">
        <v>1.7189650000000001</v>
      </c>
      <c r="E85" s="121">
        <v>1.6056889999999999</v>
      </c>
      <c r="F85" s="121">
        <v>1.64228</v>
      </c>
      <c r="G85" s="121">
        <v>1.6713359999999999</v>
      </c>
      <c r="H85" s="121">
        <v>1.725619</v>
      </c>
      <c r="I85" s="121">
        <v>1.805617</v>
      </c>
      <c r="J85" s="121">
        <v>1.9016169999999999</v>
      </c>
      <c r="K85" s="121">
        <v>1.981257</v>
      </c>
      <c r="L85" s="121">
        <v>2.0634350000000001</v>
      </c>
      <c r="M85" s="121">
        <v>2.182636</v>
      </c>
      <c r="N85" s="121">
        <v>2.258143</v>
      </c>
      <c r="O85" s="121">
        <v>2.3404699999999998</v>
      </c>
      <c r="P85" s="121">
        <v>2.4087649999999998</v>
      </c>
      <c r="Q85" s="121">
        <v>2.4730880000000002</v>
      </c>
      <c r="R85" s="121">
        <v>2.5435159999999999</v>
      </c>
      <c r="S85" s="121">
        <v>2.6206360000000002</v>
      </c>
      <c r="T85" s="121">
        <v>2.6983549999999998</v>
      </c>
      <c r="U85" s="121">
        <v>2.7674449999999999</v>
      </c>
      <c r="V85" s="121">
        <v>2.8635120000000001</v>
      </c>
      <c r="W85" s="121">
        <v>2.9480940000000002</v>
      </c>
      <c r="X85" s="121">
        <v>3.016518</v>
      </c>
      <c r="Y85" s="121">
        <v>3.107685</v>
      </c>
      <c r="Z85" s="121">
        <v>3.2055769999999999</v>
      </c>
      <c r="AA85" s="121">
        <v>3.281809</v>
      </c>
      <c r="AB85" s="121">
        <v>3.370565</v>
      </c>
      <c r="AC85" s="121">
        <v>3.4565350000000001</v>
      </c>
      <c r="AD85" s="121">
        <v>3.5400670000000001</v>
      </c>
      <c r="AE85" s="121">
        <v>3.6177260000000002</v>
      </c>
      <c r="AF85" s="121">
        <v>3.6966060000000001</v>
      </c>
      <c r="AG85" s="120">
        <v>2.8798000000000001E-2</v>
      </c>
    </row>
    <row r="86" spans="1:33" ht="15" customHeight="1" x14ac:dyDescent="0.25">
      <c r="A86" s="112" t="s">
        <v>715</v>
      </c>
      <c r="B86" s="118" t="s">
        <v>676</v>
      </c>
      <c r="C86" s="121">
        <v>2.4437639999999998</v>
      </c>
      <c r="D86" s="121">
        <v>2.5021149999999999</v>
      </c>
      <c r="E86" s="121">
        <v>2.561229</v>
      </c>
      <c r="F86" s="121">
        <v>2.596498</v>
      </c>
      <c r="G86" s="121">
        <v>2.6264479999999999</v>
      </c>
      <c r="H86" s="121">
        <v>2.7209970000000001</v>
      </c>
      <c r="I86" s="121">
        <v>2.8259259999999999</v>
      </c>
      <c r="J86" s="121">
        <v>2.9326509999999999</v>
      </c>
      <c r="K86" s="121">
        <v>3.030545</v>
      </c>
      <c r="L86" s="121">
        <v>3.181978</v>
      </c>
      <c r="M86" s="121">
        <v>3.3436629999999998</v>
      </c>
      <c r="N86" s="121">
        <v>3.4622060000000001</v>
      </c>
      <c r="O86" s="121">
        <v>3.5597110000000001</v>
      </c>
      <c r="P86" s="121">
        <v>3.700364</v>
      </c>
      <c r="Q86" s="121">
        <v>3.804805</v>
      </c>
      <c r="R86" s="121">
        <v>3.894425</v>
      </c>
      <c r="S86" s="121">
        <v>3.9990209999999999</v>
      </c>
      <c r="T86" s="121">
        <v>4.1407030000000002</v>
      </c>
      <c r="U86" s="121">
        <v>4.2307889999999997</v>
      </c>
      <c r="V86" s="121">
        <v>4.3608060000000002</v>
      </c>
      <c r="W86" s="121">
        <v>4.4916780000000003</v>
      </c>
      <c r="X86" s="121">
        <v>4.5970579999999996</v>
      </c>
      <c r="Y86" s="121">
        <v>4.7482420000000003</v>
      </c>
      <c r="Z86" s="121">
        <v>4.9039250000000001</v>
      </c>
      <c r="AA86" s="121">
        <v>5.0322389999999997</v>
      </c>
      <c r="AB86" s="121">
        <v>5.1913369999999999</v>
      </c>
      <c r="AC86" s="121">
        <v>5.3278100000000004</v>
      </c>
      <c r="AD86" s="121">
        <v>5.4360280000000003</v>
      </c>
      <c r="AE86" s="121">
        <v>5.5660769999999999</v>
      </c>
      <c r="AF86" s="121">
        <v>5.6929499999999997</v>
      </c>
      <c r="AG86" s="120">
        <v>2.9590999999999999E-2</v>
      </c>
    </row>
    <row r="87" spans="1:33" ht="15" customHeight="1" x14ac:dyDescent="0.25">
      <c r="A87" s="112" t="s">
        <v>716</v>
      </c>
      <c r="B87" s="118" t="s">
        <v>678</v>
      </c>
      <c r="C87" s="121">
        <v>1.4504239999999999</v>
      </c>
      <c r="D87" s="121">
        <v>1.4854400000000001</v>
      </c>
      <c r="E87" s="121">
        <v>1.554799</v>
      </c>
      <c r="F87" s="121">
        <v>1.6546620000000001</v>
      </c>
      <c r="G87" s="121">
        <v>1.587188</v>
      </c>
      <c r="H87" s="121">
        <v>1.72088</v>
      </c>
      <c r="I87" s="121">
        <v>1.796827</v>
      </c>
      <c r="J87" s="121">
        <v>1.8753070000000001</v>
      </c>
      <c r="K87" s="121">
        <v>1.955287</v>
      </c>
      <c r="L87" s="121">
        <v>2.035193</v>
      </c>
      <c r="M87" s="121">
        <v>2.1214490000000001</v>
      </c>
      <c r="N87" s="121">
        <v>2.1795019999999998</v>
      </c>
      <c r="O87" s="121">
        <v>2.1670340000000001</v>
      </c>
      <c r="P87" s="121">
        <v>2.2726799999999998</v>
      </c>
      <c r="Q87" s="121">
        <v>2.3320979999999998</v>
      </c>
      <c r="R87" s="121">
        <v>2.3006250000000001</v>
      </c>
      <c r="S87" s="121">
        <v>2.3046479999999998</v>
      </c>
      <c r="T87" s="121">
        <v>2.4473370000000001</v>
      </c>
      <c r="U87" s="121">
        <v>2.4599679999999999</v>
      </c>
      <c r="V87" s="121">
        <v>2.5128430000000002</v>
      </c>
      <c r="W87" s="121">
        <v>2.6048779999999998</v>
      </c>
      <c r="X87" s="121">
        <v>2.6326559999999999</v>
      </c>
      <c r="Y87" s="121">
        <v>2.665616</v>
      </c>
      <c r="Z87" s="121">
        <v>2.6922600000000001</v>
      </c>
      <c r="AA87" s="121">
        <v>2.7811430000000001</v>
      </c>
      <c r="AB87" s="121">
        <v>2.816157</v>
      </c>
      <c r="AC87" s="121">
        <v>2.9679139999999999</v>
      </c>
      <c r="AD87" s="121">
        <v>2.9097689999999998</v>
      </c>
      <c r="AE87" s="121">
        <v>3.010751</v>
      </c>
      <c r="AF87" s="121">
        <v>3.1156220000000001</v>
      </c>
      <c r="AG87" s="120">
        <v>2.6714999999999999E-2</v>
      </c>
    </row>
    <row r="88" spans="1:33" ht="15" customHeight="1" x14ac:dyDescent="0.25">
      <c r="A88" s="112" t="s">
        <v>717</v>
      </c>
      <c r="B88" s="118" t="s">
        <v>680</v>
      </c>
      <c r="C88" s="121">
        <v>3.1092520000000001</v>
      </c>
      <c r="D88" s="121">
        <v>3.0532759999999999</v>
      </c>
      <c r="E88" s="121">
        <v>2.7805659999999999</v>
      </c>
      <c r="F88" s="121">
        <v>2.8246760000000002</v>
      </c>
      <c r="G88" s="121">
        <v>2.861936</v>
      </c>
      <c r="H88" s="121">
        <v>2.9624329999999999</v>
      </c>
      <c r="I88" s="121">
        <v>3.0731950000000001</v>
      </c>
      <c r="J88" s="121">
        <v>3.1838060000000001</v>
      </c>
      <c r="K88" s="121">
        <v>3.2850510000000002</v>
      </c>
      <c r="L88" s="121">
        <v>3.443886</v>
      </c>
      <c r="M88" s="121">
        <v>3.635373</v>
      </c>
      <c r="N88" s="121">
        <v>3.7530480000000002</v>
      </c>
      <c r="O88" s="121">
        <v>3.867057</v>
      </c>
      <c r="P88" s="121">
        <v>3.9831810000000001</v>
      </c>
      <c r="Q88" s="121">
        <v>4.0858239999999997</v>
      </c>
      <c r="R88" s="121">
        <v>4.2050689999999999</v>
      </c>
      <c r="S88" s="121">
        <v>4.3243790000000004</v>
      </c>
      <c r="T88" s="121">
        <v>4.4684410000000003</v>
      </c>
      <c r="U88" s="121">
        <v>4.5689330000000004</v>
      </c>
      <c r="V88" s="121">
        <v>4.7084770000000002</v>
      </c>
      <c r="W88" s="121">
        <v>4.8450730000000002</v>
      </c>
      <c r="X88" s="121">
        <v>4.9627179999999997</v>
      </c>
      <c r="Y88" s="121">
        <v>5.1260940000000002</v>
      </c>
      <c r="Z88" s="121">
        <v>5.2919520000000002</v>
      </c>
      <c r="AA88" s="121">
        <v>5.4287280000000004</v>
      </c>
      <c r="AB88" s="121">
        <v>5.5964489999999998</v>
      </c>
      <c r="AC88" s="121">
        <v>5.7407510000000004</v>
      </c>
      <c r="AD88" s="121">
        <v>5.8552850000000003</v>
      </c>
      <c r="AE88" s="121">
        <v>5.9922500000000003</v>
      </c>
      <c r="AF88" s="121">
        <v>6.127364</v>
      </c>
      <c r="AG88" s="120">
        <v>2.3668000000000002E-2</v>
      </c>
    </row>
    <row r="89" spans="1:33" ht="15" customHeight="1" x14ac:dyDescent="0.25">
      <c r="A89" s="112" t="s">
        <v>718</v>
      </c>
      <c r="B89" s="118" t="s">
        <v>682</v>
      </c>
      <c r="C89" s="121">
        <v>1.9841310000000001</v>
      </c>
      <c r="D89" s="121">
        <v>2.1241590000000001</v>
      </c>
      <c r="E89" s="121">
        <v>2.018116</v>
      </c>
      <c r="F89" s="121">
        <v>2.2325300000000001</v>
      </c>
      <c r="G89" s="121">
        <v>2.2945579999999999</v>
      </c>
      <c r="H89" s="121">
        <v>2.3730410000000002</v>
      </c>
      <c r="I89" s="121">
        <v>2.4768469999999998</v>
      </c>
      <c r="J89" s="121">
        <v>2.58317</v>
      </c>
      <c r="K89" s="121">
        <v>2.673524</v>
      </c>
      <c r="L89" s="121">
        <v>2.7263060000000001</v>
      </c>
      <c r="M89" s="121">
        <v>2.8717670000000002</v>
      </c>
      <c r="N89" s="121">
        <v>2.96759</v>
      </c>
      <c r="O89" s="121">
        <v>3.0530379999999999</v>
      </c>
      <c r="P89" s="121">
        <v>3.1519159999999999</v>
      </c>
      <c r="Q89" s="121">
        <v>3.2425649999999999</v>
      </c>
      <c r="R89" s="121">
        <v>3.3516119999999998</v>
      </c>
      <c r="S89" s="121">
        <v>3.4756710000000002</v>
      </c>
      <c r="T89" s="121">
        <v>3.5886800000000001</v>
      </c>
      <c r="U89" s="121">
        <v>3.6891419999999999</v>
      </c>
      <c r="V89" s="121">
        <v>3.8116750000000001</v>
      </c>
      <c r="W89" s="121">
        <v>3.92828</v>
      </c>
      <c r="X89" s="121">
        <v>4.0267299999999997</v>
      </c>
      <c r="Y89" s="121">
        <v>4.1837299999999997</v>
      </c>
      <c r="Z89" s="121">
        <v>4.3498970000000003</v>
      </c>
      <c r="AA89" s="121">
        <v>4.4739680000000002</v>
      </c>
      <c r="AB89" s="121">
        <v>4.625934</v>
      </c>
      <c r="AC89" s="121">
        <v>4.7535280000000002</v>
      </c>
      <c r="AD89" s="121">
        <v>4.8551739999999999</v>
      </c>
      <c r="AE89" s="121">
        <v>4.9770799999999999</v>
      </c>
      <c r="AF89" s="121">
        <v>5.0759220000000003</v>
      </c>
      <c r="AG89" s="120">
        <v>3.2920999999999999E-2</v>
      </c>
    </row>
    <row r="90" spans="1:33" ht="15" customHeight="1" x14ac:dyDescent="0.25">
      <c r="A90" s="112" t="s">
        <v>719</v>
      </c>
      <c r="B90" s="118" t="s">
        <v>684</v>
      </c>
      <c r="C90" s="121">
        <v>3.2566489999999999</v>
      </c>
      <c r="D90" s="121">
        <v>3.206385</v>
      </c>
      <c r="E90" s="121">
        <v>3.147907</v>
      </c>
      <c r="F90" s="121">
        <v>3.3339720000000002</v>
      </c>
      <c r="G90" s="121">
        <v>3.4103089999999998</v>
      </c>
      <c r="H90" s="121">
        <v>3.4897260000000001</v>
      </c>
      <c r="I90" s="121">
        <v>3.5883449999999999</v>
      </c>
      <c r="J90" s="121">
        <v>3.7074379999999998</v>
      </c>
      <c r="K90" s="121">
        <v>3.819785</v>
      </c>
      <c r="L90" s="121">
        <v>3.902895</v>
      </c>
      <c r="M90" s="121">
        <v>4.0989589999999998</v>
      </c>
      <c r="N90" s="121">
        <v>4.2070939999999997</v>
      </c>
      <c r="O90" s="121">
        <v>4.3239190000000001</v>
      </c>
      <c r="P90" s="121">
        <v>4.4277569999999997</v>
      </c>
      <c r="Q90" s="121">
        <v>4.5444240000000002</v>
      </c>
      <c r="R90" s="121">
        <v>4.6800280000000001</v>
      </c>
      <c r="S90" s="121">
        <v>4.8231729999999997</v>
      </c>
      <c r="T90" s="121">
        <v>4.9572370000000001</v>
      </c>
      <c r="U90" s="121">
        <v>5.085153</v>
      </c>
      <c r="V90" s="121">
        <v>5.2435770000000002</v>
      </c>
      <c r="W90" s="121">
        <v>5.3867960000000004</v>
      </c>
      <c r="X90" s="121">
        <v>5.5122439999999999</v>
      </c>
      <c r="Y90" s="121">
        <v>5.6973440000000002</v>
      </c>
      <c r="Z90" s="121">
        <v>5.8937999999999997</v>
      </c>
      <c r="AA90" s="121">
        <v>6.0519189999999998</v>
      </c>
      <c r="AB90" s="121">
        <v>6.2339979999999997</v>
      </c>
      <c r="AC90" s="121">
        <v>6.3906609999999997</v>
      </c>
      <c r="AD90" s="121">
        <v>6.5236929999999997</v>
      </c>
      <c r="AE90" s="121">
        <v>6.6672979999999997</v>
      </c>
      <c r="AF90" s="121">
        <v>6.8034720000000002</v>
      </c>
      <c r="AG90" s="120">
        <v>2.5729999999999999E-2</v>
      </c>
    </row>
    <row r="91" spans="1:33" ht="15" customHeight="1" x14ac:dyDescent="0.25">
      <c r="A91" s="112" t="s">
        <v>720</v>
      </c>
      <c r="B91" s="118" t="s">
        <v>665</v>
      </c>
      <c r="C91" s="121">
        <v>1.8469249999999999</v>
      </c>
      <c r="D91" s="121">
        <v>1.5992040000000001</v>
      </c>
      <c r="E91" s="121">
        <v>2.0058389999999999</v>
      </c>
      <c r="F91" s="121">
        <v>2.1946629999999998</v>
      </c>
      <c r="G91" s="121">
        <v>2.2745340000000001</v>
      </c>
      <c r="H91" s="121">
        <v>2.3592409999999999</v>
      </c>
      <c r="I91" s="121">
        <v>2.4788030000000001</v>
      </c>
      <c r="J91" s="121">
        <v>2.5726640000000001</v>
      </c>
      <c r="K91" s="121">
        <v>2.6536369999999998</v>
      </c>
      <c r="L91" s="121">
        <v>2.737657</v>
      </c>
      <c r="M91" s="121">
        <v>2.8437079999999999</v>
      </c>
      <c r="N91" s="121">
        <v>2.927702</v>
      </c>
      <c r="O91" s="121">
        <v>3.0181990000000001</v>
      </c>
      <c r="P91" s="121">
        <v>3.0884230000000001</v>
      </c>
      <c r="Q91" s="121">
        <v>3.1638269999999999</v>
      </c>
      <c r="R91" s="121">
        <v>3.2306339999999998</v>
      </c>
      <c r="S91" s="121">
        <v>3.309485</v>
      </c>
      <c r="T91" s="121">
        <v>3.4247269999999999</v>
      </c>
      <c r="U91" s="121">
        <v>3.4888910000000002</v>
      </c>
      <c r="V91" s="121">
        <v>3.6431629999999999</v>
      </c>
      <c r="W91" s="121">
        <v>3.7565919999999999</v>
      </c>
      <c r="X91" s="121">
        <v>3.8626900000000002</v>
      </c>
      <c r="Y91" s="121">
        <v>4.0265050000000002</v>
      </c>
      <c r="Z91" s="121">
        <v>4.1729950000000002</v>
      </c>
      <c r="AA91" s="121">
        <v>4.2922799999999999</v>
      </c>
      <c r="AB91" s="121">
        <v>4.4296559999999996</v>
      </c>
      <c r="AC91" s="121">
        <v>4.5452260000000004</v>
      </c>
      <c r="AD91" s="121">
        <v>4.6411530000000001</v>
      </c>
      <c r="AE91" s="121">
        <v>4.7570300000000003</v>
      </c>
      <c r="AF91" s="121">
        <v>4.8549150000000001</v>
      </c>
      <c r="AG91" s="120">
        <v>3.3888000000000001E-2</v>
      </c>
    </row>
    <row r="93" spans="1:33" ht="15" customHeight="1" x14ac:dyDescent="0.25">
      <c r="B93" s="117" t="s">
        <v>687</v>
      </c>
    </row>
    <row r="94" spans="1:33" ht="15" customHeight="1" x14ac:dyDescent="0.25">
      <c r="A94" s="112" t="s">
        <v>721</v>
      </c>
      <c r="B94" s="118" t="s">
        <v>661</v>
      </c>
      <c r="C94" s="121">
        <v>2.9822760000000001</v>
      </c>
      <c r="D94" s="121">
        <v>3.0971150000000001</v>
      </c>
      <c r="E94" s="121">
        <v>2.91811</v>
      </c>
      <c r="F94" s="121">
        <v>3.0539070000000001</v>
      </c>
      <c r="G94" s="121">
        <v>3.0277159999999999</v>
      </c>
      <c r="H94" s="121">
        <v>3.003196</v>
      </c>
      <c r="I94" s="121">
        <v>3.0061149999999999</v>
      </c>
      <c r="J94" s="121">
        <v>3.1154470000000001</v>
      </c>
      <c r="K94" s="121">
        <v>3.2146240000000001</v>
      </c>
      <c r="L94" s="121">
        <v>3.2915649999999999</v>
      </c>
      <c r="M94" s="121">
        <v>3.3999830000000002</v>
      </c>
      <c r="N94" s="121">
        <v>3.4987590000000002</v>
      </c>
      <c r="O94" s="121">
        <v>3.5833970000000002</v>
      </c>
      <c r="P94" s="121">
        <v>3.6861280000000001</v>
      </c>
      <c r="Q94" s="121">
        <v>3.7861910000000001</v>
      </c>
      <c r="R94" s="121">
        <v>3.90578</v>
      </c>
      <c r="S94" s="121">
        <v>4.0331250000000001</v>
      </c>
      <c r="T94" s="121">
        <v>4.142811</v>
      </c>
      <c r="U94" s="121">
        <v>4.2484669999999998</v>
      </c>
      <c r="V94" s="121">
        <v>4.3904899999999998</v>
      </c>
      <c r="W94" s="121">
        <v>4.5091239999999999</v>
      </c>
      <c r="X94" s="121">
        <v>4.6198259999999998</v>
      </c>
      <c r="Y94" s="121">
        <v>4.7780839999999998</v>
      </c>
      <c r="Z94" s="121">
        <v>4.9497499999999999</v>
      </c>
      <c r="AA94" s="121">
        <v>5.0864149999999997</v>
      </c>
      <c r="AB94" s="121">
        <v>5.2607280000000003</v>
      </c>
      <c r="AC94" s="121">
        <v>5.3970690000000001</v>
      </c>
      <c r="AD94" s="121">
        <v>5.5069100000000004</v>
      </c>
      <c r="AE94" s="121">
        <v>5.6310659999999997</v>
      </c>
      <c r="AF94" s="121">
        <v>5.7451140000000001</v>
      </c>
      <c r="AG94" s="120">
        <v>2.2866999999999998E-2</v>
      </c>
    </row>
    <row r="95" spans="1:33" ht="15" customHeight="1" x14ac:dyDescent="0.25">
      <c r="A95" s="112" t="s">
        <v>722</v>
      </c>
      <c r="B95" s="118" t="s">
        <v>665</v>
      </c>
      <c r="C95" s="121">
        <v>1.943667</v>
      </c>
      <c r="D95" s="121">
        <v>2.0447389999999999</v>
      </c>
      <c r="E95" s="121">
        <v>1.9989710000000001</v>
      </c>
      <c r="F95" s="121">
        <v>2.1905429999999999</v>
      </c>
      <c r="G95" s="121">
        <v>2.2749969999999999</v>
      </c>
      <c r="H95" s="121">
        <v>2.360414</v>
      </c>
      <c r="I95" s="121">
        <v>2.492645</v>
      </c>
      <c r="J95" s="121">
        <v>2.5842019999999999</v>
      </c>
      <c r="K95" s="121">
        <v>2.664663</v>
      </c>
      <c r="L95" s="121">
        <v>2.7435900000000002</v>
      </c>
      <c r="M95" s="121">
        <v>2.8598759999999999</v>
      </c>
      <c r="N95" s="121">
        <v>2.9413629999999999</v>
      </c>
      <c r="O95" s="121">
        <v>3.0331790000000001</v>
      </c>
      <c r="P95" s="121">
        <v>3.1062379999999998</v>
      </c>
      <c r="Q95" s="121">
        <v>3.1831489999999998</v>
      </c>
      <c r="R95" s="121">
        <v>3.2496749999999999</v>
      </c>
      <c r="S95" s="121">
        <v>3.3316849999999998</v>
      </c>
      <c r="T95" s="121">
        <v>3.4432849999999999</v>
      </c>
      <c r="U95" s="121">
        <v>3.515679</v>
      </c>
      <c r="V95" s="121">
        <v>3.6453350000000002</v>
      </c>
      <c r="W95" s="121">
        <v>3.7369140000000001</v>
      </c>
      <c r="X95" s="121">
        <v>3.808675</v>
      </c>
      <c r="Y95" s="121">
        <v>3.9298730000000002</v>
      </c>
      <c r="Z95" s="121">
        <v>4.0225629999999999</v>
      </c>
      <c r="AA95" s="121">
        <v>4.0668569999999997</v>
      </c>
      <c r="AB95" s="121">
        <v>4.2185430000000004</v>
      </c>
      <c r="AC95" s="121">
        <v>4.3377319999999999</v>
      </c>
      <c r="AD95" s="121">
        <v>4.4473919999999998</v>
      </c>
      <c r="AE95" s="121">
        <v>4.5653420000000002</v>
      </c>
      <c r="AF95" s="121">
        <v>4.6682949999999996</v>
      </c>
      <c r="AG95" s="120">
        <v>3.0675999999999998E-2</v>
      </c>
    </row>
    <row r="96" spans="1:33" ht="15" customHeight="1" x14ac:dyDescent="0.25"/>
    <row r="97" spans="1:33" ht="15" customHeight="1" x14ac:dyDescent="0.25">
      <c r="B97" s="117" t="s">
        <v>723</v>
      </c>
    </row>
    <row r="98" spans="1:33" ht="15" customHeight="1" x14ac:dyDescent="0.25">
      <c r="A98" s="112" t="s">
        <v>724</v>
      </c>
      <c r="B98" s="118" t="s">
        <v>659</v>
      </c>
      <c r="C98" s="121">
        <v>1.7823880000000001</v>
      </c>
      <c r="D98" s="121">
        <v>2.0011770000000002</v>
      </c>
      <c r="E98" s="121">
        <v>1.9240569999999999</v>
      </c>
      <c r="F98" s="121">
        <v>1.9675050000000001</v>
      </c>
      <c r="G98" s="121">
        <v>2.004718</v>
      </c>
      <c r="H98" s="121">
        <v>2.063593</v>
      </c>
      <c r="I98" s="121">
        <v>2.1503260000000002</v>
      </c>
      <c r="J98" s="121">
        <v>2.25976</v>
      </c>
      <c r="K98" s="121">
        <v>2.3607420000000001</v>
      </c>
      <c r="L98" s="121">
        <v>2.4645929999999998</v>
      </c>
      <c r="M98" s="121">
        <v>2.5872639999999998</v>
      </c>
      <c r="N98" s="121">
        <v>2.6847940000000001</v>
      </c>
      <c r="O98" s="121">
        <v>2.7861310000000001</v>
      </c>
      <c r="P98" s="121">
        <v>2.8763480000000001</v>
      </c>
      <c r="Q98" s="121">
        <v>2.9603030000000001</v>
      </c>
      <c r="R98" s="121">
        <v>3.0478710000000002</v>
      </c>
      <c r="S98" s="121">
        <v>3.1414960000000001</v>
      </c>
      <c r="T98" s="121">
        <v>3.2369590000000001</v>
      </c>
      <c r="U98" s="121">
        <v>3.3243179999999999</v>
      </c>
      <c r="V98" s="121">
        <v>3.4374889999999998</v>
      </c>
      <c r="W98" s="121">
        <v>3.543892</v>
      </c>
      <c r="X98" s="121">
        <v>3.6338339999999998</v>
      </c>
      <c r="Y98" s="121">
        <v>3.7427000000000001</v>
      </c>
      <c r="Z98" s="121">
        <v>3.8607830000000001</v>
      </c>
      <c r="AA98" s="121">
        <v>3.959438</v>
      </c>
      <c r="AB98" s="121">
        <v>4.0672790000000001</v>
      </c>
      <c r="AC98" s="121">
        <v>4.1729789999999998</v>
      </c>
      <c r="AD98" s="121">
        <v>4.2757360000000002</v>
      </c>
      <c r="AE98" s="121">
        <v>4.3714230000000001</v>
      </c>
      <c r="AF98" s="121">
        <v>4.4658990000000003</v>
      </c>
      <c r="AG98" s="120">
        <v>3.218E-2</v>
      </c>
    </row>
    <row r="99" spans="1:33" ht="15" customHeight="1" x14ac:dyDescent="0.25">
      <c r="A99" s="112" t="s">
        <v>725</v>
      </c>
      <c r="B99" s="118" t="s">
        <v>680</v>
      </c>
      <c r="C99" s="121">
        <v>3.1081029999999998</v>
      </c>
      <c r="D99" s="121">
        <v>3.0526659999999999</v>
      </c>
      <c r="E99" s="121">
        <v>2.7837360000000002</v>
      </c>
      <c r="F99" s="121">
        <v>2.8293469999999998</v>
      </c>
      <c r="G99" s="121">
        <v>2.8664320000000001</v>
      </c>
      <c r="H99" s="121">
        <v>2.9656400000000001</v>
      </c>
      <c r="I99" s="121">
        <v>3.0744579999999999</v>
      </c>
      <c r="J99" s="121">
        <v>3.1851210000000001</v>
      </c>
      <c r="K99" s="121">
        <v>3.286413</v>
      </c>
      <c r="L99" s="121">
        <v>3.4452759999999998</v>
      </c>
      <c r="M99" s="121">
        <v>3.636428</v>
      </c>
      <c r="N99" s="121">
        <v>3.7541229999999999</v>
      </c>
      <c r="O99" s="121">
        <v>3.8681160000000001</v>
      </c>
      <c r="P99" s="121">
        <v>3.984267</v>
      </c>
      <c r="Q99" s="121">
        <v>4.0869559999999998</v>
      </c>
      <c r="R99" s="121">
        <v>4.206232</v>
      </c>
      <c r="S99" s="121">
        <v>4.3255809999999997</v>
      </c>
      <c r="T99" s="121">
        <v>4.4696939999999996</v>
      </c>
      <c r="U99" s="121">
        <v>4.5702360000000004</v>
      </c>
      <c r="V99" s="121">
        <v>4.709835</v>
      </c>
      <c r="W99" s="121">
        <v>4.8464919999999996</v>
      </c>
      <c r="X99" s="121">
        <v>4.9642010000000001</v>
      </c>
      <c r="Y99" s="121">
        <v>5.1276460000000004</v>
      </c>
      <c r="Z99" s="121">
        <v>5.2935530000000002</v>
      </c>
      <c r="AA99" s="121">
        <v>5.4304050000000004</v>
      </c>
      <c r="AB99" s="121">
        <v>5.5981800000000002</v>
      </c>
      <c r="AC99" s="121">
        <v>5.7425499999999996</v>
      </c>
      <c r="AD99" s="121">
        <v>5.8571479999999996</v>
      </c>
      <c r="AE99" s="121">
        <v>5.9941750000000003</v>
      </c>
      <c r="AF99" s="121">
        <v>6.1293749999999996</v>
      </c>
      <c r="AG99" s="120">
        <v>2.3692999999999999E-2</v>
      </c>
    </row>
    <row r="100" spans="1:33" ht="15" customHeight="1" x14ac:dyDescent="0.25">
      <c r="A100" s="112" t="s">
        <v>726</v>
      </c>
      <c r="B100" s="118" t="s">
        <v>682</v>
      </c>
      <c r="C100" s="121">
        <v>1.9841310000000001</v>
      </c>
      <c r="D100" s="121">
        <v>2.1241590000000001</v>
      </c>
      <c r="E100" s="121">
        <v>2.018116</v>
      </c>
      <c r="F100" s="121">
        <v>2.2325300000000001</v>
      </c>
      <c r="G100" s="121">
        <v>2.2945579999999999</v>
      </c>
      <c r="H100" s="121">
        <v>2.3730410000000002</v>
      </c>
      <c r="I100" s="121">
        <v>2.4768469999999998</v>
      </c>
      <c r="J100" s="121">
        <v>2.58317</v>
      </c>
      <c r="K100" s="121">
        <v>2.673524</v>
      </c>
      <c r="L100" s="121">
        <v>2.7263060000000001</v>
      </c>
      <c r="M100" s="121">
        <v>2.8717670000000002</v>
      </c>
      <c r="N100" s="121">
        <v>2.96759</v>
      </c>
      <c r="O100" s="121">
        <v>3.0530379999999999</v>
      </c>
      <c r="P100" s="121">
        <v>3.1519159999999999</v>
      </c>
      <c r="Q100" s="121">
        <v>3.2425649999999999</v>
      </c>
      <c r="R100" s="121">
        <v>3.3516119999999998</v>
      </c>
      <c r="S100" s="121">
        <v>3.4756710000000002</v>
      </c>
      <c r="T100" s="121">
        <v>3.5886800000000001</v>
      </c>
      <c r="U100" s="121">
        <v>3.6891419999999999</v>
      </c>
      <c r="V100" s="121">
        <v>3.8116750000000001</v>
      </c>
      <c r="W100" s="121">
        <v>3.92828</v>
      </c>
      <c r="X100" s="121">
        <v>4.0267299999999997</v>
      </c>
      <c r="Y100" s="121">
        <v>4.1837299999999997</v>
      </c>
      <c r="Z100" s="121">
        <v>4.3498970000000003</v>
      </c>
      <c r="AA100" s="121">
        <v>4.4739680000000002</v>
      </c>
      <c r="AB100" s="121">
        <v>4.625934</v>
      </c>
      <c r="AC100" s="121">
        <v>4.7535280000000002</v>
      </c>
      <c r="AD100" s="121">
        <v>4.8551739999999999</v>
      </c>
      <c r="AE100" s="121">
        <v>4.9770799999999999</v>
      </c>
      <c r="AF100" s="121">
        <v>5.0759220000000003</v>
      </c>
      <c r="AG100" s="120">
        <v>3.2920999999999999E-2</v>
      </c>
    </row>
    <row r="101" spans="1:33" x14ac:dyDescent="0.25">
      <c r="A101" s="112" t="s">
        <v>727</v>
      </c>
      <c r="B101" s="118" t="s">
        <v>661</v>
      </c>
      <c r="C101" s="121">
        <v>3.1917279999999999</v>
      </c>
      <c r="D101" s="121">
        <v>3.1799539999999999</v>
      </c>
      <c r="E101" s="121">
        <v>3.1085829999999999</v>
      </c>
      <c r="F101" s="121">
        <v>3.2866379999999999</v>
      </c>
      <c r="G101" s="121">
        <v>3.3490829999999998</v>
      </c>
      <c r="H101" s="121">
        <v>3.4152610000000001</v>
      </c>
      <c r="I101" s="121">
        <v>3.50075</v>
      </c>
      <c r="J101" s="121">
        <v>3.617934</v>
      </c>
      <c r="K101" s="121">
        <v>3.7255880000000001</v>
      </c>
      <c r="L101" s="121">
        <v>3.8059340000000002</v>
      </c>
      <c r="M101" s="121">
        <v>3.9852340000000002</v>
      </c>
      <c r="N101" s="121">
        <v>4.0897009999999998</v>
      </c>
      <c r="O101" s="121">
        <v>4.200717</v>
      </c>
      <c r="P101" s="121">
        <v>4.3007600000000004</v>
      </c>
      <c r="Q101" s="121">
        <v>4.4132360000000004</v>
      </c>
      <c r="R101" s="121">
        <v>4.5429110000000001</v>
      </c>
      <c r="S101" s="121">
        <v>4.6861550000000003</v>
      </c>
      <c r="T101" s="121">
        <v>4.8160530000000001</v>
      </c>
      <c r="U101" s="121">
        <v>4.937392</v>
      </c>
      <c r="V101" s="121">
        <v>5.0912199999999999</v>
      </c>
      <c r="W101" s="121">
        <v>5.229317</v>
      </c>
      <c r="X101" s="121">
        <v>5.3512320000000004</v>
      </c>
      <c r="Y101" s="121">
        <v>5.5315750000000001</v>
      </c>
      <c r="Z101" s="121">
        <v>5.721857</v>
      </c>
      <c r="AA101" s="121">
        <v>5.8766870000000004</v>
      </c>
      <c r="AB101" s="121">
        <v>6.0545020000000003</v>
      </c>
      <c r="AC101" s="121">
        <v>6.2042460000000004</v>
      </c>
      <c r="AD101" s="121">
        <v>6.3326279999999997</v>
      </c>
      <c r="AE101" s="121">
        <v>6.470853</v>
      </c>
      <c r="AF101" s="121">
        <v>6.5986229999999999</v>
      </c>
      <c r="AG101" s="120">
        <v>2.5361000000000002E-2</v>
      </c>
    </row>
    <row r="102" spans="1:33" x14ac:dyDescent="0.25">
      <c r="A102" s="112" t="s">
        <v>728</v>
      </c>
      <c r="B102" s="118" t="s">
        <v>729</v>
      </c>
      <c r="C102" s="119">
        <v>75.529373000000007</v>
      </c>
      <c r="D102" s="119">
        <v>67.341308999999995</v>
      </c>
      <c r="E102" s="119">
        <v>82.432158999999999</v>
      </c>
      <c r="F102" s="119">
        <v>90.664023999999998</v>
      </c>
      <c r="G102" s="119">
        <v>94.250336000000004</v>
      </c>
      <c r="H102" s="119">
        <v>98.002944999999997</v>
      </c>
      <c r="I102" s="119">
        <v>103.275398</v>
      </c>
      <c r="J102" s="119">
        <v>107.16776299999999</v>
      </c>
      <c r="K102" s="119">
        <v>110.512619</v>
      </c>
      <c r="L102" s="119">
        <v>113.991776</v>
      </c>
      <c r="M102" s="119">
        <v>118.415207</v>
      </c>
      <c r="N102" s="119">
        <v>121.90877500000001</v>
      </c>
      <c r="O102" s="119">
        <v>125.655045</v>
      </c>
      <c r="P102" s="119">
        <v>128.56744399999999</v>
      </c>
      <c r="Q102" s="119">
        <v>131.69477800000001</v>
      </c>
      <c r="R102" s="119">
        <v>134.42761200000001</v>
      </c>
      <c r="S102" s="119">
        <v>137.63621499999999</v>
      </c>
      <c r="T102" s="119">
        <v>142.45193499999999</v>
      </c>
      <c r="U102" s="119">
        <v>145.026352</v>
      </c>
      <c r="V102" s="119">
        <v>151.56158400000001</v>
      </c>
      <c r="W102" s="119">
        <v>156.26426699999999</v>
      </c>
      <c r="X102" s="119">
        <v>160.65982099999999</v>
      </c>
      <c r="Y102" s="119">
        <v>167.479141</v>
      </c>
      <c r="Z102" s="119">
        <v>173.55737300000001</v>
      </c>
      <c r="AA102" s="119">
        <v>178.430115</v>
      </c>
      <c r="AB102" s="119">
        <v>184.18533300000001</v>
      </c>
      <c r="AC102" s="119">
        <v>189.01692199999999</v>
      </c>
      <c r="AD102" s="119">
        <v>193.00422699999999</v>
      </c>
      <c r="AE102" s="119">
        <v>197.81706199999999</v>
      </c>
      <c r="AF102" s="119">
        <v>201.85968</v>
      </c>
      <c r="AG102" s="120">
        <v>3.4479000000000003E-2</v>
      </c>
    </row>
    <row r="103" spans="1:33" ht="15" customHeight="1" x14ac:dyDescent="0.25">
      <c r="A103" s="112" t="s">
        <v>730</v>
      </c>
      <c r="B103" s="117" t="s">
        <v>699</v>
      </c>
      <c r="C103" s="127">
        <v>2.540254</v>
      </c>
      <c r="D103" s="127">
        <v>2.5029509999999999</v>
      </c>
      <c r="E103" s="127">
        <v>2.3378930000000002</v>
      </c>
      <c r="F103" s="127">
        <v>2.4137960000000001</v>
      </c>
      <c r="G103" s="127">
        <v>2.4398149999999998</v>
      </c>
      <c r="H103" s="127">
        <v>2.4990009999999998</v>
      </c>
      <c r="I103" s="127">
        <v>2.5762990000000001</v>
      </c>
      <c r="J103" s="127">
        <v>2.6645219999999998</v>
      </c>
      <c r="K103" s="127">
        <v>2.7446999999999999</v>
      </c>
      <c r="L103" s="127">
        <v>2.8438530000000002</v>
      </c>
      <c r="M103" s="127">
        <v>2.9790169999999998</v>
      </c>
      <c r="N103" s="127">
        <v>3.0709119999999999</v>
      </c>
      <c r="O103" s="127">
        <v>3.1640839999999999</v>
      </c>
      <c r="P103" s="127">
        <v>3.2497159999999998</v>
      </c>
      <c r="Q103" s="127">
        <v>3.3338890000000001</v>
      </c>
      <c r="R103" s="127">
        <v>3.4322330000000001</v>
      </c>
      <c r="S103" s="127">
        <v>3.534424</v>
      </c>
      <c r="T103" s="127">
        <v>3.6466219999999998</v>
      </c>
      <c r="U103" s="127">
        <v>3.728815</v>
      </c>
      <c r="V103" s="127">
        <v>3.8449450000000001</v>
      </c>
      <c r="W103" s="127">
        <v>3.9513099999999999</v>
      </c>
      <c r="X103" s="127">
        <v>4.0451959999999998</v>
      </c>
      <c r="Y103" s="127">
        <v>4.1858500000000003</v>
      </c>
      <c r="Z103" s="127">
        <v>4.3257199999999996</v>
      </c>
      <c r="AA103" s="127">
        <v>4.436896</v>
      </c>
      <c r="AB103" s="127">
        <v>4.5764810000000002</v>
      </c>
      <c r="AC103" s="127">
        <v>4.6969760000000003</v>
      </c>
      <c r="AD103" s="127">
        <v>4.8007520000000001</v>
      </c>
      <c r="AE103" s="127">
        <v>4.9125870000000003</v>
      </c>
      <c r="AF103" s="127">
        <v>5.0205929999999999</v>
      </c>
      <c r="AG103" s="128">
        <v>2.3771E-2</v>
      </c>
    </row>
    <row r="104" spans="1:33" ht="15" customHeight="1" thickBot="1" x14ac:dyDescent="0.3"/>
    <row r="105" spans="1:33" ht="15" customHeight="1" x14ac:dyDescent="0.25">
      <c r="B105" s="129" t="s">
        <v>731</v>
      </c>
    </row>
    <row r="106" spans="1:33" ht="15" customHeight="1" x14ac:dyDescent="0.25">
      <c r="B106" s="315" t="s">
        <v>732</v>
      </c>
    </row>
    <row r="107" spans="1:33" ht="15" customHeight="1" x14ac:dyDescent="0.25">
      <c r="B107" s="315" t="s">
        <v>733</v>
      </c>
    </row>
    <row r="108" spans="1:33" ht="15" customHeight="1" x14ac:dyDescent="0.25">
      <c r="B108" s="315" t="s">
        <v>734</v>
      </c>
    </row>
    <row r="109" spans="1:33" ht="15" customHeight="1" x14ac:dyDescent="0.25">
      <c r="B109" s="315" t="s">
        <v>735</v>
      </c>
    </row>
    <row r="110" spans="1:33" ht="15" customHeight="1" x14ac:dyDescent="0.25">
      <c r="B110" s="315" t="s">
        <v>736</v>
      </c>
    </row>
    <row r="111" spans="1:33" ht="15" customHeight="1" x14ac:dyDescent="0.25">
      <c r="B111" s="315" t="s">
        <v>737</v>
      </c>
    </row>
    <row r="112" spans="1:33" ht="15" customHeight="1" x14ac:dyDescent="0.25">
      <c r="B112" s="586" t="s">
        <v>738</v>
      </c>
      <c r="C112" s="585"/>
      <c r="D112" s="585"/>
      <c r="E112" s="585"/>
      <c r="F112" s="585"/>
      <c r="G112" s="585"/>
      <c r="H112" s="585"/>
      <c r="I112" s="585"/>
      <c r="J112" s="585"/>
      <c r="K112" s="585"/>
      <c r="L112" s="585"/>
      <c r="M112" s="585"/>
      <c r="N112" s="585"/>
      <c r="O112" s="585"/>
      <c r="P112" s="585"/>
      <c r="Q112" s="585"/>
      <c r="R112" s="585"/>
      <c r="S112" s="585"/>
      <c r="T112" s="585"/>
      <c r="U112" s="585"/>
      <c r="V112" s="585"/>
      <c r="W112" s="585"/>
      <c r="X112" s="585"/>
      <c r="Y112" s="585"/>
      <c r="Z112" s="585"/>
      <c r="AA112" s="585"/>
      <c r="AB112" s="585"/>
      <c r="AC112" s="585"/>
      <c r="AD112" s="585"/>
      <c r="AE112" s="585"/>
      <c r="AF112" s="585"/>
      <c r="AG112" s="585"/>
    </row>
    <row r="113" spans="2:33" ht="15" customHeight="1" x14ac:dyDescent="0.25">
      <c r="B113" s="315" t="s">
        <v>739</v>
      </c>
    </row>
    <row r="114" spans="2:33" ht="15" customHeight="1" x14ac:dyDescent="0.25">
      <c r="B114" s="315" t="s">
        <v>740</v>
      </c>
    </row>
    <row r="115" spans="2:33" ht="15" customHeight="1" x14ac:dyDescent="0.25">
      <c r="B115" s="315" t="s">
        <v>741</v>
      </c>
    </row>
    <row r="116" spans="2:33" ht="15" customHeight="1" x14ac:dyDescent="0.25"/>
    <row r="117" spans="2:33" ht="15" customHeight="1" thickBot="1" x14ac:dyDescent="0.3">
      <c r="B117" s="106" t="s">
        <v>645</v>
      </c>
      <c r="C117" s="106">
        <v>2021</v>
      </c>
      <c r="D117" s="106">
        <v>2022</v>
      </c>
      <c r="E117" s="106">
        <v>2023</v>
      </c>
      <c r="F117" s="106">
        <v>2024</v>
      </c>
      <c r="G117" s="106">
        <v>2025</v>
      </c>
      <c r="H117" s="106">
        <v>2026</v>
      </c>
      <c r="I117" s="106">
        <v>2027</v>
      </c>
      <c r="J117" s="106">
        <v>2028</v>
      </c>
      <c r="K117" s="106">
        <v>2029</v>
      </c>
      <c r="L117" s="106">
        <v>2030</v>
      </c>
      <c r="M117" s="106">
        <v>2031</v>
      </c>
      <c r="N117" s="106">
        <v>2032</v>
      </c>
      <c r="O117" s="106">
        <v>2033</v>
      </c>
      <c r="P117" s="106">
        <v>2034</v>
      </c>
      <c r="Q117" s="106">
        <v>2035</v>
      </c>
      <c r="R117" s="106">
        <v>2036</v>
      </c>
      <c r="S117" s="106">
        <v>2037</v>
      </c>
      <c r="T117" s="106">
        <v>2038</v>
      </c>
      <c r="U117" s="106">
        <v>2039</v>
      </c>
      <c r="V117" s="106">
        <v>2040</v>
      </c>
      <c r="W117" s="106">
        <v>2041</v>
      </c>
      <c r="X117" s="106">
        <v>2042</v>
      </c>
      <c r="Y117" s="106">
        <v>2043</v>
      </c>
      <c r="Z117" s="106">
        <v>2044</v>
      </c>
      <c r="AA117" s="106">
        <v>2045</v>
      </c>
      <c r="AB117" s="106">
        <v>2046</v>
      </c>
      <c r="AC117" s="106">
        <v>2047</v>
      </c>
      <c r="AD117" s="106">
        <v>2048</v>
      </c>
      <c r="AE117" s="106">
        <v>2049</v>
      </c>
      <c r="AF117" s="106">
        <v>2050</v>
      </c>
      <c r="AG117" s="116" t="s">
        <v>646</v>
      </c>
    </row>
    <row r="118" spans="2:33" ht="15" customHeight="1" thickTop="1" x14ac:dyDescent="0.25">
      <c r="B118" s="315" t="s">
        <v>742</v>
      </c>
    </row>
    <row r="119" spans="2:33" ht="15" customHeight="1" x14ac:dyDescent="0.25">
      <c r="B119" s="123" t="s">
        <v>743</v>
      </c>
      <c r="D119" s="130">
        <f>(D42-C42)/C42</f>
        <v>-4.1151376601189039E-2</v>
      </c>
      <c r="E119" s="130">
        <f>(E42-D42)/D42</f>
        <v>-0.10522348960286473</v>
      </c>
      <c r="F119" s="130">
        <f t="shared" ref="F119:AF120" si="0">(F42-E42)/E42</f>
        <v>-6.6261833206566079E-3</v>
      </c>
      <c r="G119" s="130">
        <f t="shared" si="0"/>
        <v>-1.031199774484012E-2</v>
      </c>
      <c r="H119" s="130">
        <f t="shared" si="0"/>
        <v>1.0334412797696452E-2</v>
      </c>
      <c r="I119" s="130">
        <f t="shared" si="0"/>
        <v>1.1731139374268743E-2</v>
      </c>
      <c r="J119" s="130">
        <f t="shared" si="0"/>
        <v>1.0589439507248655E-2</v>
      </c>
      <c r="K119" s="130">
        <f t="shared" si="0"/>
        <v>7.285251730048764E-3</v>
      </c>
      <c r="L119" s="130">
        <f t="shared" si="0"/>
        <v>2.4489273918624717E-2</v>
      </c>
      <c r="M119" s="130">
        <f t="shared" si="0"/>
        <v>3.1803409332348001E-2</v>
      </c>
      <c r="N119" s="130">
        <f t="shared" si="0"/>
        <v>9.9318739314135096E-3</v>
      </c>
      <c r="O119" s="130">
        <f t="shared" si="0"/>
        <v>8.064732046317219E-3</v>
      </c>
      <c r="P119" s="130">
        <f t="shared" si="0"/>
        <v>7.5326963354974746E-3</v>
      </c>
      <c r="Q119" s="130">
        <f t="shared" si="0"/>
        <v>3.5462275243088128E-3</v>
      </c>
      <c r="R119" s="130">
        <f t="shared" si="0"/>
        <v>6.9380739351763195E-3</v>
      </c>
      <c r="S119" s="130">
        <f t="shared" si="0"/>
        <v>6.0966269723151225E-3</v>
      </c>
      <c r="T119" s="130">
        <f t="shared" si="0"/>
        <v>1.0796335269458029E-2</v>
      </c>
      <c r="U119" s="130">
        <f t="shared" si="0"/>
        <v>3.6044082965848754E-4</v>
      </c>
      <c r="V119" s="130">
        <f t="shared" si="0"/>
        <v>7.6825791952639475E-3</v>
      </c>
      <c r="W119" s="130">
        <f t="shared" si="0"/>
        <v>6.1895101961185282E-3</v>
      </c>
      <c r="X119" s="130">
        <f t="shared" si="0"/>
        <v>1.4480451390622203E-3</v>
      </c>
      <c r="Y119" s="130">
        <f t="shared" si="0"/>
        <v>9.7778169178249687E-3</v>
      </c>
      <c r="Z119" s="130">
        <f t="shared" si="0"/>
        <v>9.3102400135434884E-3</v>
      </c>
      <c r="AA119" s="130">
        <f t="shared" si="0"/>
        <v>3.0598555654141996E-3</v>
      </c>
      <c r="AB119" s="130">
        <f t="shared" si="0"/>
        <v>7.8619335023069684E-3</v>
      </c>
      <c r="AC119" s="130">
        <f t="shared" si="0"/>
        <v>2.9352826886825051E-3</v>
      </c>
      <c r="AD119" s="130">
        <f t="shared" si="0"/>
        <v>-2.831443719847095E-3</v>
      </c>
      <c r="AE119" s="130">
        <f t="shared" si="0"/>
        <v>4.468015512999544E-4</v>
      </c>
      <c r="AF119" s="130">
        <f t="shared" si="0"/>
        <v>-3.3981953133164512E-4</v>
      </c>
    </row>
    <row r="120" spans="2:33" ht="15" customHeight="1" x14ac:dyDescent="0.25">
      <c r="B120" s="123" t="s">
        <v>744</v>
      </c>
      <c r="D120" s="130">
        <f>(D43-C43)/C43</f>
        <v>4.5337732236429916E-2</v>
      </c>
      <c r="E120" s="130">
        <f>(E43-D43)/D43</f>
        <v>-6.6516978313831535E-2</v>
      </c>
      <c r="F120" s="130">
        <f t="shared" si="0"/>
        <v>8.1753502485634857E-2</v>
      </c>
      <c r="G120" s="130">
        <f t="shared" si="0"/>
        <v>3.9428765141496167E-3</v>
      </c>
      <c r="H120" s="130">
        <f t="shared" si="0"/>
        <v>9.4451430278103769E-3</v>
      </c>
      <c r="I120" s="130">
        <f t="shared" si="0"/>
        <v>1.7929092101494043E-2</v>
      </c>
      <c r="J120" s="130">
        <f t="shared" si="0"/>
        <v>1.7353649454799995E-2</v>
      </c>
      <c r="K120" s="130">
        <f t="shared" si="0"/>
        <v>1.0388171115024642E-2</v>
      </c>
      <c r="L120" s="130">
        <f t="shared" si="0"/>
        <v>-3.468396527371082E-3</v>
      </c>
      <c r="M120" s="130">
        <f t="shared" si="0"/>
        <v>2.960679701139712E-2</v>
      </c>
      <c r="N120" s="130">
        <f t="shared" si="0"/>
        <v>1.0907811091597249E-2</v>
      </c>
      <c r="O120" s="130">
        <f t="shared" si="0"/>
        <v>6.5154823558011849E-3</v>
      </c>
      <c r="P120" s="130">
        <f t="shared" si="0"/>
        <v>9.83870000806524E-3</v>
      </c>
      <c r="Q120" s="130">
        <f t="shared" si="0"/>
        <v>6.4721657154595625E-3</v>
      </c>
      <c r="R120" s="130">
        <f t="shared" si="0"/>
        <v>1.1286766968023519E-2</v>
      </c>
      <c r="S120" s="130">
        <f t="shared" si="0"/>
        <v>1.4551669357068602E-2</v>
      </c>
      <c r="T120" s="130">
        <f t="shared" si="0"/>
        <v>1.001388841785375E-2</v>
      </c>
      <c r="U120" s="130">
        <f t="shared" si="0"/>
        <v>5.7463921764219633E-3</v>
      </c>
      <c r="V120" s="130">
        <f t="shared" si="0"/>
        <v>1.0296052216391257E-2</v>
      </c>
      <c r="W120" s="130">
        <f t="shared" si="0"/>
        <v>7.7352274444612993E-3</v>
      </c>
      <c r="X120" s="130">
        <f t="shared" si="0"/>
        <v>2.2110967543787501E-3</v>
      </c>
      <c r="Y120" s="130">
        <f t="shared" si="0"/>
        <v>1.5710478999624012E-2</v>
      </c>
      <c r="Z120" s="130">
        <f t="shared" si="0"/>
        <v>1.6507756917190124E-2</v>
      </c>
      <c r="AA120" s="130">
        <f t="shared" si="0"/>
        <v>5.6773166273107589E-3</v>
      </c>
      <c r="AB120" s="130">
        <f t="shared" si="0"/>
        <v>1.0864736490173567E-2</v>
      </c>
      <c r="AC120" s="130">
        <f t="shared" si="0"/>
        <v>4.6927296145301764E-3</v>
      </c>
      <c r="AD120" s="130">
        <f t="shared" si="0"/>
        <v>-1.4310601347966979E-3</v>
      </c>
      <c r="AE120" s="130">
        <f t="shared" si="0"/>
        <v>2.1250360930256747E-3</v>
      </c>
      <c r="AF120" s="130">
        <f t="shared" si="0"/>
        <v>-2.9682880956143874E-3</v>
      </c>
    </row>
    <row r="121" spans="2:33" ht="15" customHeight="1" x14ac:dyDescent="0.25"/>
    <row r="122" spans="2:33" ht="15" customHeight="1" thickBot="1" x14ac:dyDescent="0.3"/>
    <row r="123" spans="2:33" ht="15" customHeight="1" x14ac:dyDescent="0.25">
      <c r="B123" s="101" t="s">
        <v>745</v>
      </c>
      <c r="C123" s="102"/>
      <c r="D123" s="102"/>
      <c r="E123" s="103"/>
      <c r="G123" s="131"/>
    </row>
    <row r="124" spans="2:33" ht="15" customHeight="1" x14ac:dyDescent="0.25">
      <c r="B124" s="132" t="s">
        <v>746</v>
      </c>
      <c r="C124" s="104" t="s">
        <v>747</v>
      </c>
      <c r="D124" s="104" t="s">
        <v>748</v>
      </c>
      <c r="E124" s="133" t="s">
        <v>34</v>
      </c>
    </row>
    <row r="125" spans="2:33" ht="15" customHeight="1" x14ac:dyDescent="0.25">
      <c r="B125" s="134" t="s">
        <v>743</v>
      </c>
      <c r="C125" s="135">
        <v>0.19</v>
      </c>
      <c r="D125" s="136">
        <v>0.184</v>
      </c>
      <c r="E125" s="137">
        <f>C125+D125</f>
        <v>0.374</v>
      </c>
    </row>
    <row r="126" spans="2:33" ht="15" customHeight="1" thickBot="1" x14ac:dyDescent="0.3">
      <c r="B126" s="138" t="s">
        <v>744</v>
      </c>
      <c r="C126" s="139">
        <v>0.19</v>
      </c>
      <c r="D126" s="140">
        <v>0.24399999999999999</v>
      </c>
      <c r="E126" s="141">
        <f>C126+D126</f>
        <v>0.434</v>
      </c>
    </row>
    <row r="127" spans="2:33" ht="15" customHeight="1" x14ac:dyDescent="0.25"/>
    <row r="128" spans="2:33" ht="15" customHeight="1" x14ac:dyDescent="0.25">
      <c r="B128" t="s">
        <v>749</v>
      </c>
    </row>
    <row r="129" spans="2:32" ht="15" customHeight="1" x14ac:dyDescent="0.25">
      <c r="B129" s="123" t="s">
        <v>743</v>
      </c>
      <c r="C129" s="135">
        <f>C42-E125</f>
        <v>2.735252</v>
      </c>
      <c r="D129" s="135">
        <f>C129*(1+D119)</f>
        <v>2.6226926148488445</v>
      </c>
      <c r="E129" s="135">
        <f t="shared" ref="E129:AF130" si="1">D129*(1+E119)</f>
        <v>2.3467237457587871</v>
      </c>
      <c r="F129" s="135">
        <f t="shared" si="1"/>
        <v>2.3311739240164515</v>
      </c>
      <c r="G129" s="135">
        <f t="shared" si="1"/>
        <v>2.3071348637691638</v>
      </c>
      <c r="H129" s="135">
        <f t="shared" si="1"/>
        <v>2.3309777478313118</v>
      </c>
      <c r="I129" s="135">
        <f t="shared" si="1"/>
        <v>2.3583227726694398</v>
      </c>
      <c r="J129" s="135">
        <f t="shared" si="1"/>
        <v>2.3832960890091894</v>
      </c>
      <c r="K129" s="135">
        <f t="shared" si="1"/>
        <v>2.4006590009648621</v>
      </c>
      <c r="L129" s="135">
        <f t="shared" si="1"/>
        <v>2.4594493968247022</v>
      </c>
      <c r="M129" s="135">
        <f t="shared" si="1"/>
        <v>2.5376682727241149</v>
      </c>
      <c r="N129" s="135">
        <f t="shared" si="1"/>
        <v>2.5628720740885589</v>
      </c>
      <c r="O129" s="135">
        <f t="shared" si="1"/>
        <v>2.5835409506350722</v>
      </c>
      <c r="P129" s="135">
        <f t="shared" si="1"/>
        <v>2.6030019800865287</v>
      </c>
      <c r="Q129" s="135">
        <f t="shared" si="1"/>
        <v>2.6122328173541418</v>
      </c>
      <c r="R129" s="135">
        <f t="shared" si="1"/>
        <v>2.6303566817768389</v>
      </c>
      <c r="S129" s="135">
        <f t="shared" si="1"/>
        <v>2.6463929852697685</v>
      </c>
      <c r="T129" s="135">
        <f t="shared" si="1"/>
        <v>2.674964331193483</v>
      </c>
      <c r="U129" s="135">
        <f t="shared" si="1"/>
        <v>2.6759284975563253</v>
      </c>
      <c r="V129" s="135">
        <f t="shared" si="1"/>
        <v>2.6964865301596657</v>
      </c>
      <c r="W129" s="135">
        <f t="shared" si="1"/>
        <v>2.713176461031785</v>
      </c>
      <c r="X129" s="135">
        <f t="shared" si="1"/>
        <v>2.7171052630175998</v>
      </c>
      <c r="Y129" s="135">
        <f t="shared" si="1"/>
        <v>2.7436726208258442</v>
      </c>
      <c r="Z129" s="135">
        <f t="shared" si="1"/>
        <v>2.7692168714443204</v>
      </c>
      <c r="AA129" s="135">
        <f t="shared" si="1"/>
        <v>2.7776902751002481</v>
      </c>
      <c r="AB129" s="135">
        <f t="shared" si="1"/>
        <v>2.799528291333091</v>
      </c>
      <c r="AC129" s="135">
        <f t="shared" si="1"/>
        <v>2.8077456982631182</v>
      </c>
      <c r="AD129" s="135">
        <f t="shared" si="1"/>
        <v>2.7997957243388432</v>
      </c>
      <c r="AE129" s="135">
        <f t="shared" si="1"/>
        <v>2.8010466774118008</v>
      </c>
      <c r="AF129" s="135">
        <f t="shared" si="1"/>
        <v>2.8000948270426447</v>
      </c>
    </row>
    <row r="130" spans="2:32" ht="15" customHeight="1" x14ac:dyDescent="0.25">
      <c r="B130" s="123" t="s">
        <v>744</v>
      </c>
      <c r="C130" s="135">
        <f>C44-E126</f>
        <v>2.8226489999999997</v>
      </c>
      <c r="D130" s="135">
        <f>C130*(1+D120)</f>
        <v>2.9506215045594262</v>
      </c>
      <c r="E130" s="135">
        <f t="shared" si="1"/>
        <v>2.7543550779283219</v>
      </c>
      <c r="F130" s="135">
        <f t="shared" si="1"/>
        <v>2.9795332526380558</v>
      </c>
      <c r="G130" s="135">
        <f t="shared" si="1"/>
        <v>2.99128118432301</v>
      </c>
      <c r="H130" s="135">
        <f t="shared" si="1"/>
        <v>3.019534262945339</v>
      </c>
      <c r="I130" s="135">
        <f t="shared" si="1"/>
        <v>3.0736717708493031</v>
      </c>
      <c r="J130" s="135">
        <f t="shared" si="1"/>
        <v>3.1270111932997358</v>
      </c>
      <c r="K130" s="135">
        <f t="shared" si="1"/>
        <v>3.1594951206543307</v>
      </c>
      <c r="L130" s="135">
        <f t="shared" si="1"/>
        <v>3.1485367387496073</v>
      </c>
      <c r="M130" s="135">
        <f t="shared" si="1"/>
        <v>3.2417548268566931</v>
      </c>
      <c r="N130" s="135">
        <f t="shared" si="1"/>
        <v>3.2771152761133195</v>
      </c>
      <c r="O130" s="135">
        <f t="shared" si="1"/>
        <v>3.2984672628727623</v>
      </c>
      <c r="P130" s="135">
        <f t="shared" si="1"/>
        <v>3.3309198927585917</v>
      </c>
      <c r="Q130" s="135">
        <f t="shared" si="1"/>
        <v>3.3524781582894461</v>
      </c>
      <c r="R130" s="135">
        <f t="shared" si="1"/>
        <v>3.3903167980274476</v>
      </c>
      <c r="S130" s="135">
        <f t="shared" si="1"/>
        <v>3.4396515670880587</v>
      </c>
      <c r="T130" s="135">
        <f t="shared" si="1"/>
        <v>3.4740958540771745</v>
      </c>
      <c r="U130" s="135">
        <f t="shared" si="1"/>
        <v>3.4940593713131838</v>
      </c>
      <c r="V130" s="135">
        <f t="shared" si="1"/>
        <v>3.5300343890473957</v>
      </c>
      <c r="W130" s="135">
        <f t="shared" si="1"/>
        <v>3.5573400079334472</v>
      </c>
      <c r="X130" s="135">
        <f t="shared" si="1"/>
        <v>3.5652056308792104</v>
      </c>
      <c r="Y130" s="135">
        <f t="shared" si="1"/>
        <v>3.6212167190724798</v>
      </c>
      <c r="Z130" s="135">
        <f t="shared" si="1"/>
        <v>3.680994884415393</v>
      </c>
      <c r="AA130" s="135">
        <f t="shared" si="1"/>
        <v>3.7018930578777303</v>
      </c>
      <c r="AB130" s="135">
        <f t="shared" si="1"/>
        <v>3.7421131504663743</v>
      </c>
      <c r="AC130" s="135">
        <f t="shared" si="1"/>
        <v>3.7596738756684909</v>
      </c>
      <c r="AD130" s="135">
        <f t="shared" si="1"/>
        <v>3.7542935562651851</v>
      </c>
      <c r="AE130" s="135">
        <f t="shared" si="1"/>
        <v>3.7622715655760621</v>
      </c>
      <c r="AF130" s="135">
        <f t="shared" si="1"/>
        <v>3.7511040596754945</v>
      </c>
    </row>
    <row r="131" spans="2:32" ht="15" customHeight="1" x14ac:dyDescent="0.25"/>
    <row r="132" spans="2:32" ht="15" customHeight="1" x14ac:dyDescent="0.25"/>
    <row r="133" spans="2:32" ht="15" customHeight="1" x14ac:dyDescent="0.25"/>
    <row r="134" spans="2:32" ht="15" customHeight="1" x14ac:dyDescent="0.25"/>
    <row r="135" spans="2:32" ht="15" customHeight="1" x14ac:dyDescent="0.25"/>
    <row r="136" spans="2:32" ht="15" customHeight="1" x14ac:dyDescent="0.25"/>
    <row r="137" spans="2:32" ht="15" customHeight="1" x14ac:dyDescent="0.25"/>
    <row r="138" spans="2:32" ht="15" customHeight="1" x14ac:dyDescent="0.25"/>
    <row r="139" spans="2:32" ht="15" customHeight="1" x14ac:dyDescent="0.25"/>
    <row r="140" spans="2:32"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4" ht="15" customHeight="1" x14ac:dyDescent="0.25"/>
    <row r="225"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300" ht="15" customHeight="1" x14ac:dyDescent="0.25"/>
    <row r="301" ht="15" customHeight="1" x14ac:dyDescent="0.25"/>
    <row r="302" ht="15" customHeight="1" x14ac:dyDescent="0.25"/>
    <row r="303" ht="15" customHeight="1" x14ac:dyDescent="0.25"/>
    <row r="304" ht="15" customHeight="1" x14ac:dyDescent="0.25"/>
    <row r="305" spans="2:33" ht="15" customHeight="1" x14ac:dyDescent="0.25"/>
    <row r="306" spans="2:33" ht="15" customHeight="1" x14ac:dyDescent="0.25"/>
    <row r="307" spans="2:33" ht="15" customHeight="1" x14ac:dyDescent="0.25"/>
    <row r="308" spans="2:33" ht="15" customHeight="1" x14ac:dyDescent="0.25">
      <c r="B308" s="585"/>
      <c r="C308" s="585"/>
      <c r="D308" s="585"/>
      <c r="E308" s="585"/>
      <c r="F308" s="585"/>
      <c r="G308" s="585"/>
      <c r="H308" s="585"/>
      <c r="I308" s="585"/>
      <c r="J308" s="585"/>
      <c r="K308" s="585"/>
      <c r="L308" s="585"/>
      <c r="M308" s="585"/>
      <c r="N308" s="585"/>
      <c r="O308" s="585"/>
      <c r="P308" s="585"/>
      <c r="Q308" s="585"/>
      <c r="R308" s="585"/>
      <c r="S308" s="585"/>
      <c r="T308" s="585"/>
      <c r="U308" s="585"/>
      <c r="V308" s="585"/>
      <c r="W308" s="585"/>
      <c r="X308" s="585"/>
      <c r="Y308" s="585"/>
      <c r="Z308" s="585"/>
      <c r="AA308" s="585"/>
      <c r="AB308" s="585"/>
      <c r="AC308" s="585"/>
      <c r="AD308" s="585"/>
      <c r="AE308" s="585"/>
      <c r="AF308" s="585"/>
      <c r="AG308" s="585"/>
    </row>
    <row r="309" spans="2:33" ht="15" customHeight="1" x14ac:dyDescent="0.25"/>
    <row r="310" spans="2:33" ht="15" customHeight="1" x14ac:dyDescent="0.25"/>
    <row r="311" spans="2:33" ht="15" customHeight="1" x14ac:dyDescent="0.25"/>
    <row r="312" spans="2:33" ht="15" customHeight="1" x14ac:dyDescent="0.25"/>
    <row r="313" spans="2:33" ht="15" customHeight="1" x14ac:dyDescent="0.25"/>
    <row r="314" spans="2:33" ht="15" customHeight="1" x14ac:dyDescent="0.25"/>
    <row r="315" spans="2:33" ht="15" customHeight="1" x14ac:dyDescent="0.25"/>
    <row r="316" spans="2:33" ht="15" customHeight="1" x14ac:dyDescent="0.25"/>
    <row r="317" spans="2:33" ht="15" customHeight="1" x14ac:dyDescent="0.25"/>
    <row r="318" spans="2:33" ht="15" customHeight="1" x14ac:dyDescent="0.25"/>
    <row r="319" spans="2:33" ht="15" customHeight="1" x14ac:dyDescent="0.25"/>
    <row r="320" spans="2:33"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spans="2:33" ht="15" customHeight="1" x14ac:dyDescent="0.25"/>
    <row r="498" spans="2:33" ht="15" customHeight="1" x14ac:dyDescent="0.25"/>
    <row r="500" spans="2:33" ht="15" customHeight="1" x14ac:dyDescent="0.25"/>
    <row r="501" spans="2:33" ht="15" customHeight="1" x14ac:dyDescent="0.25"/>
    <row r="502" spans="2:33" ht="15" customHeight="1" x14ac:dyDescent="0.25"/>
    <row r="503" spans="2:33" ht="15" customHeight="1" x14ac:dyDescent="0.25"/>
    <row r="504" spans="2:33" ht="15" customHeight="1" x14ac:dyDescent="0.25"/>
    <row r="505" spans="2:33" ht="15" customHeight="1" x14ac:dyDescent="0.25"/>
    <row r="506" spans="2:33" ht="15" customHeight="1" x14ac:dyDescent="0.25"/>
    <row r="507" spans="2:33" ht="15" customHeight="1" x14ac:dyDescent="0.25"/>
    <row r="508" spans="2:33" ht="15" customHeight="1" x14ac:dyDescent="0.25"/>
    <row r="510" spans="2:33" ht="15" customHeight="1" x14ac:dyDescent="0.25"/>
    <row r="511" spans="2:33" ht="15" customHeight="1" x14ac:dyDescent="0.25">
      <c r="B511" s="585"/>
      <c r="C511" s="585"/>
      <c r="D511" s="585"/>
      <c r="E511" s="585"/>
      <c r="F511" s="585"/>
      <c r="G511" s="585"/>
      <c r="H511" s="585"/>
      <c r="I511" s="585"/>
      <c r="J511" s="585"/>
      <c r="K511" s="585"/>
      <c r="L511" s="585"/>
      <c r="M511" s="585"/>
      <c r="N511" s="585"/>
      <c r="O511" s="585"/>
      <c r="P511" s="585"/>
      <c r="Q511" s="585"/>
      <c r="R511" s="585"/>
      <c r="S511" s="585"/>
      <c r="T511" s="585"/>
      <c r="U511" s="585"/>
      <c r="V511" s="585"/>
      <c r="W511" s="585"/>
      <c r="X511" s="585"/>
      <c r="Y511" s="585"/>
      <c r="Z511" s="585"/>
      <c r="AA511" s="585"/>
      <c r="AB511" s="585"/>
      <c r="AC511" s="585"/>
      <c r="AD511" s="585"/>
      <c r="AE511" s="585"/>
      <c r="AF511" s="585"/>
      <c r="AG511" s="585"/>
    </row>
    <row r="512" spans="2:33"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7"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6" ht="15" customHeight="1" x14ac:dyDescent="0.25"/>
    <row r="627" ht="15" customHeight="1" x14ac:dyDescent="0.25"/>
    <row r="628" ht="15" customHeight="1" x14ac:dyDescent="0.25"/>
    <row r="629" ht="15" customHeight="1" x14ac:dyDescent="0.25"/>
    <row r="630"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9"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60"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700" ht="15" customHeight="1" x14ac:dyDescent="0.25"/>
    <row r="701" ht="15" customHeight="1" x14ac:dyDescent="0.25"/>
    <row r="702" ht="15" customHeight="1" x14ac:dyDescent="0.25"/>
    <row r="703" ht="15" customHeight="1" x14ac:dyDescent="0.25"/>
    <row r="704" ht="15" customHeight="1" x14ac:dyDescent="0.25"/>
    <row r="705" spans="2:33" ht="15" customHeight="1" x14ac:dyDescent="0.25"/>
    <row r="706" spans="2:33" ht="15" customHeight="1" x14ac:dyDescent="0.25"/>
    <row r="707" spans="2:33" ht="15" customHeight="1" x14ac:dyDescent="0.25"/>
    <row r="708" spans="2:33" ht="15" customHeight="1" x14ac:dyDescent="0.25"/>
    <row r="709" spans="2:33" ht="15" customHeight="1" x14ac:dyDescent="0.25"/>
    <row r="710" spans="2:33" ht="15" customHeight="1" x14ac:dyDescent="0.25"/>
    <row r="711" spans="2:33" ht="15" customHeight="1" x14ac:dyDescent="0.25"/>
    <row r="712" spans="2:33" ht="15" customHeight="1" x14ac:dyDescent="0.25">
      <c r="B712" s="585"/>
      <c r="C712" s="585"/>
      <c r="D712" s="585"/>
      <c r="E712" s="585"/>
      <c r="F712" s="585"/>
      <c r="G712" s="585"/>
      <c r="H712" s="585"/>
      <c r="I712" s="585"/>
      <c r="J712" s="585"/>
      <c r="K712" s="585"/>
      <c r="L712" s="585"/>
      <c r="M712" s="585"/>
      <c r="N712" s="585"/>
      <c r="O712" s="585"/>
      <c r="P712" s="585"/>
      <c r="Q712" s="585"/>
      <c r="R712" s="585"/>
      <c r="S712" s="585"/>
      <c r="T712" s="585"/>
      <c r="U712" s="585"/>
      <c r="V712" s="585"/>
      <c r="W712" s="585"/>
      <c r="X712" s="585"/>
      <c r="Y712" s="585"/>
      <c r="Z712" s="585"/>
      <c r="AA712" s="585"/>
      <c r="AB712" s="585"/>
      <c r="AC712" s="585"/>
      <c r="AD712" s="585"/>
      <c r="AE712" s="585"/>
      <c r="AF712" s="585"/>
      <c r="AG712" s="585"/>
    </row>
    <row r="713" spans="2:33" ht="15" customHeight="1" x14ac:dyDescent="0.25"/>
    <row r="714" spans="2:33" ht="15" customHeight="1" x14ac:dyDescent="0.25"/>
    <row r="715" spans="2:33" ht="15" customHeight="1" x14ac:dyDescent="0.25"/>
    <row r="716" spans="2:33" ht="15" customHeight="1" x14ac:dyDescent="0.25"/>
    <row r="717" spans="2:33" ht="15" customHeight="1" x14ac:dyDescent="0.25"/>
    <row r="718" spans="2:33" ht="15" customHeight="1" x14ac:dyDescent="0.25"/>
    <row r="719" spans="2:33" ht="15" customHeight="1" x14ac:dyDescent="0.25"/>
    <row r="720" spans="2:33"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2" ht="15" customHeight="1" x14ac:dyDescent="0.25"/>
    <row r="783" ht="15" customHeight="1" x14ac:dyDescent="0.25"/>
    <row r="784" ht="15" customHeight="1" x14ac:dyDescent="0.25"/>
    <row r="785" ht="15" customHeight="1" x14ac:dyDescent="0.25"/>
    <row r="787" ht="15" customHeight="1" x14ac:dyDescent="0.25"/>
    <row r="788" ht="15" customHeight="1" x14ac:dyDescent="0.25"/>
    <row r="789" ht="15" customHeight="1" x14ac:dyDescent="0.25"/>
    <row r="790"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6" ht="15" customHeight="1" x14ac:dyDescent="0.25"/>
    <row r="817" ht="15" customHeight="1" x14ac:dyDescent="0.25"/>
    <row r="818" ht="15" customHeight="1" x14ac:dyDescent="0.25"/>
    <row r="819" ht="15" customHeight="1" x14ac:dyDescent="0.25"/>
    <row r="820" ht="15" customHeight="1" x14ac:dyDescent="0.25"/>
    <row r="822" ht="15" customHeight="1" x14ac:dyDescent="0.25"/>
    <row r="823"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40"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7" ht="15" customHeight="1" x14ac:dyDescent="0.25"/>
    <row r="858" ht="15" customHeight="1" x14ac:dyDescent="0.25"/>
    <row r="859" ht="15" customHeight="1" x14ac:dyDescent="0.25"/>
    <row r="860" ht="15" customHeight="1" x14ac:dyDescent="0.25"/>
    <row r="861"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spans="2:33" ht="15" customHeight="1" x14ac:dyDescent="0.25"/>
    <row r="882" spans="2:33" ht="15" customHeight="1" x14ac:dyDescent="0.25"/>
    <row r="883" spans="2:33" ht="15" customHeight="1" x14ac:dyDescent="0.25"/>
    <row r="884" spans="2:33" ht="15" customHeight="1" x14ac:dyDescent="0.25"/>
    <row r="885" spans="2:33" ht="15" customHeight="1" x14ac:dyDescent="0.25"/>
    <row r="886" spans="2:33" ht="15" customHeight="1" x14ac:dyDescent="0.25"/>
    <row r="887" spans="2:33" ht="15" customHeight="1" x14ac:dyDescent="0.25">
      <c r="B887" s="585"/>
      <c r="C887" s="585"/>
      <c r="D887" s="585"/>
      <c r="E887" s="585"/>
      <c r="F887" s="585"/>
      <c r="G887" s="585"/>
      <c r="H887" s="585"/>
      <c r="I887" s="585"/>
      <c r="J887" s="585"/>
      <c r="K887" s="585"/>
      <c r="L887" s="585"/>
      <c r="M887" s="585"/>
      <c r="N887" s="585"/>
      <c r="O887" s="585"/>
      <c r="P887" s="585"/>
      <c r="Q887" s="585"/>
      <c r="R887" s="585"/>
      <c r="S887" s="585"/>
      <c r="T887" s="585"/>
      <c r="U887" s="585"/>
      <c r="V887" s="585"/>
      <c r="W887" s="585"/>
      <c r="X887" s="585"/>
      <c r="Y887" s="585"/>
      <c r="Z887" s="585"/>
      <c r="AA887" s="585"/>
      <c r="AB887" s="585"/>
      <c r="AC887" s="585"/>
      <c r="AD887" s="585"/>
      <c r="AE887" s="585"/>
      <c r="AF887" s="585"/>
      <c r="AG887" s="585"/>
    </row>
    <row r="888" spans="2:33" ht="15" customHeight="1" x14ac:dyDescent="0.25"/>
    <row r="889" spans="2:33" ht="15" customHeight="1" x14ac:dyDescent="0.25"/>
    <row r="890" spans="2:33" ht="15" customHeight="1" x14ac:dyDescent="0.25"/>
    <row r="891" spans="2:33" ht="15" customHeight="1" x14ac:dyDescent="0.25"/>
    <row r="892" spans="2:33" ht="15" customHeight="1" x14ac:dyDescent="0.25"/>
    <row r="893" spans="2:33" ht="15" customHeight="1" x14ac:dyDescent="0.25"/>
    <row r="894" spans="2:33" ht="15" customHeight="1" x14ac:dyDescent="0.25"/>
    <row r="895" spans="2:33" ht="15" customHeight="1" x14ac:dyDescent="0.25"/>
    <row r="896" spans="2:33"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6" ht="15" customHeight="1" x14ac:dyDescent="0.25"/>
    <row r="1017" ht="15" customHeight="1" x14ac:dyDescent="0.25"/>
    <row r="1018" ht="15" customHeight="1" x14ac:dyDescent="0.25"/>
    <row r="1019" ht="15" customHeight="1" x14ac:dyDescent="0.25"/>
    <row r="1020" ht="15" customHeight="1" x14ac:dyDescent="0.25"/>
    <row r="1021" ht="15" customHeight="1" x14ac:dyDescent="0.25"/>
    <row r="1022" ht="15" customHeight="1" x14ac:dyDescent="0.25"/>
    <row r="1023" ht="15" customHeight="1" x14ac:dyDescent="0.25"/>
    <row r="1024" ht="15" customHeight="1" x14ac:dyDescent="0.25"/>
    <row r="1025" ht="15" customHeight="1" x14ac:dyDescent="0.25"/>
    <row r="1026" ht="15" customHeight="1" x14ac:dyDescent="0.25"/>
    <row r="1027" ht="15" customHeight="1" x14ac:dyDescent="0.25"/>
    <row r="1028"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8"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2" ht="15" customHeight="1" x14ac:dyDescent="0.25"/>
    <row r="1073" ht="15" customHeight="1" x14ac:dyDescent="0.25"/>
    <row r="1074" ht="15" customHeight="1" x14ac:dyDescent="0.25"/>
    <row r="1075" ht="15" customHeight="1" x14ac:dyDescent="0.25"/>
    <row r="1076" ht="15" customHeight="1" x14ac:dyDescent="0.25"/>
    <row r="1077" ht="15" customHeight="1" x14ac:dyDescent="0.25"/>
    <row r="1078" ht="15" customHeight="1" x14ac:dyDescent="0.25"/>
    <row r="1079" ht="15" customHeight="1" x14ac:dyDescent="0.25"/>
    <row r="1080" ht="15" customHeight="1" x14ac:dyDescent="0.25"/>
    <row r="1081" ht="15" customHeight="1" x14ac:dyDescent="0.25"/>
    <row r="1082" ht="15" customHeight="1" x14ac:dyDescent="0.25"/>
    <row r="1083" ht="15" customHeight="1" x14ac:dyDescent="0.25"/>
    <row r="1084" ht="15" customHeight="1" x14ac:dyDescent="0.25"/>
    <row r="1085" ht="15" customHeight="1" x14ac:dyDescent="0.25"/>
    <row r="1086" ht="15" customHeight="1" x14ac:dyDescent="0.25"/>
    <row r="1087" ht="15" customHeight="1" x14ac:dyDescent="0.25"/>
    <row r="1088" ht="15" customHeight="1" x14ac:dyDescent="0.25"/>
    <row r="1089" spans="2:33" ht="15" customHeight="1" x14ac:dyDescent="0.25"/>
    <row r="1090" spans="2:33" ht="15" customHeight="1" x14ac:dyDescent="0.25"/>
    <row r="1091" spans="2:33" ht="15" customHeight="1" x14ac:dyDescent="0.25"/>
    <row r="1092" spans="2:33" ht="15" customHeight="1" x14ac:dyDescent="0.25"/>
    <row r="1093" spans="2:33" ht="15" customHeight="1" x14ac:dyDescent="0.25"/>
    <row r="1094" spans="2:33" ht="15" customHeight="1" x14ac:dyDescent="0.25"/>
    <row r="1096" spans="2:33" ht="15" customHeight="1" x14ac:dyDescent="0.25"/>
    <row r="1097" spans="2:33" ht="15" customHeight="1" x14ac:dyDescent="0.25"/>
    <row r="1098" spans="2:33" ht="15" customHeight="1" x14ac:dyDescent="0.25"/>
    <row r="1099" spans="2:33" ht="15" customHeight="1" x14ac:dyDescent="0.25"/>
    <row r="1100" spans="2:33" ht="15" customHeight="1" x14ac:dyDescent="0.25">
      <c r="B1100" s="585"/>
      <c r="C1100" s="585"/>
      <c r="D1100" s="585"/>
      <c r="E1100" s="585"/>
      <c r="F1100" s="585"/>
      <c r="G1100" s="585"/>
      <c r="H1100" s="585"/>
      <c r="I1100" s="585"/>
      <c r="J1100" s="585"/>
      <c r="K1100" s="585"/>
      <c r="L1100" s="585"/>
      <c r="M1100" s="585"/>
      <c r="N1100" s="585"/>
      <c r="O1100" s="585"/>
      <c r="P1100" s="585"/>
      <c r="Q1100" s="585"/>
      <c r="R1100" s="585"/>
      <c r="S1100" s="585"/>
      <c r="T1100" s="585"/>
      <c r="U1100" s="585"/>
      <c r="V1100" s="585"/>
      <c r="W1100" s="585"/>
      <c r="X1100" s="585"/>
      <c r="Y1100" s="585"/>
      <c r="Z1100" s="585"/>
      <c r="AA1100" s="585"/>
      <c r="AB1100" s="585"/>
      <c r="AC1100" s="585"/>
      <c r="AD1100" s="585"/>
      <c r="AE1100" s="585"/>
      <c r="AF1100" s="585"/>
      <c r="AG1100" s="585"/>
    </row>
    <row r="1101" spans="2:33" ht="15" customHeight="1" x14ac:dyDescent="0.25"/>
    <row r="1102" spans="2:33" ht="15" customHeight="1" x14ac:dyDescent="0.25"/>
    <row r="1103" spans="2:33" ht="15" customHeight="1" x14ac:dyDescent="0.25"/>
    <row r="1104" spans="2:33" ht="15" customHeight="1" x14ac:dyDescent="0.25"/>
    <row r="1105" ht="15" customHeight="1" x14ac:dyDescent="0.25"/>
    <row r="1106" ht="15" customHeight="1" x14ac:dyDescent="0.25"/>
    <row r="1107" ht="15" customHeight="1" x14ac:dyDescent="0.25"/>
    <row r="1108" ht="15" customHeight="1" x14ac:dyDescent="0.25"/>
    <row r="1109" ht="15" customHeight="1" x14ac:dyDescent="0.25"/>
    <row r="1110" ht="15" customHeight="1" x14ac:dyDescent="0.25"/>
    <row r="1111" ht="15" customHeight="1" x14ac:dyDescent="0.25"/>
    <row r="1150" ht="15" customHeight="1" x14ac:dyDescent="0.25"/>
    <row r="1151" ht="15" customHeight="1" x14ac:dyDescent="0.25"/>
    <row r="1152" ht="15" customHeight="1" x14ac:dyDescent="0.25"/>
    <row r="1153" ht="15" customHeight="1" x14ac:dyDescent="0.25"/>
    <row r="1154" ht="15" customHeight="1" x14ac:dyDescent="0.25"/>
    <row r="1155" ht="15" customHeight="1" x14ac:dyDescent="0.25"/>
    <row r="1156" ht="15" customHeight="1" x14ac:dyDescent="0.25"/>
    <row r="1157" ht="15" customHeight="1" x14ac:dyDescent="0.25"/>
    <row r="1158" ht="15" customHeight="1" x14ac:dyDescent="0.25"/>
    <row r="1159" ht="15" customHeight="1" x14ac:dyDescent="0.25"/>
    <row r="1160" ht="15" customHeight="1" x14ac:dyDescent="0.25"/>
    <row r="1161" ht="15" customHeight="1" x14ac:dyDescent="0.25"/>
    <row r="1162" ht="15" customHeight="1" x14ac:dyDescent="0.25"/>
    <row r="1163" ht="15" customHeight="1" x14ac:dyDescent="0.25"/>
    <row r="1164" ht="15" customHeight="1" x14ac:dyDescent="0.25"/>
    <row r="1165" ht="15" customHeight="1" x14ac:dyDescent="0.25"/>
    <row r="1166" ht="15" customHeight="1" x14ac:dyDescent="0.25"/>
    <row r="1167" ht="15" customHeight="1" x14ac:dyDescent="0.25"/>
    <row r="1168" ht="15" customHeight="1" x14ac:dyDescent="0.25"/>
    <row r="1170" ht="15" customHeight="1" x14ac:dyDescent="0.25"/>
    <row r="1171" ht="15" customHeight="1" x14ac:dyDescent="0.25"/>
    <row r="1172" ht="15" customHeight="1" x14ac:dyDescent="0.25"/>
    <row r="1173" ht="15" customHeight="1" x14ac:dyDescent="0.25"/>
    <row r="1174" ht="15" customHeight="1" x14ac:dyDescent="0.25"/>
    <row r="1175" ht="15" customHeight="1" x14ac:dyDescent="0.25"/>
    <row r="1176" ht="15" customHeight="1" x14ac:dyDescent="0.25"/>
    <row r="1177" ht="15" customHeight="1" x14ac:dyDescent="0.25"/>
    <row r="1178" ht="15" customHeight="1" x14ac:dyDescent="0.25"/>
    <row r="1179" ht="15" customHeight="1" x14ac:dyDescent="0.25"/>
    <row r="1180" ht="15" customHeight="1" x14ac:dyDescent="0.25"/>
    <row r="1181" ht="15" customHeight="1" x14ac:dyDescent="0.25"/>
    <row r="1182" ht="15" customHeight="1" x14ac:dyDescent="0.25"/>
    <row r="1183" ht="15" customHeight="1" x14ac:dyDescent="0.25"/>
    <row r="1184" ht="15" customHeight="1" x14ac:dyDescent="0.25"/>
    <row r="1185" ht="15" customHeight="1" x14ac:dyDescent="0.25"/>
    <row r="1186" ht="15" customHeight="1" x14ac:dyDescent="0.25"/>
    <row r="1187" ht="15" customHeight="1" x14ac:dyDescent="0.25"/>
    <row r="1188" ht="15" customHeight="1" x14ac:dyDescent="0.25"/>
    <row r="1189" ht="15" customHeight="1" x14ac:dyDescent="0.25"/>
    <row r="1190" ht="15" customHeight="1" x14ac:dyDescent="0.25"/>
    <row r="1191" ht="15" customHeight="1" x14ac:dyDescent="0.25"/>
    <row r="1192" ht="15" customHeight="1" x14ac:dyDescent="0.25"/>
    <row r="1194" ht="15" customHeight="1" x14ac:dyDescent="0.25"/>
    <row r="1195" ht="15" customHeight="1" x14ac:dyDescent="0.25"/>
    <row r="1196" ht="15" customHeight="1" x14ac:dyDescent="0.25"/>
    <row r="1197" ht="15" customHeight="1" x14ac:dyDescent="0.25"/>
    <row r="1198" ht="15" customHeight="1" x14ac:dyDescent="0.25"/>
    <row r="1199" ht="15" customHeight="1" x14ac:dyDescent="0.25"/>
    <row r="1200" ht="15" customHeight="1" x14ac:dyDescent="0.25"/>
    <row r="1201" ht="15" customHeight="1" x14ac:dyDescent="0.25"/>
    <row r="1202" ht="15" customHeight="1" x14ac:dyDescent="0.25"/>
    <row r="1203" ht="15" customHeight="1" x14ac:dyDescent="0.25"/>
    <row r="1204" ht="15" customHeight="1" x14ac:dyDescent="0.25"/>
    <row r="1205" ht="15" customHeight="1" x14ac:dyDescent="0.25"/>
    <row r="1206" ht="15" customHeight="1" x14ac:dyDescent="0.25"/>
    <row r="1207" ht="15" customHeight="1" x14ac:dyDescent="0.25"/>
    <row r="1208" ht="15" customHeight="1" x14ac:dyDescent="0.25"/>
    <row r="1209" ht="15" customHeight="1" x14ac:dyDescent="0.25"/>
    <row r="1211" ht="15" customHeight="1" x14ac:dyDescent="0.25"/>
    <row r="1212" ht="15" customHeight="1" x14ac:dyDescent="0.25"/>
    <row r="1213" ht="15" customHeight="1" x14ac:dyDescent="0.25"/>
    <row r="1214" ht="15" customHeight="1" x14ac:dyDescent="0.25"/>
    <row r="1215" ht="15" customHeight="1" x14ac:dyDescent="0.25"/>
    <row r="1216" ht="15" customHeight="1" x14ac:dyDescent="0.25"/>
    <row r="1217" spans="2:33" ht="15" customHeight="1" x14ac:dyDescent="0.25"/>
    <row r="1218" spans="2:33" ht="15" customHeight="1" x14ac:dyDescent="0.25"/>
    <row r="1219" spans="2:33" ht="15" customHeight="1" x14ac:dyDescent="0.25"/>
    <row r="1220" spans="2:33" ht="15" customHeight="1" x14ac:dyDescent="0.25"/>
    <row r="1221" spans="2:33" ht="15" customHeight="1" x14ac:dyDescent="0.25"/>
    <row r="1222" spans="2:33" ht="15" customHeight="1" x14ac:dyDescent="0.25"/>
    <row r="1223" spans="2:33" ht="15" customHeight="1" x14ac:dyDescent="0.25"/>
    <row r="1224" spans="2:33" ht="15" customHeight="1" x14ac:dyDescent="0.25"/>
    <row r="1225" spans="2:33" ht="15" customHeight="1" x14ac:dyDescent="0.25"/>
    <row r="1226" spans="2:33" ht="15" customHeight="1" x14ac:dyDescent="0.25"/>
    <row r="1227" spans="2:33" ht="15" customHeight="1" x14ac:dyDescent="0.25">
      <c r="B1227" s="585"/>
      <c r="C1227" s="585"/>
      <c r="D1227" s="585"/>
      <c r="E1227" s="585"/>
      <c r="F1227" s="585"/>
      <c r="G1227" s="585"/>
      <c r="H1227" s="585"/>
      <c r="I1227" s="585"/>
      <c r="J1227" s="585"/>
      <c r="K1227" s="585"/>
      <c r="L1227" s="585"/>
      <c r="M1227" s="585"/>
      <c r="N1227" s="585"/>
      <c r="O1227" s="585"/>
      <c r="P1227" s="585"/>
      <c r="Q1227" s="585"/>
      <c r="R1227" s="585"/>
      <c r="S1227" s="585"/>
      <c r="T1227" s="585"/>
      <c r="U1227" s="585"/>
      <c r="V1227" s="585"/>
      <c r="W1227" s="585"/>
      <c r="X1227" s="585"/>
      <c r="Y1227" s="585"/>
      <c r="Z1227" s="585"/>
      <c r="AA1227" s="585"/>
      <c r="AB1227" s="585"/>
      <c r="AC1227" s="585"/>
      <c r="AD1227" s="585"/>
      <c r="AE1227" s="585"/>
      <c r="AF1227" s="585"/>
      <c r="AG1227" s="585"/>
    </row>
    <row r="1228" spans="2:33" ht="15" customHeight="1" x14ac:dyDescent="0.25"/>
    <row r="1229" spans="2:33" ht="15" customHeight="1" x14ac:dyDescent="0.25"/>
    <row r="1230" spans="2:33" ht="15" customHeight="1" x14ac:dyDescent="0.25"/>
    <row r="1231" spans="2:33" ht="15" customHeight="1" x14ac:dyDescent="0.25"/>
    <row r="1232" spans="2:33" ht="15" customHeight="1" x14ac:dyDescent="0.25"/>
    <row r="1233" ht="15" customHeight="1" x14ac:dyDescent="0.25"/>
    <row r="1234" ht="15" customHeight="1" x14ac:dyDescent="0.25"/>
    <row r="1235" ht="15" customHeight="1" x14ac:dyDescent="0.25"/>
    <row r="1236" ht="15" customHeight="1" x14ac:dyDescent="0.25"/>
    <row r="1237" ht="15" customHeight="1" x14ac:dyDescent="0.25"/>
    <row r="1300" ht="15" customHeight="1" x14ac:dyDescent="0.25"/>
    <row r="1301" ht="15" customHeight="1" x14ac:dyDescent="0.25"/>
    <row r="1302" ht="15" customHeight="1" x14ac:dyDescent="0.25"/>
    <row r="1303" ht="15" customHeight="1" x14ac:dyDescent="0.25"/>
    <row r="1304" ht="15" customHeight="1" x14ac:dyDescent="0.25"/>
    <row r="1305" ht="15" customHeight="1" x14ac:dyDescent="0.25"/>
    <row r="1307" ht="15" customHeight="1" x14ac:dyDescent="0.25"/>
    <row r="1308" ht="15" customHeight="1" x14ac:dyDescent="0.25"/>
    <row r="1309" ht="15" customHeight="1" x14ac:dyDescent="0.25"/>
    <row r="1310" ht="15" customHeight="1" x14ac:dyDescent="0.25"/>
    <row r="1311" ht="15" customHeight="1" x14ac:dyDescent="0.25"/>
    <row r="1312" ht="15" customHeight="1" x14ac:dyDescent="0.25"/>
    <row r="1313" ht="15" customHeight="1" x14ac:dyDescent="0.25"/>
    <row r="1314" ht="15" customHeight="1" x14ac:dyDescent="0.25"/>
    <row r="1315" ht="15" customHeight="1" x14ac:dyDescent="0.25"/>
    <row r="1316" ht="15" customHeight="1" x14ac:dyDescent="0.25"/>
    <row r="1317" ht="15" customHeight="1" x14ac:dyDescent="0.25"/>
    <row r="1318" ht="15" customHeight="1" x14ac:dyDescent="0.25"/>
    <row r="1319" ht="15" customHeight="1" x14ac:dyDescent="0.25"/>
    <row r="1320" ht="15" customHeight="1" x14ac:dyDescent="0.25"/>
    <row r="1321" ht="15" customHeight="1" x14ac:dyDescent="0.25"/>
    <row r="1322" ht="15" customHeight="1" x14ac:dyDescent="0.25"/>
    <row r="1323" ht="15" customHeight="1" x14ac:dyDescent="0.25"/>
    <row r="1324" ht="15" customHeight="1" x14ac:dyDescent="0.25"/>
    <row r="1325" ht="15" customHeight="1" x14ac:dyDescent="0.25"/>
    <row r="1327" ht="15" customHeight="1" x14ac:dyDescent="0.25"/>
    <row r="1329" ht="15" customHeight="1" x14ac:dyDescent="0.25"/>
    <row r="1330" ht="15" customHeight="1" x14ac:dyDescent="0.25"/>
    <row r="1331" ht="15" customHeight="1" x14ac:dyDescent="0.25"/>
    <row r="1332" ht="15" customHeight="1" x14ac:dyDescent="0.25"/>
    <row r="1333" ht="15" customHeight="1" x14ac:dyDescent="0.25"/>
    <row r="1334" ht="15" customHeight="1" x14ac:dyDescent="0.25"/>
    <row r="1335" ht="15" customHeight="1" x14ac:dyDescent="0.25"/>
    <row r="1336" ht="15" customHeight="1" x14ac:dyDescent="0.25"/>
    <row r="1337" ht="15" customHeight="1" x14ac:dyDescent="0.25"/>
    <row r="1338" ht="15" customHeight="1" x14ac:dyDescent="0.25"/>
    <row r="1340" ht="15" customHeight="1" x14ac:dyDescent="0.25"/>
    <row r="1341" ht="15" customHeight="1" x14ac:dyDescent="0.25"/>
    <row r="1342" ht="15" customHeight="1" x14ac:dyDescent="0.25"/>
    <row r="1343" ht="15" customHeight="1" x14ac:dyDescent="0.25"/>
    <row r="1344" ht="15" customHeight="1" x14ac:dyDescent="0.25"/>
    <row r="1345" ht="15" customHeight="1" x14ac:dyDescent="0.25"/>
    <row r="1346" ht="15" customHeight="1" x14ac:dyDescent="0.25"/>
    <row r="1347" ht="15" customHeight="1" x14ac:dyDescent="0.25"/>
    <row r="1348" ht="15" customHeight="1" x14ac:dyDescent="0.25"/>
    <row r="1350" ht="15" customHeight="1" x14ac:dyDescent="0.25"/>
    <row r="1352" ht="15" customHeight="1" x14ac:dyDescent="0.25"/>
    <row r="1353" ht="15" customHeight="1" x14ac:dyDescent="0.25"/>
    <row r="1354" ht="15" customHeight="1" x14ac:dyDescent="0.25"/>
    <row r="1355" ht="15" customHeight="1" x14ac:dyDescent="0.25"/>
    <row r="1356" ht="15" customHeight="1" x14ac:dyDescent="0.25"/>
    <row r="1357" ht="15" customHeight="1" x14ac:dyDescent="0.25"/>
    <row r="1358" ht="15" customHeight="1" x14ac:dyDescent="0.25"/>
    <row r="1359" ht="15" customHeight="1" x14ac:dyDescent="0.25"/>
    <row r="1361" ht="15" customHeight="1" x14ac:dyDescent="0.25"/>
    <row r="1362" ht="15" customHeight="1" x14ac:dyDescent="0.25"/>
    <row r="1363" ht="15" customHeight="1" x14ac:dyDescent="0.25"/>
    <row r="1364" ht="15" customHeight="1" x14ac:dyDescent="0.25"/>
    <row r="1365" ht="15" customHeight="1" x14ac:dyDescent="0.25"/>
    <row r="1366" ht="15" customHeight="1" x14ac:dyDescent="0.25"/>
    <row r="1367" ht="15" customHeight="1" x14ac:dyDescent="0.25"/>
    <row r="1368" ht="15" customHeight="1" x14ac:dyDescent="0.25"/>
    <row r="1369" ht="15" customHeight="1" x14ac:dyDescent="0.25"/>
    <row r="1370" ht="15" customHeight="1" x14ac:dyDescent="0.25"/>
    <row r="1371" ht="15" customHeight="1" x14ac:dyDescent="0.25"/>
    <row r="1372" ht="15" customHeight="1" x14ac:dyDescent="0.25"/>
    <row r="1373" ht="15" customHeight="1" x14ac:dyDescent="0.25"/>
    <row r="1375" ht="15" customHeight="1" x14ac:dyDescent="0.25"/>
    <row r="1376" ht="15" customHeight="1" x14ac:dyDescent="0.25"/>
    <row r="1377" spans="2:33" ht="15" customHeight="1" x14ac:dyDescent="0.25"/>
    <row r="1378" spans="2:33" ht="15" customHeight="1" x14ac:dyDescent="0.25"/>
    <row r="1379" spans="2:33" ht="15" customHeight="1" x14ac:dyDescent="0.25"/>
    <row r="1380" spans="2:33" ht="15" customHeight="1" x14ac:dyDescent="0.25"/>
    <row r="1381" spans="2:33" ht="15" customHeight="1" x14ac:dyDescent="0.25"/>
    <row r="1382" spans="2:33" ht="15" customHeight="1" x14ac:dyDescent="0.25"/>
    <row r="1383" spans="2:33" ht="15" customHeight="1" x14ac:dyDescent="0.25"/>
    <row r="1385" spans="2:33" ht="15" customHeight="1" x14ac:dyDescent="0.25"/>
    <row r="1386" spans="2:33" ht="15" customHeight="1" x14ac:dyDescent="0.25"/>
    <row r="1387" spans="2:33" ht="15" customHeight="1" x14ac:dyDescent="0.25"/>
    <row r="1388" spans="2:33" ht="15" customHeight="1" x14ac:dyDescent="0.25"/>
    <row r="1389" spans="2:33" ht="15" customHeight="1" x14ac:dyDescent="0.25"/>
    <row r="1390" spans="2:33" ht="15" customHeight="1" x14ac:dyDescent="0.25">
      <c r="B1390" s="585"/>
      <c r="C1390" s="585"/>
      <c r="D1390" s="585"/>
      <c r="E1390" s="585"/>
      <c r="F1390" s="585"/>
      <c r="G1390" s="585"/>
      <c r="H1390" s="585"/>
      <c r="I1390" s="585"/>
      <c r="J1390" s="585"/>
      <c r="K1390" s="585"/>
      <c r="L1390" s="585"/>
      <c r="M1390" s="585"/>
      <c r="N1390" s="585"/>
      <c r="O1390" s="585"/>
      <c r="P1390" s="585"/>
      <c r="Q1390" s="585"/>
      <c r="R1390" s="585"/>
      <c r="S1390" s="585"/>
      <c r="T1390" s="585"/>
      <c r="U1390" s="585"/>
      <c r="V1390" s="585"/>
      <c r="W1390" s="585"/>
      <c r="X1390" s="585"/>
      <c r="Y1390" s="585"/>
      <c r="Z1390" s="585"/>
      <c r="AA1390" s="585"/>
      <c r="AB1390" s="585"/>
      <c r="AC1390" s="585"/>
      <c r="AD1390" s="585"/>
      <c r="AE1390" s="585"/>
      <c r="AF1390" s="585"/>
      <c r="AG1390" s="585"/>
    </row>
    <row r="1391" spans="2:33" ht="15" customHeight="1" x14ac:dyDescent="0.25"/>
    <row r="1392" spans="2:33" ht="15" customHeight="1" x14ac:dyDescent="0.25"/>
    <row r="1393" ht="15" customHeight="1" x14ac:dyDescent="0.25"/>
    <row r="1394" ht="15" customHeight="1" x14ac:dyDescent="0.25"/>
    <row r="1395" ht="15" customHeight="1" x14ac:dyDescent="0.25"/>
    <row r="1396" ht="15" customHeight="1" x14ac:dyDescent="0.25"/>
    <row r="1397" ht="15" customHeight="1" x14ac:dyDescent="0.25"/>
    <row r="1398" ht="15" customHeight="1" x14ac:dyDescent="0.25"/>
    <row r="1399" ht="15" customHeight="1" x14ac:dyDescent="0.25"/>
    <row r="1400" ht="15" customHeight="1" x14ac:dyDescent="0.25"/>
    <row r="1401" ht="15" customHeight="1" x14ac:dyDescent="0.25"/>
    <row r="1402" ht="15" customHeight="1" x14ac:dyDescent="0.25"/>
    <row r="1403" ht="15" customHeight="1" x14ac:dyDescent="0.25"/>
    <row r="1404" ht="15" customHeight="1" x14ac:dyDescent="0.25"/>
    <row r="1405" ht="15" customHeight="1" x14ac:dyDescent="0.25"/>
    <row r="1406" ht="15" customHeight="1" x14ac:dyDescent="0.25"/>
    <row r="1407" ht="15" customHeight="1" x14ac:dyDescent="0.25"/>
    <row r="1408" ht="15" customHeight="1" x14ac:dyDescent="0.25"/>
    <row r="1409" ht="15" customHeight="1" x14ac:dyDescent="0.25"/>
    <row r="1410" ht="15" customHeight="1" x14ac:dyDescent="0.25"/>
    <row r="1425" ht="15" customHeight="1" x14ac:dyDescent="0.25"/>
    <row r="1426" ht="15" customHeight="1" x14ac:dyDescent="0.25"/>
    <row r="1427" ht="15" customHeight="1" x14ac:dyDescent="0.25"/>
    <row r="1428" ht="15" customHeight="1" x14ac:dyDescent="0.25"/>
    <row r="1429" ht="15" customHeight="1" x14ac:dyDescent="0.25"/>
    <row r="1430" ht="15" customHeight="1" x14ac:dyDescent="0.25"/>
    <row r="1431" ht="15" customHeight="1" x14ac:dyDescent="0.25"/>
    <row r="1432" ht="15" customHeight="1" x14ac:dyDescent="0.25"/>
    <row r="1433" ht="15" customHeight="1" x14ac:dyDescent="0.25"/>
    <row r="1434" ht="15" customHeight="1" x14ac:dyDescent="0.25"/>
    <row r="1435" ht="15" customHeight="1" x14ac:dyDescent="0.25"/>
    <row r="1436" ht="15" customHeight="1" x14ac:dyDescent="0.25"/>
    <row r="1437" ht="15" customHeight="1" x14ac:dyDescent="0.25"/>
    <row r="1438" ht="15" customHeight="1" x14ac:dyDescent="0.25"/>
    <row r="1439" ht="15" customHeight="1" x14ac:dyDescent="0.25"/>
    <row r="1440" ht="15" customHeight="1" x14ac:dyDescent="0.25"/>
    <row r="1441" ht="15" customHeight="1" x14ac:dyDescent="0.25"/>
    <row r="1442" ht="15" customHeight="1" x14ac:dyDescent="0.25"/>
    <row r="1443" ht="15" customHeight="1" x14ac:dyDescent="0.25"/>
    <row r="1444" ht="15" customHeight="1" x14ac:dyDescent="0.25"/>
    <row r="1445" ht="15" customHeight="1" x14ac:dyDescent="0.25"/>
    <row r="1446" ht="15" customHeight="1" x14ac:dyDescent="0.25"/>
    <row r="1447" ht="15" customHeight="1" x14ac:dyDescent="0.25"/>
    <row r="1448" ht="15" customHeight="1" x14ac:dyDescent="0.25"/>
    <row r="1449" ht="15" customHeight="1" x14ac:dyDescent="0.25"/>
    <row r="1451" ht="15" customHeight="1" x14ac:dyDescent="0.25"/>
    <row r="1452" ht="15" customHeight="1" x14ac:dyDescent="0.25"/>
    <row r="1453" ht="15" customHeight="1" x14ac:dyDescent="0.25"/>
    <row r="1454" ht="15" customHeight="1" x14ac:dyDescent="0.25"/>
    <row r="1455" ht="15" customHeight="1" x14ac:dyDescent="0.25"/>
    <row r="1456" ht="15" customHeight="1" x14ac:dyDescent="0.25"/>
    <row r="1457" ht="15" customHeight="1" x14ac:dyDescent="0.25"/>
    <row r="1458" ht="15" customHeight="1" x14ac:dyDescent="0.25"/>
    <row r="1459" ht="15" customHeight="1" x14ac:dyDescent="0.25"/>
    <row r="1460" ht="15" customHeight="1" x14ac:dyDescent="0.25"/>
    <row r="1461" ht="15" customHeight="1" x14ac:dyDescent="0.25"/>
    <row r="1462" ht="15" customHeight="1" x14ac:dyDescent="0.25"/>
    <row r="1463" ht="15" customHeight="1" x14ac:dyDescent="0.25"/>
    <row r="1464" ht="15" customHeight="1" x14ac:dyDescent="0.25"/>
    <row r="1465" ht="15" customHeight="1" x14ac:dyDescent="0.25"/>
    <row r="1466" ht="15" customHeight="1" x14ac:dyDescent="0.25"/>
    <row r="1467" ht="15" customHeight="1" x14ac:dyDescent="0.25"/>
    <row r="1468" ht="15" customHeight="1" x14ac:dyDescent="0.25"/>
    <row r="1469" ht="15" customHeight="1" x14ac:dyDescent="0.25"/>
    <row r="1470" ht="15" customHeight="1" x14ac:dyDescent="0.25"/>
    <row r="1471" ht="15" customHeight="1" x14ac:dyDescent="0.25"/>
    <row r="1472" ht="15" customHeight="1" x14ac:dyDescent="0.25"/>
    <row r="1473" ht="15" customHeight="1" x14ac:dyDescent="0.25"/>
    <row r="1474" ht="15" customHeight="1" x14ac:dyDescent="0.25"/>
    <row r="1475" ht="15" customHeight="1" x14ac:dyDescent="0.25"/>
    <row r="1477" ht="15" customHeight="1" x14ac:dyDescent="0.25"/>
    <row r="1478" ht="15" customHeight="1" x14ac:dyDescent="0.25"/>
    <row r="1479" ht="15" customHeight="1" x14ac:dyDescent="0.25"/>
    <row r="1480" ht="15" customHeight="1" x14ac:dyDescent="0.25"/>
    <row r="1481" ht="15" customHeight="1" x14ac:dyDescent="0.25"/>
    <row r="1482" ht="15" customHeight="1" x14ac:dyDescent="0.25"/>
    <row r="1483" ht="15" customHeight="1" x14ac:dyDescent="0.25"/>
    <row r="1484" ht="15" customHeight="1" x14ac:dyDescent="0.25"/>
    <row r="1485" ht="15" customHeight="1" x14ac:dyDescent="0.25"/>
    <row r="1486" ht="15" customHeight="1" x14ac:dyDescent="0.25"/>
    <row r="1487" ht="15" customHeight="1" x14ac:dyDescent="0.25"/>
    <row r="1489" spans="2:33" ht="15" customHeight="1" x14ac:dyDescent="0.25"/>
    <row r="1491" spans="2:33" ht="15" customHeight="1" x14ac:dyDescent="0.25"/>
    <row r="1492" spans="2:33" ht="15" customHeight="1" x14ac:dyDescent="0.25"/>
    <row r="1493" spans="2:33" ht="15" customHeight="1" x14ac:dyDescent="0.25"/>
    <row r="1494" spans="2:33" ht="15" customHeight="1" x14ac:dyDescent="0.25"/>
    <row r="1495" spans="2:33" ht="15" customHeight="1" x14ac:dyDescent="0.25"/>
    <row r="1496" spans="2:33" ht="15" customHeight="1" x14ac:dyDescent="0.25"/>
    <row r="1497" spans="2:33" ht="15" customHeight="1" x14ac:dyDescent="0.25"/>
    <row r="1498" spans="2:33" ht="15" customHeight="1" x14ac:dyDescent="0.25"/>
    <row r="1500" spans="2:33" ht="15" customHeight="1" x14ac:dyDescent="0.25"/>
    <row r="1501" spans="2:33" ht="15" customHeight="1" x14ac:dyDescent="0.25"/>
    <row r="1502" spans="2:33" ht="15" customHeight="1" x14ac:dyDescent="0.25">
      <c r="B1502" s="585"/>
      <c r="C1502" s="585"/>
      <c r="D1502" s="585"/>
      <c r="E1502" s="585"/>
      <c r="F1502" s="585"/>
      <c r="G1502" s="585"/>
      <c r="H1502" s="585"/>
      <c r="I1502" s="585"/>
      <c r="J1502" s="585"/>
      <c r="K1502" s="585"/>
      <c r="L1502" s="585"/>
      <c r="M1502" s="585"/>
      <c r="N1502" s="585"/>
      <c r="O1502" s="585"/>
      <c r="P1502" s="585"/>
      <c r="Q1502" s="585"/>
      <c r="R1502" s="585"/>
      <c r="S1502" s="585"/>
      <c r="T1502" s="585"/>
      <c r="U1502" s="585"/>
      <c r="V1502" s="585"/>
      <c r="W1502" s="585"/>
      <c r="X1502" s="585"/>
      <c r="Y1502" s="585"/>
      <c r="Z1502" s="585"/>
      <c r="AA1502" s="585"/>
      <c r="AB1502" s="585"/>
      <c r="AC1502" s="585"/>
      <c r="AD1502" s="585"/>
      <c r="AE1502" s="585"/>
      <c r="AF1502" s="585"/>
      <c r="AG1502" s="585"/>
    </row>
    <row r="1503" spans="2:33" ht="15" customHeight="1" x14ac:dyDescent="0.25"/>
    <row r="1504" spans="2:33" ht="15" customHeight="1" x14ac:dyDescent="0.25"/>
    <row r="1505" ht="15" customHeight="1" x14ac:dyDescent="0.25"/>
    <row r="1506" ht="15" customHeight="1" x14ac:dyDescent="0.25"/>
    <row r="1507" ht="15" customHeight="1" x14ac:dyDescent="0.25"/>
    <row r="1508" ht="15" customHeight="1" x14ac:dyDescent="0.25"/>
    <row r="1509" ht="15" customHeight="1" x14ac:dyDescent="0.25"/>
    <row r="1510" ht="15" customHeight="1" x14ac:dyDescent="0.25"/>
    <row r="1511" ht="15" customHeight="1" x14ac:dyDescent="0.25"/>
    <row r="1512" ht="15" customHeight="1" x14ac:dyDescent="0.25"/>
    <row r="1513" ht="15" customHeight="1" x14ac:dyDescent="0.25"/>
    <row r="1514" ht="15" customHeight="1" x14ac:dyDescent="0.25"/>
    <row r="1515" ht="15" customHeight="1" x14ac:dyDescent="0.25"/>
    <row r="1516" ht="15" customHeight="1" x14ac:dyDescent="0.25"/>
    <row r="1517" ht="15" customHeight="1" x14ac:dyDescent="0.25"/>
    <row r="1518" ht="15" customHeight="1" x14ac:dyDescent="0.25"/>
    <row r="1519" ht="15" customHeight="1" x14ac:dyDescent="0.25"/>
    <row r="1520" ht="15" customHeight="1" x14ac:dyDescent="0.25"/>
    <row r="1521" ht="15" customHeight="1" x14ac:dyDescent="0.25"/>
    <row r="1522" ht="15" customHeight="1" x14ac:dyDescent="0.25"/>
    <row r="1523" ht="15" customHeight="1" x14ac:dyDescent="0.25"/>
    <row r="1524" ht="15" customHeight="1" x14ac:dyDescent="0.25"/>
    <row r="1525" ht="15" customHeight="1" x14ac:dyDescent="0.25"/>
    <row r="1526" ht="15" customHeight="1" x14ac:dyDescent="0.25"/>
    <row r="1575" ht="15" customHeight="1" x14ac:dyDescent="0.25"/>
    <row r="1576" ht="15" customHeight="1" x14ac:dyDescent="0.25"/>
    <row r="1577" ht="15" customHeight="1" x14ac:dyDescent="0.25"/>
    <row r="1578" ht="15" customHeight="1" x14ac:dyDescent="0.25"/>
    <row r="1579" ht="15" customHeight="1" x14ac:dyDescent="0.25"/>
    <row r="1580" ht="15" customHeight="1" x14ac:dyDescent="0.25"/>
    <row r="1582" ht="15" customHeight="1" x14ac:dyDescent="0.25"/>
    <row r="1583" ht="15" customHeight="1" x14ac:dyDescent="0.25"/>
    <row r="1584" ht="15" customHeight="1" x14ac:dyDescent="0.25"/>
    <row r="1585" ht="15" customHeight="1" x14ac:dyDescent="0.25"/>
    <row r="1587" ht="15" customHeight="1" x14ac:dyDescent="0.25"/>
    <row r="1588" ht="15" customHeight="1" x14ac:dyDescent="0.25"/>
    <row r="1589" ht="15" customHeight="1" x14ac:dyDescent="0.25"/>
    <row r="1590" ht="15" customHeight="1" x14ac:dyDescent="0.25"/>
    <row r="1592" ht="15" customHeight="1" x14ac:dyDescent="0.25"/>
    <row r="1594" ht="15" customHeight="1" x14ac:dyDescent="0.25"/>
    <row r="1595" ht="15" customHeight="1" x14ac:dyDescent="0.25"/>
    <row r="1596" ht="15" customHeight="1" x14ac:dyDescent="0.25"/>
    <row r="1597" ht="15" customHeight="1" x14ac:dyDescent="0.25"/>
    <row r="1599" ht="15" customHeight="1" x14ac:dyDescent="0.25"/>
    <row r="1600" ht="15" customHeight="1" x14ac:dyDescent="0.25"/>
    <row r="1601" spans="2:33" ht="15" customHeight="1" x14ac:dyDescent="0.25"/>
    <row r="1602" spans="2:33" ht="15" customHeight="1" x14ac:dyDescent="0.25"/>
    <row r="1603" spans="2:33" ht="15" customHeight="1" x14ac:dyDescent="0.25"/>
    <row r="1604" spans="2:33" ht="15" customHeight="1" x14ac:dyDescent="0.25">
      <c r="B1604" s="585"/>
      <c r="C1604" s="585"/>
      <c r="D1604" s="585"/>
      <c r="E1604" s="585"/>
      <c r="F1604" s="585"/>
      <c r="G1604" s="585"/>
      <c r="H1604" s="585"/>
      <c r="I1604" s="585"/>
      <c r="J1604" s="585"/>
      <c r="K1604" s="585"/>
      <c r="L1604" s="585"/>
      <c r="M1604" s="585"/>
      <c r="N1604" s="585"/>
      <c r="O1604" s="585"/>
      <c r="P1604" s="585"/>
      <c r="Q1604" s="585"/>
      <c r="R1604" s="585"/>
      <c r="S1604" s="585"/>
      <c r="T1604" s="585"/>
      <c r="U1604" s="585"/>
      <c r="V1604" s="585"/>
      <c r="W1604" s="585"/>
      <c r="X1604" s="585"/>
      <c r="Y1604" s="585"/>
      <c r="Z1604" s="585"/>
      <c r="AA1604" s="585"/>
      <c r="AB1604" s="585"/>
      <c r="AC1604" s="585"/>
      <c r="AD1604" s="585"/>
      <c r="AE1604" s="585"/>
      <c r="AF1604" s="585"/>
      <c r="AG1604" s="585"/>
    </row>
    <row r="1605" spans="2:33" ht="15" customHeight="1" x14ac:dyDescent="0.25"/>
    <row r="1606" spans="2:33" ht="15" customHeight="1" x14ac:dyDescent="0.25"/>
    <row r="1607" spans="2:33" ht="15" customHeight="1" x14ac:dyDescent="0.25"/>
    <row r="1608" spans="2:33" ht="15" customHeight="1" x14ac:dyDescent="0.25"/>
    <row r="1609" spans="2:33" ht="15" customHeight="1" x14ac:dyDescent="0.25"/>
    <row r="1610" spans="2:33" ht="15" customHeight="1" x14ac:dyDescent="0.25"/>
    <row r="1625" ht="15" customHeight="1" x14ac:dyDescent="0.25"/>
    <row r="1626" ht="15" customHeight="1" x14ac:dyDescent="0.25"/>
    <row r="1627" ht="15" customHeight="1" x14ac:dyDescent="0.25"/>
    <row r="1628" ht="15" customHeight="1" x14ac:dyDescent="0.25"/>
    <row r="1629" ht="15" customHeight="1" x14ac:dyDescent="0.25"/>
    <row r="1630" ht="15" customHeight="1" x14ac:dyDescent="0.25"/>
    <row r="1631" ht="15" customHeight="1" x14ac:dyDescent="0.25"/>
    <row r="1632" ht="15" customHeight="1" x14ac:dyDescent="0.25"/>
    <row r="1633" ht="15" customHeight="1" x14ac:dyDescent="0.25"/>
    <row r="1634" ht="15" customHeight="1" x14ac:dyDescent="0.25"/>
    <row r="1635" ht="15" customHeight="1" x14ac:dyDescent="0.25"/>
    <row r="1636" ht="15" customHeight="1" x14ac:dyDescent="0.25"/>
    <row r="1637" ht="15" customHeight="1" x14ac:dyDescent="0.25"/>
    <row r="1638" ht="15" customHeight="1" x14ac:dyDescent="0.25"/>
    <row r="1640" ht="15" customHeight="1" x14ac:dyDescent="0.25"/>
    <row r="1641" ht="15" customHeight="1" x14ac:dyDescent="0.25"/>
    <row r="1642" ht="15" customHeight="1" x14ac:dyDescent="0.25"/>
    <row r="1643" ht="15" customHeight="1" x14ac:dyDescent="0.25"/>
    <row r="1644" ht="15" customHeight="1" x14ac:dyDescent="0.25"/>
    <row r="1645" ht="15" customHeight="1" x14ac:dyDescent="0.25"/>
    <row r="1646" ht="15" customHeight="1" x14ac:dyDescent="0.25"/>
    <row r="1647" ht="15" customHeight="1" x14ac:dyDescent="0.25"/>
    <row r="1648" ht="15" customHeight="1" x14ac:dyDescent="0.25"/>
    <row r="1649" ht="15" customHeight="1" x14ac:dyDescent="0.25"/>
    <row r="1650" ht="15" customHeight="1" x14ac:dyDescent="0.25"/>
    <row r="1651" ht="15" customHeight="1" x14ac:dyDescent="0.25"/>
    <row r="1652" ht="15" customHeight="1" x14ac:dyDescent="0.25"/>
    <row r="1653" ht="15" customHeight="1" x14ac:dyDescent="0.25"/>
    <row r="1654" ht="15" customHeight="1" x14ac:dyDescent="0.25"/>
    <row r="1655" ht="15" customHeight="1" x14ac:dyDescent="0.25"/>
    <row r="1656" ht="15" customHeight="1" x14ac:dyDescent="0.25"/>
    <row r="1657" ht="15" customHeight="1" x14ac:dyDescent="0.25"/>
    <row r="1658" ht="15" customHeight="1" x14ac:dyDescent="0.25"/>
    <row r="1659" ht="15" customHeight="1" x14ac:dyDescent="0.25"/>
    <row r="1660" ht="15" customHeight="1" x14ac:dyDescent="0.25"/>
    <row r="1661" ht="15" customHeight="1" x14ac:dyDescent="0.25"/>
    <row r="1662" ht="15" customHeight="1" x14ac:dyDescent="0.25"/>
    <row r="1663" ht="15" customHeight="1" x14ac:dyDescent="0.25"/>
    <row r="1665" ht="15" customHeight="1" x14ac:dyDescent="0.25"/>
    <row r="1668" ht="15" customHeight="1" x14ac:dyDescent="0.25"/>
    <row r="1669" ht="15" customHeight="1" x14ac:dyDescent="0.25"/>
    <row r="1670" ht="15" customHeight="1" x14ac:dyDescent="0.25"/>
    <row r="1671" ht="15" customHeight="1" x14ac:dyDescent="0.25"/>
    <row r="1672" ht="15" customHeight="1" x14ac:dyDescent="0.25"/>
    <row r="1673" ht="15" customHeight="1" x14ac:dyDescent="0.25"/>
    <row r="1674" ht="15" customHeight="1" x14ac:dyDescent="0.25"/>
    <row r="1675" ht="15" customHeight="1" x14ac:dyDescent="0.25"/>
    <row r="1676" ht="15" customHeight="1" x14ac:dyDescent="0.25"/>
    <row r="1677" ht="15" customHeight="1" x14ac:dyDescent="0.25"/>
    <row r="1678" ht="15" customHeight="1" x14ac:dyDescent="0.25"/>
    <row r="1679" ht="15" customHeight="1" x14ac:dyDescent="0.25"/>
    <row r="1680" ht="15" customHeight="1" x14ac:dyDescent="0.25"/>
    <row r="1681" ht="15" customHeight="1" x14ac:dyDescent="0.25"/>
    <row r="1682" ht="15" customHeight="1" x14ac:dyDescent="0.25"/>
    <row r="1683" ht="15" customHeight="1" x14ac:dyDescent="0.25"/>
    <row r="1684" ht="15" customHeight="1" x14ac:dyDescent="0.25"/>
    <row r="1686" ht="15" customHeight="1" x14ac:dyDescent="0.25"/>
    <row r="1688" ht="15" customHeight="1" x14ac:dyDescent="0.25"/>
    <row r="1689" ht="15" customHeight="1" x14ac:dyDescent="0.25"/>
    <row r="1690" ht="15" customHeight="1" x14ac:dyDescent="0.25"/>
    <row r="1691" ht="15" customHeight="1" x14ac:dyDescent="0.25"/>
    <row r="1692" ht="15" customHeight="1" x14ac:dyDescent="0.25"/>
    <row r="1693" ht="15" customHeight="1" x14ac:dyDescent="0.25"/>
    <row r="1694" ht="15" customHeight="1" x14ac:dyDescent="0.25"/>
    <row r="1695" ht="15" customHeight="1" x14ac:dyDescent="0.25"/>
    <row r="1697" spans="2:33" ht="15" customHeight="1" x14ac:dyDescent="0.25"/>
    <row r="1698" spans="2:33" ht="15" customHeight="1" x14ac:dyDescent="0.25">
      <c r="B1698" s="585"/>
      <c r="C1698" s="585"/>
      <c r="D1698" s="585"/>
      <c r="E1698" s="585"/>
      <c r="F1698" s="585"/>
      <c r="G1698" s="585"/>
      <c r="H1698" s="585"/>
      <c r="I1698" s="585"/>
      <c r="J1698" s="585"/>
      <c r="K1698" s="585"/>
      <c r="L1698" s="585"/>
      <c r="M1698" s="585"/>
      <c r="N1698" s="585"/>
      <c r="O1698" s="585"/>
      <c r="P1698" s="585"/>
      <c r="Q1698" s="585"/>
      <c r="R1698" s="585"/>
      <c r="S1698" s="585"/>
      <c r="T1698" s="585"/>
      <c r="U1698" s="585"/>
      <c r="V1698" s="585"/>
      <c r="W1698" s="585"/>
      <c r="X1698" s="585"/>
      <c r="Y1698" s="585"/>
      <c r="Z1698" s="585"/>
      <c r="AA1698" s="585"/>
      <c r="AB1698" s="585"/>
      <c r="AC1698" s="585"/>
      <c r="AD1698" s="585"/>
      <c r="AE1698" s="585"/>
      <c r="AF1698" s="585"/>
      <c r="AG1698" s="585"/>
    </row>
    <row r="1699" spans="2:33" ht="15" customHeight="1" x14ac:dyDescent="0.25"/>
    <row r="1700" spans="2:33" ht="15" customHeight="1" x14ac:dyDescent="0.25"/>
    <row r="1701" spans="2:33" ht="15" customHeight="1" x14ac:dyDescent="0.25"/>
    <row r="1702" spans="2:33" ht="15" customHeight="1" x14ac:dyDescent="0.25"/>
    <row r="1703" spans="2:33" ht="15" customHeight="1" x14ac:dyDescent="0.25"/>
    <row r="1704" spans="2:33" ht="15" customHeight="1" x14ac:dyDescent="0.25"/>
    <row r="1705" spans="2:33" ht="15" customHeight="1" x14ac:dyDescent="0.25"/>
    <row r="1706" spans="2:33" ht="15" customHeight="1" x14ac:dyDescent="0.25"/>
    <row r="1707" spans="2:33" ht="15" customHeight="1" x14ac:dyDescent="0.25"/>
    <row r="1708" spans="2:33" ht="15" customHeight="1" x14ac:dyDescent="0.25"/>
    <row r="1709" spans="2:33" ht="15" customHeight="1" x14ac:dyDescent="0.25"/>
    <row r="1710" spans="2:33" ht="15" customHeight="1" x14ac:dyDescent="0.25"/>
    <row r="1711" spans="2:33" ht="15" customHeight="1" x14ac:dyDescent="0.25"/>
    <row r="1712" spans="2:33" ht="15" customHeight="1" x14ac:dyDescent="0.25"/>
    <row r="1713" ht="15" customHeight="1" x14ac:dyDescent="0.25"/>
    <row r="1714" ht="15" customHeight="1" x14ac:dyDescent="0.25"/>
    <row r="1715" ht="15" customHeight="1" x14ac:dyDescent="0.25"/>
    <row r="1716" ht="15" customHeight="1" x14ac:dyDescent="0.25"/>
    <row r="1717" ht="15" customHeight="1" x14ac:dyDescent="0.25"/>
    <row r="1718" ht="15" customHeight="1" x14ac:dyDescent="0.25"/>
    <row r="1719" ht="15" customHeight="1" x14ac:dyDescent="0.25"/>
    <row r="1720" ht="15" customHeight="1" x14ac:dyDescent="0.25"/>
    <row r="1721" ht="15" customHeight="1" x14ac:dyDescent="0.25"/>
    <row r="1722" ht="15" customHeight="1" x14ac:dyDescent="0.25"/>
    <row r="1723" ht="15" customHeight="1" x14ac:dyDescent="0.25"/>
    <row r="1724" ht="15" customHeight="1" x14ac:dyDescent="0.25"/>
    <row r="1725" ht="15" customHeight="1" x14ac:dyDescent="0.25"/>
    <row r="1726" ht="15" customHeight="1" x14ac:dyDescent="0.25"/>
    <row r="1850" ht="15" customHeight="1" x14ac:dyDescent="0.25"/>
    <row r="1851" ht="15" customHeight="1" x14ac:dyDescent="0.25"/>
    <row r="1852" ht="15" customHeight="1" x14ac:dyDescent="0.25"/>
    <row r="1853" ht="15" customHeight="1" x14ac:dyDescent="0.25"/>
    <row r="1854" ht="15" customHeight="1" x14ac:dyDescent="0.25"/>
    <row r="1855" ht="15" customHeight="1" x14ac:dyDescent="0.25"/>
    <row r="1856" ht="15" customHeight="1" x14ac:dyDescent="0.25"/>
    <row r="1857" ht="15" customHeight="1" x14ac:dyDescent="0.25"/>
    <row r="1858" ht="15" customHeight="1" x14ac:dyDescent="0.25"/>
    <row r="1859" ht="15" customHeight="1" x14ac:dyDescent="0.25"/>
    <row r="1861" ht="15" customHeight="1" x14ac:dyDescent="0.25"/>
    <row r="1863" ht="15" customHeight="1" x14ac:dyDescent="0.25"/>
    <row r="1864" ht="15" customHeight="1" x14ac:dyDescent="0.25"/>
    <row r="1865" ht="15" customHeight="1" x14ac:dyDescent="0.25"/>
    <row r="1867" ht="15" customHeight="1" x14ac:dyDescent="0.25"/>
    <row r="1868" ht="15" customHeight="1" x14ac:dyDescent="0.25"/>
    <row r="1869" ht="15" customHeight="1" x14ac:dyDescent="0.25"/>
    <row r="1870" ht="15" customHeight="1" x14ac:dyDescent="0.25"/>
    <row r="1872" ht="15" customHeight="1" x14ac:dyDescent="0.25"/>
    <row r="1873" ht="15" customHeight="1" x14ac:dyDescent="0.25"/>
    <row r="1874" ht="15" customHeight="1" x14ac:dyDescent="0.25"/>
    <row r="1875" ht="15" customHeight="1" x14ac:dyDescent="0.25"/>
    <row r="1876" ht="15" customHeight="1" x14ac:dyDescent="0.25"/>
    <row r="1878" ht="15" customHeight="1" x14ac:dyDescent="0.25"/>
    <row r="1879" ht="15" customHeight="1" x14ac:dyDescent="0.25"/>
    <row r="1880" ht="15" customHeight="1" x14ac:dyDescent="0.25"/>
    <row r="1881" ht="15" customHeight="1" x14ac:dyDescent="0.25"/>
    <row r="1882" ht="15" customHeight="1" x14ac:dyDescent="0.25"/>
    <row r="1883" ht="15" customHeight="1" x14ac:dyDescent="0.25"/>
    <row r="1884" ht="15" customHeight="1" x14ac:dyDescent="0.25"/>
    <row r="1885" ht="15" customHeight="1" x14ac:dyDescent="0.25"/>
    <row r="1886" ht="15" customHeight="1" x14ac:dyDescent="0.25"/>
    <row r="1888" ht="15" customHeight="1" x14ac:dyDescent="0.25"/>
    <row r="1889" ht="15" customHeight="1" x14ac:dyDescent="0.25"/>
    <row r="1890" ht="15" customHeight="1" x14ac:dyDescent="0.25"/>
    <row r="1891" ht="15" customHeight="1" x14ac:dyDescent="0.25"/>
    <row r="1893" ht="15" customHeight="1" x14ac:dyDescent="0.25"/>
    <row r="1894" ht="15" customHeight="1" x14ac:dyDescent="0.25"/>
    <row r="1895" ht="15" customHeight="1" x14ac:dyDescent="0.25"/>
    <row r="1896" ht="15" customHeight="1" x14ac:dyDescent="0.25"/>
    <row r="1897" ht="15" customHeight="1" x14ac:dyDescent="0.25"/>
    <row r="1898" ht="15" customHeight="1" x14ac:dyDescent="0.25"/>
    <row r="1899" ht="15" customHeight="1" x14ac:dyDescent="0.25"/>
    <row r="1900" ht="15" customHeight="1" x14ac:dyDescent="0.25"/>
    <row r="1903" ht="15" customHeight="1" x14ac:dyDescent="0.25"/>
    <row r="1904" ht="15" customHeight="1" x14ac:dyDescent="0.25"/>
    <row r="1905" ht="15" customHeight="1" x14ac:dyDescent="0.25"/>
    <row r="1906" ht="15" customHeight="1" x14ac:dyDescent="0.25"/>
    <row r="1907" ht="15" customHeight="1" x14ac:dyDescent="0.25"/>
    <row r="1909" ht="15" customHeight="1" x14ac:dyDescent="0.25"/>
    <row r="1910" ht="15" customHeight="1" x14ac:dyDescent="0.25"/>
    <row r="1911" ht="15" customHeight="1" x14ac:dyDescent="0.25"/>
    <row r="1912" ht="15" customHeight="1" x14ac:dyDescent="0.25"/>
    <row r="1913" ht="15" customHeight="1" x14ac:dyDescent="0.25"/>
    <row r="1915" ht="15" customHeight="1" x14ac:dyDescent="0.25"/>
    <row r="1916" ht="15" customHeight="1" x14ac:dyDescent="0.25"/>
    <row r="1917" ht="15" customHeight="1" x14ac:dyDescent="0.25"/>
    <row r="1919" ht="15" customHeight="1" x14ac:dyDescent="0.25"/>
    <row r="1920" ht="15" customHeight="1" x14ac:dyDescent="0.25"/>
    <row r="1921" ht="15" customHeight="1" x14ac:dyDescent="0.25"/>
    <row r="1922" ht="15" customHeight="1" x14ac:dyDescent="0.25"/>
    <row r="1924" ht="15" customHeight="1" x14ac:dyDescent="0.25"/>
    <row r="1925" ht="15" customHeight="1" x14ac:dyDescent="0.25"/>
    <row r="1926" ht="15" customHeight="1" x14ac:dyDescent="0.25"/>
    <row r="1927" ht="15" customHeight="1" x14ac:dyDescent="0.25"/>
    <row r="1928" ht="15" customHeight="1" x14ac:dyDescent="0.25"/>
    <row r="1929" ht="15" customHeight="1" x14ac:dyDescent="0.25"/>
    <row r="1930" ht="15" customHeight="1" x14ac:dyDescent="0.25"/>
    <row r="1931" ht="15" customHeight="1" x14ac:dyDescent="0.25"/>
    <row r="1933" ht="15" customHeight="1" x14ac:dyDescent="0.25"/>
    <row r="1934" ht="15" customHeight="1" x14ac:dyDescent="0.25"/>
    <row r="1935" ht="15" customHeight="1" x14ac:dyDescent="0.25"/>
    <row r="1937" spans="2:33" ht="15" customHeight="1" x14ac:dyDescent="0.25"/>
    <row r="1938" spans="2:33" ht="15" customHeight="1" x14ac:dyDescent="0.25"/>
    <row r="1939" spans="2:33" ht="15" customHeight="1" x14ac:dyDescent="0.25"/>
    <row r="1940" spans="2:33" ht="15" customHeight="1" x14ac:dyDescent="0.25"/>
    <row r="1941" spans="2:33" ht="15" customHeight="1" x14ac:dyDescent="0.25"/>
    <row r="1942" spans="2:33" ht="15" customHeight="1" x14ac:dyDescent="0.25"/>
    <row r="1943" spans="2:33" ht="15" customHeight="1" x14ac:dyDescent="0.25"/>
    <row r="1944" spans="2:33" ht="15" customHeight="1" x14ac:dyDescent="0.25"/>
    <row r="1945" spans="2:33" ht="15" customHeight="1" x14ac:dyDescent="0.25">
      <c r="B1945" s="585"/>
      <c r="C1945" s="585"/>
      <c r="D1945" s="585"/>
      <c r="E1945" s="585"/>
      <c r="F1945" s="585"/>
      <c r="G1945" s="585"/>
      <c r="H1945" s="585"/>
      <c r="I1945" s="585"/>
      <c r="J1945" s="585"/>
      <c r="K1945" s="585"/>
      <c r="L1945" s="585"/>
      <c r="M1945" s="585"/>
      <c r="N1945" s="585"/>
      <c r="O1945" s="585"/>
      <c r="P1945" s="585"/>
      <c r="Q1945" s="585"/>
      <c r="R1945" s="585"/>
      <c r="S1945" s="585"/>
      <c r="T1945" s="585"/>
      <c r="U1945" s="585"/>
      <c r="V1945" s="585"/>
      <c r="W1945" s="585"/>
      <c r="X1945" s="585"/>
      <c r="Y1945" s="585"/>
      <c r="Z1945" s="585"/>
      <c r="AA1945" s="585"/>
      <c r="AB1945" s="585"/>
      <c r="AC1945" s="585"/>
      <c r="AD1945" s="585"/>
      <c r="AE1945" s="585"/>
      <c r="AF1945" s="585"/>
      <c r="AG1945" s="585"/>
    </row>
    <row r="1946" spans="2:33" ht="15" customHeight="1" x14ac:dyDescent="0.25"/>
    <row r="1947" spans="2:33" ht="15" customHeight="1" x14ac:dyDescent="0.25"/>
    <row r="1948" spans="2:33" ht="15" customHeight="1" x14ac:dyDescent="0.25"/>
    <row r="1949" spans="2:33" ht="15" customHeight="1" x14ac:dyDescent="0.25"/>
    <row r="1950" spans="2:33" ht="15" customHeight="1" x14ac:dyDescent="0.25"/>
    <row r="1951" spans="2:33" ht="15" customHeight="1" x14ac:dyDescent="0.25"/>
    <row r="1952" spans="2:33" ht="15" customHeight="1" x14ac:dyDescent="0.25"/>
    <row r="1953" ht="15" customHeight="1" x14ac:dyDescent="0.25"/>
    <row r="1954" ht="15" customHeight="1" x14ac:dyDescent="0.25"/>
    <row r="1955" ht="15" customHeight="1" x14ac:dyDescent="0.25"/>
    <row r="1975" ht="15" customHeight="1" x14ac:dyDescent="0.25"/>
    <row r="1976" ht="15" customHeight="1" x14ac:dyDescent="0.25"/>
    <row r="1977" ht="15" customHeight="1" x14ac:dyDescent="0.25"/>
    <row r="1978" ht="15" customHeight="1" x14ac:dyDescent="0.25"/>
    <row r="1979" ht="15" customHeight="1" x14ac:dyDescent="0.25"/>
    <row r="1980" ht="15" customHeight="1" x14ac:dyDescent="0.25"/>
    <row r="1981" ht="15" customHeight="1" x14ac:dyDescent="0.25"/>
    <row r="1982" ht="15" customHeight="1" x14ac:dyDescent="0.25"/>
    <row r="1984" ht="15" customHeight="1" x14ac:dyDescent="0.25"/>
    <row r="1985" ht="15" customHeight="1" x14ac:dyDescent="0.25"/>
    <row r="1986" ht="15" customHeight="1" x14ac:dyDescent="0.25"/>
    <row r="1988" ht="15" customHeight="1" x14ac:dyDescent="0.25"/>
    <row r="1990" ht="15" customHeight="1" x14ac:dyDescent="0.25"/>
    <row r="1991" ht="15" customHeight="1" x14ac:dyDescent="0.25"/>
    <row r="1992" ht="15" customHeight="1" x14ac:dyDescent="0.25"/>
    <row r="1993" ht="15" customHeight="1" x14ac:dyDescent="0.25"/>
    <row r="1994" ht="15" customHeight="1" x14ac:dyDescent="0.25"/>
    <row r="1995" ht="15" customHeight="1" x14ac:dyDescent="0.25"/>
    <row r="1996" ht="15" customHeight="1" x14ac:dyDescent="0.25"/>
    <row r="1997" ht="15" customHeight="1" x14ac:dyDescent="0.25"/>
    <row r="1998" ht="15" customHeight="1" x14ac:dyDescent="0.25"/>
    <row r="1999" ht="15" customHeight="1" x14ac:dyDescent="0.25"/>
    <row r="2000" ht="15" customHeight="1" x14ac:dyDescent="0.25"/>
    <row r="2001" ht="15" customHeight="1" x14ac:dyDescent="0.25"/>
    <row r="2002" ht="15" customHeight="1" x14ac:dyDescent="0.25"/>
    <row r="2004" ht="15" customHeight="1" x14ac:dyDescent="0.25"/>
    <row r="2006" ht="15" customHeight="1" x14ac:dyDescent="0.25"/>
    <row r="2008" ht="15" customHeight="1" x14ac:dyDescent="0.25"/>
    <row r="2009" ht="15" customHeight="1" x14ac:dyDescent="0.25"/>
    <row r="2011" ht="15" customHeight="1" x14ac:dyDescent="0.25"/>
    <row r="2012" ht="15" customHeight="1" x14ac:dyDescent="0.25"/>
    <row r="2013" ht="15" customHeight="1" x14ac:dyDescent="0.25"/>
    <row r="2014" ht="15" customHeight="1" x14ac:dyDescent="0.25"/>
    <row r="2015" ht="15" customHeight="1" x14ac:dyDescent="0.25"/>
    <row r="2016" ht="15" customHeight="1" x14ac:dyDescent="0.25"/>
    <row r="2017" spans="2:33" ht="15" customHeight="1" x14ac:dyDescent="0.25"/>
    <row r="2018" spans="2:33" ht="15" customHeight="1" x14ac:dyDescent="0.25"/>
    <row r="2019" spans="2:33" ht="15" customHeight="1" x14ac:dyDescent="0.25"/>
    <row r="2020" spans="2:33" ht="15" customHeight="1" x14ac:dyDescent="0.25"/>
    <row r="2022" spans="2:33" ht="15" customHeight="1" x14ac:dyDescent="0.25"/>
    <row r="2023" spans="2:33" ht="15" customHeight="1" x14ac:dyDescent="0.25"/>
    <row r="2024" spans="2:33" ht="15" customHeight="1" x14ac:dyDescent="0.25"/>
    <row r="2025" spans="2:33" ht="15" customHeight="1" x14ac:dyDescent="0.25"/>
    <row r="2026" spans="2:33" ht="15" customHeight="1" x14ac:dyDescent="0.25"/>
    <row r="2027" spans="2:33" ht="15" customHeight="1" x14ac:dyDescent="0.25"/>
    <row r="2028" spans="2:33" ht="15" customHeight="1" x14ac:dyDescent="0.25"/>
    <row r="2029" spans="2:33" ht="15" customHeight="1" x14ac:dyDescent="0.25"/>
    <row r="2030" spans="2:33" ht="15" customHeight="1" x14ac:dyDescent="0.25"/>
    <row r="2031" spans="2:33" ht="15" customHeight="1" x14ac:dyDescent="0.25">
      <c r="B2031" s="585"/>
      <c r="C2031" s="585"/>
      <c r="D2031" s="585"/>
      <c r="E2031" s="585"/>
      <c r="F2031" s="585"/>
      <c r="G2031" s="585"/>
      <c r="H2031" s="585"/>
      <c r="I2031" s="585"/>
      <c r="J2031" s="585"/>
      <c r="K2031" s="585"/>
      <c r="L2031" s="585"/>
      <c r="M2031" s="585"/>
      <c r="N2031" s="585"/>
      <c r="O2031" s="585"/>
      <c r="P2031" s="585"/>
      <c r="Q2031" s="585"/>
      <c r="R2031" s="585"/>
      <c r="S2031" s="585"/>
      <c r="T2031" s="585"/>
      <c r="U2031" s="585"/>
      <c r="V2031" s="585"/>
      <c r="W2031" s="585"/>
      <c r="X2031" s="585"/>
      <c r="Y2031" s="585"/>
      <c r="Z2031" s="585"/>
      <c r="AA2031" s="585"/>
      <c r="AB2031" s="585"/>
      <c r="AC2031" s="585"/>
      <c r="AD2031" s="585"/>
      <c r="AE2031" s="585"/>
      <c r="AF2031" s="585"/>
      <c r="AG2031" s="585"/>
    </row>
    <row r="2032" spans="2:33" ht="15" customHeight="1" x14ac:dyDescent="0.25"/>
    <row r="2033" ht="15" customHeight="1" x14ac:dyDescent="0.25"/>
    <row r="2034" ht="15" customHeight="1" x14ac:dyDescent="0.25"/>
    <row r="2035" ht="15" customHeight="1" x14ac:dyDescent="0.25"/>
    <row r="2036" ht="15" customHeight="1" x14ac:dyDescent="0.25"/>
    <row r="2037" ht="15" customHeight="1" x14ac:dyDescent="0.25"/>
    <row r="2038" ht="15" customHeight="1" x14ac:dyDescent="0.25"/>
    <row r="2039" ht="15" customHeight="1" x14ac:dyDescent="0.25"/>
    <row r="2040" ht="15" customHeight="1" x14ac:dyDescent="0.25"/>
    <row r="2041" ht="15" customHeight="1" x14ac:dyDescent="0.25"/>
    <row r="2042" ht="15" customHeight="1" x14ac:dyDescent="0.25"/>
    <row r="2043" ht="15" customHeight="1" x14ac:dyDescent="0.25"/>
    <row r="2044" ht="15" customHeight="1" x14ac:dyDescent="0.25"/>
    <row r="2045" ht="15" customHeight="1" x14ac:dyDescent="0.25"/>
    <row r="2046" ht="15" customHeight="1" x14ac:dyDescent="0.25"/>
    <row r="2047" ht="15" customHeight="1" x14ac:dyDescent="0.25"/>
    <row r="2048" ht="15" customHeight="1" x14ac:dyDescent="0.25"/>
    <row r="2049" ht="15" customHeight="1" x14ac:dyDescent="0.25"/>
    <row r="2050" ht="15" customHeight="1" x14ac:dyDescent="0.25"/>
    <row r="2051" ht="15" customHeight="1" x14ac:dyDescent="0.25"/>
    <row r="2052" ht="15" customHeight="1" x14ac:dyDescent="0.25"/>
    <row r="2053" ht="15" customHeight="1" x14ac:dyDescent="0.25"/>
    <row r="2100" ht="15" customHeight="1" x14ac:dyDescent="0.25"/>
    <row r="2101" ht="15" customHeight="1" x14ac:dyDescent="0.25"/>
    <row r="2102" ht="15" customHeight="1" x14ac:dyDescent="0.25"/>
    <row r="2103" ht="15" customHeight="1" x14ac:dyDescent="0.25"/>
    <row r="2104" ht="15" customHeight="1" x14ac:dyDescent="0.25"/>
    <row r="2105" ht="15" customHeight="1" x14ac:dyDescent="0.25"/>
    <row r="2107" ht="15" customHeight="1" x14ac:dyDescent="0.25"/>
    <row r="2108" ht="15" customHeight="1" x14ac:dyDescent="0.25"/>
    <row r="2110" ht="15" customHeight="1" x14ac:dyDescent="0.25"/>
    <row r="2111" ht="15" customHeight="1" x14ac:dyDescent="0.25"/>
    <row r="2112" ht="15" customHeight="1" x14ac:dyDescent="0.25"/>
    <row r="2113" ht="15" customHeight="1" x14ac:dyDescent="0.25"/>
    <row r="2114" ht="15" customHeight="1" x14ac:dyDescent="0.25"/>
    <row r="2115" ht="15" customHeight="1" x14ac:dyDescent="0.25"/>
    <row r="2116" ht="15" customHeight="1" x14ac:dyDescent="0.25"/>
    <row r="2117" ht="15" customHeight="1" x14ac:dyDescent="0.25"/>
    <row r="2118" ht="15" customHeight="1" x14ac:dyDescent="0.25"/>
    <row r="2119" ht="15" customHeight="1" x14ac:dyDescent="0.25"/>
    <row r="2120" ht="15" customHeight="1" x14ac:dyDescent="0.25"/>
    <row r="2121" ht="15" customHeight="1" x14ac:dyDescent="0.25"/>
    <row r="2122" ht="15" customHeight="1" x14ac:dyDescent="0.25"/>
    <row r="2124" ht="15" customHeight="1" x14ac:dyDescent="0.25"/>
    <row r="2125" ht="15" customHeight="1" x14ac:dyDescent="0.25"/>
    <row r="2126" ht="15" customHeight="1" x14ac:dyDescent="0.25"/>
    <row r="2127" ht="15" customHeight="1" x14ac:dyDescent="0.25"/>
    <row r="2128" ht="15" customHeight="1" x14ac:dyDescent="0.25"/>
    <row r="2129" ht="15" customHeight="1" x14ac:dyDescent="0.25"/>
    <row r="2131" ht="15" customHeight="1" x14ac:dyDescent="0.25"/>
    <row r="2133" ht="15" customHeight="1" x14ac:dyDescent="0.25"/>
    <row r="2134" ht="15" customHeight="1" x14ac:dyDescent="0.25"/>
    <row r="2136" ht="15" customHeight="1" x14ac:dyDescent="0.25"/>
    <row r="2137" ht="15" customHeight="1" x14ac:dyDescent="0.25"/>
    <row r="2138" ht="15" customHeight="1" x14ac:dyDescent="0.25"/>
    <row r="2139" ht="15" customHeight="1" x14ac:dyDescent="0.25"/>
    <row r="2140" ht="15" customHeight="1" x14ac:dyDescent="0.25"/>
    <row r="2141" ht="15" customHeight="1" x14ac:dyDescent="0.25"/>
    <row r="2142" ht="15" customHeight="1" x14ac:dyDescent="0.25"/>
    <row r="2143" ht="15" customHeight="1" x14ac:dyDescent="0.25"/>
    <row r="2144" ht="15" customHeight="1" x14ac:dyDescent="0.25"/>
    <row r="2145" spans="2:33" ht="15" customHeight="1" x14ac:dyDescent="0.25"/>
    <row r="2146" spans="2:33" ht="15" customHeight="1" x14ac:dyDescent="0.25"/>
    <row r="2148" spans="2:33" ht="15" customHeight="1" x14ac:dyDescent="0.25"/>
    <row r="2151" spans="2:33" ht="15" customHeight="1" x14ac:dyDescent="0.25"/>
    <row r="2152" spans="2:33" ht="15" customHeight="1" x14ac:dyDescent="0.25"/>
    <row r="2153" spans="2:33" ht="15" customHeight="1" x14ac:dyDescent="0.25">
      <c r="B2153" s="585"/>
      <c r="C2153" s="585"/>
      <c r="D2153" s="585"/>
      <c r="E2153" s="585"/>
      <c r="F2153" s="585"/>
      <c r="G2153" s="585"/>
      <c r="H2153" s="585"/>
      <c r="I2153" s="585"/>
      <c r="J2153" s="585"/>
      <c r="K2153" s="585"/>
      <c r="L2153" s="585"/>
      <c r="M2153" s="585"/>
      <c r="N2153" s="585"/>
      <c r="O2153" s="585"/>
      <c r="P2153" s="585"/>
      <c r="Q2153" s="585"/>
      <c r="R2153" s="585"/>
      <c r="S2153" s="585"/>
      <c r="T2153" s="585"/>
      <c r="U2153" s="585"/>
      <c r="V2153" s="585"/>
      <c r="W2153" s="585"/>
      <c r="X2153" s="585"/>
      <c r="Y2153" s="585"/>
      <c r="Z2153" s="585"/>
      <c r="AA2153" s="585"/>
      <c r="AB2153" s="585"/>
      <c r="AC2153" s="585"/>
      <c r="AD2153" s="585"/>
      <c r="AE2153" s="585"/>
      <c r="AF2153" s="585"/>
      <c r="AG2153" s="585"/>
    </row>
    <row r="2154" spans="2:33" ht="15" customHeight="1" x14ac:dyDescent="0.25"/>
    <row r="2155" spans="2:33" ht="15" customHeight="1" x14ac:dyDescent="0.25"/>
    <row r="2156" spans="2:33" ht="15" customHeight="1" x14ac:dyDescent="0.25"/>
    <row r="2157" spans="2:33" ht="15" customHeight="1" x14ac:dyDescent="0.25"/>
    <row r="2158" spans="2:33" ht="15" customHeight="1" x14ac:dyDescent="0.25"/>
    <row r="2159" spans="2:33" ht="15" customHeight="1" x14ac:dyDescent="0.25"/>
    <row r="2160" spans="2:33" ht="15" customHeight="1" x14ac:dyDescent="0.25"/>
    <row r="2161" ht="15" customHeight="1" x14ac:dyDescent="0.25"/>
    <row r="2162" ht="15" customHeight="1" x14ac:dyDescent="0.25"/>
    <row r="2250" ht="15" customHeight="1" x14ac:dyDescent="0.25"/>
    <row r="2251" ht="15" customHeight="1" x14ac:dyDescent="0.25"/>
    <row r="2252" ht="15" customHeight="1" x14ac:dyDescent="0.25"/>
    <row r="2253" ht="15" customHeight="1" x14ac:dyDescent="0.25"/>
    <row r="2254" ht="15" customHeight="1" x14ac:dyDescent="0.25"/>
    <row r="2255" ht="15" customHeight="1" x14ac:dyDescent="0.25"/>
    <row r="2256" ht="15" customHeight="1" x14ac:dyDescent="0.25"/>
    <row r="2257" ht="15" customHeight="1" x14ac:dyDescent="0.25"/>
    <row r="2258" ht="15" customHeight="1" x14ac:dyDescent="0.25"/>
    <row r="2260" ht="15" customHeight="1" x14ac:dyDescent="0.25"/>
    <row r="2261" ht="15" customHeight="1" x14ac:dyDescent="0.25"/>
    <row r="2262" ht="15" customHeight="1" x14ac:dyDescent="0.25"/>
    <row r="2264" ht="15" customHeight="1" x14ac:dyDescent="0.25"/>
    <row r="2266" ht="15" customHeight="1" x14ac:dyDescent="0.25"/>
    <row r="2267" ht="15" customHeight="1" x14ac:dyDescent="0.25"/>
    <row r="2268" ht="15" customHeight="1" x14ac:dyDescent="0.25"/>
    <row r="2269" ht="15" customHeight="1" x14ac:dyDescent="0.25"/>
    <row r="2271" ht="15" customHeight="1" x14ac:dyDescent="0.25"/>
    <row r="2273" ht="15" customHeight="1" x14ac:dyDescent="0.25"/>
    <row r="2274" ht="15" customHeight="1" x14ac:dyDescent="0.25"/>
    <row r="2275" ht="15" customHeight="1" x14ac:dyDescent="0.25"/>
    <row r="2276" ht="15" customHeight="1" x14ac:dyDescent="0.25"/>
    <row r="2277" ht="15" customHeight="1" x14ac:dyDescent="0.25"/>
    <row r="2278" ht="15" customHeight="1" x14ac:dyDescent="0.25"/>
    <row r="2279" ht="15" customHeight="1" x14ac:dyDescent="0.25"/>
    <row r="2280" ht="15" customHeight="1" x14ac:dyDescent="0.25"/>
    <row r="2282" ht="15" customHeight="1" x14ac:dyDescent="0.25"/>
    <row r="2284" ht="15" customHeight="1" x14ac:dyDescent="0.25"/>
    <row r="2285" ht="15" customHeight="1" x14ac:dyDescent="0.25"/>
    <row r="2286" ht="15" customHeight="1" x14ac:dyDescent="0.25"/>
    <row r="2288" ht="15" customHeight="1" x14ac:dyDescent="0.25"/>
    <row r="2289" ht="15" customHeight="1" x14ac:dyDescent="0.25"/>
    <row r="2290" ht="15" customHeight="1" x14ac:dyDescent="0.25"/>
    <row r="2291" ht="15" customHeight="1" x14ac:dyDescent="0.25"/>
    <row r="2292" ht="15" customHeight="1" x14ac:dyDescent="0.25"/>
    <row r="2293" ht="15" customHeight="1" x14ac:dyDescent="0.25"/>
    <row r="2294" ht="15" customHeight="1" x14ac:dyDescent="0.25"/>
    <row r="2295" ht="15" customHeight="1" x14ac:dyDescent="0.25"/>
    <row r="2296" ht="15" customHeight="1" x14ac:dyDescent="0.25"/>
    <row r="2297" ht="15" customHeight="1" x14ac:dyDescent="0.25"/>
    <row r="2298" ht="15" customHeight="1" x14ac:dyDescent="0.25"/>
    <row r="2301" ht="15" customHeight="1" x14ac:dyDescent="0.25"/>
    <row r="2302" ht="15" customHeight="1" x14ac:dyDescent="0.25"/>
    <row r="2303" ht="15" customHeight="1" x14ac:dyDescent="0.25"/>
    <row r="2305" spans="2:33" ht="15" customHeight="1" x14ac:dyDescent="0.25"/>
    <row r="2306" spans="2:33" ht="15" customHeight="1" x14ac:dyDescent="0.25"/>
    <row r="2307" spans="2:33" ht="15" customHeight="1" x14ac:dyDescent="0.25"/>
    <row r="2308" spans="2:33" ht="15" customHeight="1" x14ac:dyDescent="0.25"/>
    <row r="2309" spans="2:33" ht="15" customHeight="1" x14ac:dyDescent="0.25"/>
    <row r="2310" spans="2:33" ht="15" customHeight="1" x14ac:dyDescent="0.25"/>
    <row r="2311" spans="2:33" ht="15" customHeight="1" x14ac:dyDescent="0.25"/>
    <row r="2312" spans="2:33" ht="15" customHeight="1" x14ac:dyDescent="0.25"/>
    <row r="2313" spans="2:33" ht="15" customHeight="1" x14ac:dyDescent="0.25"/>
    <row r="2314" spans="2:33" ht="15" customHeight="1" x14ac:dyDescent="0.25"/>
    <row r="2315" spans="2:33" ht="15" customHeight="1" x14ac:dyDescent="0.25"/>
    <row r="2316" spans="2:33" ht="15" customHeight="1" x14ac:dyDescent="0.25"/>
    <row r="2317" spans="2:33" ht="15" customHeight="1" x14ac:dyDescent="0.25">
      <c r="B2317" s="585"/>
      <c r="C2317" s="585"/>
      <c r="D2317" s="585"/>
      <c r="E2317" s="585"/>
      <c r="F2317" s="585"/>
      <c r="G2317" s="585"/>
      <c r="H2317" s="585"/>
      <c r="I2317" s="585"/>
      <c r="J2317" s="585"/>
      <c r="K2317" s="585"/>
      <c r="L2317" s="585"/>
      <c r="M2317" s="585"/>
      <c r="N2317" s="585"/>
      <c r="O2317" s="585"/>
      <c r="P2317" s="585"/>
      <c r="Q2317" s="585"/>
      <c r="R2317" s="585"/>
      <c r="S2317" s="585"/>
      <c r="T2317" s="585"/>
      <c r="U2317" s="585"/>
      <c r="V2317" s="585"/>
      <c r="W2317" s="585"/>
      <c r="X2317" s="585"/>
      <c r="Y2317" s="585"/>
      <c r="Z2317" s="585"/>
      <c r="AA2317" s="585"/>
      <c r="AB2317" s="585"/>
      <c r="AC2317" s="585"/>
      <c r="AD2317" s="585"/>
      <c r="AE2317" s="585"/>
      <c r="AF2317" s="585"/>
      <c r="AG2317" s="585"/>
    </row>
    <row r="2318" spans="2:33" ht="15" customHeight="1" x14ac:dyDescent="0.25"/>
    <row r="2319" spans="2:33" ht="15" customHeight="1" x14ac:dyDescent="0.25"/>
    <row r="2320" spans="2:33" ht="15" customHeight="1" x14ac:dyDescent="0.25"/>
    <row r="2321" ht="15" customHeight="1" x14ac:dyDescent="0.25"/>
    <row r="2322" ht="15" customHeight="1" x14ac:dyDescent="0.25"/>
    <row r="2323" ht="15" customHeight="1" x14ac:dyDescent="0.25"/>
    <row r="2324" ht="15" customHeight="1" x14ac:dyDescent="0.25"/>
    <row r="2325" ht="15" customHeight="1" x14ac:dyDescent="0.25"/>
    <row r="2326" ht="15" customHeight="1" x14ac:dyDescent="0.25"/>
    <row r="2327" ht="15" customHeight="1" x14ac:dyDescent="0.25"/>
    <row r="2328" ht="15" customHeight="1" x14ac:dyDescent="0.25"/>
    <row r="2329" ht="15" customHeight="1" x14ac:dyDescent="0.25"/>
    <row r="2330" ht="15" customHeight="1" x14ac:dyDescent="0.25"/>
    <row r="2331" ht="15" customHeight="1" x14ac:dyDescent="0.25"/>
    <row r="2332" ht="15" customHeight="1" x14ac:dyDescent="0.25"/>
    <row r="2333" ht="15" customHeight="1" x14ac:dyDescent="0.25"/>
    <row r="2334" ht="15" customHeight="1" x14ac:dyDescent="0.25"/>
    <row r="2350" ht="15" customHeight="1" x14ac:dyDescent="0.25"/>
    <row r="2351" ht="15" customHeight="1" x14ac:dyDescent="0.25"/>
    <row r="2352" ht="15" customHeight="1" x14ac:dyDescent="0.25"/>
    <row r="2353" ht="15" customHeight="1" x14ac:dyDescent="0.25"/>
    <row r="2354" ht="15" customHeight="1" x14ac:dyDescent="0.25"/>
    <row r="2355" ht="15" customHeight="1" x14ac:dyDescent="0.25"/>
    <row r="2356" ht="15" customHeight="1" x14ac:dyDescent="0.25"/>
    <row r="2357" ht="15" customHeight="1" x14ac:dyDescent="0.25"/>
    <row r="2358" ht="15" customHeight="1" x14ac:dyDescent="0.25"/>
    <row r="2359" ht="15" customHeight="1" x14ac:dyDescent="0.25"/>
    <row r="2360" ht="15" customHeight="1" x14ac:dyDescent="0.25"/>
    <row r="2361" ht="15" customHeight="1" x14ac:dyDescent="0.25"/>
    <row r="2362" ht="15" customHeight="1" x14ac:dyDescent="0.25"/>
    <row r="2363" ht="15" customHeight="1" x14ac:dyDescent="0.25"/>
    <row r="2364" ht="15" customHeight="1" x14ac:dyDescent="0.25"/>
    <row r="2365" ht="15" customHeight="1" x14ac:dyDescent="0.25"/>
    <row r="2367" ht="15" customHeight="1" x14ac:dyDescent="0.25"/>
    <row r="2368" ht="15" customHeight="1" x14ac:dyDescent="0.25"/>
    <row r="2369" ht="15" customHeight="1" x14ac:dyDescent="0.25"/>
    <row r="2370" ht="15" customHeight="1" x14ac:dyDescent="0.25"/>
    <row r="2371" ht="15" customHeight="1" x14ac:dyDescent="0.25"/>
    <row r="2372" ht="15" customHeight="1" x14ac:dyDescent="0.25"/>
    <row r="2373" ht="15" customHeight="1" x14ac:dyDescent="0.25"/>
    <row r="2374" ht="15" customHeight="1" x14ac:dyDescent="0.25"/>
    <row r="2375" ht="15" customHeight="1" x14ac:dyDescent="0.25"/>
    <row r="2376" ht="15" customHeight="1" x14ac:dyDescent="0.25"/>
    <row r="2377" ht="15" customHeight="1" x14ac:dyDescent="0.25"/>
    <row r="2378" ht="15" customHeight="1" x14ac:dyDescent="0.25"/>
    <row r="2380" ht="15" customHeight="1" x14ac:dyDescent="0.25"/>
    <row r="2381" ht="15" customHeight="1" x14ac:dyDescent="0.25"/>
    <row r="2382" ht="15" customHeight="1" x14ac:dyDescent="0.25"/>
    <row r="2383" ht="15" customHeight="1" x14ac:dyDescent="0.25"/>
    <row r="2384" ht="15" customHeight="1" x14ac:dyDescent="0.25"/>
    <row r="2385" ht="15" customHeight="1" x14ac:dyDescent="0.25"/>
    <row r="2386" ht="15" customHeight="1" x14ac:dyDescent="0.25"/>
    <row r="2387" ht="15" customHeight="1" x14ac:dyDescent="0.25"/>
    <row r="2388" ht="15" customHeight="1" x14ac:dyDescent="0.25"/>
    <row r="2390" ht="15" customHeight="1" x14ac:dyDescent="0.25"/>
    <row r="2391" ht="15" customHeight="1" x14ac:dyDescent="0.25"/>
    <row r="2392" ht="15" customHeight="1" x14ac:dyDescent="0.25"/>
    <row r="2393" ht="15" customHeight="1" x14ac:dyDescent="0.25"/>
    <row r="2394" ht="15" customHeight="1" x14ac:dyDescent="0.25"/>
    <row r="2395" ht="15" customHeight="1" x14ac:dyDescent="0.25"/>
    <row r="2396" ht="15" customHeight="1" x14ac:dyDescent="0.25"/>
    <row r="2397" ht="15" customHeight="1" x14ac:dyDescent="0.25"/>
    <row r="2400" ht="15" customHeight="1" x14ac:dyDescent="0.25"/>
    <row r="2401" ht="15" customHeight="1" x14ac:dyDescent="0.25"/>
    <row r="2402" ht="15" customHeight="1" x14ac:dyDescent="0.25"/>
    <row r="2403" ht="15" customHeight="1" x14ac:dyDescent="0.25"/>
    <row r="2404" ht="15" customHeight="1" x14ac:dyDescent="0.25"/>
    <row r="2405" ht="15" customHeight="1" x14ac:dyDescent="0.25"/>
    <row r="2406" ht="15" customHeight="1" x14ac:dyDescent="0.25"/>
    <row r="2407" ht="15" customHeight="1" x14ac:dyDescent="0.25"/>
    <row r="2408" ht="15" customHeight="1" x14ac:dyDescent="0.25"/>
    <row r="2410" ht="15" customHeight="1" x14ac:dyDescent="0.25"/>
    <row r="2411" ht="15" customHeight="1" x14ac:dyDescent="0.25"/>
    <row r="2412" ht="15" customHeight="1" x14ac:dyDescent="0.25"/>
    <row r="2413" ht="15" customHeight="1" x14ac:dyDescent="0.25"/>
    <row r="2414" ht="15" customHeight="1" x14ac:dyDescent="0.25"/>
    <row r="2415" ht="15" customHeight="1" x14ac:dyDescent="0.25"/>
    <row r="2416" ht="15" customHeight="1" x14ac:dyDescent="0.25"/>
    <row r="2417" spans="2:33" ht="15" customHeight="1" x14ac:dyDescent="0.25"/>
    <row r="2418" spans="2:33" ht="15" customHeight="1" x14ac:dyDescent="0.25"/>
    <row r="2419" spans="2:33" ht="15" customHeight="1" x14ac:dyDescent="0.25">
      <c r="B2419" s="585"/>
      <c r="C2419" s="585"/>
      <c r="D2419" s="585"/>
      <c r="E2419" s="585"/>
      <c r="F2419" s="585"/>
      <c r="G2419" s="585"/>
      <c r="H2419" s="585"/>
      <c r="I2419" s="585"/>
      <c r="J2419" s="585"/>
      <c r="K2419" s="585"/>
      <c r="L2419" s="585"/>
      <c r="M2419" s="585"/>
      <c r="N2419" s="585"/>
      <c r="O2419" s="585"/>
      <c r="P2419" s="585"/>
      <c r="Q2419" s="585"/>
      <c r="R2419" s="585"/>
      <c r="S2419" s="585"/>
      <c r="T2419" s="585"/>
      <c r="U2419" s="585"/>
      <c r="V2419" s="585"/>
      <c r="W2419" s="585"/>
      <c r="X2419" s="585"/>
      <c r="Y2419" s="585"/>
      <c r="Z2419" s="585"/>
      <c r="AA2419" s="585"/>
      <c r="AB2419" s="585"/>
      <c r="AC2419" s="585"/>
      <c r="AD2419" s="585"/>
      <c r="AE2419" s="585"/>
      <c r="AF2419" s="585"/>
      <c r="AG2419" s="585"/>
    </row>
    <row r="2420" spans="2:33" ht="15" customHeight="1" x14ac:dyDescent="0.25"/>
    <row r="2421" spans="2:33" ht="15" customHeight="1" x14ac:dyDescent="0.25"/>
    <row r="2422" spans="2:33" ht="15" customHeight="1" x14ac:dyDescent="0.25"/>
    <row r="2423" spans="2:33" ht="15" customHeight="1" x14ac:dyDescent="0.25"/>
    <row r="2424" spans="2:33" ht="15" customHeight="1" x14ac:dyDescent="0.25"/>
    <row r="2425" spans="2:33" ht="15" customHeight="1" x14ac:dyDescent="0.25"/>
    <row r="2426" spans="2:33" ht="15" customHeight="1" x14ac:dyDescent="0.25"/>
    <row r="2427" spans="2:33" ht="15" customHeight="1" x14ac:dyDescent="0.25"/>
    <row r="2428" spans="2:33" ht="15" customHeight="1" x14ac:dyDescent="0.25"/>
    <row r="2429" spans="2:33" ht="15" customHeight="1" x14ac:dyDescent="0.25"/>
    <row r="2430" spans="2:33" ht="15" customHeight="1" x14ac:dyDescent="0.25"/>
    <row r="2431" spans="2:33" ht="15" customHeight="1" x14ac:dyDescent="0.25"/>
    <row r="2432" spans="2:33" ht="15" customHeight="1" x14ac:dyDescent="0.25"/>
    <row r="2433" ht="15" customHeight="1" x14ac:dyDescent="0.25"/>
    <row r="2434" ht="15" customHeight="1" x14ac:dyDescent="0.25"/>
    <row r="2435" ht="15" customHeight="1" x14ac:dyDescent="0.25"/>
    <row r="2436" ht="15" customHeight="1" x14ac:dyDescent="0.25"/>
    <row r="2437" ht="15" customHeight="1" x14ac:dyDescent="0.25"/>
    <row r="2450" ht="15" customHeight="1" x14ac:dyDescent="0.25"/>
    <row r="2451" ht="15" customHeight="1" x14ac:dyDescent="0.25"/>
    <row r="2452" ht="15" customHeight="1" x14ac:dyDescent="0.25"/>
    <row r="2453" ht="15" customHeight="1" x14ac:dyDescent="0.25"/>
    <row r="2454" ht="15" customHeight="1" x14ac:dyDescent="0.25"/>
    <row r="2455" ht="15" customHeight="1" x14ac:dyDescent="0.25"/>
    <row r="2457" ht="15" customHeight="1" x14ac:dyDescent="0.25"/>
    <row r="2459" ht="15" customHeight="1" x14ac:dyDescent="0.25"/>
    <row r="2461" ht="15" customHeight="1" x14ac:dyDescent="0.25"/>
    <row r="2462" ht="15" customHeight="1" x14ac:dyDescent="0.25"/>
    <row r="2463" ht="15" customHeight="1" x14ac:dyDescent="0.25"/>
    <row r="2464" ht="15" customHeight="1" x14ac:dyDescent="0.25"/>
    <row r="2465" ht="15" customHeight="1" x14ac:dyDescent="0.25"/>
    <row r="2467" ht="15" customHeight="1" x14ac:dyDescent="0.25"/>
    <row r="2468" ht="15" customHeight="1" x14ac:dyDescent="0.25"/>
    <row r="2469" ht="15" customHeight="1" x14ac:dyDescent="0.25"/>
    <row r="2470" ht="15" customHeight="1" x14ac:dyDescent="0.25"/>
    <row r="2471" ht="15" customHeight="1" x14ac:dyDescent="0.25"/>
    <row r="2472" ht="15" customHeight="1" x14ac:dyDescent="0.25"/>
    <row r="2473" ht="15" customHeight="1" x14ac:dyDescent="0.25"/>
    <row r="2475" ht="15" customHeight="1" x14ac:dyDescent="0.25"/>
    <row r="2476" ht="15" customHeight="1" x14ac:dyDescent="0.25"/>
    <row r="2477" ht="15" customHeight="1" x14ac:dyDescent="0.25"/>
    <row r="2478" ht="15" customHeight="1" x14ac:dyDescent="0.25"/>
    <row r="2479" ht="15" customHeight="1" x14ac:dyDescent="0.25"/>
    <row r="2480" ht="15" customHeight="1" x14ac:dyDescent="0.25"/>
    <row r="2481" ht="15" customHeight="1" x14ac:dyDescent="0.25"/>
    <row r="2482" ht="15" customHeight="1" x14ac:dyDescent="0.25"/>
    <row r="2483" ht="15" customHeight="1" x14ac:dyDescent="0.25"/>
    <row r="2484" ht="15" customHeight="1" x14ac:dyDescent="0.25"/>
    <row r="2486" ht="15" customHeight="1" x14ac:dyDescent="0.25"/>
    <row r="2488" ht="15" customHeight="1" x14ac:dyDescent="0.25"/>
    <row r="2489" ht="15" customHeight="1" x14ac:dyDescent="0.25"/>
    <row r="2490" ht="15" customHeight="1" x14ac:dyDescent="0.25"/>
    <row r="2491" ht="15" customHeight="1" x14ac:dyDescent="0.25"/>
    <row r="2492" ht="15" customHeight="1" x14ac:dyDescent="0.25"/>
    <row r="2495" ht="15" customHeight="1" x14ac:dyDescent="0.25"/>
    <row r="2496" ht="15" customHeight="1" x14ac:dyDescent="0.25"/>
    <row r="2498" spans="2:33" ht="15" customHeight="1" x14ac:dyDescent="0.25"/>
    <row r="2499" spans="2:33" ht="15" customHeight="1" x14ac:dyDescent="0.25"/>
    <row r="2500" spans="2:33" ht="15" customHeight="1" x14ac:dyDescent="0.25"/>
    <row r="2501" spans="2:33" ht="15" customHeight="1" x14ac:dyDescent="0.25"/>
    <row r="2502" spans="2:33" ht="15" customHeight="1" x14ac:dyDescent="0.25"/>
    <row r="2504" spans="2:33" ht="15" customHeight="1" x14ac:dyDescent="0.25"/>
    <row r="2505" spans="2:33" ht="15" customHeight="1" x14ac:dyDescent="0.25"/>
    <row r="2506" spans="2:33" ht="15" customHeight="1" x14ac:dyDescent="0.25"/>
    <row r="2507" spans="2:33" ht="15" customHeight="1" x14ac:dyDescent="0.25"/>
    <row r="2508" spans="2:33" ht="15" customHeight="1" x14ac:dyDescent="0.25"/>
    <row r="2509" spans="2:33" ht="15" customHeight="1" x14ac:dyDescent="0.25">
      <c r="B2509" s="585"/>
      <c r="C2509" s="585"/>
      <c r="D2509" s="585"/>
      <c r="E2509" s="585"/>
      <c r="F2509" s="585"/>
      <c r="G2509" s="585"/>
      <c r="H2509" s="585"/>
      <c r="I2509" s="585"/>
      <c r="J2509" s="585"/>
      <c r="K2509" s="585"/>
      <c r="L2509" s="585"/>
      <c r="M2509" s="585"/>
      <c r="N2509" s="585"/>
      <c r="O2509" s="585"/>
      <c r="P2509" s="585"/>
      <c r="Q2509" s="585"/>
      <c r="R2509" s="585"/>
      <c r="S2509" s="585"/>
      <c r="T2509" s="585"/>
      <c r="U2509" s="585"/>
      <c r="V2509" s="585"/>
      <c r="W2509" s="585"/>
      <c r="X2509" s="585"/>
      <c r="Y2509" s="585"/>
      <c r="Z2509" s="585"/>
      <c r="AA2509" s="585"/>
      <c r="AB2509" s="585"/>
      <c r="AC2509" s="585"/>
      <c r="AD2509" s="585"/>
      <c r="AE2509" s="585"/>
      <c r="AF2509" s="585"/>
      <c r="AG2509" s="585"/>
    </row>
    <row r="2510" spans="2:33" ht="15" customHeight="1" x14ac:dyDescent="0.25"/>
    <row r="2511" spans="2:33" ht="15" customHeight="1" x14ac:dyDescent="0.25"/>
    <row r="2512" spans="2:33" ht="15" customHeight="1" x14ac:dyDescent="0.25"/>
    <row r="2513" ht="15" customHeight="1" x14ac:dyDescent="0.25"/>
    <row r="2514" ht="15" customHeight="1" x14ac:dyDescent="0.25"/>
    <row r="2515" ht="15" customHeight="1" x14ac:dyDescent="0.25"/>
    <row r="2516" ht="15" customHeight="1" x14ac:dyDescent="0.25"/>
    <row r="2517" ht="15" customHeight="1" x14ac:dyDescent="0.25"/>
    <row r="2518" ht="15" customHeight="1" x14ac:dyDescent="0.25"/>
    <row r="2519" ht="15" customHeight="1" x14ac:dyDescent="0.25"/>
    <row r="2520" ht="15" customHeight="1" x14ac:dyDescent="0.25"/>
    <row r="2521" ht="15" customHeight="1" x14ac:dyDescent="0.25"/>
    <row r="2522" ht="15" customHeight="1" x14ac:dyDescent="0.25"/>
    <row r="2523" ht="15" customHeight="1" x14ac:dyDescent="0.25"/>
    <row r="2524" ht="15" customHeight="1" x14ac:dyDescent="0.25"/>
    <row r="2525" ht="15" customHeight="1" x14ac:dyDescent="0.25"/>
    <row r="2526" ht="15" customHeight="1" x14ac:dyDescent="0.25"/>
    <row r="2527" ht="15" customHeight="1" x14ac:dyDescent="0.25"/>
    <row r="2528" ht="15" customHeight="1" x14ac:dyDescent="0.25"/>
    <row r="2529" ht="15" customHeight="1" x14ac:dyDescent="0.25"/>
    <row r="2550" ht="15" customHeight="1" x14ac:dyDescent="0.25"/>
    <row r="2551" ht="15" customHeight="1" x14ac:dyDescent="0.25"/>
    <row r="2552" ht="15" customHeight="1" x14ac:dyDescent="0.25"/>
    <row r="2553" ht="15" customHeight="1" x14ac:dyDescent="0.25"/>
    <row r="2554" ht="15" customHeight="1" x14ac:dyDescent="0.25"/>
    <row r="2555" ht="15" customHeight="1" x14ac:dyDescent="0.25"/>
    <row r="2556" ht="15" customHeight="1" x14ac:dyDescent="0.25"/>
    <row r="2557" ht="15" customHeight="1" x14ac:dyDescent="0.25"/>
    <row r="2558" ht="15" customHeight="1" x14ac:dyDescent="0.25"/>
    <row r="2559" ht="15" customHeight="1" x14ac:dyDescent="0.25"/>
    <row r="2561" ht="15" customHeight="1" x14ac:dyDescent="0.25"/>
    <row r="2562" ht="15" customHeight="1" x14ac:dyDescent="0.25"/>
    <row r="2563" ht="15" customHeight="1" x14ac:dyDescent="0.25"/>
    <row r="2564" ht="15" customHeight="1" x14ac:dyDescent="0.25"/>
    <row r="2565" ht="15" customHeight="1" x14ac:dyDescent="0.25"/>
    <row r="2566" ht="15" customHeight="1" x14ac:dyDescent="0.25"/>
    <row r="2568" ht="15" customHeight="1" x14ac:dyDescent="0.25"/>
    <row r="2569" ht="15" customHeight="1" x14ac:dyDescent="0.25"/>
    <row r="2570" ht="15" customHeight="1" x14ac:dyDescent="0.25"/>
    <row r="2571" ht="15" customHeight="1" x14ac:dyDescent="0.25"/>
    <row r="2572" ht="15" customHeight="1" x14ac:dyDescent="0.25"/>
    <row r="2573" ht="15" customHeight="1" x14ac:dyDescent="0.25"/>
    <row r="2575" ht="15" customHeight="1" x14ac:dyDescent="0.25"/>
    <row r="2576" ht="15" customHeight="1" x14ac:dyDescent="0.25"/>
    <row r="2577" ht="15" customHeight="1" x14ac:dyDescent="0.25"/>
    <row r="2578" ht="15" customHeight="1" x14ac:dyDescent="0.25"/>
    <row r="2579" ht="15" customHeight="1" x14ac:dyDescent="0.25"/>
    <row r="2581" ht="15" customHeight="1" x14ac:dyDescent="0.25"/>
    <row r="2582" ht="15" customHeight="1" x14ac:dyDescent="0.25"/>
    <row r="2583" ht="15" customHeight="1" x14ac:dyDescent="0.25"/>
    <row r="2584" ht="15" customHeight="1" x14ac:dyDescent="0.25"/>
    <row r="2585" ht="15" customHeight="1" x14ac:dyDescent="0.25"/>
    <row r="2586" ht="15" customHeight="1" x14ac:dyDescent="0.25"/>
    <row r="2588" ht="15" customHeight="1" x14ac:dyDescent="0.25"/>
    <row r="2589" ht="15" customHeight="1" x14ac:dyDescent="0.25"/>
    <row r="2590" ht="15" customHeight="1" x14ac:dyDescent="0.25"/>
    <row r="2591" ht="15" customHeight="1" x14ac:dyDescent="0.25"/>
    <row r="2592" ht="15" customHeight="1" x14ac:dyDescent="0.25"/>
    <row r="2593" spans="2:33" ht="15" customHeight="1" x14ac:dyDescent="0.25"/>
    <row r="2595" spans="2:33" ht="15" customHeight="1" x14ac:dyDescent="0.25"/>
    <row r="2596" spans="2:33" ht="15" customHeight="1" x14ac:dyDescent="0.25"/>
    <row r="2597" spans="2:33" ht="15" customHeight="1" x14ac:dyDescent="0.25"/>
    <row r="2598" spans="2:33" ht="15" customHeight="1" x14ac:dyDescent="0.25">
      <c r="B2598" s="585"/>
      <c r="C2598" s="585"/>
      <c r="D2598" s="585"/>
      <c r="E2598" s="585"/>
      <c r="F2598" s="585"/>
      <c r="G2598" s="585"/>
      <c r="H2598" s="585"/>
      <c r="I2598" s="585"/>
      <c r="J2598" s="585"/>
      <c r="K2598" s="585"/>
      <c r="L2598" s="585"/>
      <c r="M2598" s="585"/>
      <c r="N2598" s="585"/>
      <c r="O2598" s="585"/>
      <c r="P2598" s="585"/>
      <c r="Q2598" s="585"/>
      <c r="R2598" s="585"/>
      <c r="S2598" s="585"/>
      <c r="T2598" s="585"/>
      <c r="U2598" s="585"/>
      <c r="V2598" s="585"/>
      <c r="W2598" s="585"/>
      <c r="X2598" s="585"/>
      <c r="Y2598" s="585"/>
      <c r="Z2598" s="585"/>
      <c r="AA2598" s="585"/>
      <c r="AB2598" s="585"/>
      <c r="AC2598" s="585"/>
      <c r="AD2598" s="585"/>
      <c r="AE2598" s="585"/>
      <c r="AF2598" s="585"/>
      <c r="AG2598" s="585"/>
    </row>
    <row r="2599" spans="2:33" ht="15" customHeight="1" x14ac:dyDescent="0.25"/>
    <row r="2600" spans="2:33" ht="15" customHeight="1" x14ac:dyDescent="0.25"/>
    <row r="2601" spans="2:33" ht="15" customHeight="1" x14ac:dyDescent="0.25"/>
    <row r="2602" spans="2:33" ht="15" customHeight="1" x14ac:dyDescent="0.25"/>
    <row r="2603" spans="2:33" ht="15" customHeight="1" x14ac:dyDescent="0.25"/>
    <row r="2604" spans="2:33" ht="15" customHeight="1" x14ac:dyDescent="0.25"/>
    <row r="2605" spans="2:33" ht="15" customHeight="1" x14ac:dyDescent="0.25"/>
    <row r="2606" spans="2:33" ht="15" customHeight="1" x14ac:dyDescent="0.25"/>
    <row r="2607" spans="2:33" ht="15" customHeight="1" x14ac:dyDescent="0.25"/>
    <row r="2608" spans="2:33" ht="15" customHeight="1" x14ac:dyDescent="0.25"/>
    <row r="2609" ht="15" customHeight="1" x14ac:dyDescent="0.25"/>
    <row r="2610" ht="15" customHeight="1" x14ac:dyDescent="0.25"/>
    <row r="2611" ht="15" customHeight="1" x14ac:dyDescent="0.25"/>
    <row r="2612" ht="15" customHeight="1" x14ac:dyDescent="0.25"/>
    <row r="2613" ht="15" customHeight="1" x14ac:dyDescent="0.25"/>
    <row r="2614" ht="15" customHeight="1" x14ac:dyDescent="0.25"/>
    <row r="2615" ht="15" customHeight="1" x14ac:dyDescent="0.25"/>
    <row r="2625" ht="15" customHeight="1" x14ac:dyDescent="0.25"/>
    <row r="2626" ht="15" customHeight="1" x14ac:dyDescent="0.25"/>
    <row r="2627" ht="15" customHeight="1" x14ac:dyDescent="0.25"/>
    <row r="2628" ht="15" customHeight="1" x14ac:dyDescent="0.25"/>
    <row r="2629" ht="15" customHeight="1" x14ac:dyDescent="0.25"/>
    <row r="2630" ht="15" customHeight="1" x14ac:dyDescent="0.25"/>
    <row r="2631" ht="15" customHeight="1" x14ac:dyDescent="0.25"/>
    <row r="2632" ht="15" customHeight="1" x14ac:dyDescent="0.25"/>
    <row r="2633" ht="15" customHeight="1" x14ac:dyDescent="0.25"/>
    <row r="2634" ht="15" customHeight="1" x14ac:dyDescent="0.25"/>
    <row r="2635" ht="15" customHeight="1" x14ac:dyDescent="0.25"/>
    <row r="2636" ht="15" customHeight="1" x14ac:dyDescent="0.25"/>
    <row r="2637" ht="15" customHeight="1" x14ac:dyDescent="0.25"/>
    <row r="2638" ht="15" customHeight="1" x14ac:dyDescent="0.25"/>
    <row r="2639" ht="15" customHeight="1" x14ac:dyDescent="0.25"/>
    <row r="2640" ht="15" customHeight="1" x14ac:dyDescent="0.25"/>
    <row r="2641" ht="15" customHeight="1" x14ac:dyDescent="0.25"/>
    <row r="2642" ht="15" customHeight="1" x14ac:dyDescent="0.25"/>
    <row r="2643" ht="15" customHeight="1" x14ac:dyDescent="0.25"/>
    <row r="2644" ht="15" customHeight="1" x14ac:dyDescent="0.25"/>
    <row r="2645" ht="15" customHeight="1" x14ac:dyDescent="0.25"/>
    <row r="2646" ht="15" customHeight="1" x14ac:dyDescent="0.25"/>
    <row r="2648" ht="15" customHeight="1" x14ac:dyDescent="0.25"/>
    <row r="2649" ht="15" customHeight="1" x14ac:dyDescent="0.25"/>
    <row r="2650" ht="15" customHeight="1" x14ac:dyDescent="0.25"/>
    <row r="2651" ht="15" customHeight="1" x14ac:dyDescent="0.25"/>
    <row r="2652" ht="15" customHeight="1" x14ac:dyDescent="0.25"/>
    <row r="2653" ht="15" customHeight="1" x14ac:dyDescent="0.25"/>
    <row r="2654" ht="15" customHeight="1" x14ac:dyDescent="0.25"/>
    <row r="2655" ht="15" customHeight="1" x14ac:dyDescent="0.25"/>
    <row r="2656" ht="15" customHeight="1" x14ac:dyDescent="0.25"/>
    <row r="2657" ht="15" customHeight="1" x14ac:dyDescent="0.25"/>
    <row r="2658" ht="15" customHeight="1" x14ac:dyDescent="0.25"/>
    <row r="2659" ht="15" customHeight="1" x14ac:dyDescent="0.25"/>
    <row r="2662" ht="15" customHeight="1" x14ac:dyDescent="0.25"/>
    <row r="2663" ht="15" customHeight="1" x14ac:dyDescent="0.25"/>
    <row r="2664" ht="15" customHeight="1" x14ac:dyDescent="0.25"/>
    <row r="2665" ht="15" customHeight="1" x14ac:dyDescent="0.25"/>
    <row r="2666" ht="15" customHeight="1" x14ac:dyDescent="0.25"/>
    <row r="2667" ht="15" customHeight="1" x14ac:dyDescent="0.25"/>
    <row r="2668" ht="15" customHeight="1" x14ac:dyDescent="0.25"/>
    <row r="2669" ht="15" customHeight="1" x14ac:dyDescent="0.25"/>
    <row r="2670" ht="15" customHeight="1" x14ac:dyDescent="0.25"/>
    <row r="2671" ht="15" customHeight="1" x14ac:dyDescent="0.25"/>
    <row r="2672" ht="15" customHeight="1" x14ac:dyDescent="0.25"/>
    <row r="2673" ht="15" customHeight="1" x14ac:dyDescent="0.25"/>
    <row r="2674" ht="15" customHeight="1" x14ac:dyDescent="0.25"/>
    <row r="2675" ht="15" customHeight="1" x14ac:dyDescent="0.25"/>
    <row r="2676" ht="15" customHeight="1" x14ac:dyDescent="0.25"/>
    <row r="2677" ht="15" customHeight="1" x14ac:dyDescent="0.25"/>
    <row r="2678" ht="15" customHeight="1" x14ac:dyDescent="0.25"/>
    <row r="2679" ht="15" customHeight="1" x14ac:dyDescent="0.25"/>
    <row r="2680" ht="15" customHeight="1" x14ac:dyDescent="0.25"/>
    <row r="2681" ht="15" customHeight="1" x14ac:dyDescent="0.25"/>
    <row r="2682" ht="15" customHeight="1" x14ac:dyDescent="0.25"/>
    <row r="2683" ht="15" customHeight="1" x14ac:dyDescent="0.25"/>
    <row r="2684" ht="15" customHeight="1" x14ac:dyDescent="0.25"/>
    <row r="2685" ht="15" customHeight="1" x14ac:dyDescent="0.25"/>
    <row r="2686" ht="15" customHeight="1" x14ac:dyDescent="0.25"/>
    <row r="2687" ht="15" customHeight="1" x14ac:dyDescent="0.25"/>
    <row r="2689" ht="15" customHeight="1" x14ac:dyDescent="0.25"/>
    <row r="2690" ht="15" customHeight="1" x14ac:dyDescent="0.25"/>
    <row r="2691" ht="15" customHeight="1" x14ac:dyDescent="0.25"/>
    <row r="2692" ht="15" customHeight="1" x14ac:dyDescent="0.25"/>
    <row r="2693" ht="15" customHeight="1" x14ac:dyDescent="0.25"/>
    <row r="2694" ht="15" customHeight="1" x14ac:dyDescent="0.25"/>
    <row r="2695" ht="15" customHeight="1" x14ac:dyDescent="0.25"/>
    <row r="2696" ht="15" customHeight="1" x14ac:dyDescent="0.25"/>
    <row r="2697" ht="15" customHeight="1" x14ac:dyDescent="0.25"/>
    <row r="2698" ht="15" customHeight="1" x14ac:dyDescent="0.25"/>
    <row r="2699" ht="15" customHeight="1" x14ac:dyDescent="0.25"/>
    <row r="2700" ht="15" customHeight="1" x14ac:dyDescent="0.25"/>
    <row r="2701" ht="15" customHeight="1" x14ac:dyDescent="0.25"/>
    <row r="2702" ht="15" customHeight="1" x14ac:dyDescent="0.25"/>
    <row r="2703" ht="15" customHeight="1" x14ac:dyDescent="0.25"/>
    <row r="2704" ht="15" customHeight="1" x14ac:dyDescent="0.25"/>
    <row r="2707" spans="2:33" ht="15" customHeight="1" x14ac:dyDescent="0.25"/>
    <row r="2708" spans="2:33" ht="15" customHeight="1" x14ac:dyDescent="0.25"/>
    <row r="2709" spans="2:33" ht="15" customHeight="1" x14ac:dyDescent="0.25"/>
    <row r="2710" spans="2:33" ht="15" customHeight="1" x14ac:dyDescent="0.25"/>
    <row r="2711" spans="2:33" ht="15" customHeight="1" x14ac:dyDescent="0.25"/>
    <row r="2712" spans="2:33" ht="15" customHeight="1" x14ac:dyDescent="0.25"/>
    <row r="2713" spans="2:33" ht="15" customHeight="1" x14ac:dyDescent="0.25"/>
    <row r="2714" spans="2:33" ht="15" customHeight="1" x14ac:dyDescent="0.25"/>
    <row r="2715" spans="2:33" ht="15" customHeight="1" x14ac:dyDescent="0.25"/>
    <row r="2716" spans="2:33" ht="15" customHeight="1" x14ac:dyDescent="0.25"/>
    <row r="2717" spans="2:33" ht="15" customHeight="1" x14ac:dyDescent="0.25"/>
    <row r="2718" spans="2:33" ht="15" customHeight="1" x14ac:dyDescent="0.25"/>
    <row r="2719" spans="2:33" ht="15" customHeight="1" x14ac:dyDescent="0.25">
      <c r="B2719" s="585"/>
      <c r="C2719" s="585"/>
      <c r="D2719" s="585"/>
      <c r="E2719" s="585"/>
      <c r="F2719" s="585"/>
      <c r="G2719" s="585"/>
      <c r="H2719" s="585"/>
      <c r="I2719" s="585"/>
      <c r="J2719" s="585"/>
      <c r="K2719" s="585"/>
      <c r="L2719" s="585"/>
      <c r="M2719" s="585"/>
      <c r="N2719" s="585"/>
      <c r="O2719" s="585"/>
      <c r="P2719" s="585"/>
      <c r="Q2719" s="585"/>
      <c r="R2719" s="585"/>
      <c r="S2719" s="585"/>
      <c r="T2719" s="585"/>
      <c r="U2719" s="585"/>
      <c r="V2719" s="585"/>
      <c r="W2719" s="585"/>
      <c r="X2719" s="585"/>
      <c r="Y2719" s="585"/>
      <c r="Z2719" s="585"/>
      <c r="AA2719" s="585"/>
      <c r="AB2719" s="585"/>
      <c r="AC2719" s="585"/>
      <c r="AD2719" s="585"/>
      <c r="AE2719" s="585"/>
      <c r="AF2719" s="585"/>
      <c r="AG2719" s="585"/>
    </row>
    <row r="2720" spans="2:33" ht="15" customHeight="1" x14ac:dyDescent="0.25"/>
    <row r="2721" ht="15" customHeight="1" x14ac:dyDescent="0.25"/>
    <row r="2722" ht="15" customHeight="1" x14ac:dyDescent="0.25"/>
    <row r="2723" ht="15" customHeight="1" x14ac:dyDescent="0.25"/>
    <row r="2724" ht="15" customHeight="1" x14ac:dyDescent="0.25"/>
    <row r="2725" ht="15" customHeight="1" x14ac:dyDescent="0.25"/>
    <row r="2726" ht="15" customHeight="1" x14ac:dyDescent="0.25"/>
    <row r="2727" ht="15" customHeight="1" x14ac:dyDescent="0.25"/>
    <row r="2728" ht="15" customHeight="1" x14ac:dyDescent="0.25"/>
    <row r="2729" ht="15" customHeight="1" x14ac:dyDescent="0.25"/>
    <row r="2730" ht="15" customHeight="1" x14ac:dyDescent="0.25"/>
    <row r="2731" ht="15" customHeight="1" x14ac:dyDescent="0.25"/>
    <row r="2732" ht="15" customHeight="1" x14ac:dyDescent="0.25"/>
    <row r="2733" ht="15" customHeight="1" x14ac:dyDescent="0.25"/>
    <row r="2734" ht="15" customHeight="1" x14ac:dyDescent="0.25"/>
    <row r="2735" ht="15" customHeight="1" x14ac:dyDescent="0.25"/>
    <row r="2736" ht="15" customHeight="1" x14ac:dyDescent="0.25"/>
    <row r="2737" ht="15" customHeight="1" x14ac:dyDescent="0.25"/>
    <row r="2738" ht="15" customHeight="1" x14ac:dyDescent="0.25"/>
    <row r="2739" ht="15" customHeight="1" x14ac:dyDescent="0.25"/>
    <row r="2740" ht="15" customHeight="1" x14ac:dyDescent="0.25"/>
    <row r="2741" ht="15" customHeight="1" x14ac:dyDescent="0.25"/>
    <row r="2742" ht="15" customHeight="1" x14ac:dyDescent="0.25"/>
    <row r="2743" ht="15" customHeight="1" x14ac:dyDescent="0.25"/>
    <row r="2775" ht="15" customHeight="1" x14ac:dyDescent="0.25"/>
    <row r="2776" ht="15" customHeight="1" x14ac:dyDescent="0.25"/>
    <row r="2777" ht="15" customHeight="1" x14ac:dyDescent="0.25"/>
    <row r="2778" ht="15" customHeight="1" x14ac:dyDescent="0.25"/>
    <row r="2779" ht="15" customHeight="1" x14ac:dyDescent="0.25"/>
    <row r="2780" ht="15" customHeight="1" x14ac:dyDescent="0.25"/>
    <row r="2781" ht="15" customHeight="1" x14ac:dyDescent="0.25"/>
    <row r="2782" ht="15" customHeight="1" x14ac:dyDescent="0.25"/>
    <row r="2783" ht="15" customHeight="1" x14ac:dyDescent="0.25"/>
    <row r="2784" ht="15" customHeight="1" x14ac:dyDescent="0.25"/>
    <row r="2785" ht="15" customHeight="1" x14ac:dyDescent="0.25"/>
    <row r="2786" ht="15" customHeight="1" x14ac:dyDescent="0.25"/>
    <row r="2788" ht="15" customHeight="1" x14ac:dyDescent="0.25"/>
    <row r="2789" ht="15" customHeight="1" x14ac:dyDescent="0.25"/>
    <row r="2790" ht="15" customHeight="1" x14ac:dyDescent="0.25"/>
    <row r="2791" ht="15" customHeight="1" x14ac:dyDescent="0.25"/>
    <row r="2793" ht="15" customHeight="1" x14ac:dyDescent="0.25"/>
    <row r="2794" ht="15" customHeight="1" x14ac:dyDescent="0.25"/>
    <row r="2795" ht="15" customHeight="1" x14ac:dyDescent="0.25"/>
    <row r="2796" ht="15" customHeight="1" x14ac:dyDescent="0.25"/>
    <row r="2797" ht="15" customHeight="1" x14ac:dyDescent="0.25"/>
    <row r="2798" ht="15" customHeight="1" x14ac:dyDescent="0.25"/>
    <row r="2799" ht="15" customHeight="1" x14ac:dyDescent="0.25"/>
    <row r="2800" ht="15" customHeight="1" x14ac:dyDescent="0.25"/>
    <row r="2801" ht="15" customHeight="1" x14ac:dyDescent="0.25"/>
    <row r="2802" ht="15" customHeight="1" x14ac:dyDescent="0.25"/>
    <row r="2804" ht="15" customHeight="1" x14ac:dyDescent="0.25"/>
    <row r="2805" ht="15" customHeight="1" x14ac:dyDescent="0.25"/>
    <row r="2806" ht="15" customHeight="1" x14ac:dyDescent="0.25"/>
    <row r="2807" ht="15" customHeight="1" x14ac:dyDescent="0.25"/>
    <row r="2809" ht="15" customHeight="1" x14ac:dyDescent="0.25"/>
    <row r="2810" ht="15" customHeight="1" x14ac:dyDescent="0.25"/>
    <row r="2811" ht="15" customHeight="1" x14ac:dyDescent="0.25"/>
    <row r="2812" ht="15" customHeight="1" x14ac:dyDescent="0.25"/>
    <row r="2813" ht="15" customHeight="1" x14ac:dyDescent="0.25"/>
    <row r="2814" ht="15" customHeight="1" x14ac:dyDescent="0.25"/>
    <row r="2815" ht="15" customHeight="1" x14ac:dyDescent="0.25"/>
    <row r="2816" ht="15" customHeight="1" x14ac:dyDescent="0.25"/>
    <row r="2818" ht="15" customHeight="1" x14ac:dyDescent="0.25"/>
    <row r="2819" ht="15" customHeight="1" x14ac:dyDescent="0.25"/>
    <row r="2820" ht="15" customHeight="1" x14ac:dyDescent="0.25"/>
    <row r="2821" ht="15" customHeight="1" x14ac:dyDescent="0.25"/>
    <row r="2822" ht="15" customHeight="1" x14ac:dyDescent="0.25"/>
    <row r="2823" ht="15" customHeight="1" x14ac:dyDescent="0.25"/>
    <row r="2825" ht="15" customHeight="1" x14ac:dyDescent="0.25"/>
    <row r="2826" ht="15" customHeight="1" x14ac:dyDescent="0.25"/>
    <row r="2827" ht="15" customHeight="1" x14ac:dyDescent="0.25"/>
    <row r="2828" ht="15" customHeight="1" x14ac:dyDescent="0.25"/>
    <row r="2831" ht="15" customHeight="1" x14ac:dyDescent="0.25"/>
    <row r="2832" ht="15" customHeight="1" x14ac:dyDescent="0.25"/>
    <row r="2833" spans="2:33" ht="15" customHeight="1" x14ac:dyDescent="0.25"/>
    <row r="2834" spans="2:33" ht="15" customHeight="1" x14ac:dyDescent="0.25"/>
    <row r="2835" spans="2:33" ht="15" customHeight="1" x14ac:dyDescent="0.25"/>
    <row r="2836" spans="2:33" ht="15" customHeight="1" x14ac:dyDescent="0.25"/>
    <row r="2837" spans="2:33" ht="15" customHeight="1" x14ac:dyDescent="0.25">
      <c r="B2837" s="585"/>
      <c r="C2837" s="585"/>
      <c r="D2837" s="585"/>
      <c r="E2837" s="585"/>
      <c r="F2837" s="585"/>
      <c r="G2837" s="585"/>
      <c r="H2837" s="585"/>
      <c r="I2837" s="585"/>
      <c r="J2837" s="585"/>
      <c r="K2837" s="585"/>
      <c r="L2837" s="585"/>
      <c r="M2837" s="585"/>
      <c r="N2837" s="585"/>
      <c r="O2837" s="585"/>
      <c r="P2837" s="585"/>
      <c r="Q2837" s="585"/>
      <c r="R2837" s="585"/>
      <c r="S2837" s="585"/>
      <c r="T2837" s="585"/>
      <c r="U2837" s="585"/>
      <c r="V2837" s="585"/>
      <c r="W2837" s="585"/>
      <c r="X2837" s="585"/>
      <c r="Y2837" s="585"/>
      <c r="Z2837" s="585"/>
      <c r="AA2837" s="585"/>
      <c r="AB2837" s="585"/>
      <c r="AC2837" s="585"/>
      <c r="AD2837" s="585"/>
      <c r="AE2837" s="585"/>
      <c r="AF2837" s="585"/>
      <c r="AG2837" s="585"/>
    </row>
    <row r="2838" spans="2:33" ht="15" customHeight="1" x14ac:dyDescent="0.25"/>
    <row r="2839" spans="2:33" ht="15" customHeight="1" x14ac:dyDescent="0.25"/>
    <row r="2840" spans="2:33" ht="15" customHeight="1" x14ac:dyDescent="0.25"/>
    <row r="2841" spans="2:33" ht="15" customHeight="1" x14ac:dyDescent="0.25"/>
  </sheetData>
  <mergeCells count="20">
    <mergeCell ref="B1945:AG1945"/>
    <mergeCell ref="B112:AG112"/>
    <mergeCell ref="B308:AG308"/>
    <mergeCell ref="B511:AG511"/>
    <mergeCell ref="B712:AG712"/>
    <mergeCell ref="B887:AG887"/>
    <mergeCell ref="B1100:AG1100"/>
    <mergeCell ref="B1227:AG1227"/>
    <mergeCell ref="B1390:AG1390"/>
    <mergeCell ref="B1502:AG1502"/>
    <mergeCell ref="B1604:AG1604"/>
    <mergeCell ref="B1698:AG1698"/>
    <mergeCell ref="B2719:AG2719"/>
    <mergeCell ref="B2837:AG2837"/>
    <mergeCell ref="B2031:AG2031"/>
    <mergeCell ref="B2153:AG2153"/>
    <mergeCell ref="B2317:AG2317"/>
    <mergeCell ref="B2419:AG2419"/>
    <mergeCell ref="B2509:AG2509"/>
    <mergeCell ref="B2598:AG2598"/>
  </mergeCells>
  <hyperlinks>
    <hyperlink ref="B4" r:id="rId1" display="https://www.eia.gov/outlooks/aeo/tables_ref.php" xr:uid="{14B9DD13-A234-43A3-9D17-483B45578C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A9A15-2BD7-434F-B70A-A46FF6F2F297}">
  <sheetPr>
    <tabColor theme="2" tint="-0.249977111117893"/>
    <pageSetUpPr fitToPage="1"/>
  </sheetPr>
  <dimension ref="B1:O61"/>
  <sheetViews>
    <sheetView zoomScaleNormal="100" workbookViewId="0">
      <selection activeCell="C31" sqref="C31"/>
    </sheetView>
  </sheetViews>
  <sheetFormatPr defaultRowHeight="12.75" x14ac:dyDescent="0.2"/>
  <cols>
    <col min="1" max="1" width="8.5703125" style="96" customWidth="1"/>
    <col min="2" max="2" width="20.7109375" style="97" customWidth="1"/>
    <col min="3" max="3" width="9.28515625" style="96" customWidth="1"/>
    <col min="4" max="4" width="15.85546875" style="96" customWidth="1"/>
    <col min="5" max="5" width="28" style="96" customWidth="1"/>
    <col min="6" max="6" width="18.85546875" style="98" customWidth="1"/>
    <col min="7" max="7" width="20" style="98" customWidth="1"/>
    <col min="8" max="8" width="9.140625" style="100" customWidth="1"/>
    <col min="9" max="9" width="22.28515625" style="96" customWidth="1"/>
    <col min="10" max="10" width="17.5703125" style="96" customWidth="1"/>
    <col min="11" max="255" width="9.140625" style="96"/>
    <col min="256" max="256" width="8.5703125" style="96" customWidth="1"/>
    <col min="257" max="257" width="15" style="96" customWidth="1"/>
    <col min="258" max="258" width="27.28515625" style="96" customWidth="1"/>
    <col min="259" max="259" width="50.140625" style="96" customWidth="1"/>
    <col min="260" max="260" width="28" style="96" customWidth="1"/>
    <col min="261" max="261" width="11.5703125" style="96" customWidth="1"/>
    <col min="262" max="262" width="11.42578125" style="96" customWidth="1"/>
    <col min="263" max="263" width="10" style="96" bestFit="1" customWidth="1"/>
    <col min="264" max="264" width="9.140625" style="96"/>
    <col min="265" max="265" width="22.28515625" style="96" customWidth="1"/>
    <col min="266" max="266" width="10.85546875" style="96" customWidth="1"/>
    <col min="267" max="511" width="9.140625" style="96"/>
    <col min="512" max="512" width="8.5703125" style="96" customWidth="1"/>
    <col min="513" max="513" width="15" style="96" customWidth="1"/>
    <col min="514" max="514" width="27.28515625" style="96" customWidth="1"/>
    <col min="515" max="515" width="50.140625" style="96" customWidth="1"/>
    <col min="516" max="516" width="28" style="96" customWidth="1"/>
    <col min="517" max="517" width="11.5703125" style="96" customWidth="1"/>
    <col min="518" max="518" width="11.42578125" style="96" customWidth="1"/>
    <col min="519" max="519" width="10" style="96" bestFit="1" customWidth="1"/>
    <col min="520" max="520" width="9.140625" style="96"/>
    <col min="521" max="521" width="22.28515625" style="96" customWidth="1"/>
    <col min="522" max="522" width="10.85546875" style="96" customWidth="1"/>
    <col min="523" max="767" width="9.140625" style="96"/>
    <col min="768" max="768" width="8.5703125" style="96" customWidth="1"/>
    <col min="769" max="769" width="15" style="96" customWidth="1"/>
    <col min="770" max="770" width="27.28515625" style="96" customWidth="1"/>
    <col min="771" max="771" width="50.140625" style="96" customWidth="1"/>
    <col min="772" max="772" width="28" style="96" customWidth="1"/>
    <col min="773" max="773" width="11.5703125" style="96" customWidth="1"/>
    <col min="774" max="774" width="11.42578125" style="96" customWidth="1"/>
    <col min="775" max="775" width="10" style="96" bestFit="1" customWidth="1"/>
    <col min="776" max="776" width="9.140625" style="96"/>
    <col min="777" max="777" width="22.28515625" style="96" customWidth="1"/>
    <col min="778" max="778" width="10.85546875" style="96" customWidth="1"/>
    <col min="779" max="1023" width="9.140625" style="96"/>
    <col min="1024" max="1024" width="8.5703125" style="96" customWidth="1"/>
    <col min="1025" max="1025" width="15" style="96" customWidth="1"/>
    <col min="1026" max="1026" width="27.28515625" style="96" customWidth="1"/>
    <col min="1027" max="1027" width="50.140625" style="96" customWidth="1"/>
    <col min="1028" max="1028" width="28" style="96" customWidth="1"/>
    <col min="1029" max="1029" width="11.5703125" style="96" customWidth="1"/>
    <col min="1030" max="1030" width="11.42578125" style="96" customWidth="1"/>
    <col min="1031" max="1031" width="10" style="96" bestFit="1" customWidth="1"/>
    <col min="1032" max="1032" width="9.140625" style="96"/>
    <col min="1033" max="1033" width="22.28515625" style="96" customWidth="1"/>
    <col min="1034" max="1034" width="10.85546875" style="96" customWidth="1"/>
    <col min="1035" max="1279" width="9.140625" style="96"/>
    <col min="1280" max="1280" width="8.5703125" style="96" customWidth="1"/>
    <col min="1281" max="1281" width="15" style="96" customWidth="1"/>
    <col min="1282" max="1282" width="27.28515625" style="96" customWidth="1"/>
    <col min="1283" max="1283" width="50.140625" style="96" customWidth="1"/>
    <col min="1284" max="1284" width="28" style="96" customWidth="1"/>
    <col min="1285" max="1285" width="11.5703125" style="96" customWidth="1"/>
    <col min="1286" max="1286" width="11.42578125" style="96" customWidth="1"/>
    <col min="1287" max="1287" width="10" style="96" bestFit="1" customWidth="1"/>
    <col min="1288" max="1288" width="9.140625" style="96"/>
    <col min="1289" max="1289" width="22.28515625" style="96" customWidth="1"/>
    <col min="1290" max="1290" width="10.85546875" style="96" customWidth="1"/>
    <col min="1291" max="1535" width="9.140625" style="96"/>
    <col min="1536" max="1536" width="8.5703125" style="96" customWidth="1"/>
    <col min="1537" max="1537" width="15" style="96" customWidth="1"/>
    <col min="1538" max="1538" width="27.28515625" style="96" customWidth="1"/>
    <col min="1539" max="1539" width="50.140625" style="96" customWidth="1"/>
    <col min="1540" max="1540" width="28" style="96" customWidth="1"/>
    <col min="1541" max="1541" width="11.5703125" style="96" customWidth="1"/>
    <col min="1542" max="1542" width="11.42578125" style="96" customWidth="1"/>
    <col min="1543" max="1543" width="10" style="96" bestFit="1" customWidth="1"/>
    <col min="1544" max="1544" width="9.140625" style="96"/>
    <col min="1545" max="1545" width="22.28515625" style="96" customWidth="1"/>
    <col min="1546" max="1546" width="10.85546875" style="96" customWidth="1"/>
    <col min="1547" max="1791" width="9.140625" style="96"/>
    <col min="1792" max="1792" width="8.5703125" style="96" customWidth="1"/>
    <col min="1793" max="1793" width="15" style="96" customWidth="1"/>
    <col min="1794" max="1794" width="27.28515625" style="96" customWidth="1"/>
    <col min="1795" max="1795" width="50.140625" style="96" customWidth="1"/>
    <col min="1796" max="1796" width="28" style="96" customWidth="1"/>
    <col min="1797" max="1797" width="11.5703125" style="96" customWidth="1"/>
    <col min="1798" max="1798" width="11.42578125" style="96" customWidth="1"/>
    <col min="1799" max="1799" width="10" style="96" bestFit="1" customWidth="1"/>
    <col min="1800" max="1800" width="9.140625" style="96"/>
    <col min="1801" max="1801" width="22.28515625" style="96" customWidth="1"/>
    <col min="1802" max="1802" width="10.85546875" style="96" customWidth="1"/>
    <col min="1803" max="2047" width="9.140625" style="96"/>
    <col min="2048" max="2048" width="8.5703125" style="96" customWidth="1"/>
    <col min="2049" max="2049" width="15" style="96" customWidth="1"/>
    <col min="2050" max="2050" width="27.28515625" style="96" customWidth="1"/>
    <col min="2051" max="2051" width="50.140625" style="96" customWidth="1"/>
    <col min="2052" max="2052" width="28" style="96" customWidth="1"/>
    <col min="2053" max="2053" width="11.5703125" style="96" customWidth="1"/>
    <col min="2054" max="2054" width="11.42578125" style="96" customWidth="1"/>
    <col min="2055" max="2055" width="10" style="96" bestFit="1" customWidth="1"/>
    <col min="2056" max="2056" width="9.140625" style="96"/>
    <col min="2057" max="2057" width="22.28515625" style="96" customWidth="1"/>
    <col min="2058" max="2058" width="10.85546875" style="96" customWidth="1"/>
    <col min="2059" max="2303" width="9.140625" style="96"/>
    <col min="2304" max="2304" width="8.5703125" style="96" customWidth="1"/>
    <col min="2305" max="2305" width="15" style="96" customWidth="1"/>
    <col min="2306" max="2306" width="27.28515625" style="96" customWidth="1"/>
    <col min="2307" max="2307" width="50.140625" style="96" customWidth="1"/>
    <col min="2308" max="2308" width="28" style="96" customWidth="1"/>
    <col min="2309" max="2309" width="11.5703125" style="96" customWidth="1"/>
    <col min="2310" max="2310" width="11.42578125" style="96" customWidth="1"/>
    <col min="2311" max="2311" width="10" style="96" bestFit="1" customWidth="1"/>
    <col min="2312" max="2312" width="9.140625" style="96"/>
    <col min="2313" max="2313" width="22.28515625" style="96" customWidth="1"/>
    <col min="2314" max="2314" width="10.85546875" style="96" customWidth="1"/>
    <col min="2315" max="2559" width="9.140625" style="96"/>
    <col min="2560" max="2560" width="8.5703125" style="96" customWidth="1"/>
    <col min="2561" max="2561" width="15" style="96" customWidth="1"/>
    <col min="2562" max="2562" width="27.28515625" style="96" customWidth="1"/>
    <col min="2563" max="2563" width="50.140625" style="96" customWidth="1"/>
    <col min="2564" max="2564" width="28" style="96" customWidth="1"/>
    <col min="2565" max="2565" width="11.5703125" style="96" customWidth="1"/>
    <col min="2566" max="2566" width="11.42578125" style="96" customWidth="1"/>
    <col min="2567" max="2567" width="10" style="96" bestFit="1" customWidth="1"/>
    <col min="2568" max="2568" width="9.140625" style="96"/>
    <col min="2569" max="2569" width="22.28515625" style="96" customWidth="1"/>
    <col min="2570" max="2570" width="10.85546875" style="96" customWidth="1"/>
    <col min="2571" max="2815" width="9.140625" style="96"/>
    <col min="2816" max="2816" width="8.5703125" style="96" customWidth="1"/>
    <col min="2817" max="2817" width="15" style="96" customWidth="1"/>
    <col min="2818" max="2818" width="27.28515625" style="96" customWidth="1"/>
    <col min="2819" max="2819" width="50.140625" style="96" customWidth="1"/>
    <col min="2820" max="2820" width="28" style="96" customWidth="1"/>
    <col min="2821" max="2821" width="11.5703125" style="96" customWidth="1"/>
    <col min="2822" max="2822" width="11.42578125" style="96" customWidth="1"/>
    <col min="2823" max="2823" width="10" style="96" bestFit="1" customWidth="1"/>
    <col min="2824" max="2824" width="9.140625" style="96"/>
    <col min="2825" max="2825" width="22.28515625" style="96" customWidth="1"/>
    <col min="2826" max="2826" width="10.85546875" style="96" customWidth="1"/>
    <col min="2827" max="3071" width="9.140625" style="96"/>
    <col min="3072" max="3072" width="8.5703125" style="96" customWidth="1"/>
    <col min="3073" max="3073" width="15" style="96" customWidth="1"/>
    <col min="3074" max="3074" width="27.28515625" style="96" customWidth="1"/>
    <col min="3075" max="3075" width="50.140625" style="96" customWidth="1"/>
    <col min="3076" max="3076" width="28" style="96" customWidth="1"/>
    <col min="3077" max="3077" width="11.5703125" style="96" customWidth="1"/>
    <col min="3078" max="3078" width="11.42578125" style="96" customWidth="1"/>
    <col min="3079" max="3079" width="10" style="96" bestFit="1" customWidth="1"/>
    <col min="3080" max="3080" width="9.140625" style="96"/>
    <col min="3081" max="3081" width="22.28515625" style="96" customWidth="1"/>
    <col min="3082" max="3082" width="10.85546875" style="96" customWidth="1"/>
    <col min="3083" max="3327" width="9.140625" style="96"/>
    <col min="3328" max="3328" width="8.5703125" style="96" customWidth="1"/>
    <col min="3329" max="3329" width="15" style="96" customWidth="1"/>
    <col min="3330" max="3330" width="27.28515625" style="96" customWidth="1"/>
    <col min="3331" max="3331" width="50.140625" style="96" customWidth="1"/>
    <col min="3332" max="3332" width="28" style="96" customWidth="1"/>
    <col min="3333" max="3333" width="11.5703125" style="96" customWidth="1"/>
    <col min="3334" max="3334" width="11.42578125" style="96" customWidth="1"/>
    <col min="3335" max="3335" width="10" style="96" bestFit="1" customWidth="1"/>
    <col min="3336" max="3336" width="9.140625" style="96"/>
    <col min="3337" max="3337" width="22.28515625" style="96" customWidth="1"/>
    <col min="3338" max="3338" width="10.85546875" style="96" customWidth="1"/>
    <col min="3339" max="3583" width="9.140625" style="96"/>
    <col min="3584" max="3584" width="8.5703125" style="96" customWidth="1"/>
    <col min="3585" max="3585" width="15" style="96" customWidth="1"/>
    <col min="3586" max="3586" width="27.28515625" style="96" customWidth="1"/>
    <col min="3587" max="3587" width="50.140625" style="96" customWidth="1"/>
    <col min="3588" max="3588" width="28" style="96" customWidth="1"/>
    <col min="3589" max="3589" width="11.5703125" style="96" customWidth="1"/>
    <col min="3590" max="3590" width="11.42578125" style="96" customWidth="1"/>
    <col min="3591" max="3591" width="10" style="96" bestFit="1" customWidth="1"/>
    <col min="3592" max="3592" width="9.140625" style="96"/>
    <col min="3593" max="3593" width="22.28515625" style="96" customWidth="1"/>
    <col min="3594" max="3594" width="10.85546875" style="96" customWidth="1"/>
    <col min="3595" max="3839" width="9.140625" style="96"/>
    <col min="3840" max="3840" width="8.5703125" style="96" customWidth="1"/>
    <col min="3841" max="3841" width="15" style="96" customWidth="1"/>
    <col min="3842" max="3842" width="27.28515625" style="96" customWidth="1"/>
    <col min="3843" max="3843" width="50.140625" style="96" customWidth="1"/>
    <col min="3844" max="3844" width="28" style="96" customWidth="1"/>
    <col min="3845" max="3845" width="11.5703125" style="96" customWidth="1"/>
    <col min="3846" max="3846" width="11.42578125" style="96" customWidth="1"/>
    <col min="3847" max="3847" width="10" style="96" bestFit="1" customWidth="1"/>
    <col min="3848" max="3848" width="9.140625" style="96"/>
    <col min="3849" max="3849" width="22.28515625" style="96" customWidth="1"/>
    <col min="3850" max="3850" width="10.85546875" style="96" customWidth="1"/>
    <col min="3851" max="4095" width="9.140625" style="96"/>
    <col min="4096" max="4096" width="8.5703125" style="96" customWidth="1"/>
    <col min="4097" max="4097" width="15" style="96" customWidth="1"/>
    <col min="4098" max="4098" width="27.28515625" style="96" customWidth="1"/>
    <col min="4099" max="4099" width="50.140625" style="96" customWidth="1"/>
    <col min="4100" max="4100" width="28" style="96" customWidth="1"/>
    <col min="4101" max="4101" width="11.5703125" style="96" customWidth="1"/>
    <col min="4102" max="4102" width="11.42578125" style="96" customWidth="1"/>
    <col min="4103" max="4103" width="10" style="96" bestFit="1" customWidth="1"/>
    <col min="4104" max="4104" width="9.140625" style="96"/>
    <col min="4105" max="4105" width="22.28515625" style="96" customWidth="1"/>
    <col min="4106" max="4106" width="10.85546875" style="96" customWidth="1"/>
    <col min="4107" max="4351" width="9.140625" style="96"/>
    <col min="4352" max="4352" width="8.5703125" style="96" customWidth="1"/>
    <col min="4353" max="4353" width="15" style="96" customWidth="1"/>
    <col min="4354" max="4354" width="27.28515625" style="96" customWidth="1"/>
    <col min="4355" max="4355" width="50.140625" style="96" customWidth="1"/>
    <col min="4356" max="4356" width="28" style="96" customWidth="1"/>
    <col min="4357" max="4357" width="11.5703125" style="96" customWidth="1"/>
    <col min="4358" max="4358" width="11.42578125" style="96" customWidth="1"/>
    <col min="4359" max="4359" width="10" style="96" bestFit="1" customWidth="1"/>
    <col min="4360" max="4360" width="9.140625" style="96"/>
    <col min="4361" max="4361" width="22.28515625" style="96" customWidth="1"/>
    <col min="4362" max="4362" width="10.85546875" style="96" customWidth="1"/>
    <col min="4363" max="4607" width="9.140625" style="96"/>
    <col min="4608" max="4608" width="8.5703125" style="96" customWidth="1"/>
    <col min="4609" max="4609" width="15" style="96" customWidth="1"/>
    <col min="4610" max="4610" width="27.28515625" style="96" customWidth="1"/>
    <col min="4611" max="4611" width="50.140625" style="96" customWidth="1"/>
    <col min="4612" max="4612" width="28" style="96" customWidth="1"/>
    <col min="4613" max="4613" width="11.5703125" style="96" customWidth="1"/>
    <col min="4614" max="4614" width="11.42578125" style="96" customWidth="1"/>
    <col min="4615" max="4615" width="10" style="96" bestFit="1" customWidth="1"/>
    <col min="4616" max="4616" width="9.140625" style="96"/>
    <col min="4617" max="4617" width="22.28515625" style="96" customWidth="1"/>
    <col min="4618" max="4618" width="10.85546875" style="96" customWidth="1"/>
    <col min="4619" max="4863" width="9.140625" style="96"/>
    <col min="4864" max="4864" width="8.5703125" style="96" customWidth="1"/>
    <col min="4865" max="4865" width="15" style="96" customWidth="1"/>
    <col min="4866" max="4866" width="27.28515625" style="96" customWidth="1"/>
    <col min="4867" max="4867" width="50.140625" style="96" customWidth="1"/>
    <col min="4868" max="4868" width="28" style="96" customWidth="1"/>
    <col min="4869" max="4869" width="11.5703125" style="96" customWidth="1"/>
    <col min="4870" max="4870" width="11.42578125" style="96" customWidth="1"/>
    <col min="4871" max="4871" width="10" style="96" bestFit="1" customWidth="1"/>
    <col min="4872" max="4872" width="9.140625" style="96"/>
    <col min="4873" max="4873" width="22.28515625" style="96" customWidth="1"/>
    <col min="4874" max="4874" width="10.85546875" style="96" customWidth="1"/>
    <col min="4875" max="5119" width="9.140625" style="96"/>
    <col min="5120" max="5120" width="8.5703125" style="96" customWidth="1"/>
    <col min="5121" max="5121" width="15" style="96" customWidth="1"/>
    <col min="5122" max="5122" width="27.28515625" style="96" customWidth="1"/>
    <col min="5123" max="5123" width="50.140625" style="96" customWidth="1"/>
    <col min="5124" max="5124" width="28" style="96" customWidth="1"/>
    <col min="5125" max="5125" width="11.5703125" style="96" customWidth="1"/>
    <col min="5126" max="5126" width="11.42578125" style="96" customWidth="1"/>
    <col min="5127" max="5127" width="10" style="96" bestFit="1" customWidth="1"/>
    <col min="5128" max="5128" width="9.140625" style="96"/>
    <col min="5129" max="5129" width="22.28515625" style="96" customWidth="1"/>
    <col min="5130" max="5130" width="10.85546875" style="96" customWidth="1"/>
    <col min="5131" max="5375" width="9.140625" style="96"/>
    <col min="5376" max="5376" width="8.5703125" style="96" customWidth="1"/>
    <col min="5377" max="5377" width="15" style="96" customWidth="1"/>
    <col min="5378" max="5378" width="27.28515625" style="96" customWidth="1"/>
    <col min="5379" max="5379" width="50.140625" style="96" customWidth="1"/>
    <col min="5380" max="5380" width="28" style="96" customWidth="1"/>
    <col min="5381" max="5381" width="11.5703125" style="96" customWidth="1"/>
    <col min="5382" max="5382" width="11.42578125" style="96" customWidth="1"/>
    <col min="5383" max="5383" width="10" style="96" bestFit="1" customWidth="1"/>
    <col min="5384" max="5384" width="9.140625" style="96"/>
    <col min="5385" max="5385" width="22.28515625" style="96" customWidth="1"/>
    <col min="5386" max="5386" width="10.85546875" style="96" customWidth="1"/>
    <col min="5387" max="5631" width="9.140625" style="96"/>
    <col min="5632" max="5632" width="8.5703125" style="96" customWidth="1"/>
    <col min="5633" max="5633" width="15" style="96" customWidth="1"/>
    <col min="5634" max="5634" width="27.28515625" style="96" customWidth="1"/>
    <col min="5635" max="5635" width="50.140625" style="96" customWidth="1"/>
    <col min="5636" max="5636" width="28" style="96" customWidth="1"/>
    <col min="5637" max="5637" width="11.5703125" style="96" customWidth="1"/>
    <col min="5638" max="5638" width="11.42578125" style="96" customWidth="1"/>
    <col min="5639" max="5639" width="10" style="96" bestFit="1" customWidth="1"/>
    <col min="5640" max="5640" width="9.140625" style="96"/>
    <col min="5641" max="5641" width="22.28515625" style="96" customWidth="1"/>
    <col min="5642" max="5642" width="10.85546875" style="96" customWidth="1"/>
    <col min="5643" max="5887" width="9.140625" style="96"/>
    <col min="5888" max="5888" width="8.5703125" style="96" customWidth="1"/>
    <col min="5889" max="5889" width="15" style="96" customWidth="1"/>
    <col min="5890" max="5890" width="27.28515625" style="96" customWidth="1"/>
    <col min="5891" max="5891" width="50.140625" style="96" customWidth="1"/>
    <col min="5892" max="5892" width="28" style="96" customWidth="1"/>
    <col min="5893" max="5893" width="11.5703125" style="96" customWidth="1"/>
    <col min="5894" max="5894" width="11.42578125" style="96" customWidth="1"/>
    <col min="5895" max="5895" width="10" style="96" bestFit="1" customWidth="1"/>
    <col min="5896" max="5896" width="9.140625" style="96"/>
    <col min="5897" max="5897" width="22.28515625" style="96" customWidth="1"/>
    <col min="5898" max="5898" width="10.85546875" style="96" customWidth="1"/>
    <col min="5899" max="6143" width="9.140625" style="96"/>
    <col min="6144" max="6144" width="8.5703125" style="96" customWidth="1"/>
    <col min="6145" max="6145" width="15" style="96" customWidth="1"/>
    <col min="6146" max="6146" width="27.28515625" style="96" customWidth="1"/>
    <col min="6147" max="6147" width="50.140625" style="96" customWidth="1"/>
    <col min="6148" max="6148" width="28" style="96" customWidth="1"/>
    <col min="6149" max="6149" width="11.5703125" style="96" customWidth="1"/>
    <col min="6150" max="6150" width="11.42578125" style="96" customWidth="1"/>
    <col min="6151" max="6151" width="10" style="96" bestFit="1" customWidth="1"/>
    <col min="6152" max="6152" width="9.140625" style="96"/>
    <col min="6153" max="6153" width="22.28515625" style="96" customWidth="1"/>
    <col min="6154" max="6154" width="10.85546875" style="96" customWidth="1"/>
    <col min="6155" max="6399" width="9.140625" style="96"/>
    <col min="6400" max="6400" width="8.5703125" style="96" customWidth="1"/>
    <col min="6401" max="6401" width="15" style="96" customWidth="1"/>
    <col min="6402" max="6402" width="27.28515625" style="96" customWidth="1"/>
    <col min="6403" max="6403" width="50.140625" style="96" customWidth="1"/>
    <col min="6404" max="6404" width="28" style="96" customWidth="1"/>
    <col min="6405" max="6405" width="11.5703125" style="96" customWidth="1"/>
    <col min="6406" max="6406" width="11.42578125" style="96" customWidth="1"/>
    <col min="6407" max="6407" width="10" style="96" bestFit="1" customWidth="1"/>
    <col min="6408" max="6408" width="9.140625" style="96"/>
    <col min="6409" max="6409" width="22.28515625" style="96" customWidth="1"/>
    <col min="6410" max="6410" width="10.85546875" style="96" customWidth="1"/>
    <col min="6411" max="6655" width="9.140625" style="96"/>
    <col min="6656" max="6656" width="8.5703125" style="96" customWidth="1"/>
    <col min="6657" max="6657" width="15" style="96" customWidth="1"/>
    <col min="6658" max="6658" width="27.28515625" style="96" customWidth="1"/>
    <col min="6659" max="6659" width="50.140625" style="96" customWidth="1"/>
    <col min="6660" max="6660" width="28" style="96" customWidth="1"/>
    <col min="6661" max="6661" width="11.5703125" style="96" customWidth="1"/>
    <col min="6662" max="6662" width="11.42578125" style="96" customWidth="1"/>
    <col min="6663" max="6663" width="10" style="96" bestFit="1" customWidth="1"/>
    <col min="6664" max="6664" width="9.140625" style="96"/>
    <col min="6665" max="6665" width="22.28515625" style="96" customWidth="1"/>
    <col min="6666" max="6666" width="10.85546875" style="96" customWidth="1"/>
    <col min="6667" max="6911" width="9.140625" style="96"/>
    <col min="6912" max="6912" width="8.5703125" style="96" customWidth="1"/>
    <col min="6913" max="6913" width="15" style="96" customWidth="1"/>
    <col min="6914" max="6914" width="27.28515625" style="96" customWidth="1"/>
    <col min="6915" max="6915" width="50.140625" style="96" customWidth="1"/>
    <col min="6916" max="6916" width="28" style="96" customWidth="1"/>
    <col min="6917" max="6917" width="11.5703125" style="96" customWidth="1"/>
    <col min="6918" max="6918" width="11.42578125" style="96" customWidth="1"/>
    <col min="6919" max="6919" width="10" style="96" bestFit="1" customWidth="1"/>
    <col min="6920" max="6920" width="9.140625" style="96"/>
    <col min="6921" max="6921" width="22.28515625" style="96" customWidth="1"/>
    <col min="6922" max="6922" width="10.85546875" style="96" customWidth="1"/>
    <col min="6923" max="7167" width="9.140625" style="96"/>
    <col min="7168" max="7168" width="8.5703125" style="96" customWidth="1"/>
    <col min="7169" max="7169" width="15" style="96" customWidth="1"/>
    <col min="7170" max="7170" width="27.28515625" style="96" customWidth="1"/>
    <col min="7171" max="7171" width="50.140625" style="96" customWidth="1"/>
    <col min="7172" max="7172" width="28" style="96" customWidth="1"/>
    <col min="7173" max="7173" width="11.5703125" style="96" customWidth="1"/>
    <col min="7174" max="7174" width="11.42578125" style="96" customWidth="1"/>
    <col min="7175" max="7175" width="10" style="96" bestFit="1" customWidth="1"/>
    <col min="7176" max="7176" width="9.140625" style="96"/>
    <col min="7177" max="7177" width="22.28515625" style="96" customWidth="1"/>
    <col min="7178" max="7178" width="10.85546875" style="96" customWidth="1"/>
    <col min="7179" max="7423" width="9.140625" style="96"/>
    <col min="7424" max="7424" width="8.5703125" style="96" customWidth="1"/>
    <col min="7425" max="7425" width="15" style="96" customWidth="1"/>
    <col min="7426" max="7426" width="27.28515625" style="96" customWidth="1"/>
    <col min="7427" max="7427" width="50.140625" style="96" customWidth="1"/>
    <col min="7428" max="7428" width="28" style="96" customWidth="1"/>
    <col min="7429" max="7429" width="11.5703125" style="96" customWidth="1"/>
    <col min="7430" max="7430" width="11.42578125" style="96" customWidth="1"/>
    <col min="7431" max="7431" width="10" style="96" bestFit="1" customWidth="1"/>
    <col min="7432" max="7432" width="9.140625" style="96"/>
    <col min="7433" max="7433" width="22.28515625" style="96" customWidth="1"/>
    <col min="7434" max="7434" width="10.85546875" style="96" customWidth="1"/>
    <col min="7435" max="7679" width="9.140625" style="96"/>
    <col min="7680" max="7680" width="8.5703125" style="96" customWidth="1"/>
    <col min="7681" max="7681" width="15" style="96" customWidth="1"/>
    <col min="7682" max="7682" width="27.28515625" style="96" customWidth="1"/>
    <col min="7683" max="7683" width="50.140625" style="96" customWidth="1"/>
    <col min="7684" max="7684" width="28" style="96" customWidth="1"/>
    <col min="7685" max="7685" width="11.5703125" style="96" customWidth="1"/>
    <col min="7686" max="7686" width="11.42578125" style="96" customWidth="1"/>
    <col min="7687" max="7687" width="10" style="96" bestFit="1" customWidth="1"/>
    <col min="7688" max="7688" width="9.140625" style="96"/>
    <col min="7689" max="7689" width="22.28515625" style="96" customWidth="1"/>
    <col min="7690" max="7690" width="10.85546875" style="96" customWidth="1"/>
    <col min="7691" max="7935" width="9.140625" style="96"/>
    <col min="7936" max="7936" width="8.5703125" style="96" customWidth="1"/>
    <col min="7937" max="7937" width="15" style="96" customWidth="1"/>
    <col min="7938" max="7938" width="27.28515625" style="96" customWidth="1"/>
    <col min="7939" max="7939" width="50.140625" style="96" customWidth="1"/>
    <col min="7940" max="7940" width="28" style="96" customWidth="1"/>
    <col min="7941" max="7941" width="11.5703125" style="96" customWidth="1"/>
    <col min="7942" max="7942" width="11.42578125" style="96" customWidth="1"/>
    <col min="7943" max="7943" width="10" style="96" bestFit="1" customWidth="1"/>
    <col min="7944" max="7944" width="9.140625" style="96"/>
    <col min="7945" max="7945" width="22.28515625" style="96" customWidth="1"/>
    <col min="7946" max="7946" width="10.85546875" style="96" customWidth="1"/>
    <col min="7947" max="8191" width="9.140625" style="96"/>
    <col min="8192" max="8192" width="8.5703125" style="96" customWidth="1"/>
    <col min="8193" max="8193" width="15" style="96" customWidth="1"/>
    <col min="8194" max="8194" width="27.28515625" style="96" customWidth="1"/>
    <col min="8195" max="8195" width="50.140625" style="96" customWidth="1"/>
    <col min="8196" max="8196" width="28" style="96" customWidth="1"/>
    <col min="8197" max="8197" width="11.5703125" style="96" customWidth="1"/>
    <col min="8198" max="8198" width="11.42578125" style="96" customWidth="1"/>
    <col min="8199" max="8199" width="10" style="96" bestFit="1" customWidth="1"/>
    <col min="8200" max="8200" width="9.140625" style="96"/>
    <col min="8201" max="8201" width="22.28515625" style="96" customWidth="1"/>
    <col min="8202" max="8202" width="10.85546875" style="96" customWidth="1"/>
    <col min="8203" max="8447" width="9.140625" style="96"/>
    <col min="8448" max="8448" width="8.5703125" style="96" customWidth="1"/>
    <col min="8449" max="8449" width="15" style="96" customWidth="1"/>
    <col min="8450" max="8450" width="27.28515625" style="96" customWidth="1"/>
    <col min="8451" max="8451" width="50.140625" style="96" customWidth="1"/>
    <col min="8452" max="8452" width="28" style="96" customWidth="1"/>
    <col min="8453" max="8453" width="11.5703125" style="96" customWidth="1"/>
    <col min="8454" max="8454" width="11.42578125" style="96" customWidth="1"/>
    <col min="8455" max="8455" width="10" style="96" bestFit="1" customWidth="1"/>
    <col min="8456" max="8456" width="9.140625" style="96"/>
    <col min="8457" max="8457" width="22.28515625" style="96" customWidth="1"/>
    <col min="8458" max="8458" width="10.85546875" style="96" customWidth="1"/>
    <col min="8459" max="8703" width="9.140625" style="96"/>
    <col min="8704" max="8704" width="8.5703125" style="96" customWidth="1"/>
    <col min="8705" max="8705" width="15" style="96" customWidth="1"/>
    <col min="8706" max="8706" width="27.28515625" style="96" customWidth="1"/>
    <col min="8707" max="8707" width="50.140625" style="96" customWidth="1"/>
    <col min="8708" max="8708" width="28" style="96" customWidth="1"/>
    <col min="8709" max="8709" width="11.5703125" style="96" customWidth="1"/>
    <col min="8710" max="8710" width="11.42578125" style="96" customWidth="1"/>
    <col min="8711" max="8711" width="10" style="96" bestFit="1" customWidth="1"/>
    <col min="8712" max="8712" width="9.140625" style="96"/>
    <col min="8713" max="8713" width="22.28515625" style="96" customWidth="1"/>
    <col min="8714" max="8714" width="10.85546875" style="96" customWidth="1"/>
    <col min="8715" max="8959" width="9.140625" style="96"/>
    <col min="8960" max="8960" width="8.5703125" style="96" customWidth="1"/>
    <col min="8961" max="8961" width="15" style="96" customWidth="1"/>
    <col min="8962" max="8962" width="27.28515625" style="96" customWidth="1"/>
    <col min="8963" max="8963" width="50.140625" style="96" customWidth="1"/>
    <col min="8964" max="8964" width="28" style="96" customWidth="1"/>
    <col min="8965" max="8965" width="11.5703125" style="96" customWidth="1"/>
    <col min="8966" max="8966" width="11.42578125" style="96" customWidth="1"/>
    <col min="8967" max="8967" width="10" style="96" bestFit="1" customWidth="1"/>
    <col min="8968" max="8968" width="9.140625" style="96"/>
    <col min="8969" max="8969" width="22.28515625" style="96" customWidth="1"/>
    <col min="8970" max="8970" width="10.85546875" style="96" customWidth="1"/>
    <col min="8971" max="9215" width="9.140625" style="96"/>
    <col min="9216" max="9216" width="8.5703125" style="96" customWidth="1"/>
    <col min="9217" max="9217" width="15" style="96" customWidth="1"/>
    <col min="9218" max="9218" width="27.28515625" style="96" customWidth="1"/>
    <col min="9219" max="9219" width="50.140625" style="96" customWidth="1"/>
    <col min="9220" max="9220" width="28" style="96" customWidth="1"/>
    <col min="9221" max="9221" width="11.5703125" style="96" customWidth="1"/>
    <col min="9222" max="9222" width="11.42578125" style="96" customWidth="1"/>
    <col min="9223" max="9223" width="10" style="96" bestFit="1" customWidth="1"/>
    <col min="9224" max="9224" width="9.140625" style="96"/>
    <col min="9225" max="9225" width="22.28515625" style="96" customWidth="1"/>
    <col min="9226" max="9226" width="10.85546875" style="96" customWidth="1"/>
    <col min="9227" max="9471" width="9.140625" style="96"/>
    <col min="9472" max="9472" width="8.5703125" style="96" customWidth="1"/>
    <col min="9473" max="9473" width="15" style="96" customWidth="1"/>
    <col min="9474" max="9474" width="27.28515625" style="96" customWidth="1"/>
    <col min="9475" max="9475" width="50.140625" style="96" customWidth="1"/>
    <col min="9476" max="9476" width="28" style="96" customWidth="1"/>
    <col min="9477" max="9477" width="11.5703125" style="96" customWidth="1"/>
    <col min="9478" max="9478" width="11.42578125" style="96" customWidth="1"/>
    <col min="9479" max="9479" width="10" style="96" bestFit="1" customWidth="1"/>
    <col min="9480" max="9480" width="9.140625" style="96"/>
    <col min="9481" max="9481" width="22.28515625" style="96" customWidth="1"/>
    <col min="9482" max="9482" width="10.85546875" style="96" customWidth="1"/>
    <col min="9483" max="9727" width="9.140625" style="96"/>
    <col min="9728" max="9728" width="8.5703125" style="96" customWidth="1"/>
    <col min="9729" max="9729" width="15" style="96" customWidth="1"/>
    <col min="9730" max="9730" width="27.28515625" style="96" customWidth="1"/>
    <col min="9731" max="9731" width="50.140625" style="96" customWidth="1"/>
    <col min="9732" max="9732" width="28" style="96" customWidth="1"/>
    <col min="9733" max="9733" width="11.5703125" style="96" customWidth="1"/>
    <col min="9734" max="9734" width="11.42578125" style="96" customWidth="1"/>
    <col min="9735" max="9735" width="10" style="96" bestFit="1" customWidth="1"/>
    <col min="9736" max="9736" width="9.140625" style="96"/>
    <col min="9737" max="9737" width="22.28515625" style="96" customWidth="1"/>
    <col min="9738" max="9738" width="10.85546875" style="96" customWidth="1"/>
    <col min="9739" max="9983" width="9.140625" style="96"/>
    <col min="9984" max="9984" width="8.5703125" style="96" customWidth="1"/>
    <col min="9985" max="9985" width="15" style="96" customWidth="1"/>
    <col min="9986" max="9986" width="27.28515625" style="96" customWidth="1"/>
    <col min="9987" max="9987" width="50.140625" style="96" customWidth="1"/>
    <col min="9988" max="9988" width="28" style="96" customWidth="1"/>
    <col min="9989" max="9989" width="11.5703125" style="96" customWidth="1"/>
    <col min="9990" max="9990" width="11.42578125" style="96" customWidth="1"/>
    <col min="9991" max="9991" width="10" style="96" bestFit="1" customWidth="1"/>
    <col min="9992" max="9992" width="9.140625" style="96"/>
    <col min="9993" max="9993" width="22.28515625" style="96" customWidth="1"/>
    <col min="9994" max="9994" width="10.85546875" style="96" customWidth="1"/>
    <col min="9995" max="10239" width="9.140625" style="96"/>
    <col min="10240" max="10240" width="8.5703125" style="96" customWidth="1"/>
    <col min="10241" max="10241" width="15" style="96" customWidth="1"/>
    <col min="10242" max="10242" width="27.28515625" style="96" customWidth="1"/>
    <col min="10243" max="10243" width="50.140625" style="96" customWidth="1"/>
    <col min="10244" max="10244" width="28" style="96" customWidth="1"/>
    <col min="10245" max="10245" width="11.5703125" style="96" customWidth="1"/>
    <col min="10246" max="10246" width="11.42578125" style="96" customWidth="1"/>
    <col min="10247" max="10247" width="10" style="96" bestFit="1" customWidth="1"/>
    <col min="10248" max="10248" width="9.140625" style="96"/>
    <col min="10249" max="10249" width="22.28515625" style="96" customWidth="1"/>
    <col min="10250" max="10250" width="10.85546875" style="96" customWidth="1"/>
    <col min="10251" max="10495" width="9.140625" style="96"/>
    <col min="10496" max="10496" width="8.5703125" style="96" customWidth="1"/>
    <col min="10497" max="10497" width="15" style="96" customWidth="1"/>
    <col min="10498" max="10498" width="27.28515625" style="96" customWidth="1"/>
    <col min="10499" max="10499" width="50.140625" style="96" customWidth="1"/>
    <col min="10500" max="10500" width="28" style="96" customWidth="1"/>
    <col min="10501" max="10501" width="11.5703125" style="96" customWidth="1"/>
    <col min="10502" max="10502" width="11.42578125" style="96" customWidth="1"/>
    <col min="10503" max="10503" width="10" style="96" bestFit="1" customWidth="1"/>
    <col min="10504" max="10504" width="9.140625" style="96"/>
    <col min="10505" max="10505" width="22.28515625" style="96" customWidth="1"/>
    <col min="10506" max="10506" width="10.85546875" style="96" customWidth="1"/>
    <col min="10507" max="10751" width="9.140625" style="96"/>
    <col min="10752" max="10752" width="8.5703125" style="96" customWidth="1"/>
    <col min="10753" max="10753" width="15" style="96" customWidth="1"/>
    <col min="10754" max="10754" width="27.28515625" style="96" customWidth="1"/>
    <col min="10755" max="10755" width="50.140625" style="96" customWidth="1"/>
    <col min="10756" max="10756" width="28" style="96" customWidth="1"/>
    <col min="10757" max="10757" width="11.5703125" style="96" customWidth="1"/>
    <col min="10758" max="10758" width="11.42578125" style="96" customWidth="1"/>
    <col min="10759" max="10759" width="10" style="96" bestFit="1" customWidth="1"/>
    <col min="10760" max="10760" width="9.140625" style="96"/>
    <col min="10761" max="10761" width="22.28515625" style="96" customWidth="1"/>
    <col min="10762" max="10762" width="10.85546875" style="96" customWidth="1"/>
    <col min="10763" max="11007" width="9.140625" style="96"/>
    <col min="11008" max="11008" width="8.5703125" style="96" customWidth="1"/>
    <col min="11009" max="11009" width="15" style="96" customWidth="1"/>
    <col min="11010" max="11010" width="27.28515625" style="96" customWidth="1"/>
    <col min="11011" max="11011" width="50.140625" style="96" customWidth="1"/>
    <col min="11012" max="11012" width="28" style="96" customWidth="1"/>
    <col min="11013" max="11013" width="11.5703125" style="96" customWidth="1"/>
    <col min="11014" max="11014" width="11.42578125" style="96" customWidth="1"/>
    <col min="11015" max="11015" width="10" style="96" bestFit="1" customWidth="1"/>
    <col min="11016" max="11016" width="9.140625" style="96"/>
    <col min="11017" max="11017" width="22.28515625" style="96" customWidth="1"/>
    <col min="11018" max="11018" width="10.85546875" style="96" customWidth="1"/>
    <col min="11019" max="11263" width="9.140625" style="96"/>
    <col min="11264" max="11264" width="8.5703125" style="96" customWidth="1"/>
    <col min="11265" max="11265" width="15" style="96" customWidth="1"/>
    <col min="11266" max="11266" width="27.28515625" style="96" customWidth="1"/>
    <col min="11267" max="11267" width="50.140625" style="96" customWidth="1"/>
    <col min="11268" max="11268" width="28" style="96" customWidth="1"/>
    <col min="11269" max="11269" width="11.5703125" style="96" customWidth="1"/>
    <col min="11270" max="11270" width="11.42578125" style="96" customWidth="1"/>
    <col min="11271" max="11271" width="10" style="96" bestFit="1" customWidth="1"/>
    <col min="11272" max="11272" width="9.140625" style="96"/>
    <col min="11273" max="11273" width="22.28515625" style="96" customWidth="1"/>
    <col min="11274" max="11274" width="10.85546875" style="96" customWidth="1"/>
    <col min="11275" max="11519" width="9.140625" style="96"/>
    <col min="11520" max="11520" width="8.5703125" style="96" customWidth="1"/>
    <col min="11521" max="11521" width="15" style="96" customWidth="1"/>
    <col min="11522" max="11522" width="27.28515625" style="96" customWidth="1"/>
    <col min="11523" max="11523" width="50.140625" style="96" customWidth="1"/>
    <col min="11524" max="11524" width="28" style="96" customWidth="1"/>
    <col min="11525" max="11525" width="11.5703125" style="96" customWidth="1"/>
    <col min="11526" max="11526" width="11.42578125" style="96" customWidth="1"/>
    <col min="11527" max="11527" width="10" style="96" bestFit="1" customWidth="1"/>
    <col min="11528" max="11528" width="9.140625" style="96"/>
    <col min="11529" max="11529" width="22.28515625" style="96" customWidth="1"/>
    <col min="11530" max="11530" width="10.85546875" style="96" customWidth="1"/>
    <col min="11531" max="11775" width="9.140625" style="96"/>
    <col min="11776" max="11776" width="8.5703125" style="96" customWidth="1"/>
    <col min="11777" max="11777" width="15" style="96" customWidth="1"/>
    <col min="11778" max="11778" width="27.28515625" style="96" customWidth="1"/>
    <col min="11779" max="11779" width="50.140625" style="96" customWidth="1"/>
    <col min="11780" max="11780" width="28" style="96" customWidth="1"/>
    <col min="11781" max="11781" width="11.5703125" style="96" customWidth="1"/>
    <col min="11782" max="11782" width="11.42578125" style="96" customWidth="1"/>
    <col min="11783" max="11783" width="10" style="96" bestFit="1" customWidth="1"/>
    <col min="11784" max="11784" width="9.140625" style="96"/>
    <col min="11785" max="11785" width="22.28515625" style="96" customWidth="1"/>
    <col min="11786" max="11786" width="10.85546875" style="96" customWidth="1"/>
    <col min="11787" max="12031" width="9.140625" style="96"/>
    <col min="12032" max="12032" width="8.5703125" style="96" customWidth="1"/>
    <col min="12033" max="12033" width="15" style="96" customWidth="1"/>
    <col min="12034" max="12034" width="27.28515625" style="96" customWidth="1"/>
    <col min="12035" max="12035" width="50.140625" style="96" customWidth="1"/>
    <col min="12036" max="12036" width="28" style="96" customWidth="1"/>
    <col min="12037" max="12037" width="11.5703125" style="96" customWidth="1"/>
    <col min="12038" max="12038" width="11.42578125" style="96" customWidth="1"/>
    <col min="12039" max="12039" width="10" style="96" bestFit="1" customWidth="1"/>
    <col min="12040" max="12040" width="9.140625" style="96"/>
    <col min="12041" max="12041" width="22.28515625" style="96" customWidth="1"/>
    <col min="12042" max="12042" width="10.85546875" style="96" customWidth="1"/>
    <col min="12043" max="12287" width="9.140625" style="96"/>
    <col min="12288" max="12288" width="8.5703125" style="96" customWidth="1"/>
    <col min="12289" max="12289" width="15" style="96" customWidth="1"/>
    <col min="12290" max="12290" width="27.28515625" style="96" customWidth="1"/>
    <col min="12291" max="12291" width="50.140625" style="96" customWidth="1"/>
    <col min="12292" max="12292" width="28" style="96" customWidth="1"/>
    <col min="12293" max="12293" width="11.5703125" style="96" customWidth="1"/>
    <col min="12294" max="12294" width="11.42578125" style="96" customWidth="1"/>
    <col min="12295" max="12295" width="10" style="96" bestFit="1" customWidth="1"/>
    <col min="12296" max="12296" width="9.140625" style="96"/>
    <col min="12297" max="12297" width="22.28515625" style="96" customWidth="1"/>
    <col min="12298" max="12298" width="10.85546875" style="96" customWidth="1"/>
    <col min="12299" max="12543" width="9.140625" style="96"/>
    <col min="12544" max="12544" width="8.5703125" style="96" customWidth="1"/>
    <col min="12545" max="12545" width="15" style="96" customWidth="1"/>
    <col min="12546" max="12546" width="27.28515625" style="96" customWidth="1"/>
    <col min="12547" max="12547" width="50.140625" style="96" customWidth="1"/>
    <col min="12548" max="12548" width="28" style="96" customWidth="1"/>
    <col min="12549" max="12549" width="11.5703125" style="96" customWidth="1"/>
    <col min="12550" max="12550" width="11.42578125" style="96" customWidth="1"/>
    <col min="12551" max="12551" width="10" style="96" bestFit="1" customWidth="1"/>
    <col min="12552" max="12552" width="9.140625" style="96"/>
    <col min="12553" max="12553" width="22.28515625" style="96" customWidth="1"/>
    <col min="12554" max="12554" width="10.85546875" style="96" customWidth="1"/>
    <col min="12555" max="12799" width="9.140625" style="96"/>
    <col min="12800" max="12800" width="8.5703125" style="96" customWidth="1"/>
    <col min="12801" max="12801" width="15" style="96" customWidth="1"/>
    <col min="12802" max="12802" width="27.28515625" style="96" customWidth="1"/>
    <col min="12803" max="12803" width="50.140625" style="96" customWidth="1"/>
    <col min="12804" max="12804" width="28" style="96" customWidth="1"/>
    <col min="12805" max="12805" width="11.5703125" style="96" customWidth="1"/>
    <col min="12806" max="12806" width="11.42578125" style="96" customWidth="1"/>
    <col min="12807" max="12807" width="10" style="96" bestFit="1" customWidth="1"/>
    <col min="12808" max="12808" width="9.140625" style="96"/>
    <col min="12809" max="12809" width="22.28515625" style="96" customWidth="1"/>
    <col min="12810" max="12810" width="10.85546875" style="96" customWidth="1"/>
    <col min="12811" max="13055" width="9.140625" style="96"/>
    <col min="13056" max="13056" width="8.5703125" style="96" customWidth="1"/>
    <col min="13057" max="13057" width="15" style="96" customWidth="1"/>
    <col min="13058" max="13058" width="27.28515625" style="96" customWidth="1"/>
    <col min="13059" max="13059" width="50.140625" style="96" customWidth="1"/>
    <col min="13060" max="13060" width="28" style="96" customWidth="1"/>
    <col min="13061" max="13061" width="11.5703125" style="96" customWidth="1"/>
    <col min="13062" max="13062" width="11.42578125" style="96" customWidth="1"/>
    <col min="13063" max="13063" width="10" style="96" bestFit="1" customWidth="1"/>
    <col min="13064" max="13064" width="9.140625" style="96"/>
    <col min="13065" max="13065" width="22.28515625" style="96" customWidth="1"/>
    <col min="13066" max="13066" width="10.85546875" style="96" customWidth="1"/>
    <col min="13067" max="13311" width="9.140625" style="96"/>
    <col min="13312" max="13312" width="8.5703125" style="96" customWidth="1"/>
    <col min="13313" max="13313" width="15" style="96" customWidth="1"/>
    <col min="13314" max="13314" width="27.28515625" style="96" customWidth="1"/>
    <col min="13315" max="13315" width="50.140625" style="96" customWidth="1"/>
    <col min="13316" max="13316" width="28" style="96" customWidth="1"/>
    <col min="13317" max="13317" width="11.5703125" style="96" customWidth="1"/>
    <col min="13318" max="13318" width="11.42578125" style="96" customWidth="1"/>
    <col min="13319" max="13319" width="10" style="96" bestFit="1" customWidth="1"/>
    <col min="13320" max="13320" width="9.140625" style="96"/>
    <col min="13321" max="13321" width="22.28515625" style="96" customWidth="1"/>
    <col min="13322" max="13322" width="10.85546875" style="96" customWidth="1"/>
    <col min="13323" max="13567" width="9.140625" style="96"/>
    <col min="13568" max="13568" width="8.5703125" style="96" customWidth="1"/>
    <col min="13569" max="13569" width="15" style="96" customWidth="1"/>
    <col min="13570" max="13570" width="27.28515625" style="96" customWidth="1"/>
    <col min="13571" max="13571" width="50.140625" style="96" customWidth="1"/>
    <col min="13572" max="13572" width="28" style="96" customWidth="1"/>
    <col min="13573" max="13573" width="11.5703125" style="96" customWidth="1"/>
    <col min="13574" max="13574" width="11.42578125" style="96" customWidth="1"/>
    <col min="13575" max="13575" width="10" style="96" bestFit="1" customWidth="1"/>
    <col min="13576" max="13576" width="9.140625" style="96"/>
    <col min="13577" max="13577" width="22.28515625" style="96" customWidth="1"/>
    <col min="13578" max="13578" width="10.85546875" style="96" customWidth="1"/>
    <col min="13579" max="13823" width="9.140625" style="96"/>
    <col min="13824" max="13824" width="8.5703125" style="96" customWidth="1"/>
    <col min="13825" max="13825" width="15" style="96" customWidth="1"/>
    <col min="13826" max="13826" width="27.28515625" style="96" customWidth="1"/>
    <col min="13827" max="13827" width="50.140625" style="96" customWidth="1"/>
    <col min="13828" max="13828" width="28" style="96" customWidth="1"/>
    <col min="13829" max="13829" width="11.5703125" style="96" customWidth="1"/>
    <col min="13830" max="13830" width="11.42578125" style="96" customWidth="1"/>
    <col min="13831" max="13831" width="10" style="96" bestFit="1" customWidth="1"/>
    <col min="13832" max="13832" width="9.140625" style="96"/>
    <col min="13833" max="13833" width="22.28515625" style="96" customWidth="1"/>
    <col min="13834" max="13834" width="10.85546875" style="96" customWidth="1"/>
    <col min="13835" max="14079" width="9.140625" style="96"/>
    <col min="14080" max="14080" width="8.5703125" style="96" customWidth="1"/>
    <col min="14081" max="14081" width="15" style="96" customWidth="1"/>
    <col min="14082" max="14082" width="27.28515625" style="96" customWidth="1"/>
    <col min="14083" max="14083" width="50.140625" style="96" customWidth="1"/>
    <col min="14084" max="14084" width="28" style="96" customWidth="1"/>
    <col min="14085" max="14085" width="11.5703125" style="96" customWidth="1"/>
    <col min="14086" max="14086" width="11.42578125" style="96" customWidth="1"/>
    <col min="14087" max="14087" width="10" style="96" bestFit="1" customWidth="1"/>
    <col min="14088" max="14088" width="9.140625" style="96"/>
    <col min="14089" max="14089" width="22.28515625" style="96" customWidth="1"/>
    <col min="14090" max="14090" width="10.85546875" style="96" customWidth="1"/>
    <col min="14091" max="14335" width="9.140625" style="96"/>
    <col min="14336" max="14336" width="8.5703125" style="96" customWidth="1"/>
    <col min="14337" max="14337" width="15" style="96" customWidth="1"/>
    <col min="14338" max="14338" width="27.28515625" style="96" customWidth="1"/>
    <col min="14339" max="14339" width="50.140625" style="96" customWidth="1"/>
    <col min="14340" max="14340" width="28" style="96" customWidth="1"/>
    <col min="14341" max="14341" width="11.5703125" style="96" customWidth="1"/>
    <col min="14342" max="14342" width="11.42578125" style="96" customWidth="1"/>
    <col min="14343" max="14343" width="10" style="96" bestFit="1" customWidth="1"/>
    <col min="14344" max="14344" width="9.140625" style="96"/>
    <col min="14345" max="14345" width="22.28515625" style="96" customWidth="1"/>
    <col min="14346" max="14346" width="10.85546875" style="96" customWidth="1"/>
    <col min="14347" max="14591" width="9.140625" style="96"/>
    <col min="14592" max="14592" width="8.5703125" style="96" customWidth="1"/>
    <col min="14593" max="14593" width="15" style="96" customWidth="1"/>
    <col min="14594" max="14594" width="27.28515625" style="96" customWidth="1"/>
    <col min="14595" max="14595" width="50.140625" style="96" customWidth="1"/>
    <col min="14596" max="14596" width="28" style="96" customWidth="1"/>
    <col min="14597" max="14597" width="11.5703125" style="96" customWidth="1"/>
    <col min="14598" max="14598" width="11.42578125" style="96" customWidth="1"/>
    <col min="14599" max="14599" width="10" style="96" bestFit="1" customWidth="1"/>
    <col min="14600" max="14600" width="9.140625" style="96"/>
    <col min="14601" max="14601" width="22.28515625" style="96" customWidth="1"/>
    <col min="14602" max="14602" width="10.85546875" style="96" customWidth="1"/>
    <col min="14603" max="14847" width="9.140625" style="96"/>
    <col min="14848" max="14848" width="8.5703125" style="96" customWidth="1"/>
    <col min="14849" max="14849" width="15" style="96" customWidth="1"/>
    <col min="14850" max="14850" width="27.28515625" style="96" customWidth="1"/>
    <col min="14851" max="14851" width="50.140625" style="96" customWidth="1"/>
    <col min="14852" max="14852" width="28" style="96" customWidth="1"/>
    <col min="14853" max="14853" width="11.5703125" style="96" customWidth="1"/>
    <col min="14854" max="14854" width="11.42578125" style="96" customWidth="1"/>
    <col min="14855" max="14855" width="10" style="96" bestFit="1" customWidth="1"/>
    <col min="14856" max="14856" width="9.140625" style="96"/>
    <col min="14857" max="14857" width="22.28515625" style="96" customWidth="1"/>
    <col min="14858" max="14858" width="10.85546875" style="96" customWidth="1"/>
    <col min="14859" max="15103" width="9.140625" style="96"/>
    <col min="15104" max="15104" width="8.5703125" style="96" customWidth="1"/>
    <col min="15105" max="15105" width="15" style="96" customWidth="1"/>
    <col min="15106" max="15106" width="27.28515625" style="96" customWidth="1"/>
    <col min="15107" max="15107" width="50.140625" style="96" customWidth="1"/>
    <col min="15108" max="15108" width="28" style="96" customWidth="1"/>
    <col min="15109" max="15109" width="11.5703125" style="96" customWidth="1"/>
    <col min="15110" max="15110" width="11.42578125" style="96" customWidth="1"/>
    <col min="15111" max="15111" width="10" style="96" bestFit="1" customWidth="1"/>
    <col min="15112" max="15112" width="9.140625" style="96"/>
    <col min="15113" max="15113" width="22.28515625" style="96" customWidth="1"/>
    <col min="15114" max="15114" width="10.85546875" style="96" customWidth="1"/>
    <col min="15115" max="15359" width="9.140625" style="96"/>
    <col min="15360" max="15360" width="8.5703125" style="96" customWidth="1"/>
    <col min="15361" max="15361" width="15" style="96" customWidth="1"/>
    <col min="15362" max="15362" width="27.28515625" style="96" customWidth="1"/>
    <col min="15363" max="15363" width="50.140625" style="96" customWidth="1"/>
    <col min="15364" max="15364" width="28" style="96" customWidth="1"/>
    <col min="15365" max="15365" width="11.5703125" style="96" customWidth="1"/>
    <col min="15366" max="15366" width="11.42578125" style="96" customWidth="1"/>
    <col min="15367" max="15367" width="10" style="96" bestFit="1" customWidth="1"/>
    <col min="15368" max="15368" width="9.140625" style="96"/>
    <col min="15369" max="15369" width="22.28515625" style="96" customWidth="1"/>
    <col min="15370" max="15370" width="10.85546875" style="96" customWidth="1"/>
    <col min="15371" max="15615" width="9.140625" style="96"/>
    <col min="15616" max="15616" width="8.5703125" style="96" customWidth="1"/>
    <col min="15617" max="15617" width="15" style="96" customWidth="1"/>
    <col min="15618" max="15618" width="27.28515625" style="96" customWidth="1"/>
    <col min="15619" max="15619" width="50.140625" style="96" customWidth="1"/>
    <col min="15620" max="15620" width="28" style="96" customWidth="1"/>
    <col min="15621" max="15621" width="11.5703125" style="96" customWidth="1"/>
    <col min="15622" max="15622" width="11.42578125" style="96" customWidth="1"/>
    <col min="15623" max="15623" width="10" style="96" bestFit="1" customWidth="1"/>
    <col min="15624" max="15624" width="9.140625" style="96"/>
    <col min="15625" max="15625" width="22.28515625" style="96" customWidth="1"/>
    <col min="15626" max="15626" width="10.85546875" style="96" customWidth="1"/>
    <col min="15627" max="15871" width="9.140625" style="96"/>
    <col min="15872" max="15872" width="8.5703125" style="96" customWidth="1"/>
    <col min="15873" max="15873" width="15" style="96" customWidth="1"/>
    <col min="15874" max="15874" width="27.28515625" style="96" customWidth="1"/>
    <col min="15875" max="15875" width="50.140625" style="96" customWidth="1"/>
    <col min="15876" max="15876" width="28" style="96" customWidth="1"/>
    <col min="15877" max="15877" width="11.5703125" style="96" customWidth="1"/>
    <col min="15878" max="15878" width="11.42578125" style="96" customWidth="1"/>
    <col min="15879" max="15879" width="10" style="96" bestFit="1" customWidth="1"/>
    <col min="15880" max="15880" width="9.140625" style="96"/>
    <col min="15881" max="15881" width="22.28515625" style="96" customWidth="1"/>
    <col min="15882" max="15882" width="10.85546875" style="96" customWidth="1"/>
    <col min="15883" max="16127" width="9.140625" style="96"/>
    <col min="16128" max="16128" width="8.5703125" style="96" customWidth="1"/>
    <col min="16129" max="16129" width="15" style="96" customWidth="1"/>
    <col min="16130" max="16130" width="27.28515625" style="96" customWidth="1"/>
    <col min="16131" max="16131" width="50.140625" style="96" customWidth="1"/>
    <col min="16132" max="16132" width="28" style="96" customWidth="1"/>
    <col min="16133" max="16133" width="11.5703125" style="96" customWidth="1"/>
    <col min="16134" max="16134" width="11.42578125" style="96" customWidth="1"/>
    <col min="16135" max="16135" width="10" style="96" bestFit="1" customWidth="1"/>
    <col min="16136" max="16136" width="9.140625" style="96"/>
    <col min="16137" max="16137" width="22.28515625" style="96" customWidth="1"/>
    <col min="16138" max="16138" width="10.85546875" style="96" customWidth="1"/>
    <col min="16139" max="16383" width="9.140625" style="96"/>
    <col min="16384" max="16384" width="9.140625" style="96" customWidth="1"/>
  </cols>
  <sheetData>
    <row r="1" spans="2:8" s="95" customFormat="1" x14ac:dyDescent="0.2">
      <c r="B1" s="237"/>
      <c r="C1" s="238"/>
      <c r="D1" s="239"/>
      <c r="F1" s="240"/>
      <c r="G1" s="240"/>
      <c r="H1" s="238"/>
    </row>
    <row r="2" spans="2:8" x14ac:dyDescent="0.2">
      <c r="B2" s="97" t="s">
        <v>358</v>
      </c>
    </row>
    <row r="4" spans="2:8" x14ac:dyDescent="0.2">
      <c r="B4" s="97" t="s">
        <v>750</v>
      </c>
    </row>
    <row r="5" spans="2:8" x14ac:dyDescent="0.2">
      <c r="B5" s="97" t="s">
        <v>751</v>
      </c>
    </row>
    <row r="27" spans="2:4" x14ac:dyDescent="0.2">
      <c r="C27" s="96" t="s">
        <v>764</v>
      </c>
      <c r="D27" s="96" t="s">
        <v>765</v>
      </c>
    </row>
    <row r="28" spans="2:4" x14ac:dyDescent="0.2">
      <c r="B28" s="97" t="s">
        <v>767</v>
      </c>
      <c r="C28" s="96">
        <v>19.600000000000001</v>
      </c>
      <c r="D28" s="96">
        <v>22</v>
      </c>
    </row>
    <row r="29" spans="2:4" x14ac:dyDescent="0.2">
      <c r="B29" s="97" t="s">
        <v>766</v>
      </c>
      <c r="C29" s="96">
        <v>40.5</v>
      </c>
      <c r="D29" s="96">
        <v>46</v>
      </c>
    </row>
    <row r="31" spans="2:4" x14ac:dyDescent="0.2">
      <c r="B31" s="97" t="s">
        <v>768</v>
      </c>
      <c r="C31" s="96">
        <f>C29-C28</f>
        <v>20.9</v>
      </c>
      <c r="D31" s="354">
        <f>D29-D28</f>
        <v>24</v>
      </c>
    </row>
    <row r="33" spans="2:15" x14ac:dyDescent="0.2">
      <c r="H33" s="96"/>
      <c r="I33" s="97"/>
      <c r="M33" s="98"/>
      <c r="N33" s="98"/>
      <c r="O33" s="99"/>
    </row>
    <row r="34" spans="2:15" x14ac:dyDescent="0.2">
      <c r="B34" s="97" t="s">
        <v>767</v>
      </c>
      <c r="H34" s="96"/>
      <c r="I34" s="97" t="s">
        <v>766</v>
      </c>
      <c r="M34" s="98"/>
      <c r="N34" s="98"/>
      <c r="O34" s="99"/>
    </row>
    <row r="35" spans="2:15" x14ac:dyDescent="0.2">
      <c r="H35" s="96"/>
      <c r="I35" s="97"/>
      <c r="M35" s="98"/>
      <c r="N35" s="98"/>
      <c r="O35" s="99"/>
    </row>
    <row r="36" spans="2:15" x14ac:dyDescent="0.2">
      <c r="H36" s="96"/>
      <c r="I36" s="97"/>
      <c r="M36" s="98"/>
      <c r="N36" s="98"/>
      <c r="O36" s="99"/>
    </row>
    <row r="37" spans="2:15" x14ac:dyDescent="0.2">
      <c r="H37" s="96"/>
      <c r="I37" s="97"/>
      <c r="M37" s="98"/>
      <c r="N37" s="98"/>
      <c r="O37" s="99"/>
    </row>
    <row r="38" spans="2:15" x14ac:dyDescent="0.2">
      <c r="H38" s="96"/>
      <c r="I38" s="97"/>
      <c r="M38" s="98"/>
      <c r="N38" s="98"/>
      <c r="O38" s="99"/>
    </row>
    <row r="39" spans="2:15" x14ac:dyDescent="0.2">
      <c r="H39" s="96"/>
      <c r="I39" s="97"/>
      <c r="M39" s="98"/>
      <c r="N39" s="98"/>
      <c r="O39" s="99"/>
    </row>
    <row r="40" spans="2:15" x14ac:dyDescent="0.2">
      <c r="H40" s="96"/>
      <c r="I40" s="97"/>
      <c r="M40" s="98"/>
      <c r="N40" s="98"/>
      <c r="O40" s="99"/>
    </row>
    <row r="41" spans="2:15" x14ac:dyDescent="0.2">
      <c r="H41" s="96"/>
      <c r="I41" s="97"/>
      <c r="M41" s="98"/>
      <c r="N41" s="98"/>
      <c r="O41" s="99"/>
    </row>
    <row r="42" spans="2:15" x14ac:dyDescent="0.2">
      <c r="H42" s="96"/>
      <c r="I42" s="97"/>
      <c r="M42" s="98"/>
      <c r="N42" s="98"/>
      <c r="O42" s="99"/>
    </row>
    <row r="43" spans="2:15" x14ac:dyDescent="0.2">
      <c r="H43" s="96"/>
      <c r="I43" s="97"/>
      <c r="M43" s="98"/>
      <c r="N43" s="98"/>
      <c r="O43" s="99"/>
    </row>
    <row r="44" spans="2:15" x14ac:dyDescent="0.2">
      <c r="H44" s="96"/>
      <c r="I44" s="97"/>
      <c r="M44" s="98"/>
      <c r="N44" s="98"/>
      <c r="O44" s="99"/>
    </row>
    <row r="45" spans="2:15" x14ac:dyDescent="0.2">
      <c r="H45" s="96"/>
      <c r="I45" s="97"/>
      <c r="M45" s="98"/>
      <c r="N45" s="98"/>
      <c r="O45" s="99"/>
    </row>
    <row r="46" spans="2:15" x14ac:dyDescent="0.2">
      <c r="H46" s="96"/>
      <c r="I46" s="97"/>
      <c r="M46" s="98"/>
      <c r="N46" s="98"/>
      <c r="O46" s="99"/>
    </row>
    <row r="47" spans="2:15" x14ac:dyDescent="0.2">
      <c r="H47" s="96"/>
      <c r="I47" s="97"/>
      <c r="M47" s="98"/>
      <c r="N47" s="98"/>
      <c r="O47" s="99"/>
    </row>
    <row r="48" spans="2:15" x14ac:dyDescent="0.2">
      <c r="H48" s="96"/>
      <c r="I48" s="97"/>
      <c r="M48" s="98"/>
      <c r="N48" s="98"/>
      <c r="O48" s="99"/>
    </row>
    <row r="49" spans="8:15" x14ac:dyDescent="0.2">
      <c r="H49" s="96"/>
      <c r="I49" s="97"/>
      <c r="M49" s="98"/>
      <c r="N49" s="98"/>
      <c r="O49" s="99"/>
    </row>
    <row r="50" spans="8:15" x14ac:dyDescent="0.2">
      <c r="H50" s="96"/>
      <c r="I50" s="97"/>
      <c r="M50" s="98"/>
      <c r="N50" s="98"/>
      <c r="O50" s="99"/>
    </row>
    <row r="51" spans="8:15" x14ac:dyDescent="0.2">
      <c r="H51" s="96"/>
      <c r="I51" s="97"/>
      <c r="M51" s="98"/>
      <c r="N51" s="98"/>
      <c r="O51" s="99"/>
    </row>
    <row r="52" spans="8:15" x14ac:dyDescent="0.2">
      <c r="H52" s="96"/>
      <c r="I52" s="97"/>
      <c r="M52" s="98"/>
      <c r="N52" s="98"/>
      <c r="O52" s="99"/>
    </row>
    <row r="53" spans="8:15" x14ac:dyDescent="0.2">
      <c r="H53" s="96"/>
      <c r="I53" s="97"/>
      <c r="M53" s="98"/>
      <c r="N53" s="98"/>
      <c r="O53" s="99"/>
    </row>
    <row r="54" spans="8:15" x14ac:dyDescent="0.2">
      <c r="H54" s="96"/>
      <c r="I54" s="97"/>
      <c r="M54" s="98"/>
      <c r="N54" s="98"/>
      <c r="O54" s="99"/>
    </row>
    <row r="55" spans="8:15" x14ac:dyDescent="0.2">
      <c r="H55" s="96"/>
      <c r="I55" s="97"/>
      <c r="M55" s="98"/>
      <c r="N55" s="98"/>
      <c r="O55" s="99"/>
    </row>
    <row r="56" spans="8:15" x14ac:dyDescent="0.2">
      <c r="H56" s="96"/>
      <c r="I56" s="97"/>
      <c r="M56" s="98"/>
      <c r="N56" s="98"/>
      <c r="O56" s="99"/>
    </row>
    <row r="57" spans="8:15" x14ac:dyDescent="0.2">
      <c r="H57" s="96"/>
      <c r="I57" s="97"/>
      <c r="M57" s="98"/>
      <c r="N57" s="98"/>
      <c r="O57" s="99"/>
    </row>
    <row r="58" spans="8:15" x14ac:dyDescent="0.2">
      <c r="H58" s="96"/>
      <c r="I58" s="97"/>
      <c r="M58" s="98"/>
      <c r="N58" s="98"/>
      <c r="O58" s="99"/>
    </row>
    <row r="59" spans="8:15" x14ac:dyDescent="0.2">
      <c r="H59" s="96"/>
      <c r="I59" s="97"/>
      <c r="M59" s="98"/>
      <c r="N59" s="98"/>
      <c r="O59" s="99"/>
    </row>
    <row r="60" spans="8:15" x14ac:dyDescent="0.2">
      <c r="H60" s="96"/>
      <c r="I60" s="97"/>
      <c r="M60" s="98"/>
      <c r="N60" s="98"/>
      <c r="O60" s="99"/>
    </row>
    <row r="61" spans="8:15" x14ac:dyDescent="0.2">
      <c r="H61" s="96"/>
      <c r="I61" s="97"/>
      <c r="M61" s="98"/>
      <c r="N61" s="98"/>
      <c r="O61" s="99"/>
    </row>
  </sheetData>
  <sheetProtection selectLockedCells="1" selectUnlockedCells="1"/>
  <printOptions gridLines="1"/>
  <pageMargins left="0.75" right="0.75" top="1" bottom="1" header="0.5" footer="0.5"/>
  <pageSetup paperSize="5" scale="66" fitToHeight="0" orientation="landscape" r:id="rId1"/>
  <headerFooter alignWithMargins="0"/>
  <colBreaks count="1" manualBreakCount="1">
    <brk id="2"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B101D-49ED-4BA3-B8EC-33D6A4E87A9B}">
  <sheetPr>
    <tabColor theme="7"/>
  </sheetPr>
  <dimension ref="B2:AF108"/>
  <sheetViews>
    <sheetView tabSelected="1" topLeftCell="I8" zoomScale="85" zoomScaleNormal="85" workbookViewId="0">
      <selection activeCell="O54" sqref="O54"/>
    </sheetView>
  </sheetViews>
  <sheetFormatPr defaultRowHeight="15" x14ac:dyDescent="0.25"/>
  <cols>
    <col min="2" max="2" width="28" customWidth="1"/>
    <col min="3" max="3" width="25" customWidth="1"/>
    <col min="4" max="4" width="39" customWidth="1"/>
    <col min="5" max="5" width="28.85546875" customWidth="1"/>
    <col min="6" max="6" width="16.85546875" customWidth="1"/>
    <col min="7" max="7" width="11.42578125" customWidth="1"/>
    <col min="9" max="9" width="32.7109375" customWidth="1"/>
    <col min="10" max="10" width="20.140625" customWidth="1"/>
    <col min="11" max="11" width="22" customWidth="1"/>
    <col min="12" max="12" width="30.42578125" customWidth="1"/>
    <col min="14" max="14" width="28.28515625" customWidth="1"/>
    <col min="15" max="15" width="21.7109375" customWidth="1"/>
    <col min="16" max="16" width="12.7109375" bestFit="1" customWidth="1"/>
    <col min="17" max="17" width="14" customWidth="1"/>
    <col min="18" max="18" width="15.42578125" customWidth="1"/>
    <col min="22" max="22" width="10.42578125" bestFit="1" customWidth="1"/>
    <col min="23" max="30" width="9.7109375" customWidth="1"/>
    <col min="31" max="31" width="11.5703125" bestFit="1" customWidth="1"/>
    <col min="33" max="33" width="21.85546875" bestFit="1" customWidth="1"/>
    <col min="34" max="34" width="27.140625" bestFit="1" customWidth="1"/>
    <col min="35" max="37" width="17.140625" customWidth="1"/>
    <col min="38" max="38" width="13.140625" customWidth="1"/>
  </cols>
  <sheetData>
    <row r="2" spans="2:19" x14ac:dyDescent="0.25">
      <c r="B2" t="s">
        <v>364</v>
      </c>
    </row>
    <row r="3" spans="2:19" ht="52.5" customHeight="1" x14ac:dyDescent="0.25">
      <c r="B3" s="294" t="s">
        <v>365</v>
      </c>
      <c r="C3" s="294" t="s">
        <v>366</v>
      </c>
      <c r="D3" s="294" t="s">
        <v>367</v>
      </c>
      <c r="E3" s="294" t="s">
        <v>368</v>
      </c>
      <c r="F3" s="294" t="s">
        <v>369</v>
      </c>
    </row>
    <row r="4" spans="2:19" ht="30" x14ac:dyDescent="0.25">
      <c r="B4" s="594" t="s">
        <v>370</v>
      </c>
      <c r="C4" s="594" t="s">
        <v>371</v>
      </c>
      <c r="D4" s="382" t="s">
        <v>807</v>
      </c>
      <c r="E4" s="344" t="s">
        <v>372</v>
      </c>
      <c r="F4" s="362">
        <f>'OUTPUT Summary'!E13</f>
        <v>82.935278752578284</v>
      </c>
    </row>
    <row r="5" spans="2:19" ht="30" x14ac:dyDescent="0.25">
      <c r="B5" s="594"/>
      <c r="C5" s="594"/>
      <c r="D5" s="344" t="s">
        <v>776</v>
      </c>
      <c r="E5" s="344" t="s">
        <v>777</v>
      </c>
      <c r="F5" s="295">
        <f>'OUTPUT Summary'!E14</f>
        <v>2.6320157768887875</v>
      </c>
    </row>
    <row r="6" spans="2:19" ht="45" x14ac:dyDescent="0.25">
      <c r="B6" s="594"/>
      <c r="C6" s="594"/>
      <c r="D6" s="344" t="s">
        <v>778</v>
      </c>
      <c r="E6" s="344" t="s">
        <v>372</v>
      </c>
      <c r="F6" s="295">
        <f>'OUTPUT Summary'!E16</f>
        <v>6.5552220592955304E-2</v>
      </c>
    </row>
    <row r="7" spans="2:19" ht="45" x14ac:dyDescent="0.25">
      <c r="B7" s="594"/>
      <c r="C7" s="594"/>
      <c r="D7" s="344" t="s">
        <v>779</v>
      </c>
      <c r="E7" s="344" t="s">
        <v>373</v>
      </c>
      <c r="F7" s="295">
        <f>'OUTPUT Summary'!E17</f>
        <v>5.3026028953657746E-3</v>
      </c>
    </row>
    <row r="8" spans="2:19" ht="45" x14ac:dyDescent="0.25">
      <c r="B8" s="594"/>
      <c r="C8" s="594"/>
      <c r="D8" s="344" t="s">
        <v>782</v>
      </c>
      <c r="E8" s="344" t="s">
        <v>374</v>
      </c>
      <c r="F8" s="295">
        <f>'OUTPUT Summary'!E18</f>
        <v>0</v>
      </c>
    </row>
    <row r="9" spans="2:19" ht="75" x14ac:dyDescent="0.25">
      <c r="B9" s="594"/>
      <c r="C9" s="594"/>
      <c r="D9" s="344" t="s">
        <v>781</v>
      </c>
      <c r="E9" s="344" t="s">
        <v>375</v>
      </c>
      <c r="F9" s="295">
        <f>'OUTPUT Summary'!E19</f>
        <v>8.824048764376316E-2</v>
      </c>
    </row>
    <row r="10" spans="2:19" ht="45" x14ac:dyDescent="0.25">
      <c r="B10" s="594"/>
      <c r="C10" s="594"/>
      <c r="D10" s="344" t="s">
        <v>808</v>
      </c>
      <c r="E10" s="344" t="s">
        <v>376</v>
      </c>
      <c r="F10" s="295">
        <f>'OUTPUT Summary'!E20</f>
        <v>20.835654654384108</v>
      </c>
    </row>
    <row r="11" spans="2:19" ht="45" x14ac:dyDescent="0.25">
      <c r="B11" s="594"/>
      <c r="C11" s="594"/>
      <c r="D11" s="344" t="s">
        <v>780</v>
      </c>
      <c r="E11" s="344" t="s">
        <v>372</v>
      </c>
      <c r="F11" s="295">
        <f>'OUTPUT Summary'!E21</f>
        <v>229.95276143034124</v>
      </c>
    </row>
    <row r="12" spans="2:19" x14ac:dyDescent="0.25">
      <c r="B12" s="588" t="s">
        <v>272</v>
      </c>
      <c r="C12" s="588"/>
      <c r="D12" s="588"/>
      <c r="E12" s="588"/>
      <c r="F12" s="296">
        <f>SUM(F4:F11)</f>
        <v>336.51480592532448</v>
      </c>
    </row>
    <row r="13" spans="2:19" x14ac:dyDescent="0.25">
      <c r="B13" s="292"/>
      <c r="C13" s="292"/>
      <c r="D13" s="277"/>
      <c r="E13" s="277"/>
      <c r="F13" s="276"/>
    </row>
    <row r="14" spans="2:19" x14ac:dyDescent="0.25">
      <c r="O14" t="s">
        <v>377</v>
      </c>
      <c r="P14">
        <f>'OUTPUT Summary'!E35</f>
        <v>188.36833322031902</v>
      </c>
      <c r="R14" s="387">
        <f>'OUTPUT Summary'!E9</f>
        <v>2.2715006289444686</v>
      </c>
    </row>
    <row r="15" spans="2:19" x14ac:dyDescent="0.25">
      <c r="I15" s="263" t="s">
        <v>378</v>
      </c>
      <c r="J15" s="262"/>
      <c r="K15" s="262"/>
      <c r="L15" s="262"/>
      <c r="O15" t="s">
        <v>380</v>
      </c>
      <c r="P15">
        <v>188.36833322031902</v>
      </c>
      <c r="R15">
        <v>2.2715006289444686</v>
      </c>
      <c r="S15" t="s">
        <v>800</v>
      </c>
    </row>
    <row r="16" spans="2:19" ht="29.25" customHeight="1" x14ac:dyDescent="0.25">
      <c r="D16" s="277"/>
      <c r="I16" s="265" t="s">
        <v>381</v>
      </c>
      <c r="J16" s="266" t="s">
        <v>241</v>
      </c>
      <c r="K16" s="266" t="s">
        <v>382</v>
      </c>
      <c r="L16" s="267" t="s">
        <v>383</v>
      </c>
      <c r="N16" s="345" t="s">
        <v>386</v>
      </c>
      <c r="O16" s="345" t="s">
        <v>387</v>
      </c>
      <c r="P16" s="345" t="s">
        <v>388</v>
      </c>
      <c r="Q16" s="345" t="s">
        <v>389</v>
      </c>
      <c r="R16" s="345" t="s">
        <v>390</v>
      </c>
    </row>
    <row r="17" spans="9:32" x14ac:dyDescent="0.25">
      <c r="I17" s="268" t="s">
        <v>391</v>
      </c>
      <c r="J17" s="270">
        <f>'OUTPUT Summary'!C22</f>
        <v>1353.1696659540139</v>
      </c>
      <c r="K17" s="270">
        <f>'OUTPUT Summary'!D22</f>
        <v>728.35328719091387</v>
      </c>
      <c r="L17" s="270">
        <f>'OUTPUT Summary'!E22</f>
        <v>336.51480592532448</v>
      </c>
      <c r="N17" s="589" t="s">
        <v>785</v>
      </c>
      <c r="O17" s="278" t="s">
        <v>783</v>
      </c>
      <c r="P17" s="385">
        <v>323.27141736237792</v>
      </c>
      <c r="Q17" s="365">
        <f t="shared" ref="Q17:Q23" si="0">(P17-$P$15)/$P$15</f>
        <v>0.71616646936230943</v>
      </c>
      <c r="R17" s="386">
        <v>3.1821067451675846</v>
      </c>
    </row>
    <row r="18" spans="9:32" x14ac:dyDescent="0.25">
      <c r="I18" s="268" t="s">
        <v>395</v>
      </c>
      <c r="J18" s="271">
        <f>'OUTPUT Summary'!C28</f>
        <v>10.773789618830955</v>
      </c>
      <c r="K18" s="271">
        <f>'OUTPUT Summary'!D28</f>
        <v>8.8554090119827382</v>
      </c>
      <c r="L18" s="272">
        <f>'OUTPUT Summary'!E28</f>
        <v>6.8255557769490496</v>
      </c>
      <c r="N18" s="590"/>
      <c r="O18" s="278" t="s">
        <v>784</v>
      </c>
      <c r="P18" s="385">
        <v>70.828024372519081</v>
      </c>
      <c r="Q18" s="365">
        <f t="shared" si="0"/>
        <v>-0.62399187187329763</v>
      </c>
      <c r="R18" s="386">
        <v>1.4780945714013345</v>
      </c>
      <c r="AF18" s="291"/>
    </row>
    <row r="19" spans="9:32" x14ac:dyDescent="0.25">
      <c r="I19" s="268" t="s">
        <v>398</v>
      </c>
      <c r="J19" s="271">
        <f>'OUTPUT Summary'!C27</f>
        <v>-214.39019221658853</v>
      </c>
      <c r="K19" s="271">
        <f>'OUTPUT Summary'!D27</f>
        <v>-185.94177949328446</v>
      </c>
      <c r="L19" s="272">
        <f>'OUTPUT Summary'!E27</f>
        <v>-154.97202848195451</v>
      </c>
      <c r="N19" s="589" t="s">
        <v>273</v>
      </c>
      <c r="O19" s="278" t="s">
        <v>394</v>
      </c>
      <c r="P19" s="385">
        <v>201.40101988143846</v>
      </c>
      <c r="Q19" s="365">
        <f t="shared" si="0"/>
        <v>6.9187248399528889E-2</v>
      </c>
      <c r="R19" s="386">
        <v>2.359472258799407</v>
      </c>
    </row>
    <row r="20" spans="9:32" x14ac:dyDescent="0.25">
      <c r="I20" s="268" t="s">
        <v>28</v>
      </c>
      <c r="J20" s="269">
        <f>'OUTPUT Summary'!C35</f>
        <v>1149.5532633562564</v>
      </c>
      <c r="K20" s="269">
        <f>'OUTPUT Summary'!D35</f>
        <v>551.26691670961213</v>
      </c>
      <c r="L20" s="270">
        <f>'OUTPUT Summary'!E35</f>
        <v>188.36833322031902</v>
      </c>
      <c r="N20" s="589"/>
      <c r="O20" s="278" t="s">
        <v>397</v>
      </c>
      <c r="P20" s="385">
        <v>175.33564655919957</v>
      </c>
      <c r="Q20" s="365">
        <f t="shared" si="0"/>
        <v>-6.9187248399528889E-2</v>
      </c>
      <c r="R20" s="386">
        <v>2.1835289990895306</v>
      </c>
    </row>
    <row r="21" spans="9:32" x14ac:dyDescent="0.25">
      <c r="I21" s="268" t="s">
        <v>402</v>
      </c>
      <c r="J21" s="273">
        <f>'OUTPUT Summary'!C36</f>
        <v>6.6456810389052441</v>
      </c>
      <c r="K21" s="273">
        <f>'OUTPUT Summary'!D36</f>
        <v>4.1129833154936088</v>
      </c>
      <c r="L21" s="274">
        <f>'OUTPUT Summary'!E36</f>
        <v>2.2715006289444686</v>
      </c>
      <c r="N21" s="589" t="s">
        <v>23</v>
      </c>
      <c r="O21" s="278" t="s">
        <v>394</v>
      </c>
      <c r="P21" s="385">
        <v>215.19648456879716</v>
      </c>
      <c r="Q21" s="365">
        <f t="shared" si="0"/>
        <v>0.14242389307070766</v>
      </c>
      <c r="R21" s="386">
        <v>2.7738168659322526</v>
      </c>
    </row>
    <row r="22" spans="9:32" x14ac:dyDescent="0.25">
      <c r="I22" s="275" t="s">
        <v>31</v>
      </c>
      <c r="J22" s="591">
        <f>'OUTPUT Summary'!C38</f>
        <v>0.13227960121836646</v>
      </c>
      <c r="K22" s="592"/>
      <c r="L22" s="593"/>
      <c r="N22" s="589"/>
      <c r="O22" s="278" t="s">
        <v>397</v>
      </c>
      <c r="P22" s="385">
        <v>161.54018187184087</v>
      </c>
      <c r="Q22" s="365">
        <f t="shared" si="0"/>
        <v>-0.14242389307070766</v>
      </c>
      <c r="R22" s="386">
        <v>1.9232206255374704</v>
      </c>
    </row>
    <row r="23" spans="9:32" x14ac:dyDescent="0.25">
      <c r="N23" s="364" t="s">
        <v>230</v>
      </c>
      <c r="O23" s="278" t="s">
        <v>403</v>
      </c>
      <c r="P23" s="385">
        <v>342.04298329634815</v>
      </c>
      <c r="Q23" s="365">
        <f t="shared" si="0"/>
        <v>0.8158199812507152</v>
      </c>
      <c r="R23" s="386">
        <v>3.2849331442184755</v>
      </c>
    </row>
    <row r="25" spans="9:32" x14ac:dyDescent="0.25">
      <c r="I25" s="263" t="s">
        <v>404</v>
      </c>
      <c r="J25" s="262"/>
      <c r="K25" s="262"/>
      <c r="L25" s="262"/>
    </row>
    <row r="26" spans="9:32" ht="28.5" x14ac:dyDescent="0.25">
      <c r="I26" s="345" t="s">
        <v>405</v>
      </c>
      <c r="J26" s="297" t="s">
        <v>241</v>
      </c>
      <c r="K26" s="297" t="s">
        <v>382</v>
      </c>
      <c r="L26" s="297" t="s">
        <v>383</v>
      </c>
    </row>
    <row r="27" spans="9:32" x14ac:dyDescent="0.25">
      <c r="I27" s="278" t="str">
        <f>'OUTPUT Summary'!B27</f>
        <v>Capital Cost</v>
      </c>
      <c r="J27" s="293">
        <f>-'OUTPUT Summary'!C27</f>
        <v>214.39019221658853</v>
      </c>
      <c r="K27" s="293">
        <f>-'OUTPUT Summary'!D27</f>
        <v>185.94177949328446</v>
      </c>
      <c r="L27" s="293">
        <f>-'OUTPUT Summary'!E27</f>
        <v>154.97202848195451</v>
      </c>
    </row>
    <row r="28" spans="9:32" x14ac:dyDescent="0.25">
      <c r="I28" s="278" t="s">
        <v>406</v>
      </c>
      <c r="J28" s="293">
        <f>-'OUTPUT Summary'!C28</f>
        <v>-10.773789618830955</v>
      </c>
      <c r="K28" s="293">
        <f>-'OUTPUT Summary'!D28</f>
        <v>-8.8554090119827382</v>
      </c>
      <c r="L28" s="293">
        <f>-'OUTPUT Summary'!E28</f>
        <v>-6.8255557769490496</v>
      </c>
    </row>
    <row r="29" spans="9:32" x14ac:dyDescent="0.25">
      <c r="I29" s="279" t="s">
        <v>34</v>
      </c>
      <c r="J29" s="281">
        <f>SUM(J27:J28)</f>
        <v>203.61640259775757</v>
      </c>
      <c r="K29" s="281">
        <f>SUM(K27:K28)</f>
        <v>177.08637048130171</v>
      </c>
      <c r="L29" s="281">
        <f>SUM(L27:L28)</f>
        <v>148.14647270500546</v>
      </c>
    </row>
    <row r="31" spans="9:32" x14ac:dyDescent="0.25">
      <c r="I31" s="263" t="s">
        <v>407</v>
      </c>
      <c r="J31" s="262"/>
      <c r="K31" s="262"/>
      <c r="L31" s="262"/>
    </row>
    <row r="32" spans="9:32" ht="28.5" x14ac:dyDescent="0.25">
      <c r="I32" s="345" t="s">
        <v>381</v>
      </c>
      <c r="J32" s="297" t="s">
        <v>241</v>
      </c>
      <c r="K32" s="297" t="s">
        <v>382</v>
      </c>
      <c r="L32" s="297" t="s">
        <v>383</v>
      </c>
    </row>
    <row r="33" spans="9:18" x14ac:dyDescent="0.25">
      <c r="I33" s="278" t="str">
        <f>'OUTPUT Summary'!B13</f>
        <v>Safety Benefits</v>
      </c>
      <c r="J33" s="293">
        <f>'OUTPUT Summary'!C13</f>
        <v>256.83471710960492</v>
      </c>
      <c r="K33" s="293">
        <f>'OUTPUT Summary'!D13</f>
        <v>153.84793889085608</v>
      </c>
      <c r="L33" s="293">
        <f>'OUTPUT Summary'!E13</f>
        <v>82.935278752578284</v>
      </c>
    </row>
    <row r="34" spans="9:18" x14ac:dyDescent="0.25">
      <c r="I34" s="278" t="str">
        <f>'OUTPUT Summary'!B14</f>
        <v>Travel Time - Vehicular</v>
      </c>
      <c r="J34" s="293">
        <f>'OUTPUT Summary'!C14</f>
        <v>8.4464057229931058</v>
      </c>
      <c r="K34" s="293">
        <f>'OUTPUT Summary'!D14</f>
        <v>4.9861333610118042</v>
      </c>
      <c r="L34" s="293">
        <f>'OUTPUT Summary'!E14</f>
        <v>2.6320157768887875</v>
      </c>
      <c r="N34" s="595" t="s">
        <v>384</v>
      </c>
      <c r="O34" s="587">
        <f>'REF Traffic'!$C$12</f>
        <v>2021</v>
      </c>
      <c r="P34" s="587"/>
      <c r="Q34" s="587">
        <f>'REF Traffic'!$G$12</f>
        <v>2050</v>
      </c>
      <c r="R34" s="587"/>
    </row>
    <row r="35" spans="9:18" x14ac:dyDescent="0.25">
      <c r="I35" s="278" t="str">
        <f>'OUTPUT Summary'!B15</f>
        <v>Travel Time - Pedestrian</v>
      </c>
      <c r="J35" s="293">
        <f>'OUTPUT Summary'!C15</f>
        <v>0</v>
      </c>
      <c r="K35" s="293">
        <f>'OUTPUT Summary'!D15</f>
        <v>0</v>
      </c>
      <c r="L35" s="293">
        <f>'OUTPUT Summary'!E15</f>
        <v>0</v>
      </c>
      <c r="N35" s="596"/>
      <c r="O35" s="345" t="s">
        <v>411</v>
      </c>
      <c r="P35" s="345" t="s">
        <v>412</v>
      </c>
      <c r="Q35" s="345" t="s">
        <v>411</v>
      </c>
      <c r="R35" s="345" t="s">
        <v>412</v>
      </c>
    </row>
    <row r="36" spans="9:18" x14ac:dyDescent="0.25">
      <c r="I36" s="278" t="str">
        <f>'OUTPUT Summary'!B16</f>
        <v>Reduced Vehicle Operating Costs</v>
      </c>
      <c r="J36" s="293">
        <f>'OUTPUT Summary'!C16</f>
        <v>0.21747443286249166</v>
      </c>
      <c r="K36" s="293">
        <f>'OUTPUT Summary'!D16</f>
        <v>0.12661323866589724</v>
      </c>
      <c r="L36" s="293">
        <f>'OUTPUT Summary'!E16</f>
        <v>6.5552220592955304E-2</v>
      </c>
      <c r="N36" s="298" t="s">
        <v>396</v>
      </c>
      <c r="O36" s="298">
        <f>'REF Traffic'!C15</f>
        <v>5.6</v>
      </c>
      <c r="P36" s="298">
        <f>'REF Traffic'!E15</f>
        <v>5.6</v>
      </c>
      <c r="Q36" s="298">
        <f>'REF Traffic'!G15</f>
        <v>48.9</v>
      </c>
      <c r="R36" s="298">
        <f>'REF Traffic'!I15</f>
        <v>182.5</v>
      </c>
    </row>
    <row r="37" spans="9:18" x14ac:dyDescent="0.25">
      <c r="I37" s="278" t="str">
        <f>'OUTPUT Summary'!B17</f>
        <v>Emissions Reduction*</v>
      </c>
      <c r="J37" s="293">
        <f>'OUTPUT Summary'!C17</f>
        <v>1.6723568993102678E-2</v>
      </c>
      <c r="K37" s="293">
        <f>'OUTPUT Summary'!D17</f>
        <v>9.8448391827703121E-3</v>
      </c>
      <c r="L37" s="293">
        <f>'OUTPUT Summary'!E17</f>
        <v>5.3026028953657746E-3</v>
      </c>
      <c r="N37" s="298" t="s">
        <v>399</v>
      </c>
      <c r="O37" s="298">
        <f>'REF Traffic'!D15</f>
        <v>3.4</v>
      </c>
      <c r="P37" s="298">
        <f>'REF Traffic'!F15</f>
        <v>3.6</v>
      </c>
      <c r="Q37" s="298">
        <f>'REF Traffic'!H15</f>
        <v>37.5</v>
      </c>
      <c r="R37" s="298">
        <f>'REF Traffic'!J15</f>
        <v>133</v>
      </c>
    </row>
    <row r="38" spans="9:18" x14ac:dyDescent="0.25">
      <c r="I38" s="278" t="str">
        <f>'OUTPUT Summary'!B18</f>
        <v>Pedestrian / Cycling Improvements</v>
      </c>
      <c r="J38" s="293">
        <f>'OUTPUT Summary'!C18</f>
        <v>0</v>
      </c>
      <c r="K38" s="293">
        <f>'OUTPUT Summary'!D18</f>
        <v>0</v>
      </c>
      <c r="L38" s="293">
        <f>'OUTPUT Summary'!E18</f>
        <v>0</v>
      </c>
      <c r="N38" s="298" t="s">
        <v>401</v>
      </c>
      <c r="O38" s="298">
        <f>O36-O37</f>
        <v>2.1999999999999997</v>
      </c>
      <c r="P38" s="363">
        <f>P36-P37</f>
        <v>1.9999999999999996</v>
      </c>
      <c r="Q38" s="298">
        <f>Q36-Q37</f>
        <v>11.399999999999999</v>
      </c>
      <c r="R38" s="298">
        <f>R36-R37</f>
        <v>49.5</v>
      </c>
    </row>
    <row r="39" spans="9:18" x14ac:dyDescent="0.25">
      <c r="I39" s="278" t="str">
        <f>'OUTPUT Summary'!B19</f>
        <v>Reduced Bridge Hits</v>
      </c>
      <c r="J39" s="293">
        <f>'OUTPUT Summary'!C19</f>
        <v>0.25000000000000006</v>
      </c>
      <c r="K39" s="293">
        <f>'OUTPUT Summary'!D19</f>
        <v>0.15574563718547921</v>
      </c>
      <c r="L39" s="293">
        <f>'OUTPUT Summary'!E19</f>
        <v>8.824048764376316E-2</v>
      </c>
    </row>
    <row r="40" spans="9:18" x14ac:dyDescent="0.25">
      <c r="I40" s="278" t="str">
        <f>'OUTPUT Summary'!B20</f>
        <v>Residual Value</v>
      </c>
      <c r="J40" s="293">
        <f>'OUTPUT Summary'!C20</f>
        <v>121</v>
      </c>
      <c r="K40" s="293">
        <f>'OUTPUT Summary'!D20</f>
        <v>56.10706202005904</v>
      </c>
      <c r="L40" s="293">
        <f>'OUTPUT Summary'!E20</f>
        <v>20.835654654384108</v>
      </c>
      <c r="N40" s="104" t="s">
        <v>409</v>
      </c>
    </row>
    <row r="41" spans="9:18" x14ac:dyDescent="0.25">
      <c r="I41" s="278" t="str">
        <f>'OUTPUT Summary'!B21</f>
        <v>Avoided Detour</v>
      </c>
      <c r="J41" s="293">
        <f>'OUTPUT Summary'!C21</f>
        <v>966.40434511956016</v>
      </c>
      <c r="K41" s="293">
        <f>'OUTPUT Summary'!D21</f>
        <v>513.11994920395284</v>
      </c>
      <c r="L41" s="293">
        <f>'OUTPUT Summary'!E21</f>
        <v>229.95276143034124</v>
      </c>
      <c r="N41" s="587" t="s">
        <v>410</v>
      </c>
      <c r="O41" s="587">
        <f>'REF Traffic'!$C$12</f>
        <v>2021</v>
      </c>
      <c r="P41" s="587"/>
      <c r="Q41" s="587">
        <f>'REF Traffic'!$G$12</f>
        <v>2050</v>
      </c>
      <c r="R41" s="587"/>
    </row>
    <row r="42" spans="9:18" x14ac:dyDescent="0.25">
      <c r="I42" s="279" t="str">
        <f>'OUTPUT Summary'!B22</f>
        <v>Present Value of Benefit (Cost)</v>
      </c>
      <c r="J42" s="280">
        <f>'OUTPUT Summary'!C22</f>
        <v>1353.1696659540139</v>
      </c>
      <c r="K42" s="280">
        <f>'OUTPUT Summary'!D22</f>
        <v>728.35328719091387</v>
      </c>
      <c r="L42" s="280">
        <f>'OUTPUT Summary'!E22</f>
        <v>336.51480592532448</v>
      </c>
      <c r="M42" s="1"/>
      <c r="N42" s="587"/>
      <c r="O42" s="587"/>
      <c r="P42" s="587"/>
      <c r="Q42" s="587"/>
      <c r="R42" s="587"/>
    </row>
    <row r="43" spans="9:18" x14ac:dyDescent="0.25">
      <c r="N43" s="587"/>
      <c r="O43" s="345" t="s">
        <v>411</v>
      </c>
      <c r="P43" s="345" t="s">
        <v>412</v>
      </c>
      <c r="Q43" s="345" t="s">
        <v>411</v>
      </c>
      <c r="R43" s="345" t="s">
        <v>412</v>
      </c>
    </row>
    <row r="44" spans="9:18" x14ac:dyDescent="0.25">
      <c r="N44" s="298" t="s">
        <v>396</v>
      </c>
      <c r="O44" s="298">
        <f>'REF Traffic'!C19</f>
        <v>122</v>
      </c>
      <c r="P44" s="298">
        <f>'REF Traffic'!E19</f>
        <v>136</v>
      </c>
      <c r="Q44" s="298">
        <f>'REF Traffic'!G19</f>
        <v>412</v>
      </c>
      <c r="R44" s="298">
        <f>'REF Traffic'!I19</f>
        <v>547</v>
      </c>
    </row>
    <row r="45" spans="9:18" x14ac:dyDescent="0.25">
      <c r="N45" s="298" t="s">
        <v>399</v>
      </c>
      <c r="O45" s="298">
        <f>'REF Traffic'!D19</f>
        <v>122</v>
      </c>
      <c r="P45" s="298">
        <f>'REF Traffic'!F19</f>
        <v>136</v>
      </c>
      <c r="Q45" s="298">
        <f>'REF Traffic'!H19</f>
        <v>410</v>
      </c>
      <c r="R45" s="298">
        <f>'REF Traffic'!J19</f>
        <v>530</v>
      </c>
    </row>
    <row r="46" spans="9:18" x14ac:dyDescent="0.25">
      <c r="N46" s="298" t="s">
        <v>401</v>
      </c>
      <c r="O46" s="298">
        <f>O44-O45</f>
        <v>0</v>
      </c>
      <c r="P46" s="363">
        <f>P44-P45</f>
        <v>0</v>
      </c>
      <c r="Q46" s="298">
        <f>Q44-Q45</f>
        <v>2</v>
      </c>
      <c r="R46" s="298">
        <f>R44-R45</f>
        <v>17</v>
      </c>
    </row>
    <row r="47" spans="9:18" ht="15.75" customHeight="1" x14ac:dyDescent="0.25">
      <c r="I47" s="366" t="s">
        <v>379</v>
      </c>
      <c r="J47" s="262"/>
      <c r="K47" s="262"/>
      <c r="L47" s="262"/>
    </row>
    <row r="48" spans="9:18" x14ac:dyDescent="0.25">
      <c r="I48" s="367" t="str">
        <f>INPUTS!C10</f>
        <v>Variable</v>
      </c>
      <c r="J48" s="345" t="str">
        <f>INPUTS!D10</f>
        <v>Unit</v>
      </c>
      <c r="K48" s="345" t="str">
        <f>INPUTS!E10</f>
        <v>Value</v>
      </c>
      <c r="L48" s="345" t="str">
        <f>INPUTS!F10</f>
        <v xml:space="preserve">Source </v>
      </c>
    </row>
    <row r="49" spans="9:22" x14ac:dyDescent="0.25">
      <c r="I49" s="368" t="str">
        <f>INPUTS!C61</f>
        <v>Property Damage Only</v>
      </c>
      <c r="J49" s="368" t="str">
        <f>INPUTS!D61</f>
        <v>Incidents/year</v>
      </c>
      <c r="K49" s="371">
        <f>INPUTS!E61</f>
        <v>7.2</v>
      </c>
      <c r="L49" s="368" t="str">
        <f>INPUTS!F61</f>
        <v>ODOT Data</v>
      </c>
      <c r="N49" s="104" t="s">
        <v>414</v>
      </c>
    </row>
    <row r="50" spans="9:22" x14ac:dyDescent="0.25">
      <c r="I50" s="368" t="str">
        <f>INPUTS!C62</f>
        <v>Possible Injury</v>
      </c>
      <c r="J50" s="368" t="str">
        <f>INPUTS!D62</f>
        <v>Incidents/year</v>
      </c>
      <c r="K50" s="371">
        <f>INPUTS!E62</f>
        <v>1.2</v>
      </c>
      <c r="L50" s="368" t="str">
        <f>INPUTS!F62</f>
        <v>ODOT Data</v>
      </c>
      <c r="N50" s="587" t="s">
        <v>415</v>
      </c>
      <c r="O50" s="587">
        <f>'REF Traffic'!$C$12</f>
        <v>2021</v>
      </c>
      <c r="P50" s="587"/>
      <c r="Q50" s="587"/>
      <c r="R50" s="587"/>
      <c r="S50" s="587">
        <f>'REF Traffic'!$G$12</f>
        <v>2050</v>
      </c>
      <c r="T50" s="587"/>
      <c r="U50" s="587"/>
      <c r="V50" s="587"/>
    </row>
    <row r="51" spans="9:22" x14ac:dyDescent="0.25">
      <c r="I51" s="368" t="str">
        <f>INPUTS!C63</f>
        <v>Non-Incapacitating Injury</v>
      </c>
      <c r="J51" s="368" t="str">
        <f>INPUTS!D63</f>
        <v>Incidents/year</v>
      </c>
      <c r="K51" s="371">
        <f>INPUTS!E63</f>
        <v>1.8</v>
      </c>
      <c r="L51" s="368" t="str">
        <f>INPUTS!F63</f>
        <v>ODOT Data</v>
      </c>
      <c r="N51" s="587"/>
      <c r="O51" s="587" t="s">
        <v>411</v>
      </c>
      <c r="P51" s="587"/>
      <c r="Q51" s="587" t="s">
        <v>412</v>
      </c>
      <c r="R51" s="587"/>
      <c r="S51" s="587" t="s">
        <v>411</v>
      </c>
      <c r="T51" s="587"/>
      <c r="U51" s="587" t="s">
        <v>412</v>
      </c>
      <c r="V51" s="587"/>
    </row>
    <row r="52" spans="9:22" x14ac:dyDescent="0.25">
      <c r="I52" s="368" t="str">
        <f>INPUTS!C64</f>
        <v>Incapacitating Injury</v>
      </c>
      <c r="J52" s="368" t="str">
        <f>INPUTS!D64</f>
        <v>Incidents/year</v>
      </c>
      <c r="K52" s="371">
        <f>INPUTS!E64</f>
        <v>0.4</v>
      </c>
      <c r="L52" s="368" t="str">
        <f>INPUTS!F64</f>
        <v>ODOT Data</v>
      </c>
      <c r="N52" s="587"/>
      <c r="O52" s="302" t="s">
        <v>416</v>
      </c>
      <c r="P52" s="302" t="s">
        <v>399</v>
      </c>
      <c r="Q52" s="302" t="s">
        <v>416</v>
      </c>
      <c r="R52" s="302" t="s">
        <v>399</v>
      </c>
      <c r="S52" s="302" t="s">
        <v>416</v>
      </c>
      <c r="T52" s="302" t="s">
        <v>399</v>
      </c>
      <c r="U52" s="302" t="s">
        <v>416</v>
      </c>
      <c r="V52" s="302" t="s">
        <v>399</v>
      </c>
    </row>
    <row r="53" spans="9:22" ht="16.5" x14ac:dyDescent="0.25">
      <c r="I53" s="368" t="str">
        <f>INPUTS!C65</f>
        <v>Fatality</v>
      </c>
      <c r="J53" s="368" t="str">
        <f>INPUTS!D65</f>
        <v>Incidents/year</v>
      </c>
      <c r="K53" s="371">
        <f>INPUTS!E65</f>
        <v>0.8</v>
      </c>
      <c r="L53" s="368" t="str">
        <f>INPUTS!F65</f>
        <v>ODOT Data</v>
      </c>
      <c r="N53" s="301" t="s">
        <v>417</v>
      </c>
      <c r="O53" s="299">
        <f>'REF Traffic'!C16</f>
        <v>8.5</v>
      </c>
      <c r="P53" s="299">
        <f>'REF Traffic'!D16</f>
        <v>8.5</v>
      </c>
      <c r="Q53" s="299">
        <f>'REF Traffic'!E16</f>
        <v>9.51</v>
      </c>
      <c r="R53" s="299">
        <f>'REF Traffic'!F16</f>
        <v>9.4700000000000006</v>
      </c>
      <c r="S53" s="299">
        <f>'REF Traffic'!G16</f>
        <v>28.8</v>
      </c>
      <c r="T53" s="299">
        <f>'REF Traffic'!H16</f>
        <v>28.6</v>
      </c>
      <c r="U53" s="299">
        <f>'REF Traffic'!I16</f>
        <v>38.200000000000003</v>
      </c>
      <c r="V53" s="299">
        <f>'REF Traffic'!J16</f>
        <v>37</v>
      </c>
    </row>
    <row r="54" spans="9:22" ht="16.5" x14ac:dyDescent="0.25">
      <c r="I54" s="368" t="str">
        <f>INPUTS!C66</f>
        <v>Base Year</v>
      </c>
      <c r="J54" s="368" t="str">
        <f>INPUTS!D66</f>
        <v>year</v>
      </c>
      <c r="K54" s="371">
        <f>INPUTS!E66</f>
        <v>2020</v>
      </c>
      <c r="L54" s="368" t="str">
        <f>INPUTS!F66</f>
        <v>ODOT Data</v>
      </c>
      <c r="N54" s="301" t="s">
        <v>418</v>
      </c>
      <c r="O54" s="299">
        <f>'REF Traffic'!C17</f>
        <v>1.65</v>
      </c>
      <c r="P54" s="299">
        <f>'REF Traffic'!D17</f>
        <v>1.65</v>
      </c>
      <c r="Q54" s="299">
        <f>'REF Traffic'!E17</f>
        <v>1.85</v>
      </c>
      <c r="R54" s="299">
        <f>'REF Traffic'!F17</f>
        <v>1.84</v>
      </c>
      <c r="S54" s="299">
        <f>'REF Traffic'!G17</f>
        <v>5.6</v>
      </c>
      <c r="T54" s="299">
        <f>'REF Traffic'!H17</f>
        <v>5.6</v>
      </c>
      <c r="U54" s="299">
        <f>'REF Traffic'!I17</f>
        <v>7.4</v>
      </c>
      <c r="V54" s="299">
        <f>'REF Traffic'!J17</f>
        <v>7.2</v>
      </c>
    </row>
    <row r="55" spans="9:22" x14ac:dyDescent="0.25">
      <c r="I55" s="368" t="str">
        <f>INPUTS!C67</f>
        <v>Property Damage Only</v>
      </c>
      <c r="J55" s="368" t="str">
        <f>INPUTS!D67</f>
        <v>$/incident</v>
      </c>
      <c r="K55" s="371">
        <f>INPUTS!E67</f>
        <v>4800</v>
      </c>
      <c r="L55" s="368" t="str">
        <f>INPUTS!F67</f>
        <v>BCA Guidelines Table A-2</v>
      </c>
      <c r="N55" s="299" t="s">
        <v>419</v>
      </c>
      <c r="O55" s="299">
        <f>'REF Traffic'!C18</f>
        <v>1.97</v>
      </c>
      <c r="P55" s="299">
        <f>'REF Traffic'!D18</f>
        <v>1.97</v>
      </c>
      <c r="Q55" s="299">
        <f>'REF Traffic'!E18</f>
        <v>2.21</v>
      </c>
      <c r="R55" s="299">
        <f>'REF Traffic'!F18</f>
        <v>2.2000000000000002</v>
      </c>
      <c r="S55" s="299">
        <f>'REF Traffic'!G18</f>
        <v>6.7</v>
      </c>
      <c r="T55" s="299">
        <f>'REF Traffic'!H18</f>
        <v>6.6</v>
      </c>
      <c r="U55" s="299">
        <f>'REF Traffic'!I18</f>
        <v>8.9</v>
      </c>
      <c r="V55" s="299">
        <f>'REF Traffic'!J18</f>
        <v>8.6</v>
      </c>
    </row>
    <row r="56" spans="9:22" x14ac:dyDescent="0.25">
      <c r="I56" s="368" t="str">
        <f>INPUTS!C68</f>
        <v>Possible Injury</v>
      </c>
      <c r="J56" s="368" t="str">
        <f>INPUTS!D68</f>
        <v>$/incident</v>
      </c>
      <c r="K56" s="371">
        <f>INPUTS!E68</f>
        <v>78500</v>
      </c>
      <c r="L56" s="368" t="str">
        <f>INPUTS!F68</f>
        <v>BCA Guidelines Table A-1</v>
      </c>
    </row>
    <row r="57" spans="9:22" x14ac:dyDescent="0.25">
      <c r="I57" s="368" t="str">
        <f>INPUTS!C69</f>
        <v>Non-Incapacitating Injury</v>
      </c>
      <c r="J57" s="368" t="str">
        <f>INPUTS!D69</f>
        <v>$/incident</v>
      </c>
      <c r="K57" s="371">
        <f>INPUTS!E69</f>
        <v>153700</v>
      </c>
      <c r="L57" s="368" t="str">
        <f>INPUTS!F69</f>
        <v>BCA Guidelines Table A-1</v>
      </c>
    </row>
    <row r="58" spans="9:22" x14ac:dyDescent="0.25">
      <c r="I58" s="368" t="str">
        <f>INPUTS!C70</f>
        <v>Incapacitating Injury</v>
      </c>
      <c r="J58" s="368" t="str">
        <f>INPUTS!D70</f>
        <v>$/incident</v>
      </c>
      <c r="K58" s="371">
        <f>INPUTS!E70</f>
        <v>564300</v>
      </c>
      <c r="L58" s="368" t="str">
        <f>INPUTS!F70</f>
        <v>BCA Guidelines Table A-1</v>
      </c>
    </row>
    <row r="59" spans="9:22" x14ac:dyDescent="0.25">
      <c r="I59" s="368" t="str">
        <f>INPUTS!C71</f>
        <v>Fatality</v>
      </c>
      <c r="J59" s="368" t="str">
        <f>INPUTS!D71</f>
        <v>$/incident</v>
      </c>
      <c r="K59" s="371">
        <f>INPUTS!E71</f>
        <v>13046800</v>
      </c>
      <c r="L59" s="368" t="str">
        <f>INPUTS!F71</f>
        <v>BCA Guidelines Table A-1</v>
      </c>
    </row>
    <row r="60" spans="9:22" x14ac:dyDescent="0.25">
      <c r="I60" s="368" t="str">
        <f>INPUTS!C73</f>
        <v>Crash Modification Factor - Utilized</v>
      </c>
      <c r="J60" s="368" t="str">
        <f>INPUTS!D73</f>
        <v>factor</v>
      </c>
      <c r="K60" s="371">
        <f>INPUTS!E73</f>
        <v>0.44</v>
      </c>
      <c r="L60" s="370" t="str">
        <f>INPUTS!F73</f>
        <v>Calculation</v>
      </c>
    </row>
    <row r="61" spans="9:22" x14ac:dyDescent="0.25">
      <c r="I61" s="369"/>
    </row>
    <row r="62" spans="9:22" x14ac:dyDescent="0.25">
      <c r="I62" s="366" t="s">
        <v>18</v>
      </c>
    </row>
    <row r="63" spans="9:22" x14ac:dyDescent="0.25">
      <c r="I63" s="367" t="s">
        <v>43</v>
      </c>
      <c r="J63" s="367" t="s">
        <v>44</v>
      </c>
      <c r="K63" s="367" t="s">
        <v>45</v>
      </c>
      <c r="L63" s="367" t="s">
        <v>408</v>
      </c>
    </row>
    <row r="64" spans="9:22" x14ac:dyDescent="0.25">
      <c r="I64" s="368" t="str">
        <f>INPUTS!C45</f>
        <v>Residual Cost (Project Structures Cost)</v>
      </c>
      <c r="J64" s="368" t="str">
        <f>INPUTS!D45</f>
        <v>$</v>
      </c>
      <c r="K64" s="372">
        <f>INPUTS!E45</f>
        <v>165000000</v>
      </c>
      <c r="L64" s="368" t="str">
        <f>INPUTS!F45</f>
        <v>Calculation</v>
      </c>
    </row>
    <row r="65" spans="9:12" x14ac:dyDescent="0.25">
      <c r="I65" s="368" t="str">
        <f>INPUTS!C46</f>
        <v>Useful Life (Project Structures)</v>
      </c>
      <c r="J65" s="368" t="str">
        <f>INPUTS!D46</f>
        <v>Years</v>
      </c>
      <c r="K65" s="368">
        <f>INPUTS!E46</f>
        <v>75</v>
      </c>
      <c r="L65" s="368" t="str">
        <f>INPUTS!F46</f>
        <v>Design life provided by ODOT</v>
      </c>
    </row>
    <row r="66" spans="9:12" x14ac:dyDescent="0.25">
      <c r="I66" s="368" t="str">
        <f>INPUTS!C47</f>
        <v>Existing Asset Useful Value</v>
      </c>
      <c r="J66" s="368" t="str">
        <f>INPUTS!D47</f>
        <v>$</v>
      </c>
      <c r="K66" s="372">
        <f>INPUTS!E47</f>
        <v>0</v>
      </c>
      <c r="L66" s="368" t="str">
        <f>INPUTS!F47</f>
        <v>ODOT Provided</v>
      </c>
    </row>
    <row r="67" spans="9:12" x14ac:dyDescent="0.25">
      <c r="I67" s="369"/>
      <c r="J67" s="369"/>
      <c r="K67" s="369"/>
      <c r="L67" s="369"/>
    </row>
    <row r="68" spans="9:12" x14ac:dyDescent="0.25">
      <c r="I68" s="366" t="s">
        <v>413</v>
      </c>
      <c r="J68" s="369"/>
      <c r="K68" s="369"/>
      <c r="L68" s="369"/>
    </row>
    <row r="69" spans="9:12" x14ac:dyDescent="0.25">
      <c r="I69" s="367" t="s">
        <v>43</v>
      </c>
      <c r="J69" s="367" t="s">
        <v>44</v>
      </c>
      <c r="K69" s="367" t="s">
        <v>45</v>
      </c>
      <c r="L69" s="367" t="s">
        <v>408</v>
      </c>
    </row>
    <row r="70" spans="9:12" x14ac:dyDescent="0.25">
      <c r="I70" s="368" t="str">
        <f>INPUTS!C148</f>
        <v>Pedestrian Base Year</v>
      </c>
      <c r="J70" s="368" t="str">
        <f>INPUTS!D148</f>
        <v>Year</v>
      </c>
      <c r="K70" s="368">
        <f>INPUTS!E148</f>
        <v>2023</v>
      </c>
      <c r="L70" s="368" t="str">
        <f>INPUTS!F148</f>
        <v>Not monetized</v>
      </c>
    </row>
    <row r="71" spans="9:12" x14ac:dyDescent="0.25">
      <c r="I71" s="368" t="str">
        <f>INPUTS!C149</f>
        <v>Pedestrian Base Year Count</v>
      </c>
      <c r="J71" s="368" t="str">
        <f>INPUTS!D149</f>
        <v>Ped/day</v>
      </c>
      <c r="K71" s="368">
        <f>INPUTS!E149</f>
        <v>0</v>
      </c>
      <c r="L71" s="368" t="str">
        <f>INPUTS!F149</f>
        <v>Not monetized</v>
      </c>
    </row>
    <row r="72" spans="9:12" ht="30" x14ac:dyDescent="0.25">
      <c r="I72" s="368" t="str">
        <f>INPUTS!C150</f>
        <v>Pedestrian Annual Growth Rate</v>
      </c>
      <c r="J72" s="368" t="str">
        <f>INPUTS!D150</f>
        <v>%</v>
      </c>
      <c r="K72" s="368">
        <f>INPUTS!E150</f>
        <v>1.9824251597712748E-2</v>
      </c>
      <c r="L72" s="370" t="str">
        <f>INPUTS!F150</f>
        <v>Census data City of Durant, OK. Calcs in tab "REF- Pedestrian"</v>
      </c>
    </row>
    <row r="73" spans="9:12" x14ac:dyDescent="0.25">
      <c r="I73" s="368" t="str">
        <f>INPUTS!C151</f>
        <v>Pedestrian Annual Growth Rate - Sensitivity</v>
      </c>
      <c r="J73" s="368" t="str">
        <f>INPUTS!D151</f>
        <v>%</v>
      </c>
      <c r="K73" s="368">
        <f>INPUTS!E151</f>
        <v>0</v>
      </c>
      <c r="L73" s="368" t="str">
        <f>INPUTS!F151</f>
        <v>% Increase to value in row above</v>
      </c>
    </row>
    <row r="74" spans="9:12" x14ac:dyDescent="0.25">
      <c r="I74" s="368" t="str">
        <f>INPUTS!C152</f>
        <v>Expanded Sidewalk Value (per foot of added Width)</v>
      </c>
      <c r="J74" s="368" t="str">
        <f>INPUTS!D152</f>
        <v>$ / person-mile walked</v>
      </c>
      <c r="K74" s="368">
        <f>INPUTS!E152</f>
        <v>0.11</v>
      </c>
      <c r="L74" s="368" t="str">
        <f>INPUTS!F152</f>
        <v>BCA Guidelines Table A-8</v>
      </c>
    </row>
    <row r="75" spans="9:12" x14ac:dyDescent="0.25">
      <c r="I75" s="368" t="str">
        <f>INPUTS!C153</f>
        <v xml:space="preserve">Install Marked-Crosswalk on Roadway with Volumes ≥10,000 Vehicles per Day </v>
      </c>
      <c r="J75" s="368" t="str">
        <f>INPUTS!D153</f>
        <v>$ / each</v>
      </c>
      <c r="K75" s="368">
        <f>INPUTS!E153</f>
        <v>0.18</v>
      </c>
      <c r="L75" s="368" t="str">
        <f>INPUTS!F153</f>
        <v>BCA Guidelines Table A-8</v>
      </c>
    </row>
    <row r="76" spans="9:12" x14ac:dyDescent="0.25">
      <c r="I76" s="368" t="str">
        <f>INPUTS!C154</f>
        <v>Install Signal for Pedestrian Crossing on Roadway with Volumes ≥13,000 Vehicles per Day</v>
      </c>
      <c r="J76" s="368" t="str">
        <f>INPUTS!D154</f>
        <v>$ / each</v>
      </c>
      <c r="K76" s="368">
        <f>INPUTS!E154</f>
        <v>0.48</v>
      </c>
      <c r="L76" s="368" t="str">
        <f>INPUTS!F154</f>
        <v>BCA Guidelines Table A-8</v>
      </c>
    </row>
    <row r="77" spans="9:12" x14ac:dyDescent="0.25">
      <c r="I77" s="369"/>
      <c r="J77" s="369"/>
      <c r="K77" s="369"/>
      <c r="L77" s="369"/>
    </row>
    <row r="78" spans="9:12" x14ac:dyDescent="0.25">
      <c r="I78" s="366" t="s">
        <v>197</v>
      </c>
      <c r="J78" s="369"/>
      <c r="K78" s="369"/>
      <c r="L78" s="369"/>
    </row>
    <row r="79" spans="9:12" x14ac:dyDescent="0.25">
      <c r="I79" s="367" t="s">
        <v>43</v>
      </c>
      <c r="J79" s="367" t="s">
        <v>44</v>
      </c>
      <c r="K79" s="367" t="s">
        <v>45</v>
      </c>
      <c r="L79" s="367" t="s">
        <v>408</v>
      </c>
    </row>
    <row r="80" spans="9:12" x14ac:dyDescent="0.25">
      <c r="I80" s="370" t="str">
        <f>INPUTS!C157</f>
        <v>Number of Bridge Hits</v>
      </c>
      <c r="J80" s="370" t="str">
        <f>INPUTS!D157</f>
        <v>count</v>
      </c>
      <c r="K80" s="370">
        <f>INPUTS!E157</f>
        <v>3</v>
      </c>
      <c r="L80" s="370" t="s">
        <v>393</v>
      </c>
    </row>
    <row r="81" spans="9:12" x14ac:dyDescent="0.25">
      <c r="I81" s="370" t="str">
        <f>INPUTS!C158</f>
        <v>Perdiod of Bridge Hits Analyzed</v>
      </c>
      <c r="J81" s="370" t="str">
        <f>INPUTS!D158</f>
        <v>years</v>
      </c>
      <c r="K81" s="370">
        <f>INPUTS!E158</f>
        <v>18</v>
      </c>
      <c r="L81" s="370" t="s">
        <v>393</v>
      </c>
    </row>
    <row r="82" spans="9:12" ht="30" x14ac:dyDescent="0.25">
      <c r="I82" s="370" t="str">
        <f>INPUTS!C159</f>
        <v>Number of Low Clearance Bridge in District</v>
      </c>
      <c r="J82" s="370" t="str">
        <f>INPUTS!D159</f>
        <v>count</v>
      </c>
      <c r="K82" s="370">
        <f>INPUTS!E159</f>
        <v>1</v>
      </c>
      <c r="L82" s="370" t="s">
        <v>393</v>
      </c>
    </row>
    <row r="83" spans="9:12" x14ac:dyDescent="0.25">
      <c r="I83" s="370" t="str">
        <f>INPUTS!C160</f>
        <v>Probability of Bridge Hit</v>
      </c>
      <c r="J83" s="370" t="str">
        <f>INPUTS!D160</f>
        <v>incidents / Period</v>
      </c>
      <c r="K83" s="373">
        <f>INPUTS!E160</f>
        <v>3</v>
      </c>
      <c r="L83" s="370" t="str">
        <f>INPUTS!F160</f>
        <v>Calculation</v>
      </c>
    </row>
    <row r="84" spans="9:12" x14ac:dyDescent="0.25">
      <c r="I84" s="370" t="str">
        <f>INPUTS!C161</f>
        <v>Probability of Bridge Hit</v>
      </c>
      <c r="J84" s="370" t="str">
        <f>INPUTS!D161</f>
        <v>incidents / year</v>
      </c>
      <c r="K84" s="373">
        <f>INPUTS!E161</f>
        <v>0.16666666666666666</v>
      </c>
      <c r="L84" s="370" t="str">
        <f>INPUTS!F161</f>
        <v>Calculation</v>
      </c>
    </row>
    <row r="85" spans="9:12" ht="30" x14ac:dyDescent="0.25">
      <c r="I85" s="370" t="str">
        <f>INPUTS!C162</f>
        <v>Bridge Replacement Cost</v>
      </c>
      <c r="J85" s="370" t="str">
        <f>INPUTS!D162</f>
        <v>$</v>
      </c>
      <c r="K85" s="374">
        <f>INPUTS!E162</f>
        <v>0</v>
      </c>
      <c r="L85" s="370" t="str">
        <f>INPUTS!F162</f>
        <v>Full bridge replacement related to bridge hit not assumed realistic</v>
      </c>
    </row>
    <row r="86" spans="9:12" x14ac:dyDescent="0.25">
      <c r="I86" s="370" t="str">
        <f>INPUTS!C163</f>
        <v>Average bridge damage per hit</v>
      </c>
      <c r="J86" s="370" t="str">
        <f>INPUTS!D163</f>
        <v>$</v>
      </c>
      <c r="K86" s="375">
        <f>INPUTS!E163</f>
        <v>75000</v>
      </c>
      <c r="L86" s="370" t="s">
        <v>393</v>
      </c>
    </row>
    <row r="87" spans="9:12" x14ac:dyDescent="0.25">
      <c r="I87" s="370" t="str">
        <f>INPUTS!C164</f>
        <v>Total cost of bridge hit</v>
      </c>
      <c r="J87" s="370" t="str">
        <f>INPUTS!D164</f>
        <v>$/incident</v>
      </c>
      <c r="K87" s="375">
        <f>INPUTS!E164</f>
        <v>75000</v>
      </c>
      <c r="L87" s="370" t="str">
        <f>INPUTS!F164</f>
        <v>Calculation</v>
      </c>
    </row>
    <row r="88" spans="9:12" x14ac:dyDescent="0.25">
      <c r="I88" s="369"/>
      <c r="J88" s="369"/>
      <c r="K88" s="369"/>
      <c r="L88" s="369"/>
    </row>
    <row r="89" spans="9:12" x14ac:dyDescent="0.25">
      <c r="I89" s="366" t="s">
        <v>420</v>
      </c>
      <c r="J89" s="369"/>
      <c r="K89" s="369"/>
      <c r="L89" s="369"/>
    </row>
    <row r="90" spans="9:12" x14ac:dyDescent="0.25">
      <c r="I90" s="367" t="s">
        <v>43</v>
      </c>
      <c r="J90" s="367" t="s">
        <v>44</v>
      </c>
      <c r="K90" s="367" t="s">
        <v>45</v>
      </c>
      <c r="L90" s="367" t="s">
        <v>408</v>
      </c>
    </row>
    <row r="91" spans="9:12" x14ac:dyDescent="0.25">
      <c r="I91" s="370" t="str">
        <f>INPUTS!C83</f>
        <v>All Purposes</v>
      </c>
      <c r="J91" s="370" t="str">
        <f>INPUTS!D83</f>
        <v>$/person/hr</v>
      </c>
      <c r="K91" s="370">
        <f>INPUTS!E83</f>
        <v>18.8</v>
      </c>
      <c r="L91" s="370" t="str">
        <f>INPUTS!F83</f>
        <v>BCA Guidelines Table A-3</v>
      </c>
    </row>
    <row r="92" spans="9:12" x14ac:dyDescent="0.25">
      <c r="I92" s="370" t="str">
        <f>INPUTS!C93</f>
        <v>Passenger Vehicles All Travel</v>
      </c>
      <c r="J92" s="370" t="str">
        <f>INPUTS!D93</f>
        <v>per/veh</v>
      </c>
      <c r="K92" s="370">
        <f>INPUTS!E93</f>
        <v>1.67</v>
      </c>
      <c r="L92" s="370" t="str">
        <f>INPUTS!F93</f>
        <v>BCA Guidelines Table A-4</v>
      </c>
    </row>
    <row r="93" spans="9:12" x14ac:dyDescent="0.25">
      <c r="I93" s="370" t="str">
        <f>INPUTS!C94</f>
        <v>Heavy Vehicle Occupancy</v>
      </c>
      <c r="J93" s="370" t="str">
        <f>INPUTS!D94</f>
        <v>per/veh</v>
      </c>
      <c r="K93" s="370">
        <f>INPUTS!E94</f>
        <v>1</v>
      </c>
      <c r="L93" s="370" t="str">
        <f>INPUTS!F94</f>
        <v>Assumed value</v>
      </c>
    </row>
    <row r="95" spans="9:12" x14ac:dyDescent="0.25">
      <c r="I95" s="366" t="str">
        <f>INPUTS!A166</f>
        <v>Avoided Detour</v>
      </c>
    </row>
    <row r="96" spans="9:12" x14ac:dyDescent="0.25">
      <c r="I96" s="367" t="s">
        <v>43</v>
      </c>
      <c r="J96" s="367" t="s">
        <v>44</v>
      </c>
      <c r="K96" s="367" t="s">
        <v>45</v>
      </c>
      <c r="L96" s="367" t="s">
        <v>408</v>
      </c>
    </row>
    <row r="97" spans="9:12" x14ac:dyDescent="0.25">
      <c r="I97" s="370" t="str">
        <f>INPUTS!C167</f>
        <v xml:space="preserve">Base Detour Year </v>
      </c>
      <c r="J97" s="370" t="str">
        <f>INPUTS!D167</f>
        <v>Year</v>
      </c>
      <c r="K97" s="370">
        <f>INPUTS!E167</f>
        <v>2023</v>
      </c>
      <c r="L97" s="370" t="str">
        <f>INPUTS!F167</f>
        <v>Assumed value</v>
      </c>
    </row>
    <row r="98" spans="9:12" ht="30" x14ac:dyDescent="0.25">
      <c r="I98" s="370" t="str">
        <f>INPUTS!C168</f>
        <v xml:space="preserve">Truck Detour - Years from Base Detour Year until load restrictions </v>
      </c>
      <c r="J98" s="370" t="str">
        <f>INPUTS!D168</f>
        <v>Years</v>
      </c>
      <c r="K98" s="370">
        <f>INPUTS!E168</f>
        <v>10</v>
      </c>
      <c r="L98" s="370" t="str">
        <f>INPUTS!F168</f>
        <v>ODOT provided input</v>
      </c>
    </row>
    <row r="99" spans="9:12" x14ac:dyDescent="0.25">
      <c r="I99" s="370" t="str">
        <f>INPUTS!C169</f>
        <v>Truck Detour - Utilized</v>
      </c>
      <c r="J99" s="370" t="str">
        <f>INPUTS!D169</f>
        <v>Years</v>
      </c>
      <c r="K99" s="370">
        <f>INPUTS!E169</f>
        <v>10</v>
      </c>
      <c r="L99" s="370" t="str">
        <f>INPUTS!F169</f>
        <v>ODOT provided input</v>
      </c>
    </row>
    <row r="100" spans="9:12" ht="45" x14ac:dyDescent="0.25">
      <c r="I100" s="370" t="str">
        <f>INPUTS!C170</f>
        <v>Change in Timing of Truck Detour - Sensitivity (positive = later, negative = earlier)</v>
      </c>
      <c r="J100" s="370" t="str">
        <f>INPUTS!D170</f>
        <v>Years</v>
      </c>
      <c r="K100" s="370">
        <f>INPUTS!E170</f>
        <v>0</v>
      </c>
      <c r="L100" s="370" t="str">
        <f>INPUTS!F170</f>
        <v>Change to row above</v>
      </c>
    </row>
    <row r="101" spans="9:12" ht="30" x14ac:dyDescent="0.25">
      <c r="I101" s="370" t="str">
        <f>INPUTS!C171</f>
        <v>Total Detour - Years from Base Detour Year until bridge closes</v>
      </c>
      <c r="J101" s="370" t="str">
        <f>INPUTS!D171</f>
        <v>Years</v>
      </c>
      <c r="K101" s="370">
        <f>INPUTS!E171</f>
        <v>15</v>
      </c>
      <c r="L101" s="370" t="str">
        <f>INPUTS!F171</f>
        <v>ODOT provided input</v>
      </c>
    </row>
    <row r="102" spans="9:12" x14ac:dyDescent="0.25">
      <c r="I102" s="370" t="str">
        <f>INPUTS!C172</f>
        <v>Total Detour - Utilized</v>
      </c>
      <c r="J102" s="370" t="str">
        <f>INPUTS!D172</f>
        <v>Years</v>
      </c>
      <c r="K102" s="370">
        <f>INPUTS!E172</f>
        <v>15</v>
      </c>
      <c r="L102" s="370" t="str">
        <f>INPUTS!F172</f>
        <v>ODOT provided input</v>
      </c>
    </row>
    <row r="103" spans="9:12" ht="45" x14ac:dyDescent="0.25">
      <c r="I103" s="370" t="str">
        <f>INPUTS!C173</f>
        <v>Change in Timing of Truck Detour - Sensitivity (positive = later, negative = earlier)</v>
      </c>
      <c r="J103" s="370" t="str">
        <f>INPUTS!D173</f>
        <v>Years</v>
      </c>
      <c r="K103" s="370">
        <f>INPUTS!E173</f>
        <v>0</v>
      </c>
      <c r="L103" s="370" t="str">
        <f>INPUTS!F173</f>
        <v>Change to row above</v>
      </c>
    </row>
    <row r="104" spans="9:12" x14ac:dyDescent="0.25">
      <c r="I104" s="370" t="str">
        <f>INPUTS!C174</f>
        <v>Flood Event - Frequency of Detours</v>
      </c>
      <c r="J104" s="370" t="str">
        <f>INPUTS!D174</f>
        <v>Years</v>
      </c>
      <c r="K104" s="370">
        <f>INPUTS!E174</f>
        <v>15</v>
      </c>
      <c r="L104" s="370" t="str">
        <f>INPUTS!F174</f>
        <v>ODOT provided input</v>
      </c>
    </row>
    <row r="105" spans="9:12" x14ac:dyDescent="0.25">
      <c r="I105" s="370" t="str">
        <f>INPUTS!C175</f>
        <v>Flood Event - Duration</v>
      </c>
      <c r="J105" s="370" t="str">
        <f>INPUTS!D175</f>
        <v>Days</v>
      </c>
      <c r="K105" s="370">
        <f>INPUTS!E175</f>
        <v>7</v>
      </c>
      <c r="L105" s="370" t="str">
        <f>INPUTS!F175</f>
        <v>ODOT provided input</v>
      </c>
    </row>
    <row r="106" spans="9:12" ht="30" x14ac:dyDescent="0.25">
      <c r="I106" s="370" t="str">
        <f>INPUTS!C176</f>
        <v>Flood Event - Weighted Impact (average % of year detoured)</v>
      </c>
      <c r="J106" s="370" t="str">
        <f>INPUTS!D176</f>
        <v>%</v>
      </c>
      <c r="K106" s="370">
        <f>INPUTS!E176</f>
        <v>1.2785388127853881E-3</v>
      </c>
      <c r="L106" s="370" t="str">
        <f>INPUTS!F176</f>
        <v>Calculation</v>
      </c>
    </row>
    <row r="107" spans="9:12" ht="30" x14ac:dyDescent="0.25">
      <c r="I107" s="370" t="str">
        <f>INPUTS!C177</f>
        <v>Additional duration from Detour (Detour - Existing)</v>
      </c>
      <c r="J107" s="370" t="str">
        <f>INPUTS!D177</f>
        <v>mins</v>
      </c>
      <c r="K107" s="370">
        <f>INPUTS!E177</f>
        <v>24</v>
      </c>
      <c r="L107" s="370" t="str">
        <f>INPUTS!F177</f>
        <v>Assumed value based on posted speed limit</v>
      </c>
    </row>
    <row r="108" spans="9:12" x14ac:dyDescent="0.25">
      <c r="I108" s="370" t="str">
        <f>INPUTS!C178</f>
        <v>Detour Length</v>
      </c>
      <c r="J108" s="370" t="str">
        <f>INPUTS!D178</f>
        <v>Miles</v>
      </c>
      <c r="K108" s="370">
        <f>INPUTS!E178</f>
        <v>20.9</v>
      </c>
      <c r="L108" s="370" t="str">
        <f>INPUTS!F178</f>
        <v>See 'REF Detour' tab</v>
      </c>
    </row>
  </sheetData>
  <mergeCells count="20">
    <mergeCell ref="C4:C11"/>
    <mergeCell ref="B4:B11"/>
    <mergeCell ref="N19:N20"/>
    <mergeCell ref="N34:N35"/>
    <mergeCell ref="O34:P34"/>
    <mergeCell ref="Q34:R34"/>
    <mergeCell ref="B12:E12"/>
    <mergeCell ref="N17:N18"/>
    <mergeCell ref="N21:N22"/>
    <mergeCell ref="J22:L22"/>
    <mergeCell ref="U51:V51"/>
    <mergeCell ref="S50:V50"/>
    <mergeCell ref="N41:N43"/>
    <mergeCell ref="O41:P42"/>
    <mergeCell ref="Q41:R42"/>
    <mergeCell ref="N50:N52"/>
    <mergeCell ref="O50:R50"/>
    <mergeCell ref="O51:P51"/>
    <mergeCell ref="Q51:R51"/>
    <mergeCell ref="S51:T5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6C645-78F1-4ECD-82D6-C8966EABB908}">
  <sheetPr>
    <tabColor theme="9"/>
  </sheetPr>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BEBE6-68EA-4AE9-BBB9-12F1E96040D7}">
  <sheetPr>
    <tabColor theme="9"/>
  </sheetPr>
  <dimension ref="A1:AS79"/>
  <sheetViews>
    <sheetView workbookViewId="0">
      <pane xSplit="4" ySplit="11" topLeftCell="AF59" activePane="bottomRight" state="frozen"/>
      <selection pane="topRight" activeCell="E1" sqref="E1"/>
      <selection pane="bottomLeft" activeCell="A12" sqref="A12"/>
      <selection pane="bottomRight" activeCell="D72" sqref="D72"/>
    </sheetView>
  </sheetViews>
  <sheetFormatPr defaultColWidth="0" defaultRowHeight="14.25" x14ac:dyDescent="0.2"/>
  <cols>
    <col min="1" max="1" width="10.140625" style="1" customWidth="1"/>
    <col min="2" max="2" width="32.5703125" style="1" bestFit="1" customWidth="1"/>
    <col min="3" max="3" width="15.28515625" style="1" bestFit="1" customWidth="1"/>
    <col min="4" max="4" width="15" style="1" bestFit="1" customWidth="1"/>
    <col min="5" max="5" width="1.5703125" style="1" customWidth="1"/>
    <col min="6" max="44" width="14.42578125" style="1" customWidth="1"/>
    <col min="45" max="45" width="9.140625" style="1" customWidth="1"/>
    <col min="46" max="16384" width="9.140625" style="1" hidden="1"/>
  </cols>
  <sheetData>
    <row r="1" spans="1:44" ht="19.5" x14ac:dyDescent="0.3">
      <c r="A1" s="259" t="str">
        <f>'OUTPUT Summary'!$A$1</f>
        <v>ODOT Roosevelt Memorial Bridge US-70</v>
      </c>
    </row>
    <row r="2" spans="1:44" ht="19.5" x14ac:dyDescent="0.3">
      <c r="A2" s="259" t="s">
        <v>223</v>
      </c>
      <c r="C2" s="11"/>
    </row>
    <row r="3" spans="1:44" x14ac:dyDescent="0.2">
      <c r="A3" s="51">
        <f ca="1">'OUTPUT Summary'!A3</f>
        <v>45156</v>
      </c>
      <c r="C3" s="11"/>
    </row>
    <row r="4" spans="1:44" x14ac:dyDescent="0.2">
      <c r="A4" s="52" t="str">
        <f>'OUTPUT Summary'!A4</f>
        <v>All $ values 2021, unless otherwise noted</v>
      </c>
      <c r="C4" s="11"/>
    </row>
    <row r="5" spans="1:44" x14ac:dyDescent="0.2">
      <c r="B5" s="66"/>
      <c r="C5" s="11"/>
    </row>
    <row r="6" spans="1:44" x14ac:dyDescent="0.2">
      <c r="C6" s="1" t="s">
        <v>44</v>
      </c>
      <c r="D6" s="1" t="s">
        <v>45</v>
      </c>
    </row>
    <row r="7" spans="1:44" s="260" customFormat="1" x14ac:dyDescent="0.2">
      <c r="A7" s="260" t="s">
        <v>224</v>
      </c>
      <c r="C7" s="260" t="s">
        <v>224</v>
      </c>
      <c r="F7" s="260">
        <f>INPUTS!$E$12</f>
        <v>2018</v>
      </c>
      <c r="G7" s="260">
        <f>F7+1</f>
        <v>2019</v>
      </c>
      <c r="H7" s="260">
        <f t="shared" ref="H7:W8" si="0">G7+1</f>
        <v>2020</v>
      </c>
      <c r="I7" s="260">
        <f t="shared" si="0"/>
        <v>2021</v>
      </c>
      <c r="J7" s="260">
        <f t="shared" si="0"/>
        <v>2022</v>
      </c>
      <c r="K7" s="260">
        <f t="shared" si="0"/>
        <v>2023</v>
      </c>
      <c r="L7" s="260">
        <f t="shared" si="0"/>
        <v>2024</v>
      </c>
      <c r="M7" s="260">
        <f t="shared" si="0"/>
        <v>2025</v>
      </c>
      <c r="N7" s="260">
        <f t="shared" si="0"/>
        <v>2026</v>
      </c>
      <c r="O7" s="260">
        <f t="shared" si="0"/>
        <v>2027</v>
      </c>
      <c r="P7" s="260">
        <f t="shared" si="0"/>
        <v>2028</v>
      </c>
      <c r="Q7" s="260">
        <f t="shared" si="0"/>
        <v>2029</v>
      </c>
      <c r="R7" s="260">
        <f t="shared" si="0"/>
        <v>2030</v>
      </c>
      <c r="S7" s="260">
        <f t="shared" si="0"/>
        <v>2031</v>
      </c>
      <c r="T7" s="260">
        <f t="shared" si="0"/>
        <v>2032</v>
      </c>
      <c r="U7" s="260">
        <f t="shared" si="0"/>
        <v>2033</v>
      </c>
      <c r="V7" s="260">
        <f t="shared" si="0"/>
        <v>2034</v>
      </c>
      <c r="W7" s="260">
        <f t="shared" si="0"/>
        <v>2035</v>
      </c>
      <c r="X7" s="260">
        <f t="shared" ref="X7:AM8" si="1">W7+1</f>
        <v>2036</v>
      </c>
      <c r="Y7" s="260">
        <f t="shared" si="1"/>
        <v>2037</v>
      </c>
      <c r="Z7" s="260">
        <f t="shared" si="1"/>
        <v>2038</v>
      </c>
      <c r="AA7" s="260">
        <f t="shared" si="1"/>
        <v>2039</v>
      </c>
      <c r="AB7" s="260">
        <f t="shared" si="1"/>
        <v>2040</v>
      </c>
      <c r="AC7" s="260">
        <f t="shared" si="1"/>
        <v>2041</v>
      </c>
      <c r="AD7" s="260">
        <f t="shared" si="1"/>
        <v>2042</v>
      </c>
      <c r="AE7" s="260">
        <f t="shared" si="1"/>
        <v>2043</v>
      </c>
      <c r="AF7" s="260">
        <f t="shared" si="1"/>
        <v>2044</v>
      </c>
      <c r="AG7" s="260">
        <f t="shared" si="1"/>
        <v>2045</v>
      </c>
      <c r="AH7" s="260">
        <f t="shared" si="1"/>
        <v>2046</v>
      </c>
      <c r="AI7" s="260">
        <f t="shared" si="1"/>
        <v>2047</v>
      </c>
      <c r="AJ7" s="260">
        <f t="shared" si="1"/>
        <v>2048</v>
      </c>
      <c r="AK7" s="260">
        <f t="shared" si="1"/>
        <v>2049</v>
      </c>
      <c r="AL7" s="260">
        <f t="shared" si="1"/>
        <v>2050</v>
      </c>
      <c r="AM7" s="260">
        <f t="shared" si="1"/>
        <v>2051</v>
      </c>
      <c r="AN7" s="260">
        <f t="shared" ref="AN7:AR8" si="2">AM7+1</f>
        <v>2052</v>
      </c>
      <c r="AO7" s="260">
        <f t="shared" si="2"/>
        <v>2053</v>
      </c>
      <c r="AP7" s="260">
        <f t="shared" si="2"/>
        <v>2054</v>
      </c>
      <c r="AQ7" s="260">
        <f t="shared" si="2"/>
        <v>2055</v>
      </c>
      <c r="AR7" s="260">
        <f t="shared" si="2"/>
        <v>2056</v>
      </c>
    </row>
    <row r="8" spans="1:44" hidden="1" x14ac:dyDescent="0.2">
      <c r="B8" s="1" t="s">
        <v>225</v>
      </c>
      <c r="C8" s="11" t="s">
        <v>50</v>
      </c>
      <c r="F8" s="1">
        <f>D8+1</f>
        <v>1</v>
      </c>
      <c r="G8" s="1">
        <f t="shared" ref="G8" si="3">F8+1</f>
        <v>2</v>
      </c>
      <c r="H8" s="1">
        <f t="shared" si="0"/>
        <v>3</v>
      </c>
      <c r="I8" s="1">
        <f t="shared" si="0"/>
        <v>4</v>
      </c>
      <c r="J8" s="1">
        <f t="shared" si="0"/>
        <v>5</v>
      </c>
      <c r="K8" s="1">
        <f t="shared" si="0"/>
        <v>6</v>
      </c>
      <c r="L8" s="1">
        <f t="shared" si="0"/>
        <v>7</v>
      </c>
      <c r="M8" s="1">
        <f t="shared" si="0"/>
        <v>8</v>
      </c>
      <c r="N8" s="1">
        <f t="shared" si="0"/>
        <v>9</v>
      </c>
      <c r="O8" s="1">
        <f t="shared" si="0"/>
        <v>10</v>
      </c>
      <c r="P8" s="1">
        <f t="shared" si="0"/>
        <v>11</v>
      </c>
      <c r="Q8" s="1">
        <f t="shared" si="0"/>
        <v>12</v>
      </c>
      <c r="R8" s="1">
        <f t="shared" si="0"/>
        <v>13</v>
      </c>
      <c r="S8" s="1">
        <f t="shared" si="0"/>
        <v>14</v>
      </c>
      <c r="T8" s="1">
        <f t="shared" si="0"/>
        <v>15</v>
      </c>
      <c r="U8" s="1">
        <f t="shared" si="0"/>
        <v>16</v>
      </c>
      <c r="V8" s="1">
        <f t="shared" si="0"/>
        <v>17</v>
      </c>
      <c r="W8" s="1">
        <f t="shared" si="0"/>
        <v>18</v>
      </c>
      <c r="X8" s="1">
        <f t="shared" si="1"/>
        <v>19</v>
      </c>
      <c r="Y8" s="1">
        <f t="shared" si="1"/>
        <v>20</v>
      </c>
      <c r="Z8" s="1">
        <f t="shared" si="1"/>
        <v>21</v>
      </c>
      <c r="AA8" s="1">
        <f t="shared" si="1"/>
        <v>22</v>
      </c>
      <c r="AB8" s="1">
        <f t="shared" si="1"/>
        <v>23</v>
      </c>
      <c r="AC8" s="1">
        <f t="shared" si="1"/>
        <v>24</v>
      </c>
      <c r="AD8" s="1">
        <f t="shared" si="1"/>
        <v>25</v>
      </c>
      <c r="AE8" s="1">
        <f t="shared" si="1"/>
        <v>26</v>
      </c>
      <c r="AF8" s="1">
        <f t="shared" si="1"/>
        <v>27</v>
      </c>
      <c r="AG8" s="1">
        <f t="shared" si="1"/>
        <v>28</v>
      </c>
      <c r="AH8" s="1">
        <f t="shared" si="1"/>
        <v>29</v>
      </c>
      <c r="AI8" s="1">
        <f t="shared" si="1"/>
        <v>30</v>
      </c>
      <c r="AJ8" s="1">
        <f t="shared" si="1"/>
        <v>31</v>
      </c>
      <c r="AK8" s="1">
        <f t="shared" si="1"/>
        <v>32</v>
      </c>
      <c r="AL8" s="1">
        <f t="shared" si="1"/>
        <v>33</v>
      </c>
      <c r="AM8" s="1">
        <f t="shared" si="1"/>
        <v>34</v>
      </c>
      <c r="AN8" s="1">
        <f t="shared" si="2"/>
        <v>35</v>
      </c>
      <c r="AO8" s="1">
        <f t="shared" si="2"/>
        <v>36</v>
      </c>
      <c r="AP8" s="1">
        <f t="shared" si="2"/>
        <v>37</v>
      </c>
      <c r="AQ8" s="1">
        <f t="shared" si="2"/>
        <v>38</v>
      </c>
      <c r="AR8" s="1">
        <f t="shared" si="2"/>
        <v>39</v>
      </c>
    </row>
    <row r="9" spans="1:44" hidden="1" x14ac:dyDescent="0.2">
      <c r="B9" s="1" t="s">
        <v>226</v>
      </c>
      <c r="C9" s="11" t="s">
        <v>227</v>
      </c>
      <c r="F9" s="1">
        <f>IF(F7=INPUTS!$E$13,1,0)</f>
        <v>0</v>
      </c>
      <c r="G9" s="1">
        <f>IF(G7=INPUTS!$E$13,1,0)</f>
        <v>0</v>
      </c>
      <c r="H9" s="1">
        <f>IF(H7=INPUTS!$E$13,1,0)</f>
        <v>0</v>
      </c>
      <c r="I9" s="1">
        <f>IF(I7=INPUTS!$E$13,1,0)</f>
        <v>1</v>
      </c>
      <c r="J9" s="1">
        <f>IF(J7=INPUTS!$E$13,1,0)</f>
        <v>0</v>
      </c>
      <c r="K9" s="1">
        <f>IF(K7=INPUTS!$E$13,1,0)</f>
        <v>0</v>
      </c>
      <c r="L9" s="1">
        <f>IF(L7=INPUTS!$E$13,1,0)</f>
        <v>0</v>
      </c>
      <c r="M9" s="1">
        <f>IF(M7=INPUTS!$E$13,1,0)</f>
        <v>0</v>
      </c>
      <c r="N9" s="1">
        <f>IF(N7=INPUTS!$E$13,1,0)</f>
        <v>0</v>
      </c>
      <c r="O9" s="1">
        <f>IF(O7=INPUTS!$E$13,1,0)</f>
        <v>0</v>
      </c>
      <c r="P9" s="1">
        <f>IF(P7=INPUTS!$E$13,1,0)</f>
        <v>0</v>
      </c>
      <c r="Q9" s="1">
        <f>IF(Q7=INPUTS!$E$13,1,0)</f>
        <v>0</v>
      </c>
      <c r="R9" s="1">
        <f>IF(R7=INPUTS!$E$13,1,0)</f>
        <v>0</v>
      </c>
      <c r="S9" s="1">
        <f>IF(S7=INPUTS!$E$13,1,0)</f>
        <v>0</v>
      </c>
      <c r="T9" s="1">
        <f>IF(T7=INPUTS!$E$13,1,0)</f>
        <v>0</v>
      </c>
      <c r="U9" s="1">
        <f>IF(U7=INPUTS!$E$13,1,0)</f>
        <v>0</v>
      </c>
      <c r="V9" s="1">
        <f>IF(V7=INPUTS!$E$13,1,0)</f>
        <v>0</v>
      </c>
      <c r="W9" s="1">
        <f>IF(W7=INPUTS!$E$13,1,0)</f>
        <v>0</v>
      </c>
      <c r="X9" s="1">
        <f>IF(X7=INPUTS!$E$13,1,0)</f>
        <v>0</v>
      </c>
      <c r="Y9" s="1">
        <f>IF(Y7=INPUTS!$E$13,1,0)</f>
        <v>0</v>
      </c>
      <c r="Z9" s="1">
        <f>IF(Z7=INPUTS!$E$13,1,0)</f>
        <v>0</v>
      </c>
      <c r="AA9" s="1">
        <f>IF(AA7=INPUTS!$E$13,1,0)</f>
        <v>0</v>
      </c>
      <c r="AB9" s="1">
        <f>IF(AB7=INPUTS!$E$13,1,0)</f>
        <v>0</v>
      </c>
      <c r="AC9" s="1">
        <f>IF(AC7=INPUTS!$E$13,1,0)</f>
        <v>0</v>
      </c>
      <c r="AD9" s="1">
        <f>IF(AD7=INPUTS!$E$13,1,0)</f>
        <v>0</v>
      </c>
      <c r="AE9" s="1">
        <f>IF(AE7=INPUTS!$E$13,1,0)</f>
        <v>0</v>
      </c>
      <c r="AF9" s="1">
        <f>IF(AF7=INPUTS!$E$13,1,0)</f>
        <v>0</v>
      </c>
      <c r="AG9" s="1">
        <f>IF(AG7=INPUTS!$E$13,1,0)</f>
        <v>0</v>
      </c>
      <c r="AH9" s="1">
        <f>IF(AH7=INPUTS!$E$13,1,0)</f>
        <v>0</v>
      </c>
      <c r="AI9" s="1">
        <f>IF(AI7=INPUTS!$E$13,1,0)</f>
        <v>0</v>
      </c>
      <c r="AJ9" s="1">
        <f>IF(AJ7=INPUTS!$E$13,1,0)</f>
        <v>0</v>
      </c>
      <c r="AK9" s="1">
        <f>IF(AK7=INPUTS!$E$13,1,0)</f>
        <v>0</v>
      </c>
      <c r="AL9" s="1">
        <f>IF(AL7=INPUTS!$E$13,1,0)</f>
        <v>0</v>
      </c>
      <c r="AM9" s="1">
        <f>IF(AM7=INPUTS!$E$13,1,0)</f>
        <v>0</v>
      </c>
      <c r="AN9" s="1">
        <f>IF(AN7=INPUTS!$E$13,1,0)</f>
        <v>0</v>
      </c>
      <c r="AO9" s="1">
        <f>IF(AO7=INPUTS!$E$13,1,0)</f>
        <v>0</v>
      </c>
      <c r="AP9" s="1">
        <f>IF(AP7=INPUTS!$E$13,1,0)</f>
        <v>0</v>
      </c>
      <c r="AQ9" s="1">
        <f>IF(AQ7=INPUTS!$E$13,1,0)</f>
        <v>0</v>
      </c>
      <c r="AR9" s="1">
        <f>IF(AR7=INPUTS!$E$13,1,0)</f>
        <v>0</v>
      </c>
    </row>
    <row r="10" spans="1:44" hidden="1" x14ac:dyDescent="0.2">
      <c r="B10" s="1" t="s">
        <v>228</v>
      </c>
      <c r="C10" s="11" t="s">
        <v>57</v>
      </c>
      <c r="F10" s="1">
        <f t="shared" ref="F10:H10" si="4">F7-$I$7+1</f>
        <v>-2</v>
      </c>
      <c r="G10" s="1">
        <f t="shared" si="4"/>
        <v>-1</v>
      </c>
      <c r="H10" s="1">
        <f t="shared" si="4"/>
        <v>0</v>
      </c>
      <c r="I10" s="1">
        <f>I7-$I$7+1</f>
        <v>1</v>
      </c>
      <c r="J10" s="1">
        <f t="shared" ref="J10:AR10" si="5">J7-$I$7+1</f>
        <v>2</v>
      </c>
      <c r="K10" s="1">
        <f t="shared" si="5"/>
        <v>3</v>
      </c>
      <c r="L10" s="1">
        <f t="shared" si="5"/>
        <v>4</v>
      </c>
      <c r="M10" s="1">
        <f t="shared" si="5"/>
        <v>5</v>
      </c>
      <c r="N10" s="1">
        <f t="shared" si="5"/>
        <v>6</v>
      </c>
      <c r="O10" s="1">
        <f t="shared" si="5"/>
        <v>7</v>
      </c>
      <c r="P10" s="1">
        <f t="shared" si="5"/>
        <v>8</v>
      </c>
      <c r="Q10" s="1">
        <f t="shared" si="5"/>
        <v>9</v>
      </c>
      <c r="R10" s="1">
        <f t="shared" si="5"/>
        <v>10</v>
      </c>
      <c r="S10" s="1">
        <f t="shared" si="5"/>
        <v>11</v>
      </c>
      <c r="T10" s="1">
        <f t="shared" si="5"/>
        <v>12</v>
      </c>
      <c r="U10" s="1">
        <f t="shared" si="5"/>
        <v>13</v>
      </c>
      <c r="V10" s="1">
        <f t="shared" si="5"/>
        <v>14</v>
      </c>
      <c r="W10" s="1">
        <f t="shared" si="5"/>
        <v>15</v>
      </c>
      <c r="X10" s="1">
        <f t="shared" si="5"/>
        <v>16</v>
      </c>
      <c r="Y10" s="1">
        <f t="shared" si="5"/>
        <v>17</v>
      </c>
      <c r="Z10" s="1">
        <f t="shared" si="5"/>
        <v>18</v>
      </c>
      <c r="AA10" s="1">
        <f t="shared" si="5"/>
        <v>19</v>
      </c>
      <c r="AB10" s="1">
        <f t="shared" si="5"/>
        <v>20</v>
      </c>
      <c r="AC10" s="1">
        <f t="shared" si="5"/>
        <v>21</v>
      </c>
      <c r="AD10" s="1">
        <f t="shared" si="5"/>
        <v>22</v>
      </c>
      <c r="AE10" s="1">
        <f t="shared" si="5"/>
        <v>23</v>
      </c>
      <c r="AF10" s="1">
        <f t="shared" si="5"/>
        <v>24</v>
      </c>
      <c r="AG10" s="1">
        <f t="shared" si="5"/>
        <v>25</v>
      </c>
      <c r="AH10" s="1">
        <f t="shared" si="5"/>
        <v>26</v>
      </c>
      <c r="AI10" s="1">
        <f t="shared" si="5"/>
        <v>27</v>
      </c>
      <c r="AJ10" s="1">
        <f t="shared" si="5"/>
        <v>28</v>
      </c>
      <c r="AK10" s="1">
        <f t="shared" si="5"/>
        <v>29</v>
      </c>
      <c r="AL10" s="1">
        <f t="shared" si="5"/>
        <v>30</v>
      </c>
      <c r="AM10" s="1">
        <f t="shared" si="5"/>
        <v>31</v>
      </c>
      <c r="AN10" s="1">
        <f t="shared" si="5"/>
        <v>32</v>
      </c>
      <c r="AO10" s="1">
        <f t="shared" si="5"/>
        <v>33</v>
      </c>
      <c r="AP10" s="1">
        <f t="shared" si="5"/>
        <v>34</v>
      </c>
      <c r="AQ10" s="1">
        <f t="shared" si="5"/>
        <v>35</v>
      </c>
      <c r="AR10" s="1">
        <f t="shared" si="5"/>
        <v>36</v>
      </c>
    </row>
    <row r="11" spans="1:44" hidden="1" x14ac:dyDescent="0.2">
      <c r="B11" s="1" t="s">
        <v>229</v>
      </c>
      <c r="C11" s="11" t="s">
        <v>227</v>
      </c>
      <c r="F11" s="1">
        <f>IF(AND(F7&gt;=INPUTS!$E$17,F7&lt;INPUTS!$E$21),1,0)</f>
        <v>0</v>
      </c>
      <c r="G11" s="1">
        <f>IF(AND(G7&gt;=INPUTS!$E$17,G7&lt;INPUTS!$E$21),1,0)</f>
        <v>0</v>
      </c>
      <c r="H11" s="1">
        <f>IF(AND(H7&gt;=INPUTS!$E$17,H7&lt;INPUTS!$E$21),1,0)</f>
        <v>0</v>
      </c>
      <c r="I11" s="1">
        <f>IF(AND(I7&gt;=INPUTS!$E$17,I7&lt;INPUTS!$E$21),1,0)</f>
        <v>0</v>
      </c>
      <c r="J11" s="1">
        <f>IF(AND(J7&gt;=INPUTS!$E$17,J7&lt;INPUTS!$E$21),1,0)</f>
        <v>0</v>
      </c>
      <c r="K11" s="1">
        <f>IF(AND(K7&gt;=INPUTS!$E$17,K7&lt;INPUTS!$E$21),1,0)</f>
        <v>0</v>
      </c>
      <c r="L11" s="1">
        <f>IF(AND(L7&gt;=INPUTS!$E$17,L7&lt;INPUTS!$E$21),1,0)</f>
        <v>0</v>
      </c>
      <c r="M11" s="1">
        <f>IF(AND(M7&gt;=INPUTS!$E$17,M7&lt;INPUTS!$E$21),1,0)</f>
        <v>0</v>
      </c>
      <c r="N11" s="1">
        <f>IF(AND(N7&gt;=INPUTS!$E$17,N7&lt;INPUTS!$E$21),1,0)</f>
        <v>0</v>
      </c>
      <c r="O11" s="1">
        <f>IF(AND(O7&gt;=INPUTS!$E$17,O7&lt;INPUTS!$E$21),1,0)</f>
        <v>0</v>
      </c>
      <c r="P11" s="1">
        <f>IF(AND(P7&gt;=INPUTS!$E$17,P7&lt;INPUTS!$E$21),1,0)</f>
        <v>1</v>
      </c>
      <c r="Q11" s="1">
        <f>IF(AND(Q7&gt;=INPUTS!$E$17,Q7&lt;INPUTS!$E$21),1,0)</f>
        <v>1</v>
      </c>
      <c r="R11" s="1">
        <f>IF(AND(R7&gt;=INPUTS!$E$17,R7&lt;INPUTS!$E$21),1,0)</f>
        <v>1</v>
      </c>
      <c r="S11" s="1">
        <f>IF(AND(S7&gt;=INPUTS!$E$17,S7&lt;INPUTS!$E$21),1,0)</f>
        <v>1</v>
      </c>
      <c r="T11" s="1">
        <f>IF(AND(T7&gt;=INPUTS!$E$17,T7&lt;INPUTS!$E$21),1,0)</f>
        <v>1</v>
      </c>
      <c r="U11" s="1">
        <f>IF(AND(U7&gt;=INPUTS!$E$17,U7&lt;INPUTS!$E$21),1,0)</f>
        <v>1</v>
      </c>
      <c r="V11" s="1">
        <f>IF(AND(V7&gt;=INPUTS!$E$17,V7&lt;INPUTS!$E$21),1,0)</f>
        <v>1</v>
      </c>
      <c r="W11" s="1">
        <f>IF(AND(W7&gt;=INPUTS!$E$17,W7&lt;INPUTS!$E$21),1,0)</f>
        <v>1</v>
      </c>
      <c r="X11" s="1">
        <f>IF(AND(X7&gt;=INPUTS!$E$17,X7&lt;INPUTS!$E$21),1,0)</f>
        <v>1</v>
      </c>
      <c r="Y11" s="1">
        <f>IF(AND(Y7&gt;=INPUTS!$E$17,Y7&lt;INPUTS!$E$21),1,0)</f>
        <v>1</v>
      </c>
      <c r="Z11" s="1">
        <f>IF(AND(Z7&gt;=INPUTS!$E$17,Z7&lt;INPUTS!$E$21),1,0)</f>
        <v>1</v>
      </c>
      <c r="AA11" s="1">
        <f>IF(AND(AA7&gt;=INPUTS!$E$17,AA7&lt;INPUTS!$E$21),1,0)</f>
        <v>1</v>
      </c>
      <c r="AB11" s="1">
        <f>IF(AND(AB7&gt;=INPUTS!$E$17,AB7&lt;INPUTS!$E$21),1,0)</f>
        <v>1</v>
      </c>
      <c r="AC11" s="1">
        <f>IF(AND(AC7&gt;=INPUTS!$E$17,AC7&lt;INPUTS!$E$21),1,0)</f>
        <v>1</v>
      </c>
      <c r="AD11" s="1">
        <f>IF(AND(AD7&gt;=INPUTS!$E$17,AD7&lt;INPUTS!$E$21),1,0)</f>
        <v>1</v>
      </c>
      <c r="AE11" s="1">
        <f>IF(AND(AE7&gt;=INPUTS!$E$17,AE7&lt;INPUTS!$E$21),1,0)</f>
        <v>1</v>
      </c>
      <c r="AF11" s="1">
        <f>IF(AND(AF7&gt;=INPUTS!$E$17,AF7&lt;INPUTS!$E$21),1,0)</f>
        <v>1</v>
      </c>
      <c r="AG11" s="1">
        <f>IF(AND(AG7&gt;=INPUTS!$E$17,AG7&lt;INPUTS!$E$21),1,0)</f>
        <v>1</v>
      </c>
      <c r="AH11" s="1">
        <f>IF(AND(AH7&gt;=INPUTS!$E$17,AH7&lt;INPUTS!$E$21),1,0)</f>
        <v>1</v>
      </c>
      <c r="AI11" s="1">
        <f>IF(AND(AI7&gt;=INPUTS!$E$17,AI7&lt;INPUTS!$E$21),1,0)</f>
        <v>1</v>
      </c>
      <c r="AJ11" s="1">
        <f>IF(AND(AJ7&gt;=INPUTS!$E$17,AJ7&lt;INPUTS!$E$21),1,0)</f>
        <v>0</v>
      </c>
      <c r="AK11" s="1">
        <f>IF(AND(AK7&gt;=INPUTS!$E$17,AK7&lt;INPUTS!$E$21),1,0)</f>
        <v>0</v>
      </c>
      <c r="AL11" s="1">
        <f>IF(AND(AL7&gt;=INPUTS!$E$17,AL7&lt;INPUTS!$E$21),1,0)</f>
        <v>0</v>
      </c>
      <c r="AM11" s="1">
        <f>IF(AND(AM7&gt;=INPUTS!$E$17,AM7&lt;INPUTS!$E$21),1,0)</f>
        <v>0</v>
      </c>
      <c r="AN11" s="1">
        <f>IF(AND(AN7&gt;=INPUTS!$E$17,AN7&lt;INPUTS!$E$21),1,0)</f>
        <v>0</v>
      </c>
      <c r="AO11" s="1">
        <f>IF(AND(AO7&gt;=INPUTS!$E$17,AO7&lt;INPUTS!$E$21),1,0)</f>
        <v>0</v>
      </c>
      <c r="AP11" s="1">
        <f>IF(AND(AP7&gt;=INPUTS!$E$17,AP7&lt;INPUTS!$E$21),1,0)</f>
        <v>0</v>
      </c>
      <c r="AQ11" s="1">
        <f>IF(AND(AQ7&gt;=INPUTS!$E$17,AQ7&lt;INPUTS!$E$21),1,0)</f>
        <v>0</v>
      </c>
      <c r="AR11" s="1">
        <f>IF(AND(AR7&gt;=INPUTS!$E$17,AR7&lt;INPUTS!$E$21),1,0)</f>
        <v>0</v>
      </c>
    </row>
    <row r="12" spans="1:44" ht="15" x14ac:dyDescent="0.25">
      <c r="A12" s="2" t="s">
        <v>230</v>
      </c>
      <c r="C12" s="11"/>
    </row>
    <row r="13" spans="1:44" x14ac:dyDescent="0.2">
      <c r="B13" s="1" t="s">
        <v>231</v>
      </c>
      <c r="C13" s="11" t="s">
        <v>50</v>
      </c>
      <c r="F13" s="1">
        <f>(F11+D13)*F11</f>
        <v>0</v>
      </c>
      <c r="G13" s="1">
        <f t="shared" ref="G13:AG13" si="6">(G11+F13)*G11</f>
        <v>0</v>
      </c>
      <c r="H13" s="1">
        <f t="shared" si="6"/>
        <v>0</v>
      </c>
      <c r="I13" s="1">
        <f t="shared" si="6"/>
        <v>0</v>
      </c>
      <c r="J13" s="1">
        <f t="shared" si="6"/>
        <v>0</v>
      </c>
      <c r="K13" s="1">
        <f t="shared" si="6"/>
        <v>0</v>
      </c>
      <c r="L13" s="1">
        <f t="shared" si="6"/>
        <v>0</v>
      </c>
      <c r="M13" s="1">
        <f t="shared" si="6"/>
        <v>0</v>
      </c>
      <c r="N13" s="1">
        <f t="shared" si="6"/>
        <v>0</v>
      </c>
      <c r="O13" s="1">
        <f t="shared" si="6"/>
        <v>0</v>
      </c>
      <c r="P13" s="1">
        <f t="shared" si="6"/>
        <v>1</v>
      </c>
      <c r="Q13" s="1">
        <f t="shared" si="6"/>
        <v>2</v>
      </c>
      <c r="R13" s="1">
        <f t="shared" si="6"/>
        <v>3</v>
      </c>
      <c r="S13" s="1">
        <f t="shared" si="6"/>
        <v>4</v>
      </c>
      <c r="T13" s="1">
        <f t="shared" si="6"/>
        <v>5</v>
      </c>
      <c r="U13" s="1">
        <f t="shared" si="6"/>
        <v>6</v>
      </c>
      <c r="V13" s="1">
        <f t="shared" si="6"/>
        <v>7</v>
      </c>
      <c r="W13" s="1">
        <f t="shared" si="6"/>
        <v>8</v>
      </c>
      <c r="X13" s="1">
        <f t="shared" si="6"/>
        <v>9</v>
      </c>
      <c r="Y13" s="1">
        <f t="shared" si="6"/>
        <v>10</v>
      </c>
      <c r="Z13" s="1">
        <f t="shared" si="6"/>
        <v>11</v>
      </c>
      <c r="AA13" s="1">
        <f t="shared" si="6"/>
        <v>12</v>
      </c>
      <c r="AB13" s="1">
        <f t="shared" si="6"/>
        <v>13</v>
      </c>
      <c r="AC13" s="1">
        <f t="shared" si="6"/>
        <v>14</v>
      </c>
      <c r="AD13" s="1">
        <f t="shared" si="6"/>
        <v>15</v>
      </c>
      <c r="AE13" s="1">
        <f t="shared" si="6"/>
        <v>16</v>
      </c>
      <c r="AF13" s="1">
        <f t="shared" si="6"/>
        <v>17</v>
      </c>
      <c r="AG13" s="1">
        <f t="shared" si="6"/>
        <v>18</v>
      </c>
      <c r="AH13" s="1">
        <f>(AH11+AG13)*AH11</f>
        <v>19</v>
      </c>
      <c r="AI13" s="1">
        <f t="shared" ref="AI13:AR13" si="7">(AI11+AH13)*AI11</f>
        <v>20</v>
      </c>
      <c r="AJ13" s="1">
        <f t="shared" si="7"/>
        <v>0</v>
      </c>
      <c r="AK13" s="1">
        <f t="shared" si="7"/>
        <v>0</v>
      </c>
      <c r="AL13" s="1">
        <f t="shared" si="7"/>
        <v>0</v>
      </c>
      <c r="AM13" s="1">
        <f t="shared" si="7"/>
        <v>0</v>
      </c>
      <c r="AN13" s="1">
        <f t="shared" si="7"/>
        <v>0</v>
      </c>
      <c r="AO13" s="1">
        <f t="shared" si="7"/>
        <v>0</v>
      </c>
      <c r="AP13" s="1">
        <f t="shared" si="7"/>
        <v>0</v>
      </c>
      <c r="AQ13" s="1">
        <f t="shared" si="7"/>
        <v>0</v>
      </c>
      <c r="AR13" s="1">
        <f t="shared" si="7"/>
        <v>0</v>
      </c>
    </row>
    <row r="14" spans="1:44" ht="15" x14ac:dyDescent="0.25">
      <c r="A14" s="2" t="s">
        <v>8</v>
      </c>
      <c r="C14" s="11"/>
    </row>
    <row r="15" spans="1:44" x14ac:dyDescent="0.2">
      <c r="B15" s="1" t="s">
        <v>67</v>
      </c>
      <c r="C15" s="11" t="s">
        <v>50</v>
      </c>
      <c r="D15" s="69">
        <f>INPUTS!E24</f>
        <v>0</v>
      </c>
      <c r="E15" s="69"/>
      <c r="F15" s="3">
        <f>1/(1+$D15)^(F$10-1)</f>
        <v>1</v>
      </c>
      <c r="G15" s="3">
        <f t="shared" ref="G15:AR15" si="8">1/(1+$D15)^(G$10-1)</f>
        <v>1</v>
      </c>
      <c r="H15" s="3">
        <f t="shared" si="8"/>
        <v>1</v>
      </c>
      <c r="I15" s="3">
        <f t="shared" si="8"/>
        <v>1</v>
      </c>
      <c r="J15" s="3">
        <f t="shared" si="8"/>
        <v>1</v>
      </c>
      <c r="K15" s="3">
        <f t="shared" si="8"/>
        <v>1</v>
      </c>
      <c r="L15" s="3">
        <f t="shared" si="8"/>
        <v>1</v>
      </c>
      <c r="M15" s="3">
        <f t="shared" si="8"/>
        <v>1</v>
      </c>
      <c r="N15" s="3">
        <f t="shared" si="8"/>
        <v>1</v>
      </c>
      <c r="O15" s="3">
        <f t="shared" si="8"/>
        <v>1</v>
      </c>
      <c r="P15" s="3">
        <f t="shared" si="8"/>
        <v>1</v>
      </c>
      <c r="Q15" s="3">
        <f t="shared" si="8"/>
        <v>1</v>
      </c>
      <c r="R15" s="3">
        <f t="shared" si="8"/>
        <v>1</v>
      </c>
      <c r="S15" s="3">
        <f t="shared" si="8"/>
        <v>1</v>
      </c>
      <c r="T15" s="3">
        <f t="shared" si="8"/>
        <v>1</v>
      </c>
      <c r="U15" s="3">
        <f t="shared" si="8"/>
        <v>1</v>
      </c>
      <c r="V15" s="3">
        <f t="shared" si="8"/>
        <v>1</v>
      </c>
      <c r="W15" s="3">
        <f t="shared" si="8"/>
        <v>1</v>
      </c>
      <c r="X15" s="3">
        <f t="shared" si="8"/>
        <v>1</v>
      </c>
      <c r="Y15" s="3">
        <f t="shared" si="8"/>
        <v>1</v>
      </c>
      <c r="Z15" s="3">
        <f t="shared" si="8"/>
        <v>1</v>
      </c>
      <c r="AA15" s="3">
        <f t="shared" si="8"/>
        <v>1</v>
      </c>
      <c r="AB15" s="3">
        <f t="shared" si="8"/>
        <v>1</v>
      </c>
      <c r="AC15" s="3">
        <f t="shared" si="8"/>
        <v>1</v>
      </c>
      <c r="AD15" s="3">
        <f t="shared" si="8"/>
        <v>1</v>
      </c>
      <c r="AE15" s="3">
        <f t="shared" si="8"/>
        <v>1</v>
      </c>
      <c r="AF15" s="3">
        <f t="shared" si="8"/>
        <v>1</v>
      </c>
      <c r="AG15" s="3">
        <f t="shared" si="8"/>
        <v>1</v>
      </c>
      <c r="AH15" s="3">
        <f t="shared" si="8"/>
        <v>1</v>
      </c>
      <c r="AI15" s="3">
        <f t="shared" si="8"/>
        <v>1</v>
      </c>
      <c r="AJ15" s="3">
        <f t="shared" si="8"/>
        <v>1</v>
      </c>
      <c r="AK15" s="3">
        <f t="shared" si="8"/>
        <v>1</v>
      </c>
      <c r="AL15" s="3">
        <f t="shared" si="8"/>
        <v>1</v>
      </c>
      <c r="AM15" s="3">
        <f t="shared" si="8"/>
        <v>1</v>
      </c>
      <c r="AN15" s="3">
        <f t="shared" si="8"/>
        <v>1</v>
      </c>
      <c r="AO15" s="3">
        <f t="shared" si="8"/>
        <v>1</v>
      </c>
      <c r="AP15" s="3">
        <f t="shared" si="8"/>
        <v>1</v>
      </c>
      <c r="AQ15" s="3">
        <f t="shared" si="8"/>
        <v>1</v>
      </c>
      <c r="AR15" s="3">
        <f t="shared" si="8"/>
        <v>1</v>
      </c>
    </row>
    <row r="16" spans="1:44" x14ac:dyDescent="0.2">
      <c r="B16" s="1" t="s">
        <v>69</v>
      </c>
      <c r="C16" s="11" t="s">
        <v>50</v>
      </c>
      <c r="D16" s="69">
        <f>INPUTS!E25</f>
        <v>0.03</v>
      </c>
      <c r="E16" s="69"/>
      <c r="F16" s="3">
        <f t="shared" ref="F16:G16" si="9">MIN(1,IF(F10=0,1,1/(1+$D16)^(F$10-1)))</f>
        <v>1</v>
      </c>
      <c r="G16" s="3">
        <f t="shared" si="9"/>
        <v>1</v>
      </c>
      <c r="H16" s="3">
        <f>MIN(1,IF(H10=0,1,1/(1+$D16)^(H$10-1)))</f>
        <v>1</v>
      </c>
      <c r="I16" s="3">
        <f t="shared" ref="I16:AR16" si="10">MIN(1,IF(I10=0,1,1/(1+$D16)^(I$10-1)))</f>
        <v>1</v>
      </c>
      <c r="J16" s="3">
        <f t="shared" si="10"/>
        <v>0.970873786407767</v>
      </c>
      <c r="K16" s="3">
        <f t="shared" si="10"/>
        <v>0.94259590913375435</v>
      </c>
      <c r="L16" s="3">
        <f t="shared" si="10"/>
        <v>0.91514165935315961</v>
      </c>
      <c r="M16" s="3">
        <f t="shared" si="10"/>
        <v>0.888487047915689</v>
      </c>
      <c r="N16" s="3">
        <f t="shared" si="10"/>
        <v>0.86260878438416411</v>
      </c>
      <c r="O16" s="3">
        <f t="shared" si="10"/>
        <v>0.83748425668365445</v>
      </c>
      <c r="P16" s="3">
        <f t="shared" si="10"/>
        <v>0.81309151134335378</v>
      </c>
      <c r="Q16" s="3">
        <f t="shared" si="10"/>
        <v>0.78940923431393573</v>
      </c>
      <c r="R16" s="3">
        <f t="shared" si="10"/>
        <v>0.76641673234362695</v>
      </c>
      <c r="S16" s="3">
        <f t="shared" si="10"/>
        <v>0.74409391489672516</v>
      </c>
      <c r="T16" s="3">
        <f t="shared" si="10"/>
        <v>0.72242127659876232</v>
      </c>
      <c r="U16" s="3">
        <f t="shared" si="10"/>
        <v>0.70137988019297326</v>
      </c>
      <c r="V16" s="3">
        <f t="shared" si="10"/>
        <v>0.68095133999317792</v>
      </c>
      <c r="W16" s="3">
        <f t="shared" si="10"/>
        <v>0.66111780581861923</v>
      </c>
      <c r="X16" s="3">
        <f t="shared" si="10"/>
        <v>0.64186194739671765</v>
      </c>
      <c r="Y16" s="3">
        <f t="shared" si="10"/>
        <v>0.62316693922011435</v>
      </c>
      <c r="Z16" s="3">
        <f t="shared" si="10"/>
        <v>0.60501644584477121</v>
      </c>
      <c r="AA16" s="3">
        <f t="shared" si="10"/>
        <v>0.5873946076162827</v>
      </c>
      <c r="AB16" s="3">
        <f t="shared" si="10"/>
        <v>0.57028602681192497</v>
      </c>
      <c r="AC16" s="3">
        <f t="shared" si="10"/>
        <v>0.55367575418633497</v>
      </c>
      <c r="AD16" s="3">
        <f t="shared" si="10"/>
        <v>0.5375492759090631</v>
      </c>
      <c r="AE16" s="3">
        <f t="shared" si="10"/>
        <v>0.52189250088258554</v>
      </c>
      <c r="AF16" s="3">
        <f t="shared" si="10"/>
        <v>0.50669174842969467</v>
      </c>
      <c r="AG16" s="3">
        <f t="shared" si="10"/>
        <v>0.49193373633950943</v>
      </c>
      <c r="AH16" s="3">
        <f t="shared" si="10"/>
        <v>0.47760556926165965</v>
      </c>
      <c r="AI16" s="3">
        <f t="shared" si="10"/>
        <v>0.46369472743850448</v>
      </c>
      <c r="AJ16" s="3">
        <f t="shared" si="10"/>
        <v>0.45018905576553836</v>
      </c>
      <c r="AK16" s="3">
        <f t="shared" si="10"/>
        <v>0.4370767531704256</v>
      </c>
      <c r="AL16" s="3">
        <f t="shared" si="10"/>
        <v>0.42434636230138412</v>
      </c>
      <c r="AM16" s="3">
        <f t="shared" si="10"/>
        <v>0.41198675951590691</v>
      </c>
      <c r="AN16" s="3">
        <f t="shared" si="10"/>
        <v>0.39998714516107459</v>
      </c>
      <c r="AO16" s="3">
        <f t="shared" si="10"/>
        <v>0.38833703413696569</v>
      </c>
      <c r="AP16" s="3">
        <f t="shared" si="10"/>
        <v>0.37702624673491814</v>
      </c>
      <c r="AQ16" s="3">
        <f t="shared" si="10"/>
        <v>0.36604489974263904</v>
      </c>
      <c r="AR16" s="3">
        <f t="shared" si="10"/>
        <v>0.35538339780838735</v>
      </c>
    </row>
    <row r="17" spans="1:44" x14ac:dyDescent="0.2">
      <c r="B17" s="1" t="s">
        <v>70</v>
      </c>
      <c r="C17" s="11" t="s">
        <v>50</v>
      </c>
      <c r="D17" s="69">
        <f>INPUTS!E26</f>
        <v>7.0000000000000007E-2</v>
      </c>
      <c r="E17" s="69"/>
      <c r="F17" s="3">
        <f t="shared" ref="F17:G17" si="11">MIN(1,IF(F10=0,1,1/(1+$D17)^(F$10-1)))</f>
        <v>1</v>
      </c>
      <c r="G17" s="3">
        <f t="shared" si="11"/>
        <v>1</v>
      </c>
      <c r="H17" s="3">
        <f>MIN(1,IF(H10=0,1,1/(1+$D17)^(H$10-1)))</f>
        <v>1</v>
      </c>
      <c r="I17" s="3">
        <f t="shared" ref="I17:AR17" si="12">MIN(1,IF(I10=0,1,1/(1+$D17)^(I$10-1)))</f>
        <v>1</v>
      </c>
      <c r="J17" s="3">
        <f t="shared" si="12"/>
        <v>0.93457943925233644</v>
      </c>
      <c r="K17" s="3">
        <f t="shared" si="12"/>
        <v>0.87343872827321156</v>
      </c>
      <c r="L17" s="3">
        <f t="shared" si="12"/>
        <v>0.81629787689085187</v>
      </c>
      <c r="M17" s="3">
        <f t="shared" si="12"/>
        <v>0.7628952120475252</v>
      </c>
      <c r="N17" s="3">
        <f t="shared" si="12"/>
        <v>0.71298617948366838</v>
      </c>
      <c r="O17" s="3">
        <f t="shared" si="12"/>
        <v>0.66634222381651254</v>
      </c>
      <c r="P17" s="3">
        <f t="shared" si="12"/>
        <v>0.62274974188459109</v>
      </c>
      <c r="Q17" s="3">
        <f t="shared" si="12"/>
        <v>0.5820091045650384</v>
      </c>
      <c r="R17" s="3">
        <f t="shared" si="12"/>
        <v>0.54393374258414806</v>
      </c>
      <c r="S17" s="3">
        <f t="shared" si="12"/>
        <v>0.5083492921347178</v>
      </c>
      <c r="T17" s="3">
        <f t="shared" si="12"/>
        <v>0.47509279638758667</v>
      </c>
      <c r="U17" s="3">
        <f t="shared" si="12"/>
        <v>0.44401195924073528</v>
      </c>
      <c r="V17" s="3">
        <f t="shared" si="12"/>
        <v>0.41496444788853759</v>
      </c>
      <c r="W17" s="3">
        <f t="shared" si="12"/>
        <v>0.3878172410173249</v>
      </c>
      <c r="X17" s="3">
        <f t="shared" si="12"/>
        <v>0.36244601964235967</v>
      </c>
      <c r="Y17" s="3">
        <f t="shared" si="12"/>
        <v>0.33873459779659787</v>
      </c>
      <c r="Z17" s="3">
        <f t="shared" si="12"/>
        <v>0.31657439046411018</v>
      </c>
      <c r="AA17" s="3">
        <f t="shared" si="12"/>
        <v>0.29586391632159825</v>
      </c>
      <c r="AB17" s="3">
        <f t="shared" si="12"/>
        <v>0.27650833301083949</v>
      </c>
      <c r="AC17" s="3">
        <f t="shared" si="12"/>
        <v>0.2584190028138687</v>
      </c>
      <c r="AD17" s="3">
        <f t="shared" si="12"/>
        <v>0.24151308674193336</v>
      </c>
      <c r="AE17" s="3">
        <f t="shared" si="12"/>
        <v>0.22571316517937698</v>
      </c>
      <c r="AF17" s="3">
        <f t="shared" si="12"/>
        <v>0.21094688334521211</v>
      </c>
      <c r="AG17" s="3">
        <f t="shared" si="12"/>
        <v>0.19714661994879637</v>
      </c>
      <c r="AH17" s="3">
        <f t="shared" si="12"/>
        <v>0.18424917752223957</v>
      </c>
      <c r="AI17" s="3">
        <f t="shared" si="12"/>
        <v>0.17219549301143888</v>
      </c>
      <c r="AJ17" s="3">
        <f t="shared" si="12"/>
        <v>0.16093036730041013</v>
      </c>
      <c r="AK17" s="3">
        <f t="shared" si="12"/>
        <v>0.15040221243028987</v>
      </c>
      <c r="AL17" s="3">
        <f t="shared" si="12"/>
        <v>0.1405628153554111</v>
      </c>
      <c r="AM17" s="3">
        <f t="shared" si="12"/>
        <v>0.13136711715458982</v>
      </c>
      <c r="AN17" s="3">
        <f t="shared" si="12"/>
        <v>0.1227730066865325</v>
      </c>
      <c r="AO17" s="3">
        <f t="shared" si="12"/>
        <v>0.11474112774442291</v>
      </c>
      <c r="AP17" s="3">
        <f t="shared" si="12"/>
        <v>0.10723469882656347</v>
      </c>
      <c r="AQ17" s="3">
        <f t="shared" si="12"/>
        <v>0.10021934469772288</v>
      </c>
      <c r="AR17" s="3">
        <f t="shared" si="12"/>
        <v>9.366293896983445E-2</v>
      </c>
    </row>
    <row r="18" spans="1:44" x14ac:dyDescent="0.2">
      <c r="B18" s="1" t="s">
        <v>229</v>
      </c>
      <c r="C18" s="21" t="s">
        <v>227</v>
      </c>
      <c r="D18" s="1">
        <f>SUM(F18:AR18)</f>
        <v>20</v>
      </c>
      <c r="F18" s="1">
        <f>IF(AND(F7&gt;=INPUTS!$E$17,F7&lt;INPUTS!$E$21),1,0)</f>
        <v>0</v>
      </c>
      <c r="G18" s="1">
        <f>IF(AND(G7&gt;=INPUTS!$E$17,G7&lt;INPUTS!$E$21),1,0)</f>
        <v>0</v>
      </c>
      <c r="H18" s="1">
        <f>IF(AND(H7&gt;=INPUTS!$E$17,H7&lt;INPUTS!$E$21),1,0)</f>
        <v>0</v>
      </c>
      <c r="I18" s="1">
        <f>IF(AND(I7&gt;=INPUTS!$E$17,I7&lt;INPUTS!$E$21),1,0)</f>
        <v>0</v>
      </c>
      <c r="J18" s="1">
        <f>IF(AND(J7&gt;=INPUTS!$E$17,J7&lt;INPUTS!$E$21),1,0)</f>
        <v>0</v>
      </c>
      <c r="K18" s="1">
        <f>IF(AND(K7&gt;=INPUTS!$E$17,K7&lt;INPUTS!$E$21),1,0)</f>
        <v>0</v>
      </c>
      <c r="L18" s="1">
        <f>IF(AND(L7&gt;=INPUTS!$E$17,L7&lt;INPUTS!$E$21),1,0)</f>
        <v>0</v>
      </c>
      <c r="M18" s="1">
        <f>IF(AND(M7&gt;=INPUTS!$E$17,M7&lt;INPUTS!$E$21),1,0)</f>
        <v>0</v>
      </c>
      <c r="N18" s="1">
        <f>IF(AND(N7&gt;=INPUTS!$E$17,N7&lt;INPUTS!$E$21),1,0)</f>
        <v>0</v>
      </c>
      <c r="O18" s="1">
        <f>IF(AND(O7&gt;=INPUTS!$E$17,O7&lt;INPUTS!$E$21),1,0)</f>
        <v>0</v>
      </c>
      <c r="P18" s="1">
        <f>IF(AND(P7&gt;=INPUTS!$E$17,P7&lt;INPUTS!$E$21),1,0)</f>
        <v>1</v>
      </c>
      <c r="Q18" s="1">
        <f>IF(AND(Q7&gt;=INPUTS!$E$17,Q7&lt;INPUTS!$E$21),1,0)</f>
        <v>1</v>
      </c>
      <c r="R18" s="1">
        <f>IF(AND(R7&gt;=INPUTS!$E$17,R7&lt;INPUTS!$E$21),1,0)</f>
        <v>1</v>
      </c>
      <c r="S18" s="1">
        <f>IF(AND(S7&gt;=INPUTS!$E$17,S7&lt;INPUTS!$E$21),1,0)</f>
        <v>1</v>
      </c>
      <c r="T18" s="1">
        <f>IF(AND(T7&gt;=INPUTS!$E$17,T7&lt;INPUTS!$E$21),1,0)</f>
        <v>1</v>
      </c>
      <c r="U18" s="1">
        <f>IF(AND(U7&gt;=INPUTS!$E$17,U7&lt;INPUTS!$E$21),1,0)</f>
        <v>1</v>
      </c>
      <c r="V18" s="1">
        <f>IF(AND(V7&gt;=INPUTS!$E$17,V7&lt;INPUTS!$E$21),1,0)</f>
        <v>1</v>
      </c>
      <c r="W18" s="1">
        <f>IF(AND(W7&gt;=INPUTS!$E$17,W7&lt;INPUTS!$E$21),1,0)</f>
        <v>1</v>
      </c>
      <c r="X18" s="1">
        <f>IF(AND(X7&gt;=INPUTS!$E$17,X7&lt;INPUTS!$E$21),1,0)</f>
        <v>1</v>
      </c>
      <c r="Y18" s="1">
        <f>IF(AND(Y7&gt;=INPUTS!$E$17,Y7&lt;INPUTS!$E$21),1,0)</f>
        <v>1</v>
      </c>
      <c r="Z18" s="1">
        <f>IF(AND(Z7&gt;=INPUTS!$E$17,Z7&lt;INPUTS!$E$21),1,0)</f>
        <v>1</v>
      </c>
      <c r="AA18" s="1">
        <f>IF(AND(AA7&gt;=INPUTS!$E$17,AA7&lt;INPUTS!$E$21),1,0)</f>
        <v>1</v>
      </c>
      <c r="AB18" s="1">
        <f>IF(AND(AB7&gt;=INPUTS!$E$17,AB7&lt;INPUTS!$E$21),1,0)</f>
        <v>1</v>
      </c>
      <c r="AC18" s="1">
        <f>IF(AND(AC7&gt;=INPUTS!$E$17,AC7&lt;INPUTS!$E$21),1,0)</f>
        <v>1</v>
      </c>
      <c r="AD18" s="1">
        <f>IF(AND(AD7&gt;=INPUTS!$E$17,AD7&lt;INPUTS!$E$21),1,0)</f>
        <v>1</v>
      </c>
      <c r="AE18" s="1">
        <f>IF(AND(AE7&gt;=INPUTS!$E$17,AE7&lt;INPUTS!$E$21),1,0)</f>
        <v>1</v>
      </c>
      <c r="AF18" s="1">
        <f>IF(AND(AF7&gt;=INPUTS!$E$17,AF7&lt;INPUTS!$E$21),1,0)</f>
        <v>1</v>
      </c>
      <c r="AG18" s="1">
        <f>IF(AND(AG7&gt;=INPUTS!$E$17,AG7&lt;INPUTS!$E$21),1,0)</f>
        <v>1</v>
      </c>
      <c r="AH18" s="1">
        <f>IF(AND(AH7&gt;=INPUTS!$E$17,AH7&lt;INPUTS!$E$21),1,0)</f>
        <v>1</v>
      </c>
      <c r="AI18" s="1">
        <f>IF(AND(AI7&gt;=INPUTS!$E$17,AI7&lt;INPUTS!$E$21),1,0)</f>
        <v>1</v>
      </c>
      <c r="AJ18" s="1">
        <f>IF(AND(AJ7&gt;=INPUTS!$E$17,AJ7&lt;INPUTS!$E$21),1,0)</f>
        <v>0</v>
      </c>
      <c r="AK18" s="1">
        <f>IF(AND(AK7&gt;=INPUTS!$E$17,AK7&lt;INPUTS!$E$21),1,0)</f>
        <v>0</v>
      </c>
      <c r="AL18" s="1">
        <f>IF(AND(AL7&gt;=INPUTS!$E$17,AL7&lt;INPUTS!$E$21),1,0)</f>
        <v>0</v>
      </c>
      <c r="AM18" s="1">
        <f>IF(AND(AM7&gt;=INPUTS!$E$17,AM7&lt;INPUTS!$E$21),1,0)</f>
        <v>0</v>
      </c>
      <c r="AN18" s="1">
        <f>IF(AND(AN7&gt;=INPUTS!$E$17,AN7&lt;INPUTS!$E$21),1,0)</f>
        <v>0</v>
      </c>
      <c r="AO18" s="1">
        <f>IF(AND(AO7&gt;=INPUTS!$E$17,AO7&lt;INPUTS!$E$21),1,0)</f>
        <v>0</v>
      </c>
      <c r="AP18" s="1">
        <f>IF(AND(AP7&gt;=INPUTS!$E$17,AP7&lt;INPUTS!$E$21),1,0)</f>
        <v>0</v>
      </c>
      <c r="AQ18" s="1">
        <f>IF(AND(AQ7&gt;=INPUTS!$E$17,AQ7&lt;INPUTS!$E$21),1,0)</f>
        <v>0</v>
      </c>
      <c r="AR18" s="1">
        <f>IF(AND(AR7&gt;=INPUTS!$E$17,AR7&lt;INPUTS!$E$21),1,0)</f>
        <v>0</v>
      </c>
    </row>
    <row r="19" spans="1:44" x14ac:dyDescent="0.2">
      <c r="C19" s="21"/>
    </row>
    <row r="20" spans="1:44" x14ac:dyDescent="0.2">
      <c r="B20" s="1" t="s">
        <v>232</v>
      </c>
      <c r="C20" s="1" t="s">
        <v>44</v>
      </c>
      <c r="D20" s="1" t="s">
        <v>45</v>
      </c>
    </row>
    <row r="21" spans="1:44" s="260" customFormat="1" x14ac:dyDescent="0.2">
      <c r="A21" s="261" t="s">
        <v>233</v>
      </c>
    </row>
    <row r="22" spans="1:44" ht="15" x14ac:dyDescent="0.25">
      <c r="A22" s="2" t="s">
        <v>234</v>
      </c>
    </row>
    <row r="23" spans="1:44" x14ac:dyDescent="0.2">
      <c r="B23" s="1" t="s">
        <v>23</v>
      </c>
      <c r="C23" s="71" t="s">
        <v>77</v>
      </c>
      <c r="D23" s="70">
        <f t="shared" ref="D23:D28" si="13">SUM(F23:AR23)</f>
        <v>0</v>
      </c>
      <c r="F23" s="18">
        <v>0</v>
      </c>
      <c r="G23" s="18">
        <v>0</v>
      </c>
      <c r="H23" s="18">
        <v>0</v>
      </c>
      <c r="I23" s="18">
        <v>0</v>
      </c>
      <c r="J23" s="18">
        <v>0</v>
      </c>
      <c r="K23" s="18">
        <v>0</v>
      </c>
      <c r="L23" s="18">
        <v>0</v>
      </c>
      <c r="M23" s="18">
        <v>0</v>
      </c>
      <c r="N23" s="18">
        <v>0</v>
      </c>
      <c r="O23" s="18">
        <v>0</v>
      </c>
      <c r="P23" s="18">
        <v>0</v>
      </c>
      <c r="Q23" s="18">
        <v>0</v>
      </c>
      <c r="R23" s="18">
        <v>0</v>
      </c>
      <c r="S23" s="18">
        <v>0</v>
      </c>
      <c r="T23" s="18">
        <v>0</v>
      </c>
      <c r="U23" s="18">
        <v>0</v>
      </c>
      <c r="V23" s="18">
        <v>0</v>
      </c>
      <c r="W23" s="18">
        <v>0</v>
      </c>
      <c r="X23" s="18">
        <v>0</v>
      </c>
      <c r="Y23" s="18">
        <v>0</v>
      </c>
      <c r="Z23" s="18">
        <v>0</v>
      </c>
      <c r="AA23" s="18">
        <v>0</v>
      </c>
      <c r="AB23" s="18">
        <v>0</v>
      </c>
      <c r="AC23" s="18">
        <v>0</v>
      </c>
      <c r="AD23" s="18">
        <v>0</v>
      </c>
      <c r="AE23" s="18">
        <v>0</v>
      </c>
      <c r="AF23" s="18">
        <v>0</v>
      </c>
      <c r="AG23" s="18">
        <v>0</v>
      </c>
      <c r="AH23" s="18">
        <v>0</v>
      </c>
      <c r="AI23" s="18">
        <v>0</v>
      </c>
      <c r="AJ23" s="18">
        <v>0</v>
      </c>
      <c r="AK23" s="18">
        <v>0</v>
      </c>
      <c r="AL23" s="18">
        <v>0</v>
      </c>
      <c r="AM23" s="18">
        <v>0</v>
      </c>
      <c r="AN23" s="18">
        <v>0</v>
      </c>
      <c r="AO23" s="18">
        <v>0</v>
      </c>
      <c r="AP23" s="18">
        <v>0</v>
      </c>
      <c r="AQ23" s="18">
        <v>0</v>
      </c>
      <c r="AR23" s="18">
        <v>0</v>
      </c>
    </row>
    <row r="24" spans="1:44" x14ac:dyDescent="0.2">
      <c r="B24" s="1" t="s">
        <v>235</v>
      </c>
      <c r="C24" s="71" t="s">
        <v>77</v>
      </c>
      <c r="D24" s="70">
        <f t="shared" si="13"/>
        <v>0</v>
      </c>
      <c r="F24" s="18">
        <v>0</v>
      </c>
      <c r="G24" s="18">
        <v>0</v>
      </c>
      <c r="H24" s="18">
        <v>0</v>
      </c>
      <c r="I24" s="18">
        <v>0</v>
      </c>
      <c r="J24" s="18">
        <v>0</v>
      </c>
      <c r="K24" s="18">
        <v>0</v>
      </c>
      <c r="L24" s="18">
        <v>0</v>
      </c>
      <c r="M24" s="18">
        <v>0</v>
      </c>
      <c r="N24" s="18">
        <v>0</v>
      </c>
      <c r="O24" s="18">
        <v>0</v>
      </c>
      <c r="P24" s="18">
        <v>0</v>
      </c>
      <c r="Q24" s="18">
        <v>0</v>
      </c>
      <c r="R24" s="18">
        <v>0</v>
      </c>
      <c r="S24" s="18">
        <v>0</v>
      </c>
      <c r="T24" s="18">
        <v>0</v>
      </c>
      <c r="U24" s="18">
        <v>0</v>
      </c>
      <c r="V24" s="18">
        <v>0</v>
      </c>
      <c r="W24" s="18">
        <v>0</v>
      </c>
      <c r="X24" s="18">
        <v>0</v>
      </c>
      <c r="Y24" s="18">
        <v>0</v>
      </c>
      <c r="Z24" s="18">
        <v>0</v>
      </c>
      <c r="AA24" s="18">
        <v>0</v>
      </c>
      <c r="AB24" s="18">
        <v>0</v>
      </c>
      <c r="AC24" s="18">
        <v>0</v>
      </c>
      <c r="AD24" s="18">
        <v>0</v>
      </c>
      <c r="AE24" s="18">
        <v>0</v>
      </c>
      <c r="AF24" s="18">
        <v>0</v>
      </c>
      <c r="AG24" s="18">
        <v>0</v>
      </c>
      <c r="AH24" s="18">
        <v>0</v>
      </c>
      <c r="AI24" s="18">
        <v>0</v>
      </c>
      <c r="AJ24" s="18">
        <v>0</v>
      </c>
      <c r="AK24" s="18">
        <v>0</v>
      </c>
      <c r="AL24" s="18">
        <v>0</v>
      </c>
      <c r="AM24" s="18">
        <v>0</v>
      </c>
      <c r="AN24" s="18">
        <v>0</v>
      </c>
      <c r="AO24" s="18">
        <v>0</v>
      </c>
      <c r="AP24" s="18">
        <v>0</v>
      </c>
      <c r="AQ24" s="18">
        <v>0</v>
      </c>
      <c r="AR24" s="18">
        <v>0</v>
      </c>
    </row>
    <row r="25" spans="1:44" x14ac:dyDescent="0.2">
      <c r="B25" s="1" t="s">
        <v>236</v>
      </c>
      <c r="C25" s="71" t="s">
        <v>77</v>
      </c>
      <c r="D25" s="70">
        <f t="shared" si="13"/>
        <v>0</v>
      </c>
      <c r="F25" s="18">
        <v>0</v>
      </c>
      <c r="G25" s="18">
        <v>0</v>
      </c>
      <c r="H25" s="18">
        <v>0</v>
      </c>
      <c r="I25" s="18">
        <v>0</v>
      </c>
      <c r="J25" s="18">
        <v>0</v>
      </c>
      <c r="K25" s="18">
        <v>0</v>
      </c>
      <c r="L25" s="18">
        <v>0</v>
      </c>
      <c r="M25" s="18">
        <v>0</v>
      </c>
      <c r="N25" s="18">
        <v>0</v>
      </c>
      <c r="O25" s="18">
        <v>0</v>
      </c>
      <c r="P25" s="18">
        <v>0</v>
      </c>
      <c r="Q25" s="18">
        <v>0</v>
      </c>
      <c r="R25" s="18">
        <v>0</v>
      </c>
      <c r="S25" s="18">
        <v>0</v>
      </c>
      <c r="T25" s="18">
        <v>0</v>
      </c>
      <c r="U25" s="18">
        <v>0</v>
      </c>
      <c r="V25" s="18">
        <v>0</v>
      </c>
      <c r="W25" s="18">
        <v>0</v>
      </c>
      <c r="X25" s="18">
        <v>0</v>
      </c>
      <c r="Y25" s="18">
        <v>0</v>
      </c>
      <c r="Z25" s="18">
        <v>0</v>
      </c>
      <c r="AA25" s="18">
        <v>0</v>
      </c>
      <c r="AB25" s="18">
        <v>0</v>
      </c>
      <c r="AC25" s="18">
        <v>0</v>
      </c>
      <c r="AD25" s="18">
        <v>0</v>
      </c>
      <c r="AE25" s="18">
        <v>0</v>
      </c>
      <c r="AF25" s="18">
        <v>0</v>
      </c>
      <c r="AG25" s="18">
        <v>0</v>
      </c>
      <c r="AH25" s="18">
        <v>0</v>
      </c>
      <c r="AI25" s="18">
        <v>0</v>
      </c>
      <c r="AJ25" s="18">
        <v>0</v>
      </c>
      <c r="AK25" s="18">
        <v>0</v>
      </c>
      <c r="AL25" s="18">
        <v>0</v>
      </c>
      <c r="AM25" s="18">
        <v>0</v>
      </c>
      <c r="AN25" s="18">
        <v>0</v>
      </c>
      <c r="AO25" s="18">
        <v>0</v>
      </c>
      <c r="AP25" s="18">
        <v>0</v>
      </c>
      <c r="AQ25" s="18">
        <v>0</v>
      </c>
      <c r="AR25" s="18">
        <v>0</v>
      </c>
    </row>
    <row r="26" spans="1:44" x14ac:dyDescent="0.2">
      <c r="B26" s="1" t="s">
        <v>237</v>
      </c>
      <c r="C26" s="71" t="s">
        <v>77</v>
      </c>
      <c r="D26" s="70">
        <f t="shared" si="13"/>
        <v>0</v>
      </c>
      <c r="F26" s="18">
        <v>0</v>
      </c>
      <c r="G26" s="18">
        <v>0</v>
      </c>
      <c r="H26" s="18">
        <v>0</v>
      </c>
      <c r="I26" s="18">
        <v>0</v>
      </c>
      <c r="J26" s="18">
        <v>0</v>
      </c>
      <c r="K26" s="18">
        <v>0</v>
      </c>
      <c r="L26" s="18">
        <v>0</v>
      </c>
      <c r="M26" s="18">
        <v>0</v>
      </c>
      <c r="N26" s="18">
        <v>0</v>
      </c>
      <c r="O26" s="18">
        <v>0</v>
      </c>
      <c r="P26" s="18">
        <v>0</v>
      </c>
      <c r="Q26" s="18">
        <v>0</v>
      </c>
      <c r="R26" s="18">
        <v>0</v>
      </c>
      <c r="S26" s="18">
        <v>0</v>
      </c>
      <c r="T26" s="18">
        <v>0</v>
      </c>
      <c r="U26" s="18">
        <v>0</v>
      </c>
      <c r="V26" s="18">
        <v>0</v>
      </c>
      <c r="W26" s="18">
        <v>0</v>
      </c>
      <c r="X26" s="18">
        <v>0</v>
      </c>
      <c r="Y26" s="18">
        <v>0</v>
      </c>
      <c r="Z26" s="18">
        <v>0</v>
      </c>
      <c r="AA26" s="18">
        <v>0</v>
      </c>
      <c r="AB26" s="18">
        <v>0</v>
      </c>
      <c r="AC26" s="18">
        <v>0</v>
      </c>
      <c r="AD26" s="18">
        <v>0</v>
      </c>
      <c r="AE26" s="18">
        <v>0</v>
      </c>
      <c r="AF26" s="18">
        <v>0</v>
      </c>
      <c r="AG26" s="18">
        <v>0</v>
      </c>
      <c r="AH26" s="18">
        <v>0</v>
      </c>
      <c r="AI26" s="18">
        <v>0</v>
      </c>
      <c r="AJ26" s="18">
        <v>0</v>
      </c>
      <c r="AK26" s="18">
        <v>0</v>
      </c>
      <c r="AL26" s="18">
        <v>0</v>
      </c>
      <c r="AM26" s="18">
        <v>0</v>
      </c>
      <c r="AN26" s="18">
        <v>0</v>
      </c>
      <c r="AO26" s="18">
        <v>0</v>
      </c>
      <c r="AP26" s="18">
        <v>0</v>
      </c>
      <c r="AQ26" s="18">
        <v>0</v>
      </c>
      <c r="AR26" s="18">
        <v>0</v>
      </c>
    </row>
    <row r="27" spans="1:44" x14ac:dyDescent="0.2">
      <c r="B27" s="64" t="s">
        <v>238</v>
      </c>
      <c r="C27" s="74" t="s">
        <v>77</v>
      </c>
      <c r="D27" s="75">
        <f t="shared" si="13"/>
        <v>0</v>
      </c>
      <c r="E27" s="64"/>
      <c r="F27" s="76">
        <v>0</v>
      </c>
      <c r="G27" s="76">
        <v>0</v>
      </c>
      <c r="H27" s="76">
        <v>0</v>
      </c>
      <c r="I27" s="76">
        <v>0</v>
      </c>
      <c r="J27" s="76">
        <v>0</v>
      </c>
      <c r="K27" s="76">
        <v>0</v>
      </c>
      <c r="L27" s="76">
        <v>0</v>
      </c>
      <c r="M27" s="76">
        <v>0</v>
      </c>
      <c r="N27" s="76">
        <v>0</v>
      </c>
      <c r="O27" s="76">
        <v>0</v>
      </c>
      <c r="P27" s="76">
        <v>0</v>
      </c>
      <c r="Q27" s="76">
        <v>0</v>
      </c>
      <c r="R27" s="76">
        <v>0</v>
      </c>
      <c r="S27" s="76">
        <v>0</v>
      </c>
      <c r="T27" s="76">
        <v>0</v>
      </c>
      <c r="U27" s="76">
        <v>0</v>
      </c>
      <c r="V27" s="76">
        <v>0</v>
      </c>
      <c r="W27" s="76">
        <v>0</v>
      </c>
      <c r="X27" s="76">
        <v>0</v>
      </c>
      <c r="Y27" s="76">
        <v>0</v>
      </c>
      <c r="Z27" s="76">
        <v>0</v>
      </c>
      <c r="AA27" s="76">
        <v>0</v>
      </c>
      <c r="AB27" s="76">
        <v>0</v>
      </c>
      <c r="AC27" s="76">
        <v>0</v>
      </c>
      <c r="AD27" s="76">
        <v>0</v>
      </c>
      <c r="AE27" s="76">
        <v>0</v>
      </c>
      <c r="AF27" s="76">
        <v>0</v>
      </c>
      <c r="AG27" s="76">
        <v>0</v>
      </c>
      <c r="AH27" s="76">
        <v>0</v>
      </c>
      <c r="AI27" s="76">
        <v>0</v>
      </c>
      <c r="AJ27" s="76">
        <v>0</v>
      </c>
      <c r="AK27" s="76">
        <v>0</v>
      </c>
      <c r="AL27" s="76">
        <v>0</v>
      </c>
      <c r="AM27" s="76">
        <v>0</v>
      </c>
      <c r="AN27" s="76">
        <v>0</v>
      </c>
      <c r="AO27" s="76">
        <v>0</v>
      </c>
      <c r="AP27" s="76">
        <v>0</v>
      </c>
      <c r="AQ27" s="76">
        <v>0</v>
      </c>
      <c r="AR27" s="76">
        <v>0</v>
      </c>
    </row>
    <row r="28" spans="1:44" x14ac:dyDescent="0.2">
      <c r="B28" s="1" t="s">
        <v>239</v>
      </c>
      <c r="C28" s="71" t="s">
        <v>77</v>
      </c>
      <c r="D28" s="70">
        <f t="shared" si="13"/>
        <v>0</v>
      </c>
      <c r="F28" s="18">
        <f>SUM(F23:F27)</f>
        <v>0</v>
      </c>
      <c r="G28" s="18">
        <f t="shared" ref="G28:AR28" si="14">SUM(G23:G27)</f>
        <v>0</v>
      </c>
      <c r="H28" s="18">
        <f t="shared" si="14"/>
        <v>0</v>
      </c>
      <c r="I28" s="18">
        <f t="shared" si="14"/>
        <v>0</v>
      </c>
      <c r="J28" s="18">
        <f t="shared" si="14"/>
        <v>0</v>
      </c>
      <c r="K28" s="18">
        <f t="shared" si="14"/>
        <v>0</v>
      </c>
      <c r="L28" s="18">
        <f t="shared" si="14"/>
        <v>0</v>
      </c>
      <c r="M28" s="18">
        <f t="shared" si="14"/>
        <v>0</v>
      </c>
      <c r="N28" s="18">
        <f t="shared" si="14"/>
        <v>0</v>
      </c>
      <c r="O28" s="18">
        <f t="shared" si="14"/>
        <v>0</v>
      </c>
      <c r="P28" s="18">
        <f t="shared" si="14"/>
        <v>0</v>
      </c>
      <c r="Q28" s="18">
        <f t="shared" si="14"/>
        <v>0</v>
      </c>
      <c r="R28" s="18">
        <f t="shared" si="14"/>
        <v>0</v>
      </c>
      <c r="S28" s="18">
        <f t="shared" si="14"/>
        <v>0</v>
      </c>
      <c r="T28" s="18">
        <f t="shared" si="14"/>
        <v>0</v>
      </c>
      <c r="U28" s="18">
        <f t="shared" si="14"/>
        <v>0</v>
      </c>
      <c r="V28" s="18">
        <f t="shared" si="14"/>
        <v>0</v>
      </c>
      <c r="W28" s="18">
        <f t="shared" si="14"/>
        <v>0</v>
      </c>
      <c r="X28" s="18">
        <f t="shared" si="14"/>
        <v>0</v>
      </c>
      <c r="Y28" s="18">
        <f t="shared" si="14"/>
        <v>0</v>
      </c>
      <c r="Z28" s="18">
        <f t="shared" si="14"/>
        <v>0</v>
      </c>
      <c r="AA28" s="18">
        <f t="shared" si="14"/>
        <v>0</v>
      </c>
      <c r="AB28" s="18">
        <f t="shared" si="14"/>
        <v>0</v>
      </c>
      <c r="AC28" s="18">
        <f t="shared" si="14"/>
        <v>0</v>
      </c>
      <c r="AD28" s="18">
        <f t="shared" si="14"/>
        <v>0</v>
      </c>
      <c r="AE28" s="18">
        <f t="shared" si="14"/>
        <v>0</v>
      </c>
      <c r="AF28" s="18">
        <f t="shared" si="14"/>
        <v>0</v>
      </c>
      <c r="AG28" s="18">
        <f t="shared" si="14"/>
        <v>0</v>
      </c>
      <c r="AH28" s="18">
        <f t="shared" si="14"/>
        <v>0</v>
      </c>
      <c r="AI28" s="18">
        <f t="shared" si="14"/>
        <v>0</v>
      </c>
      <c r="AJ28" s="18">
        <f t="shared" si="14"/>
        <v>0</v>
      </c>
      <c r="AK28" s="18">
        <f t="shared" si="14"/>
        <v>0</v>
      </c>
      <c r="AL28" s="18">
        <f t="shared" si="14"/>
        <v>0</v>
      </c>
      <c r="AM28" s="18">
        <f t="shared" si="14"/>
        <v>0</v>
      </c>
      <c r="AN28" s="18">
        <f t="shared" si="14"/>
        <v>0</v>
      </c>
      <c r="AO28" s="18">
        <f t="shared" si="14"/>
        <v>0</v>
      </c>
      <c r="AP28" s="18">
        <f t="shared" si="14"/>
        <v>0</v>
      </c>
      <c r="AQ28" s="18">
        <f t="shared" si="14"/>
        <v>0</v>
      </c>
      <c r="AR28" s="18">
        <f t="shared" si="14"/>
        <v>0</v>
      </c>
    </row>
    <row r="29" spans="1:44" x14ac:dyDescent="0.2">
      <c r="C29" s="11"/>
    </row>
    <row r="30" spans="1:44" ht="15" x14ac:dyDescent="0.25">
      <c r="B30" s="2" t="s">
        <v>240</v>
      </c>
      <c r="C30" s="11"/>
    </row>
    <row r="31" spans="1:44" x14ac:dyDescent="0.2">
      <c r="B31" s="1" t="s">
        <v>241</v>
      </c>
      <c r="C31" s="71" t="s">
        <v>77</v>
      </c>
      <c r="D31" s="70">
        <f>SUM(F31:AR31)</f>
        <v>0</v>
      </c>
      <c r="E31" s="18"/>
      <c r="F31" s="18">
        <f>F28*F$15</f>
        <v>0</v>
      </c>
      <c r="G31" s="18">
        <f t="shared" ref="G31:AR31" si="15">G28*G$15</f>
        <v>0</v>
      </c>
      <c r="H31" s="18">
        <f t="shared" si="15"/>
        <v>0</v>
      </c>
      <c r="I31" s="18">
        <f t="shared" si="15"/>
        <v>0</v>
      </c>
      <c r="J31" s="18">
        <f t="shared" si="15"/>
        <v>0</v>
      </c>
      <c r="K31" s="18">
        <f t="shared" si="15"/>
        <v>0</v>
      </c>
      <c r="L31" s="18">
        <f t="shared" si="15"/>
        <v>0</v>
      </c>
      <c r="M31" s="18">
        <f t="shared" si="15"/>
        <v>0</v>
      </c>
      <c r="N31" s="18">
        <f t="shared" si="15"/>
        <v>0</v>
      </c>
      <c r="O31" s="18">
        <f t="shared" si="15"/>
        <v>0</v>
      </c>
      <c r="P31" s="18">
        <f t="shared" si="15"/>
        <v>0</v>
      </c>
      <c r="Q31" s="18">
        <f t="shared" si="15"/>
        <v>0</v>
      </c>
      <c r="R31" s="18">
        <f t="shared" si="15"/>
        <v>0</v>
      </c>
      <c r="S31" s="18">
        <f t="shared" si="15"/>
        <v>0</v>
      </c>
      <c r="T31" s="18">
        <f t="shared" si="15"/>
        <v>0</v>
      </c>
      <c r="U31" s="18">
        <f t="shared" si="15"/>
        <v>0</v>
      </c>
      <c r="V31" s="18">
        <f t="shared" si="15"/>
        <v>0</v>
      </c>
      <c r="W31" s="18">
        <f t="shared" si="15"/>
        <v>0</v>
      </c>
      <c r="X31" s="18">
        <f t="shared" si="15"/>
        <v>0</v>
      </c>
      <c r="Y31" s="18">
        <f t="shared" si="15"/>
        <v>0</v>
      </c>
      <c r="Z31" s="18">
        <f t="shared" si="15"/>
        <v>0</v>
      </c>
      <c r="AA31" s="18">
        <f t="shared" si="15"/>
        <v>0</v>
      </c>
      <c r="AB31" s="18">
        <f t="shared" si="15"/>
        <v>0</v>
      </c>
      <c r="AC31" s="18">
        <f t="shared" si="15"/>
        <v>0</v>
      </c>
      <c r="AD31" s="18">
        <f t="shared" si="15"/>
        <v>0</v>
      </c>
      <c r="AE31" s="18">
        <f t="shared" si="15"/>
        <v>0</v>
      </c>
      <c r="AF31" s="18">
        <f t="shared" si="15"/>
        <v>0</v>
      </c>
      <c r="AG31" s="18">
        <f t="shared" si="15"/>
        <v>0</v>
      </c>
      <c r="AH31" s="18">
        <f t="shared" si="15"/>
        <v>0</v>
      </c>
      <c r="AI31" s="18">
        <f t="shared" si="15"/>
        <v>0</v>
      </c>
      <c r="AJ31" s="18">
        <f t="shared" si="15"/>
        <v>0</v>
      </c>
      <c r="AK31" s="18">
        <f t="shared" si="15"/>
        <v>0</v>
      </c>
      <c r="AL31" s="18">
        <f t="shared" si="15"/>
        <v>0</v>
      </c>
      <c r="AM31" s="18">
        <f t="shared" si="15"/>
        <v>0</v>
      </c>
      <c r="AN31" s="18">
        <f t="shared" si="15"/>
        <v>0</v>
      </c>
      <c r="AO31" s="18">
        <f t="shared" si="15"/>
        <v>0</v>
      </c>
      <c r="AP31" s="18">
        <f t="shared" si="15"/>
        <v>0</v>
      </c>
      <c r="AQ31" s="18">
        <f t="shared" si="15"/>
        <v>0</v>
      </c>
      <c r="AR31" s="18">
        <f t="shared" si="15"/>
        <v>0</v>
      </c>
    </row>
    <row r="32" spans="1:44" x14ac:dyDescent="0.2">
      <c r="B32" s="1" t="s">
        <v>242</v>
      </c>
      <c r="C32" s="71" t="s">
        <v>77</v>
      </c>
      <c r="D32" s="70">
        <f>SUM(F32:AR32)</f>
        <v>0</v>
      </c>
      <c r="E32" s="18"/>
      <c r="F32" s="18">
        <f>F28*F$16</f>
        <v>0</v>
      </c>
      <c r="G32" s="18">
        <f t="shared" ref="G32:AR32" si="16">G28*G$16</f>
        <v>0</v>
      </c>
      <c r="H32" s="18">
        <f t="shared" si="16"/>
        <v>0</v>
      </c>
      <c r="I32" s="18">
        <f t="shared" si="16"/>
        <v>0</v>
      </c>
      <c r="J32" s="18">
        <f t="shared" si="16"/>
        <v>0</v>
      </c>
      <c r="K32" s="18">
        <f t="shared" si="16"/>
        <v>0</v>
      </c>
      <c r="L32" s="18">
        <f t="shared" si="16"/>
        <v>0</v>
      </c>
      <c r="M32" s="18">
        <f t="shared" si="16"/>
        <v>0</v>
      </c>
      <c r="N32" s="18">
        <f t="shared" si="16"/>
        <v>0</v>
      </c>
      <c r="O32" s="18">
        <f t="shared" si="16"/>
        <v>0</v>
      </c>
      <c r="P32" s="18">
        <f t="shared" si="16"/>
        <v>0</v>
      </c>
      <c r="Q32" s="18">
        <f t="shared" si="16"/>
        <v>0</v>
      </c>
      <c r="R32" s="18">
        <f t="shared" si="16"/>
        <v>0</v>
      </c>
      <c r="S32" s="18">
        <f t="shared" si="16"/>
        <v>0</v>
      </c>
      <c r="T32" s="18">
        <f t="shared" si="16"/>
        <v>0</v>
      </c>
      <c r="U32" s="18">
        <f t="shared" si="16"/>
        <v>0</v>
      </c>
      <c r="V32" s="18">
        <f t="shared" si="16"/>
        <v>0</v>
      </c>
      <c r="W32" s="18">
        <f t="shared" si="16"/>
        <v>0</v>
      </c>
      <c r="X32" s="18">
        <f t="shared" si="16"/>
        <v>0</v>
      </c>
      <c r="Y32" s="18">
        <f t="shared" si="16"/>
        <v>0</v>
      </c>
      <c r="Z32" s="18">
        <f t="shared" si="16"/>
        <v>0</v>
      </c>
      <c r="AA32" s="18">
        <f t="shared" si="16"/>
        <v>0</v>
      </c>
      <c r="AB32" s="18">
        <f t="shared" si="16"/>
        <v>0</v>
      </c>
      <c r="AC32" s="18">
        <f t="shared" si="16"/>
        <v>0</v>
      </c>
      <c r="AD32" s="18">
        <f t="shared" si="16"/>
        <v>0</v>
      </c>
      <c r="AE32" s="18">
        <f t="shared" si="16"/>
        <v>0</v>
      </c>
      <c r="AF32" s="18">
        <f t="shared" si="16"/>
        <v>0</v>
      </c>
      <c r="AG32" s="18">
        <f t="shared" si="16"/>
        <v>0</v>
      </c>
      <c r="AH32" s="18">
        <f t="shared" si="16"/>
        <v>0</v>
      </c>
      <c r="AI32" s="18">
        <f t="shared" si="16"/>
        <v>0</v>
      </c>
      <c r="AJ32" s="18">
        <f t="shared" si="16"/>
        <v>0</v>
      </c>
      <c r="AK32" s="18">
        <f t="shared" si="16"/>
        <v>0</v>
      </c>
      <c r="AL32" s="18">
        <f t="shared" si="16"/>
        <v>0</v>
      </c>
      <c r="AM32" s="18">
        <f t="shared" si="16"/>
        <v>0</v>
      </c>
      <c r="AN32" s="18">
        <f t="shared" si="16"/>
        <v>0</v>
      </c>
      <c r="AO32" s="18">
        <f t="shared" si="16"/>
        <v>0</v>
      </c>
      <c r="AP32" s="18">
        <f t="shared" si="16"/>
        <v>0</v>
      </c>
      <c r="AQ32" s="18">
        <f t="shared" si="16"/>
        <v>0</v>
      </c>
      <c r="AR32" s="18">
        <f t="shared" si="16"/>
        <v>0</v>
      </c>
    </row>
    <row r="33" spans="1:44" x14ac:dyDescent="0.2">
      <c r="B33" s="1" t="s">
        <v>243</v>
      </c>
      <c r="C33" s="71" t="s">
        <v>77</v>
      </c>
      <c r="D33" s="70">
        <f>SUM(F33:AR33)</f>
        <v>0</v>
      </c>
      <c r="E33" s="18"/>
      <c r="F33" s="18">
        <f>F28*F$17</f>
        <v>0</v>
      </c>
      <c r="G33" s="18">
        <f t="shared" ref="G33:AR33" si="17">G28*G$17</f>
        <v>0</v>
      </c>
      <c r="H33" s="18">
        <f t="shared" si="17"/>
        <v>0</v>
      </c>
      <c r="I33" s="18">
        <f t="shared" si="17"/>
        <v>0</v>
      </c>
      <c r="J33" s="18">
        <f t="shared" si="17"/>
        <v>0</v>
      </c>
      <c r="K33" s="18">
        <f t="shared" si="17"/>
        <v>0</v>
      </c>
      <c r="L33" s="18">
        <f t="shared" si="17"/>
        <v>0</v>
      </c>
      <c r="M33" s="18">
        <f t="shared" si="17"/>
        <v>0</v>
      </c>
      <c r="N33" s="18">
        <f t="shared" si="17"/>
        <v>0</v>
      </c>
      <c r="O33" s="18">
        <f t="shared" si="17"/>
        <v>0</v>
      </c>
      <c r="P33" s="18">
        <f t="shared" si="17"/>
        <v>0</v>
      </c>
      <c r="Q33" s="18">
        <f t="shared" si="17"/>
        <v>0</v>
      </c>
      <c r="R33" s="18">
        <f t="shared" si="17"/>
        <v>0</v>
      </c>
      <c r="S33" s="18">
        <f t="shared" si="17"/>
        <v>0</v>
      </c>
      <c r="T33" s="18">
        <f t="shared" si="17"/>
        <v>0</v>
      </c>
      <c r="U33" s="18">
        <f t="shared" si="17"/>
        <v>0</v>
      </c>
      <c r="V33" s="18">
        <f t="shared" si="17"/>
        <v>0</v>
      </c>
      <c r="W33" s="18">
        <f t="shared" si="17"/>
        <v>0</v>
      </c>
      <c r="X33" s="18">
        <f t="shared" si="17"/>
        <v>0</v>
      </c>
      <c r="Y33" s="18">
        <f t="shared" si="17"/>
        <v>0</v>
      </c>
      <c r="Z33" s="18">
        <f t="shared" si="17"/>
        <v>0</v>
      </c>
      <c r="AA33" s="18">
        <f t="shared" si="17"/>
        <v>0</v>
      </c>
      <c r="AB33" s="18">
        <f t="shared" si="17"/>
        <v>0</v>
      </c>
      <c r="AC33" s="18">
        <f t="shared" si="17"/>
        <v>0</v>
      </c>
      <c r="AD33" s="18">
        <f t="shared" si="17"/>
        <v>0</v>
      </c>
      <c r="AE33" s="18">
        <f t="shared" si="17"/>
        <v>0</v>
      </c>
      <c r="AF33" s="18">
        <f t="shared" si="17"/>
        <v>0</v>
      </c>
      <c r="AG33" s="18">
        <f t="shared" si="17"/>
        <v>0</v>
      </c>
      <c r="AH33" s="18">
        <f t="shared" si="17"/>
        <v>0</v>
      </c>
      <c r="AI33" s="18">
        <f t="shared" si="17"/>
        <v>0</v>
      </c>
      <c r="AJ33" s="18">
        <f t="shared" si="17"/>
        <v>0</v>
      </c>
      <c r="AK33" s="18">
        <f t="shared" si="17"/>
        <v>0</v>
      </c>
      <c r="AL33" s="18">
        <f t="shared" si="17"/>
        <v>0</v>
      </c>
      <c r="AM33" s="18">
        <f t="shared" si="17"/>
        <v>0</v>
      </c>
      <c r="AN33" s="18">
        <f t="shared" si="17"/>
        <v>0</v>
      </c>
      <c r="AO33" s="18">
        <f t="shared" si="17"/>
        <v>0</v>
      </c>
      <c r="AP33" s="18">
        <f t="shared" si="17"/>
        <v>0</v>
      </c>
      <c r="AQ33" s="18">
        <f t="shared" si="17"/>
        <v>0</v>
      </c>
      <c r="AR33" s="18">
        <f t="shared" si="17"/>
        <v>0</v>
      </c>
    </row>
    <row r="34" spans="1:44" x14ac:dyDescent="0.2">
      <c r="C34" s="71"/>
      <c r="D34" s="70"/>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row>
    <row r="35" spans="1:44" ht="15" x14ac:dyDescent="0.25">
      <c r="A35" s="2" t="s">
        <v>244</v>
      </c>
      <c r="C35" s="71"/>
      <c r="D35" s="70"/>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row>
    <row r="36" spans="1:44" x14ac:dyDescent="0.2">
      <c r="B36" s="64" t="s">
        <v>24</v>
      </c>
      <c r="C36" s="74" t="s">
        <v>77</v>
      </c>
      <c r="D36" s="75">
        <f>SUM(F36:AR36)</f>
        <v>11586378.475894004</v>
      </c>
      <c r="E36" s="64"/>
      <c r="F36" s="76">
        <f>IFERROR(VLOOKUP(F$7,'REF Project Costs'!$A$4:$I$22,2,FALSE),0)*F$18</f>
        <v>0</v>
      </c>
      <c r="G36" s="76">
        <f>IFERROR(VLOOKUP(G$7,'REF Project Costs'!$A$4:$I$22,2,FALSE),0)*G$18</f>
        <v>0</v>
      </c>
      <c r="H36" s="76">
        <f>IFERROR(VLOOKUP(H$7,'REF Project Costs'!$A$4:$I$22,2,FALSE),0)*H$18</f>
        <v>0</v>
      </c>
      <c r="I36" s="76">
        <f>IFERROR(VLOOKUP(I$7,'REF Project Costs'!$A$4:$I$22,2,FALSE),0)*I$18</f>
        <v>0</v>
      </c>
      <c r="J36" s="76">
        <f>IFERROR(VLOOKUP(J$7,'REF Project Costs'!$A$4:$I$22,2,FALSE),0)*J$18</f>
        <v>0</v>
      </c>
      <c r="K36" s="76">
        <f>IFERROR(VLOOKUP(K$7,'REF Project Costs'!$A$4:$I$22,2,FALSE),0)*K$18</f>
        <v>0</v>
      </c>
      <c r="L36" s="76">
        <f>IFERROR(VLOOKUP(L$7,'REF Project Costs'!$A$4:$I$22,2,FALSE),0)*L$18</f>
        <v>0</v>
      </c>
      <c r="M36" s="76">
        <f>IFERROR(VLOOKUP(M$7,'REF Project Costs'!$A$4:$I$22,2,FALSE),0)*M$18</f>
        <v>0</v>
      </c>
      <c r="N36" s="76">
        <f>IFERROR(VLOOKUP(N$7,'REF Project Costs'!$A$4:$I$22,2,FALSE),0)*N$18</f>
        <v>0</v>
      </c>
      <c r="O36" s="76">
        <f>IFERROR(VLOOKUP(O$7,'REF Project Costs'!$A$4:$I$22,2,FALSE),0)*O$18</f>
        <v>0</v>
      </c>
      <c r="P36" s="76">
        <f>IFERROR(VLOOKUP(P$7,'REF Project Costs'!$A$4:$I$22,2,FALSE),0)*P$18</f>
        <v>10860584.349805798</v>
      </c>
      <c r="Q36" s="76">
        <f>IFERROR(VLOOKUP(Q$7,'REF Project Costs'!$A$4:$I$22,2,FALSE),0)*Q$18</f>
        <v>42693.772122835551</v>
      </c>
      <c r="R36" s="76">
        <f>IFERROR(VLOOKUP(R$7,'REF Project Costs'!$A$4:$I$22,2,FALSE),0)*R$18</f>
        <v>42693.772122835551</v>
      </c>
      <c r="S36" s="76">
        <f>IFERROR(VLOOKUP(S$7,'REF Project Costs'!$A$4:$I$22,2,FALSE),0)*S$18</f>
        <v>42693.772122835551</v>
      </c>
      <c r="T36" s="76">
        <f>IFERROR(VLOOKUP(T$7,'REF Project Costs'!$A$4:$I$22,2,FALSE),0)*T$18</f>
        <v>42693.772122835551</v>
      </c>
      <c r="U36" s="76">
        <f>IFERROR(VLOOKUP(U$7,'REF Project Costs'!$A$4:$I$22,2,FALSE),0)*U$18</f>
        <v>42693.772122835551</v>
      </c>
      <c r="V36" s="76">
        <f>IFERROR(VLOOKUP(V$7,'REF Project Costs'!$A$4:$I$22,2,FALSE),0)*V$18</f>
        <v>42693.772122835551</v>
      </c>
      <c r="W36" s="76">
        <f>IFERROR(VLOOKUP(W$7,'REF Project Costs'!$A$4:$I$22,2,FALSE),0)*W$18</f>
        <v>42693.772122835551</v>
      </c>
      <c r="X36" s="76">
        <f>IFERROR(VLOOKUP(X$7,'REF Project Costs'!$A$4:$I$22,2,FALSE),0)*X$18</f>
        <v>0</v>
      </c>
      <c r="Y36" s="76">
        <f>IFERROR(VLOOKUP(Y$7,'REF Project Costs'!$A$4:$I$22,2,FALSE),0)*Y$18</f>
        <v>0</v>
      </c>
      <c r="Z36" s="76">
        <f>IFERROR(VLOOKUP(Z$7,'REF Project Costs'!$A$4:$I$22,2,FALSE),0)*Z$18</f>
        <v>0</v>
      </c>
      <c r="AA36" s="76">
        <f>IFERROR(VLOOKUP(AA$7,'REF Project Costs'!$A$4:$I$22,2,FALSE),0)*AA$18</f>
        <v>0</v>
      </c>
      <c r="AB36" s="76">
        <f>IFERROR(VLOOKUP(AB$7,'REF Project Costs'!$A$4:$I$22,2,FALSE),0)*AB$18</f>
        <v>213468.86061417777</v>
      </c>
      <c r="AC36" s="76">
        <f>IFERROR(VLOOKUP(AC$7,'REF Project Costs'!$A$4:$I$22,2,FALSE),0)*AC$18</f>
        <v>0</v>
      </c>
      <c r="AD36" s="76">
        <f>IFERROR(VLOOKUP(AD$7,'REF Project Costs'!$A$4:$I$22,2,FALSE),0)*AD$18</f>
        <v>0</v>
      </c>
      <c r="AE36" s="76">
        <f>IFERROR(VLOOKUP(AE$7,'REF Project Costs'!$A$4:$I$22,2,FALSE),0)*AE$18</f>
        <v>0</v>
      </c>
      <c r="AF36" s="76">
        <f>IFERROR(VLOOKUP(AF$7,'REF Project Costs'!$A$4:$I$22,2,FALSE),0)*AF$18</f>
        <v>0</v>
      </c>
      <c r="AG36" s="76">
        <f>IFERROR(VLOOKUP(AG$7,'REF Project Costs'!$A$4:$I$22,2,FALSE),0)*AG$18</f>
        <v>213468.86061417777</v>
      </c>
      <c r="AH36" s="76">
        <f>IFERROR(VLOOKUP(AH$7,'REF Project Costs'!$A$4:$I$22,2,FALSE),0)*AH$18</f>
        <v>0</v>
      </c>
      <c r="AI36" s="76">
        <f>IFERROR(VLOOKUP(AI$7,'REF Project Costs'!$A$4:$I$22,2,FALSE),0)*AI$18</f>
        <v>0</v>
      </c>
      <c r="AJ36" s="76">
        <f>IFERROR(VLOOKUP(AJ$7,'REF Project Costs'!$A$4:$I$22,2,FALSE),0)*AJ$18</f>
        <v>0</v>
      </c>
      <c r="AK36" s="76">
        <f>IFERROR(VLOOKUP(AK$7,'REF Project Costs'!$A$4:$I$22,2,FALSE),0)*AK$18</f>
        <v>0</v>
      </c>
      <c r="AL36" s="76">
        <f>IFERROR(VLOOKUP(AL$7,'REF Project Costs'!$A$4:$I$22,2,FALSE),0)*AL$18</f>
        <v>0</v>
      </c>
      <c r="AM36" s="76">
        <f>IFERROR(VLOOKUP(AM$7,'REF Project Costs'!$A$4:$I$22,2,FALSE),0)*AM$18</f>
        <v>0</v>
      </c>
      <c r="AN36" s="76">
        <f>IFERROR(VLOOKUP(AN$7,'REF Project Costs'!$A$4:$I$22,2,FALSE),0)*AN$18</f>
        <v>0</v>
      </c>
      <c r="AO36" s="76">
        <f>IFERROR(VLOOKUP(AO$7,'REF Project Costs'!$A$4:$I$22,2,FALSE),0)*AO$18</f>
        <v>0</v>
      </c>
      <c r="AP36" s="76">
        <f>IFERROR(VLOOKUP(AP$7,'REF Project Costs'!$A$4:$I$22,2,FALSE),0)*AP$18</f>
        <v>0</v>
      </c>
      <c r="AQ36" s="76">
        <f>IFERROR(VLOOKUP(AQ$7,'REF Project Costs'!$A$4:$I$22,2,FALSE),0)*AQ$18</f>
        <v>0</v>
      </c>
      <c r="AR36" s="76">
        <f>IFERROR(VLOOKUP(AR$7,'REF Project Costs'!$A$4:$I$22,2,FALSE),0)*AR$18</f>
        <v>0</v>
      </c>
    </row>
    <row r="37" spans="1:44" x14ac:dyDescent="0.2">
      <c r="B37" s="1" t="s">
        <v>239</v>
      </c>
      <c r="C37" s="71" t="s">
        <v>77</v>
      </c>
      <c r="D37" s="70">
        <f>SUM(F37:AR37)</f>
        <v>11586378.475894004</v>
      </c>
      <c r="F37" s="18">
        <f t="shared" ref="F37:AR37" si="18">SUM(F33:F36)</f>
        <v>0</v>
      </c>
      <c r="G37" s="18">
        <f t="shared" si="18"/>
        <v>0</v>
      </c>
      <c r="H37" s="18">
        <f t="shared" si="18"/>
        <v>0</v>
      </c>
      <c r="I37" s="18">
        <f t="shared" si="18"/>
        <v>0</v>
      </c>
      <c r="J37" s="18">
        <f t="shared" si="18"/>
        <v>0</v>
      </c>
      <c r="K37" s="18">
        <f t="shared" si="18"/>
        <v>0</v>
      </c>
      <c r="L37" s="18">
        <f t="shared" si="18"/>
        <v>0</v>
      </c>
      <c r="M37" s="18">
        <f t="shared" si="18"/>
        <v>0</v>
      </c>
      <c r="N37" s="18">
        <f t="shared" si="18"/>
        <v>0</v>
      </c>
      <c r="O37" s="18">
        <f t="shared" si="18"/>
        <v>0</v>
      </c>
      <c r="P37" s="18">
        <f t="shared" si="18"/>
        <v>10860584.349805798</v>
      </c>
      <c r="Q37" s="18">
        <f t="shared" si="18"/>
        <v>42693.772122835551</v>
      </c>
      <c r="R37" s="18">
        <f t="shared" si="18"/>
        <v>42693.772122835551</v>
      </c>
      <c r="S37" s="18">
        <f t="shared" si="18"/>
        <v>42693.772122835551</v>
      </c>
      <c r="T37" s="18">
        <f t="shared" si="18"/>
        <v>42693.772122835551</v>
      </c>
      <c r="U37" s="18">
        <f t="shared" si="18"/>
        <v>42693.772122835551</v>
      </c>
      <c r="V37" s="18">
        <f t="shared" si="18"/>
        <v>42693.772122835551</v>
      </c>
      <c r="W37" s="18">
        <f t="shared" si="18"/>
        <v>42693.772122835551</v>
      </c>
      <c r="X37" s="18">
        <f t="shared" si="18"/>
        <v>0</v>
      </c>
      <c r="Y37" s="18">
        <f t="shared" si="18"/>
        <v>0</v>
      </c>
      <c r="Z37" s="18">
        <f t="shared" si="18"/>
        <v>0</v>
      </c>
      <c r="AA37" s="18">
        <f t="shared" si="18"/>
        <v>0</v>
      </c>
      <c r="AB37" s="18">
        <f t="shared" si="18"/>
        <v>213468.86061417777</v>
      </c>
      <c r="AC37" s="18">
        <f t="shared" si="18"/>
        <v>0</v>
      </c>
      <c r="AD37" s="18">
        <f t="shared" si="18"/>
        <v>0</v>
      </c>
      <c r="AE37" s="18">
        <f t="shared" si="18"/>
        <v>0</v>
      </c>
      <c r="AF37" s="18">
        <f t="shared" si="18"/>
        <v>0</v>
      </c>
      <c r="AG37" s="18">
        <f t="shared" si="18"/>
        <v>213468.86061417777</v>
      </c>
      <c r="AH37" s="18">
        <f t="shared" si="18"/>
        <v>0</v>
      </c>
      <c r="AI37" s="18">
        <f t="shared" si="18"/>
        <v>0</v>
      </c>
      <c r="AJ37" s="18">
        <f t="shared" si="18"/>
        <v>0</v>
      </c>
      <c r="AK37" s="18">
        <f t="shared" si="18"/>
        <v>0</v>
      </c>
      <c r="AL37" s="18">
        <f t="shared" si="18"/>
        <v>0</v>
      </c>
      <c r="AM37" s="18">
        <f t="shared" si="18"/>
        <v>0</v>
      </c>
      <c r="AN37" s="18">
        <f t="shared" si="18"/>
        <v>0</v>
      </c>
      <c r="AO37" s="18">
        <f t="shared" si="18"/>
        <v>0</v>
      </c>
      <c r="AP37" s="18">
        <f t="shared" si="18"/>
        <v>0</v>
      </c>
      <c r="AQ37" s="18">
        <f t="shared" si="18"/>
        <v>0</v>
      </c>
      <c r="AR37" s="18">
        <f t="shared" si="18"/>
        <v>0</v>
      </c>
    </row>
    <row r="38" spans="1:44" x14ac:dyDescent="0.2">
      <c r="C38" s="71"/>
      <c r="D38" s="70"/>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row>
    <row r="39" spans="1:44" ht="15" x14ac:dyDescent="0.25">
      <c r="B39" s="2" t="s">
        <v>240</v>
      </c>
      <c r="C39" s="11"/>
    </row>
    <row r="40" spans="1:44" x14ac:dyDescent="0.2">
      <c r="B40" s="1" t="s">
        <v>241</v>
      </c>
      <c r="C40" s="71" t="s">
        <v>77</v>
      </c>
      <c r="D40" s="70">
        <f>SUM(F40:AR40)</f>
        <v>11586378.475894004</v>
      </c>
      <c r="E40" s="18"/>
      <c r="F40" s="18">
        <f>F$37*F15</f>
        <v>0</v>
      </c>
      <c r="G40" s="18">
        <f t="shared" ref="G40:AR40" si="19">G$37*G15</f>
        <v>0</v>
      </c>
      <c r="H40" s="18">
        <f t="shared" si="19"/>
        <v>0</v>
      </c>
      <c r="I40" s="18">
        <f t="shared" si="19"/>
        <v>0</v>
      </c>
      <c r="J40" s="18">
        <f t="shared" si="19"/>
        <v>0</v>
      </c>
      <c r="K40" s="18">
        <f t="shared" si="19"/>
        <v>0</v>
      </c>
      <c r="L40" s="18">
        <f t="shared" si="19"/>
        <v>0</v>
      </c>
      <c r="M40" s="18">
        <f t="shared" si="19"/>
        <v>0</v>
      </c>
      <c r="N40" s="18">
        <f t="shared" si="19"/>
        <v>0</v>
      </c>
      <c r="O40" s="18">
        <f t="shared" si="19"/>
        <v>0</v>
      </c>
      <c r="P40" s="18">
        <f t="shared" si="19"/>
        <v>10860584.349805798</v>
      </c>
      <c r="Q40" s="18">
        <f t="shared" si="19"/>
        <v>42693.772122835551</v>
      </c>
      <c r="R40" s="18">
        <f t="shared" si="19"/>
        <v>42693.772122835551</v>
      </c>
      <c r="S40" s="18">
        <f t="shared" si="19"/>
        <v>42693.772122835551</v>
      </c>
      <c r="T40" s="18">
        <f t="shared" si="19"/>
        <v>42693.772122835551</v>
      </c>
      <c r="U40" s="18">
        <f t="shared" si="19"/>
        <v>42693.772122835551</v>
      </c>
      <c r="V40" s="18">
        <f t="shared" si="19"/>
        <v>42693.772122835551</v>
      </c>
      <c r="W40" s="18">
        <f t="shared" si="19"/>
        <v>42693.772122835551</v>
      </c>
      <c r="X40" s="18">
        <f t="shared" si="19"/>
        <v>0</v>
      </c>
      <c r="Y40" s="18">
        <f t="shared" si="19"/>
        <v>0</v>
      </c>
      <c r="Z40" s="18">
        <f t="shared" si="19"/>
        <v>0</v>
      </c>
      <c r="AA40" s="18">
        <f t="shared" si="19"/>
        <v>0</v>
      </c>
      <c r="AB40" s="18">
        <f t="shared" si="19"/>
        <v>213468.86061417777</v>
      </c>
      <c r="AC40" s="18">
        <f t="shared" si="19"/>
        <v>0</v>
      </c>
      <c r="AD40" s="18">
        <f t="shared" si="19"/>
        <v>0</v>
      </c>
      <c r="AE40" s="18">
        <f t="shared" si="19"/>
        <v>0</v>
      </c>
      <c r="AF40" s="18">
        <f t="shared" si="19"/>
        <v>0</v>
      </c>
      <c r="AG40" s="18">
        <f t="shared" si="19"/>
        <v>213468.86061417777</v>
      </c>
      <c r="AH40" s="18">
        <f t="shared" si="19"/>
        <v>0</v>
      </c>
      <c r="AI40" s="18">
        <f t="shared" si="19"/>
        <v>0</v>
      </c>
      <c r="AJ40" s="18">
        <f t="shared" si="19"/>
        <v>0</v>
      </c>
      <c r="AK40" s="18">
        <f t="shared" si="19"/>
        <v>0</v>
      </c>
      <c r="AL40" s="18">
        <f t="shared" si="19"/>
        <v>0</v>
      </c>
      <c r="AM40" s="18">
        <f t="shared" si="19"/>
        <v>0</v>
      </c>
      <c r="AN40" s="18">
        <f t="shared" si="19"/>
        <v>0</v>
      </c>
      <c r="AO40" s="18">
        <f t="shared" si="19"/>
        <v>0</v>
      </c>
      <c r="AP40" s="18">
        <f t="shared" si="19"/>
        <v>0</v>
      </c>
      <c r="AQ40" s="18">
        <f t="shared" si="19"/>
        <v>0</v>
      </c>
      <c r="AR40" s="18">
        <f t="shared" si="19"/>
        <v>0</v>
      </c>
    </row>
    <row r="41" spans="1:44" x14ac:dyDescent="0.2">
      <c r="B41" s="1" t="s">
        <v>242</v>
      </c>
      <c r="C41" s="71" t="s">
        <v>77</v>
      </c>
      <c r="D41" s="70">
        <f>SUM(F41:AR41)</f>
        <v>9273677.4773619007</v>
      </c>
      <c r="E41" s="18"/>
      <c r="F41" s="18">
        <f t="shared" ref="F41:AR41" si="20">F$37*F16</f>
        <v>0</v>
      </c>
      <c r="G41" s="18">
        <f t="shared" si="20"/>
        <v>0</v>
      </c>
      <c r="H41" s="18">
        <f t="shared" si="20"/>
        <v>0</v>
      </c>
      <c r="I41" s="18">
        <f t="shared" si="20"/>
        <v>0</v>
      </c>
      <c r="J41" s="18">
        <f t="shared" si="20"/>
        <v>0</v>
      </c>
      <c r="K41" s="18">
        <f t="shared" si="20"/>
        <v>0</v>
      </c>
      <c r="L41" s="18">
        <f t="shared" si="20"/>
        <v>0</v>
      </c>
      <c r="M41" s="18">
        <f t="shared" si="20"/>
        <v>0</v>
      </c>
      <c r="N41" s="18">
        <f t="shared" si="20"/>
        <v>0</v>
      </c>
      <c r="O41" s="18">
        <f t="shared" si="20"/>
        <v>0</v>
      </c>
      <c r="P41" s="18">
        <f t="shared" si="20"/>
        <v>8830648.943055572</v>
      </c>
      <c r="Q41" s="18">
        <f t="shared" si="20"/>
        <v>33702.857961461268</v>
      </c>
      <c r="R41" s="18">
        <f t="shared" si="20"/>
        <v>32721.221321807057</v>
      </c>
      <c r="S41" s="18">
        <f t="shared" si="20"/>
        <v>31768.176040589373</v>
      </c>
      <c r="T41" s="18">
        <f t="shared" si="20"/>
        <v>30842.88935979551</v>
      </c>
      <c r="U41" s="18">
        <f t="shared" si="20"/>
        <v>29944.552776500499</v>
      </c>
      <c r="V41" s="18">
        <f t="shared" si="20"/>
        <v>29072.381336408253</v>
      </c>
      <c r="W41" s="18">
        <f t="shared" si="20"/>
        <v>28225.612947969174</v>
      </c>
      <c r="X41" s="18">
        <f t="shared" si="20"/>
        <v>0</v>
      </c>
      <c r="Y41" s="18">
        <f t="shared" si="20"/>
        <v>0</v>
      </c>
      <c r="Z41" s="18">
        <f t="shared" si="20"/>
        <v>0</v>
      </c>
      <c r="AA41" s="18">
        <f t="shared" si="20"/>
        <v>0</v>
      </c>
      <c r="AB41" s="18">
        <f t="shared" si="20"/>
        <v>121738.30836772805</v>
      </c>
      <c r="AC41" s="18">
        <f t="shared" si="20"/>
        <v>0</v>
      </c>
      <c r="AD41" s="18">
        <f t="shared" si="20"/>
        <v>0</v>
      </c>
      <c r="AE41" s="18">
        <f t="shared" si="20"/>
        <v>0</v>
      </c>
      <c r="AF41" s="18">
        <f t="shared" si="20"/>
        <v>0</v>
      </c>
      <c r="AG41" s="18">
        <f t="shared" si="20"/>
        <v>105012.53419407042</v>
      </c>
      <c r="AH41" s="18">
        <f t="shared" si="20"/>
        <v>0</v>
      </c>
      <c r="AI41" s="18">
        <f t="shared" si="20"/>
        <v>0</v>
      </c>
      <c r="AJ41" s="18">
        <f t="shared" si="20"/>
        <v>0</v>
      </c>
      <c r="AK41" s="18">
        <f t="shared" si="20"/>
        <v>0</v>
      </c>
      <c r="AL41" s="18">
        <f t="shared" si="20"/>
        <v>0</v>
      </c>
      <c r="AM41" s="18">
        <f t="shared" si="20"/>
        <v>0</v>
      </c>
      <c r="AN41" s="18">
        <f t="shared" si="20"/>
        <v>0</v>
      </c>
      <c r="AO41" s="18">
        <f t="shared" si="20"/>
        <v>0</v>
      </c>
      <c r="AP41" s="18">
        <f t="shared" si="20"/>
        <v>0</v>
      </c>
      <c r="AQ41" s="18">
        <f t="shared" si="20"/>
        <v>0</v>
      </c>
      <c r="AR41" s="18">
        <f t="shared" si="20"/>
        <v>0</v>
      </c>
    </row>
    <row r="42" spans="1:44" x14ac:dyDescent="0.2">
      <c r="B42" s="1" t="s">
        <v>243</v>
      </c>
      <c r="C42" s="71" t="s">
        <v>77</v>
      </c>
      <c r="D42" s="70">
        <f>SUM(F42:AR42)</f>
        <v>7007824.6073510172</v>
      </c>
      <c r="E42" s="18"/>
      <c r="F42" s="18">
        <f t="shared" ref="F42:AR42" si="21">F$37*F17</f>
        <v>0</v>
      </c>
      <c r="G42" s="18">
        <f t="shared" si="21"/>
        <v>0</v>
      </c>
      <c r="H42" s="18">
        <f t="shared" si="21"/>
        <v>0</v>
      </c>
      <c r="I42" s="18">
        <f t="shared" si="21"/>
        <v>0</v>
      </c>
      <c r="J42" s="18">
        <f t="shared" si="21"/>
        <v>0</v>
      </c>
      <c r="K42" s="18">
        <f t="shared" si="21"/>
        <v>0</v>
      </c>
      <c r="L42" s="18">
        <f t="shared" si="21"/>
        <v>0</v>
      </c>
      <c r="M42" s="18">
        <f t="shared" si="21"/>
        <v>0</v>
      </c>
      <c r="N42" s="18">
        <f t="shared" si="21"/>
        <v>0</v>
      </c>
      <c r="O42" s="18">
        <f t="shared" si="21"/>
        <v>0</v>
      </c>
      <c r="P42" s="18">
        <f t="shared" si="21"/>
        <v>6763426.1005573906</v>
      </c>
      <c r="Q42" s="18">
        <f t="shared" si="21"/>
        <v>24848.164083715317</v>
      </c>
      <c r="R42" s="18">
        <f t="shared" si="21"/>
        <v>23222.58325580871</v>
      </c>
      <c r="S42" s="18">
        <f t="shared" si="21"/>
        <v>21703.348837204401</v>
      </c>
      <c r="T42" s="18">
        <f t="shared" si="21"/>
        <v>20283.503586172334</v>
      </c>
      <c r="U42" s="18">
        <f t="shared" si="21"/>
        <v>18956.545407637699</v>
      </c>
      <c r="V42" s="18">
        <f t="shared" si="21"/>
        <v>17716.397577231492</v>
      </c>
      <c r="W42" s="18">
        <f t="shared" si="21"/>
        <v>16557.380913300462</v>
      </c>
      <c r="X42" s="18">
        <f t="shared" si="21"/>
        <v>0</v>
      </c>
      <c r="Y42" s="18">
        <f t="shared" si="21"/>
        <v>0</v>
      </c>
      <c r="Z42" s="18">
        <f t="shared" si="21"/>
        <v>0</v>
      </c>
      <c r="AA42" s="18">
        <f t="shared" si="21"/>
        <v>0</v>
      </c>
      <c r="AB42" s="18">
        <f t="shared" si="21"/>
        <v>59025.918798149549</v>
      </c>
      <c r="AC42" s="18">
        <f t="shared" si="21"/>
        <v>0</v>
      </c>
      <c r="AD42" s="18">
        <f t="shared" si="21"/>
        <v>0</v>
      </c>
      <c r="AE42" s="18">
        <f t="shared" si="21"/>
        <v>0</v>
      </c>
      <c r="AF42" s="18">
        <f t="shared" si="21"/>
        <v>0</v>
      </c>
      <c r="AG42" s="18">
        <f t="shared" si="21"/>
        <v>42084.66433440589</v>
      </c>
      <c r="AH42" s="18">
        <f t="shared" si="21"/>
        <v>0</v>
      </c>
      <c r="AI42" s="18">
        <f t="shared" si="21"/>
        <v>0</v>
      </c>
      <c r="AJ42" s="18">
        <f t="shared" si="21"/>
        <v>0</v>
      </c>
      <c r="AK42" s="18">
        <f t="shared" si="21"/>
        <v>0</v>
      </c>
      <c r="AL42" s="18">
        <f t="shared" si="21"/>
        <v>0</v>
      </c>
      <c r="AM42" s="18">
        <f t="shared" si="21"/>
        <v>0</v>
      </c>
      <c r="AN42" s="18">
        <f t="shared" si="21"/>
        <v>0</v>
      </c>
      <c r="AO42" s="18">
        <f t="shared" si="21"/>
        <v>0</v>
      </c>
      <c r="AP42" s="18">
        <f t="shared" si="21"/>
        <v>0</v>
      </c>
      <c r="AQ42" s="18">
        <f t="shared" si="21"/>
        <v>0</v>
      </c>
      <c r="AR42" s="18">
        <f t="shared" si="21"/>
        <v>0</v>
      </c>
    </row>
    <row r="43" spans="1:44" x14ac:dyDescent="0.2">
      <c r="C43" s="11"/>
    </row>
    <row r="44" spans="1:44" s="260" customFormat="1" x14ac:dyDescent="0.2">
      <c r="A44" s="261" t="s">
        <v>245</v>
      </c>
    </row>
    <row r="45" spans="1:44" ht="15" x14ac:dyDescent="0.25">
      <c r="A45" s="2" t="s">
        <v>234</v>
      </c>
    </row>
    <row r="46" spans="1:44" x14ac:dyDescent="0.2">
      <c r="B46" s="1" t="s">
        <v>23</v>
      </c>
      <c r="C46" s="71" t="s">
        <v>77</v>
      </c>
      <c r="D46" s="70">
        <f t="shared" ref="D46:D50" si="22">SUM(F46:AR46)</f>
        <v>187852597.34047642</v>
      </c>
      <c r="F46" s="18">
        <f>IFERROR(VLOOKUP(F$7,'REF Project Costs'!$A$4:$I$22,4,FALSE),0)</f>
        <v>0</v>
      </c>
      <c r="G46" s="18">
        <f>IFERROR(VLOOKUP(G$7,'REF Project Costs'!$A$4:$I$22,4,FALSE),0)</f>
        <v>0</v>
      </c>
      <c r="H46" s="18">
        <f>IFERROR(VLOOKUP(H$7,'REF Project Costs'!$A$4:$I$22,4,FALSE),0)</f>
        <v>0</v>
      </c>
      <c r="I46" s="18">
        <f>IFERROR(VLOOKUP(I$7,'REF Project Costs'!$A$4:$I$22,4,FALSE),0)</f>
        <v>0</v>
      </c>
      <c r="J46" s="18">
        <f>IFERROR(VLOOKUP(J$7,'REF Project Costs'!$A$4:$I$22,4,FALSE),0)</f>
        <v>0</v>
      </c>
      <c r="K46" s="18">
        <f>IFERROR(VLOOKUP(K$7,'REF Project Costs'!$A$4:$I$22,4,FALSE),0)</f>
        <v>0</v>
      </c>
      <c r="L46" s="18">
        <f>IFERROR(VLOOKUP(L$7,'REF Project Costs'!$A$4:$I$22,4,FALSE),0)</f>
        <v>0</v>
      </c>
      <c r="M46" s="18">
        <f>IFERROR(VLOOKUP(M$7,'REF Project Costs'!$A$4:$I$22,4,FALSE),0)</f>
        <v>62617532.446825475</v>
      </c>
      <c r="N46" s="18">
        <f>IFERROR(VLOOKUP(N$7,'REF Project Costs'!$A$4:$I$22,4,FALSE),0)</f>
        <v>62617532.446825475</v>
      </c>
      <c r="O46" s="18">
        <f>IFERROR(VLOOKUP(O$7,'REF Project Costs'!$A$4:$I$22,4,FALSE),0)</f>
        <v>62617532.446825475</v>
      </c>
      <c r="P46" s="18">
        <f>IFERROR(VLOOKUP(P$7,'REF Project Costs'!$A$4:$I$22,4,FALSE),0)</f>
        <v>0</v>
      </c>
      <c r="Q46" s="18">
        <f>IFERROR(VLOOKUP(Q$7,'REF Project Costs'!$A$4:$I$22,4,FALSE),0)</f>
        <v>0</v>
      </c>
      <c r="R46" s="18">
        <f>IFERROR(VLOOKUP(R$7,'REF Project Costs'!$A$4:$I$22,4,FALSE),0)</f>
        <v>0</v>
      </c>
      <c r="S46" s="18">
        <f>IFERROR(VLOOKUP(S$7,'REF Project Costs'!$A$4:$I$22,4,FALSE),0)</f>
        <v>0</v>
      </c>
      <c r="T46" s="18">
        <f>IFERROR(VLOOKUP(T$7,'REF Project Costs'!$A$4:$I$22,4,FALSE),0)</f>
        <v>0</v>
      </c>
      <c r="U46" s="18">
        <f>IFERROR(VLOOKUP(U$7,'REF Project Costs'!$A$4:$I$22,4,FALSE),0)</f>
        <v>0</v>
      </c>
      <c r="V46" s="18">
        <f>IFERROR(VLOOKUP(V$7,'REF Project Costs'!$A$4:$I$22,4,FALSE),0)</f>
        <v>0</v>
      </c>
      <c r="W46" s="18">
        <f>IFERROR(VLOOKUP(W$7,'REF Project Costs'!$A$4:$I$22,4,FALSE),0)</f>
        <v>0</v>
      </c>
      <c r="X46" s="18">
        <f>IFERROR(VLOOKUP(X$7,'REF Project Costs'!$A$4:$I$22,4,FALSE),0)</f>
        <v>0</v>
      </c>
      <c r="Y46" s="18">
        <f>IFERROR(VLOOKUP(Y$7,'REF Project Costs'!$A$4:$I$22,4,FALSE),0)</f>
        <v>0</v>
      </c>
      <c r="Z46" s="18">
        <f>IFERROR(VLOOKUP(Z$7,'REF Project Costs'!$A$4:$I$22,4,FALSE),0)</f>
        <v>0</v>
      </c>
      <c r="AA46" s="18">
        <f>IFERROR(VLOOKUP(AA$7,'REF Project Costs'!$A$4:$I$22,4,FALSE),0)</f>
        <v>0</v>
      </c>
      <c r="AB46" s="18">
        <f>IFERROR(VLOOKUP(AB$7,'REF Project Costs'!$A$4:$I$22,4,FALSE),0)</f>
        <v>0</v>
      </c>
      <c r="AC46" s="18">
        <f>IFERROR(VLOOKUP(AC$7,'REF Project Costs'!$A$4:$I$22,4,FALSE),0)</f>
        <v>0</v>
      </c>
      <c r="AD46" s="18">
        <f>IFERROR(VLOOKUP(AD$7,'REF Project Costs'!$A$4:$I$22,4,FALSE),0)</f>
        <v>0</v>
      </c>
      <c r="AE46" s="18">
        <f>IFERROR(VLOOKUP(AE$7,'REF Project Costs'!$A$4:$I$22,4,FALSE),0)</f>
        <v>0</v>
      </c>
      <c r="AF46" s="18">
        <f>IFERROR(VLOOKUP(AF$7,'REF Project Costs'!$A$4:$I$22,4,FALSE),0)</f>
        <v>0</v>
      </c>
      <c r="AG46" s="18">
        <f>IFERROR(VLOOKUP(AG$7,'REF Project Costs'!$A$4:$I$22,4,FALSE),0)</f>
        <v>0</v>
      </c>
      <c r="AH46" s="18">
        <f>IFERROR(VLOOKUP(AH$7,'REF Project Costs'!$A$4:$I$22,4,FALSE),0)</f>
        <v>0</v>
      </c>
      <c r="AI46" s="18">
        <f>IFERROR(VLOOKUP(AI$7,'REF Project Costs'!$A$4:$I$22,4,FALSE),0)</f>
        <v>0</v>
      </c>
      <c r="AJ46" s="18">
        <f>IFERROR(VLOOKUP(AJ$7,'REF Project Costs'!$A$4:$I$22,4,FALSE),0)</f>
        <v>0</v>
      </c>
      <c r="AK46" s="18">
        <f>IFERROR(VLOOKUP(AK$7,'REF Project Costs'!$A$4:$I$22,4,FALSE),0)</f>
        <v>0</v>
      </c>
      <c r="AL46" s="18">
        <f>IFERROR(VLOOKUP(AL$7,'REF Project Costs'!$A$4:$I$22,4,FALSE),0)</f>
        <v>0</v>
      </c>
      <c r="AM46" s="18">
        <f>IFERROR(VLOOKUP(AM$7,'REF Project Costs'!$A$4:$I$22,4,FALSE),0)</f>
        <v>0</v>
      </c>
      <c r="AN46" s="18">
        <f>IFERROR(VLOOKUP(AN$7,'REF Project Costs'!$A$4:$I$22,4,FALSE),0)</f>
        <v>0</v>
      </c>
      <c r="AO46" s="18">
        <f>IFERROR(VLOOKUP(AO$7,'REF Project Costs'!$A$4:$I$22,4,FALSE),0)</f>
        <v>0</v>
      </c>
      <c r="AP46" s="18">
        <f>IFERROR(VLOOKUP(AP$7,'REF Project Costs'!$A$4:$I$22,4,FALSE),0)</f>
        <v>0</v>
      </c>
      <c r="AQ46" s="18">
        <f>IFERROR(VLOOKUP(AQ$7,'REF Project Costs'!$A$4:$I$22,4,FALSE),0)</f>
        <v>0</v>
      </c>
      <c r="AR46" s="18">
        <f>IFERROR(VLOOKUP(AR$7,'REF Project Costs'!$A$4:$I$22,4,FALSE),0)</f>
        <v>0</v>
      </c>
    </row>
    <row r="47" spans="1:44" x14ac:dyDescent="0.2">
      <c r="B47" s="1" t="s">
        <v>238</v>
      </c>
      <c r="C47" s="71" t="s">
        <v>77</v>
      </c>
      <c r="D47" s="70">
        <f t="shared" si="22"/>
        <v>10246505.309480533</v>
      </c>
      <c r="F47" s="18">
        <f>IFERROR(VLOOKUP(F$7,'REF Project Costs'!$A$4:$I$22,6,FALSE),0)</f>
        <v>0</v>
      </c>
      <c r="G47" s="18">
        <f>IFERROR(VLOOKUP(G$7,'REF Project Costs'!$A$4:$I$22,6,FALSE),0)</f>
        <v>0</v>
      </c>
      <c r="H47" s="18">
        <f>IFERROR(VLOOKUP(H$7,'REF Project Costs'!$A$4:$I$22,6,FALSE),0)</f>
        <v>0</v>
      </c>
      <c r="I47" s="18">
        <f>IFERROR(VLOOKUP(I$7,'REF Project Costs'!$A$4:$I$22,6,FALSE),0)</f>
        <v>0</v>
      </c>
      <c r="J47" s="18">
        <f>IFERROR(VLOOKUP(J$7,'REF Project Costs'!$A$4:$I$22,6,FALSE),0)</f>
        <v>0</v>
      </c>
      <c r="K47" s="18">
        <f>IFERROR(VLOOKUP(K$7,'REF Project Costs'!$A$4:$I$22,6,FALSE),0)</f>
        <v>0</v>
      </c>
      <c r="L47" s="18">
        <f>IFERROR(VLOOKUP(L$7,'REF Project Costs'!$A$4:$I$22,6,FALSE),0)</f>
        <v>0</v>
      </c>
      <c r="M47" s="18">
        <f>IFERROR(VLOOKUP(M$7,'REF Project Costs'!$A$4:$I$22,6,FALSE),0)</f>
        <v>0</v>
      </c>
      <c r="N47" s="18">
        <f>IFERROR(VLOOKUP(N$7,'REF Project Costs'!$A$4:$I$22,6,FALSE),0)</f>
        <v>10246505.309480533</v>
      </c>
      <c r="O47" s="18">
        <f>IFERROR(VLOOKUP(O$7,'REF Project Costs'!$A$4:$I$22,6,FALSE),0)</f>
        <v>0</v>
      </c>
      <c r="P47" s="18">
        <f>IFERROR(VLOOKUP(P$7,'REF Project Costs'!$A$4:$I$22,6,FALSE),0)</f>
        <v>0</v>
      </c>
      <c r="Q47" s="18">
        <f>IFERROR(VLOOKUP(Q$7,'REF Project Costs'!$A$4:$I$22,6,FALSE),0)</f>
        <v>0</v>
      </c>
      <c r="R47" s="18">
        <f>IFERROR(VLOOKUP(R$7,'REF Project Costs'!$A$4:$I$22,6,FALSE),0)</f>
        <v>0</v>
      </c>
      <c r="S47" s="18">
        <f>IFERROR(VLOOKUP(S$7,'REF Project Costs'!$A$4:$I$22,6,FALSE),0)</f>
        <v>0</v>
      </c>
      <c r="T47" s="18">
        <f>IFERROR(VLOOKUP(T$7,'REF Project Costs'!$A$4:$I$22,6,FALSE),0)</f>
        <v>0</v>
      </c>
      <c r="U47" s="18">
        <f>IFERROR(VLOOKUP(U$7,'REF Project Costs'!$A$4:$I$22,6,FALSE),0)</f>
        <v>0</v>
      </c>
      <c r="V47" s="18">
        <f>IFERROR(VLOOKUP(V$7,'REF Project Costs'!$A$4:$I$22,6,FALSE),0)</f>
        <v>0</v>
      </c>
      <c r="W47" s="18">
        <f>IFERROR(VLOOKUP(W$7,'REF Project Costs'!$A$4:$I$22,6,FALSE),0)</f>
        <v>0</v>
      </c>
      <c r="X47" s="18">
        <f>IFERROR(VLOOKUP(X$7,'REF Project Costs'!$A$4:$I$22,6,FALSE),0)</f>
        <v>0</v>
      </c>
      <c r="Y47" s="18">
        <f>IFERROR(VLOOKUP(Y$7,'REF Project Costs'!$A$4:$I$22,6,FALSE),0)</f>
        <v>0</v>
      </c>
      <c r="Z47" s="18">
        <f>IFERROR(VLOOKUP(Z$7,'REF Project Costs'!$A$4:$I$22,6,FALSE),0)</f>
        <v>0</v>
      </c>
      <c r="AA47" s="18">
        <f>IFERROR(VLOOKUP(AA$7,'REF Project Costs'!$A$4:$I$22,6,FALSE),0)</f>
        <v>0</v>
      </c>
      <c r="AB47" s="18">
        <f>IFERROR(VLOOKUP(AB$7,'REF Project Costs'!$A$4:$I$22,6,FALSE),0)</f>
        <v>0</v>
      </c>
      <c r="AC47" s="18">
        <f>IFERROR(VLOOKUP(AC$7,'REF Project Costs'!$A$4:$I$22,6,FALSE),0)</f>
        <v>0</v>
      </c>
      <c r="AD47" s="18">
        <f>IFERROR(VLOOKUP(AD$7,'REF Project Costs'!$A$4:$I$22,6,FALSE),0)</f>
        <v>0</v>
      </c>
      <c r="AE47" s="18">
        <f>IFERROR(VLOOKUP(AE$7,'REF Project Costs'!$A$4:$I$22,6,FALSE),0)</f>
        <v>0</v>
      </c>
      <c r="AF47" s="18">
        <f>IFERROR(VLOOKUP(AF$7,'REF Project Costs'!$A$4:$I$22,6,FALSE),0)</f>
        <v>0</v>
      </c>
      <c r="AG47" s="18">
        <f>IFERROR(VLOOKUP(AG$7,'REF Project Costs'!$A$4:$I$22,6,FALSE),0)</f>
        <v>0</v>
      </c>
      <c r="AH47" s="18">
        <f>IFERROR(VLOOKUP(AH$7,'REF Project Costs'!$A$4:$I$22,6,FALSE),0)</f>
        <v>0</v>
      </c>
      <c r="AI47" s="18">
        <f>IFERROR(VLOOKUP(AI$7,'REF Project Costs'!$A$4:$I$22,6,FALSE),0)</f>
        <v>0</v>
      </c>
      <c r="AJ47" s="18">
        <f>IFERROR(VLOOKUP(AJ$7,'REF Project Costs'!$A$4:$I$22,6,FALSE),0)</f>
        <v>0</v>
      </c>
      <c r="AK47" s="18">
        <f>IFERROR(VLOOKUP(AK$7,'REF Project Costs'!$A$4:$I$22,6,FALSE),0)</f>
        <v>0</v>
      </c>
      <c r="AL47" s="18">
        <f>IFERROR(VLOOKUP(AL$7,'REF Project Costs'!$A$4:$I$22,6,FALSE),0)</f>
        <v>0</v>
      </c>
      <c r="AM47" s="18">
        <f>IFERROR(VLOOKUP(AM$7,'REF Project Costs'!$A$4:$I$22,6,FALSE),0)</f>
        <v>0</v>
      </c>
      <c r="AN47" s="18">
        <f>IFERROR(VLOOKUP(AN$7,'REF Project Costs'!$A$4:$I$22,6,FALSE),0)</f>
        <v>0</v>
      </c>
      <c r="AO47" s="18">
        <f>IFERROR(VLOOKUP(AO$7,'REF Project Costs'!$A$4:$I$22,6,FALSE),0)</f>
        <v>0</v>
      </c>
      <c r="AP47" s="18">
        <f>IFERROR(VLOOKUP(AP$7,'REF Project Costs'!$A$4:$I$22,6,FALSE),0)</f>
        <v>0</v>
      </c>
      <c r="AQ47" s="18">
        <f>IFERROR(VLOOKUP(AQ$7,'REF Project Costs'!$A$4:$I$22,6,FALSE),0)</f>
        <v>0</v>
      </c>
      <c r="AR47" s="18">
        <f>IFERROR(VLOOKUP(AR$7,'REF Project Costs'!$A$4:$I$22,6,FALSE),0)</f>
        <v>0</v>
      </c>
    </row>
    <row r="48" spans="1:44" x14ac:dyDescent="0.2">
      <c r="B48" s="1" t="s">
        <v>237</v>
      </c>
      <c r="C48" s="71" t="s">
        <v>77</v>
      </c>
      <c r="D48" s="70">
        <f t="shared" si="22"/>
        <v>2134688.6061417777</v>
      </c>
      <c r="F48" s="18">
        <f>IFERROR(VLOOKUP(F$7,'REF Project Costs'!$A$4:$I$22,7,FALSE),0)</f>
        <v>0</v>
      </c>
      <c r="G48" s="18">
        <f>IFERROR(VLOOKUP(G$7,'REF Project Costs'!$A$4:$I$22,7,FALSE),0)</f>
        <v>0</v>
      </c>
      <c r="H48" s="18">
        <f>IFERROR(VLOOKUP(H$7,'REF Project Costs'!$A$4:$I$22,7,FALSE),0)</f>
        <v>0</v>
      </c>
      <c r="I48" s="18">
        <f>IFERROR(VLOOKUP(I$7,'REF Project Costs'!$A$4:$I$22,7,FALSE),0)</f>
        <v>0</v>
      </c>
      <c r="J48" s="18">
        <f>IFERROR(VLOOKUP(J$7,'REF Project Costs'!$A$4:$I$22,7,FALSE),0)</f>
        <v>0</v>
      </c>
      <c r="K48" s="18">
        <f>IFERROR(VLOOKUP(K$7,'REF Project Costs'!$A$4:$I$22,7,FALSE),0)</f>
        <v>0</v>
      </c>
      <c r="L48" s="18">
        <f>IFERROR(VLOOKUP(L$7,'REF Project Costs'!$A$4:$I$22,7,FALSE),0)</f>
        <v>0</v>
      </c>
      <c r="M48" s="18">
        <f>IFERROR(VLOOKUP(M$7,'REF Project Costs'!$A$4:$I$22,7,FALSE),0)</f>
        <v>2134688.6061417777</v>
      </c>
      <c r="N48" s="18">
        <f>IFERROR(VLOOKUP(N$7,'REF Project Costs'!$A$4:$I$22,7,FALSE),0)</f>
        <v>0</v>
      </c>
      <c r="O48" s="18">
        <f>IFERROR(VLOOKUP(O$7,'REF Project Costs'!$A$4:$I$22,7,FALSE),0)</f>
        <v>0</v>
      </c>
      <c r="P48" s="18">
        <f>IFERROR(VLOOKUP(P$7,'REF Project Costs'!$A$4:$I$22,7,FALSE),0)</f>
        <v>0</v>
      </c>
      <c r="Q48" s="18">
        <f>IFERROR(VLOOKUP(Q$7,'REF Project Costs'!$A$4:$I$22,7,FALSE),0)</f>
        <v>0</v>
      </c>
      <c r="R48" s="18">
        <f>IFERROR(VLOOKUP(R$7,'REF Project Costs'!$A$4:$I$22,7,FALSE),0)</f>
        <v>0</v>
      </c>
      <c r="S48" s="18">
        <f>IFERROR(VLOOKUP(S$7,'REF Project Costs'!$A$4:$I$22,7,FALSE),0)</f>
        <v>0</v>
      </c>
      <c r="T48" s="18">
        <f>IFERROR(VLOOKUP(T$7,'REF Project Costs'!$A$4:$I$22,7,FALSE),0)</f>
        <v>0</v>
      </c>
      <c r="U48" s="18">
        <f>IFERROR(VLOOKUP(U$7,'REF Project Costs'!$A$4:$I$22,7,FALSE),0)</f>
        <v>0</v>
      </c>
      <c r="V48" s="18">
        <f>IFERROR(VLOOKUP(V$7,'REF Project Costs'!$A$4:$I$22,7,FALSE),0)</f>
        <v>0</v>
      </c>
      <c r="W48" s="18">
        <f>IFERROR(VLOOKUP(W$7,'REF Project Costs'!$A$4:$I$22,7,FALSE),0)</f>
        <v>0</v>
      </c>
      <c r="X48" s="18">
        <f>IFERROR(VLOOKUP(X$7,'REF Project Costs'!$A$4:$I$22,7,FALSE),0)</f>
        <v>0</v>
      </c>
      <c r="Y48" s="18">
        <f>IFERROR(VLOOKUP(Y$7,'REF Project Costs'!$A$4:$I$22,7,FALSE),0)</f>
        <v>0</v>
      </c>
      <c r="Z48" s="18">
        <f>IFERROR(VLOOKUP(Z$7,'REF Project Costs'!$A$4:$I$22,7,FALSE),0)</f>
        <v>0</v>
      </c>
      <c r="AA48" s="18">
        <f>IFERROR(VLOOKUP(AA$7,'REF Project Costs'!$A$4:$I$22,7,FALSE),0)</f>
        <v>0</v>
      </c>
      <c r="AB48" s="18">
        <f>IFERROR(VLOOKUP(AB$7,'REF Project Costs'!$A$4:$I$22,7,FALSE),0)</f>
        <v>0</v>
      </c>
      <c r="AC48" s="18">
        <f>IFERROR(VLOOKUP(AC$7,'REF Project Costs'!$A$4:$I$22,7,FALSE),0)</f>
        <v>0</v>
      </c>
      <c r="AD48" s="18">
        <f>IFERROR(VLOOKUP(AD$7,'REF Project Costs'!$A$4:$I$22,7,FALSE),0)</f>
        <v>0</v>
      </c>
      <c r="AE48" s="18">
        <f>IFERROR(VLOOKUP(AE$7,'REF Project Costs'!$A$4:$I$22,7,FALSE),0)</f>
        <v>0</v>
      </c>
      <c r="AF48" s="18">
        <f>IFERROR(VLOOKUP(AF$7,'REF Project Costs'!$A$4:$I$22,7,FALSE),0)</f>
        <v>0</v>
      </c>
      <c r="AG48" s="18">
        <f>IFERROR(VLOOKUP(AG$7,'REF Project Costs'!$A$4:$I$22,7,FALSE),0)</f>
        <v>0</v>
      </c>
      <c r="AH48" s="18">
        <f>IFERROR(VLOOKUP(AH$7,'REF Project Costs'!$A$4:$I$22,7,FALSE),0)</f>
        <v>0</v>
      </c>
      <c r="AI48" s="18">
        <f>IFERROR(VLOOKUP(AI$7,'REF Project Costs'!$A$4:$I$22,7,FALSE),0)</f>
        <v>0</v>
      </c>
      <c r="AJ48" s="18">
        <f>IFERROR(VLOOKUP(AJ$7,'REF Project Costs'!$A$4:$I$22,7,FALSE),0)</f>
        <v>0</v>
      </c>
      <c r="AK48" s="18">
        <f>IFERROR(VLOOKUP(AK$7,'REF Project Costs'!$A$4:$I$22,7,FALSE),0)</f>
        <v>0</v>
      </c>
      <c r="AL48" s="18">
        <f>IFERROR(VLOOKUP(AL$7,'REF Project Costs'!$A$4:$I$22,7,FALSE),0)</f>
        <v>0</v>
      </c>
      <c r="AM48" s="18">
        <f>IFERROR(VLOOKUP(AM$7,'REF Project Costs'!$A$4:$I$22,7,FALSE),0)</f>
        <v>0</v>
      </c>
      <c r="AN48" s="18">
        <f>IFERROR(VLOOKUP(AN$7,'REF Project Costs'!$A$4:$I$22,7,FALSE),0)</f>
        <v>0</v>
      </c>
      <c r="AO48" s="18">
        <f>IFERROR(VLOOKUP(AO$7,'REF Project Costs'!$A$4:$I$22,7,FALSE),0)</f>
        <v>0</v>
      </c>
      <c r="AP48" s="18">
        <f>IFERROR(VLOOKUP(AP$7,'REF Project Costs'!$A$4:$I$22,7,FALSE),0)</f>
        <v>0</v>
      </c>
      <c r="AQ48" s="18">
        <f>IFERROR(VLOOKUP(AQ$7,'REF Project Costs'!$A$4:$I$22,7,FALSE),0)</f>
        <v>0</v>
      </c>
      <c r="AR48" s="18">
        <f>IFERROR(VLOOKUP(AR$7,'REF Project Costs'!$A$4:$I$22,7,FALSE),0)</f>
        <v>0</v>
      </c>
    </row>
    <row r="49" spans="1:44" x14ac:dyDescent="0.2">
      <c r="B49" s="64" t="s">
        <v>236</v>
      </c>
      <c r="C49" s="74" t="s">
        <v>77</v>
      </c>
      <c r="D49" s="75">
        <f t="shared" si="22"/>
        <v>14156400.960489813</v>
      </c>
      <c r="E49" s="64"/>
      <c r="F49" s="76">
        <f>IFERROR(VLOOKUP(F$7,'REF Project Costs'!$A$4:$I$22,8,FALSE),0)</f>
        <v>0</v>
      </c>
      <c r="G49" s="76">
        <f>IFERROR(VLOOKUP(G$7,'REF Project Costs'!$A$4:$I$22,8,FALSE),0)</f>
        <v>0</v>
      </c>
      <c r="H49" s="76">
        <f>IFERROR(VLOOKUP(H$7,'REF Project Costs'!$A$4:$I$22,8,FALSE),0)</f>
        <v>0</v>
      </c>
      <c r="I49" s="76">
        <f>IFERROR(VLOOKUP(I$7,'REF Project Costs'!$A$4:$I$22,8,FALSE),0)</f>
        <v>0</v>
      </c>
      <c r="J49" s="76">
        <f>IFERROR(VLOOKUP(J$7,'REF Project Costs'!$A$4:$I$22,8,FALSE),0)</f>
        <v>2885245.1200612267</v>
      </c>
      <c r="K49" s="76">
        <f>IFERROR(VLOOKUP(K$7,'REF Project Costs'!$A$4:$I$22,8,FALSE),0)</f>
        <v>0</v>
      </c>
      <c r="L49" s="76">
        <f>IFERROR(VLOOKUP(L$7,'REF Project Costs'!$A$4:$I$22,8,FALSE),0)</f>
        <v>11271155.840428587</v>
      </c>
      <c r="M49" s="76">
        <f>IFERROR(VLOOKUP(M$7,'REF Project Costs'!$A$4:$I$22,8,FALSE),0)</f>
        <v>0</v>
      </c>
      <c r="N49" s="76">
        <f>IFERROR(VLOOKUP(N$7,'REF Project Costs'!$A$4:$I$22,8,FALSE),0)</f>
        <v>0</v>
      </c>
      <c r="O49" s="76">
        <f>IFERROR(VLOOKUP(O$7,'REF Project Costs'!$A$4:$I$22,8,FALSE),0)</f>
        <v>0</v>
      </c>
      <c r="P49" s="76">
        <f>IFERROR(VLOOKUP(P$7,'REF Project Costs'!$A$4:$I$22,8,FALSE),0)</f>
        <v>0</v>
      </c>
      <c r="Q49" s="76">
        <f>IFERROR(VLOOKUP(Q$7,'REF Project Costs'!$A$4:$I$22,8,FALSE),0)</f>
        <v>0</v>
      </c>
      <c r="R49" s="76">
        <f>IFERROR(VLOOKUP(R$7,'REF Project Costs'!$A$4:$I$22,8,FALSE),0)</f>
        <v>0</v>
      </c>
      <c r="S49" s="76">
        <f>IFERROR(VLOOKUP(S$7,'REF Project Costs'!$A$4:$I$22,8,FALSE),0)</f>
        <v>0</v>
      </c>
      <c r="T49" s="76">
        <f>IFERROR(VLOOKUP(T$7,'REF Project Costs'!$A$4:$I$22,8,FALSE),0)</f>
        <v>0</v>
      </c>
      <c r="U49" s="76">
        <f>IFERROR(VLOOKUP(U$7,'REF Project Costs'!$A$4:$I$22,8,FALSE),0)</f>
        <v>0</v>
      </c>
      <c r="V49" s="76">
        <f>IFERROR(VLOOKUP(V$7,'REF Project Costs'!$A$4:$I$22,8,FALSE),0)</f>
        <v>0</v>
      </c>
      <c r="W49" s="76">
        <f>IFERROR(VLOOKUP(W$7,'REF Project Costs'!$A$4:$I$22,8,FALSE),0)</f>
        <v>0</v>
      </c>
      <c r="X49" s="76">
        <f>IFERROR(VLOOKUP(X$7,'REF Project Costs'!$A$4:$I$22,8,FALSE),0)</f>
        <v>0</v>
      </c>
      <c r="Y49" s="76">
        <f>IFERROR(VLOOKUP(Y$7,'REF Project Costs'!$A$4:$I$22,8,FALSE),0)</f>
        <v>0</v>
      </c>
      <c r="Z49" s="76">
        <f>IFERROR(VLOOKUP(Z$7,'REF Project Costs'!$A$4:$I$22,8,FALSE),0)</f>
        <v>0</v>
      </c>
      <c r="AA49" s="76">
        <f>IFERROR(VLOOKUP(AA$7,'REF Project Costs'!$A$4:$I$22,8,FALSE),0)</f>
        <v>0</v>
      </c>
      <c r="AB49" s="76">
        <f>IFERROR(VLOOKUP(AB$7,'REF Project Costs'!$A$4:$I$22,8,FALSE),0)</f>
        <v>0</v>
      </c>
      <c r="AC49" s="76">
        <f>IFERROR(VLOOKUP(AC$7,'REF Project Costs'!$A$4:$I$22,8,FALSE),0)</f>
        <v>0</v>
      </c>
      <c r="AD49" s="76">
        <f>IFERROR(VLOOKUP(AD$7,'REF Project Costs'!$A$4:$I$22,8,FALSE),0)</f>
        <v>0</v>
      </c>
      <c r="AE49" s="76">
        <f>IFERROR(VLOOKUP(AE$7,'REF Project Costs'!$A$4:$I$22,8,FALSE),0)</f>
        <v>0</v>
      </c>
      <c r="AF49" s="76">
        <f>IFERROR(VLOOKUP(AF$7,'REF Project Costs'!$A$4:$I$22,8,FALSE),0)</f>
        <v>0</v>
      </c>
      <c r="AG49" s="76">
        <f>IFERROR(VLOOKUP(AG$7,'REF Project Costs'!$A$4:$I$22,8,FALSE),0)</f>
        <v>0</v>
      </c>
      <c r="AH49" s="76">
        <f>IFERROR(VLOOKUP(AH$7,'REF Project Costs'!$A$4:$I$22,8,FALSE),0)</f>
        <v>0</v>
      </c>
      <c r="AI49" s="76">
        <f>IFERROR(VLOOKUP(AI$7,'REF Project Costs'!$A$4:$I$22,8,FALSE),0)</f>
        <v>0</v>
      </c>
      <c r="AJ49" s="76">
        <f>IFERROR(VLOOKUP(AJ$7,'REF Project Costs'!$A$4:$I$22,8,FALSE),0)</f>
        <v>0</v>
      </c>
      <c r="AK49" s="76">
        <f>IFERROR(VLOOKUP(AK$7,'REF Project Costs'!$A$4:$I$22,8,FALSE),0)</f>
        <v>0</v>
      </c>
      <c r="AL49" s="76">
        <f>IFERROR(VLOOKUP(AL$7,'REF Project Costs'!$A$4:$I$22,8,FALSE),0)</f>
        <v>0</v>
      </c>
      <c r="AM49" s="76">
        <f>IFERROR(VLOOKUP(AM$7,'REF Project Costs'!$A$4:$I$22,8,FALSE),0)</f>
        <v>0</v>
      </c>
      <c r="AN49" s="76">
        <f>IFERROR(VLOOKUP(AN$7,'REF Project Costs'!$A$4:$I$22,8,FALSE),0)</f>
        <v>0</v>
      </c>
      <c r="AO49" s="76">
        <f>IFERROR(VLOOKUP(AO$7,'REF Project Costs'!$A$4:$I$22,8,FALSE),0)</f>
        <v>0</v>
      </c>
      <c r="AP49" s="76">
        <f>IFERROR(VLOOKUP(AP$7,'REF Project Costs'!$A$4:$I$22,8,FALSE),0)</f>
        <v>0</v>
      </c>
      <c r="AQ49" s="76">
        <f>IFERROR(VLOOKUP(AQ$7,'REF Project Costs'!$A$4:$I$22,8,FALSE),0)</f>
        <v>0</v>
      </c>
      <c r="AR49" s="76">
        <f>IFERROR(VLOOKUP(AR$7,'REF Project Costs'!$A$4:$I$22,8,FALSE),0)</f>
        <v>0</v>
      </c>
    </row>
    <row r="50" spans="1:44" x14ac:dyDescent="0.2">
      <c r="B50" s="1" t="s">
        <v>239</v>
      </c>
      <c r="C50" s="71" t="s">
        <v>77</v>
      </c>
      <c r="D50" s="70">
        <f t="shared" si="22"/>
        <v>214390192.21658853</v>
      </c>
      <c r="F50" s="18">
        <f t="shared" ref="F50:AR50" si="23">SUM(F46:F49)</f>
        <v>0</v>
      </c>
      <c r="G50" s="18">
        <f t="shared" si="23"/>
        <v>0</v>
      </c>
      <c r="H50" s="18">
        <f t="shared" si="23"/>
        <v>0</v>
      </c>
      <c r="I50" s="18">
        <f t="shared" si="23"/>
        <v>0</v>
      </c>
      <c r="J50" s="18">
        <f t="shared" si="23"/>
        <v>2885245.1200612267</v>
      </c>
      <c r="K50" s="18">
        <f t="shared" si="23"/>
        <v>0</v>
      </c>
      <c r="L50" s="18">
        <f t="shared" si="23"/>
        <v>11271155.840428587</v>
      </c>
      <c r="M50" s="18">
        <f t="shared" si="23"/>
        <v>64752221.05296725</v>
      </c>
      <c r="N50" s="18">
        <f t="shared" si="23"/>
        <v>72864037.756306008</v>
      </c>
      <c r="O50" s="18">
        <f t="shared" si="23"/>
        <v>62617532.446825475</v>
      </c>
      <c r="P50" s="18">
        <f t="shared" si="23"/>
        <v>0</v>
      </c>
      <c r="Q50" s="18">
        <f t="shared" si="23"/>
        <v>0</v>
      </c>
      <c r="R50" s="18">
        <f t="shared" si="23"/>
        <v>0</v>
      </c>
      <c r="S50" s="18">
        <f t="shared" si="23"/>
        <v>0</v>
      </c>
      <c r="T50" s="18">
        <f t="shared" si="23"/>
        <v>0</v>
      </c>
      <c r="U50" s="18">
        <f t="shared" si="23"/>
        <v>0</v>
      </c>
      <c r="V50" s="18">
        <f t="shared" si="23"/>
        <v>0</v>
      </c>
      <c r="W50" s="18">
        <f t="shared" si="23"/>
        <v>0</v>
      </c>
      <c r="X50" s="18">
        <f t="shared" si="23"/>
        <v>0</v>
      </c>
      <c r="Y50" s="18">
        <f t="shared" si="23"/>
        <v>0</v>
      </c>
      <c r="Z50" s="18">
        <f t="shared" si="23"/>
        <v>0</v>
      </c>
      <c r="AA50" s="18">
        <f t="shared" si="23"/>
        <v>0</v>
      </c>
      <c r="AB50" s="18">
        <f t="shared" si="23"/>
        <v>0</v>
      </c>
      <c r="AC50" s="18">
        <f t="shared" si="23"/>
        <v>0</v>
      </c>
      <c r="AD50" s="18">
        <f t="shared" si="23"/>
        <v>0</v>
      </c>
      <c r="AE50" s="18">
        <f t="shared" si="23"/>
        <v>0</v>
      </c>
      <c r="AF50" s="18">
        <f t="shared" si="23"/>
        <v>0</v>
      </c>
      <c r="AG50" s="18">
        <f t="shared" si="23"/>
        <v>0</v>
      </c>
      <c r="AH50" s="18">
        <f t="shared" si="23"/>
        <v>0</v>
      </c>
      <c r="AI50" s="18">
        <f t="shared" si="23"/>
        <v>0</v>
      </c>
      <c r="AJ50" s="18">
        <f t="shared" si="23"/>
        <v>0</v>
      </c>
      <c r="AK50" s="18">
        <f t="shared" si="23"/>
        <v>0</v>
      </c>
      <c r="AL50" s="18">
        <f t="shared" si="23"/>
        <v>0</v>
      </c>
      <c r="AM50" s="18">
        <f t="shared" si="23"/>
        <v>0</v>
      </c>
      <c r="AN50" s="18">
        <f t="shared" si="23"/>
        <v>0</v>
      </c>
      <c r="AO50" s="18">
        <f t="shared" si="23"/>
        <v>0</v>
      </c>
      <c r="AP50" s="18">
        <f t="shared" si="23"/>
        <v>0</v>
      </c>
      <c r="AQ50" s="18">
        <f t="shared" si="23"/>
        <v>0</v>
      </c>
      <c r="AR50" s="18">
        <f t="shared" si="23"/>
        <v>0</v>
      </c>
    </row>
    <row r="51" spans="1:44" x14ac:dyDescent="0.2">
      <c r="C51" s="71"/>
      <c r="D51" s="70"/>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row>
    <row r="52" spans="1:44" ht="15" x14ac:dyDescent="0.25">
      <c r="B52" s="2" t="s">
        <v>240</v>
      </c>
      <c r="C52" s="11"/>
    </row>
    <row r="53" spans="1:44" x14ac:dyDescent="0.2">
      <c r="B53" s="1" t="s">
        <v>241</v>
      </c>
      <c r="C53" s="71" t="s">
        <v>77</v>
      </c>
      <c r="D53" s="70">
        <f>SUM(F53:AR53)</f>
        <v>214390192.21658853</v>
      </c>
      <c r="E53" s="18"/>
      <c r="F53" s="18">
        <f t="shared" ref="F53:AR53" si="24">F15*F$50</f>
        <v>0</v>
      </c>
      <c r="G53" s="18">
        <f t="shared" si="24"/>
        <v>0</v>
      </c>
      <c r="H53" s="18">
        <f t="shared" si="24"/>
        <v>0</v>
      </c>
      <c r="I53" s="18">
        <f t="shared" si="24"/>
        <v>0</v>
      </c>
      <c r="J53" s="18">
        <f t="shared" si="24"/>
        <v>2885245.1200612267</v>
      </c>
      <c r="K53" s="18">
        <f t="shared" si="24"/>
        <v>0</v>
      </c>
      <c r="L53" s="18">
        <f t="shared" si="24"/>
        <v>11271155.840428587</v>
      </c>
      <c r="M53" s="18">
        <f t="shared" si="24"/>
        <v>64752221.05296725</v>
      </c>
      <c r="N53" s="18">
        <f t="shared" si="24"/>
        <v>72864037.756306008</v>
      </c>
      <c r="O53" s="18">
        <f t="shared" si="24"/>
        <v>62617532.446825475</v>
      </c>
      <c r="P53" s="18">
        <f t="shared" si="24"/>
        <v>0</v>
      </c>
      <c r="Q53" s="18">
        <f t="shared" si="24"/>
        <v>0</v>
      </c>
      <c r="R53" s="18">
        <f t="shared" si="24"/>
        <v>0</v>
      </c>
      <c r="S53" s="18">
        <f t="shared" si="24"/>
        <v>0</v>
      </c>
      <c r="T53" s="18">
        <f t="shared" si="24"/>
        <v>0</v>
      </c>
      <c r="U53" s="18">
        <f t="shared" si="24"/>
        <v>0</v>
      </c>
      <c r="V53" s="18">
        <f t="shared" si="24"/>
        <v>0</v>
      </c>
      <c r="W53" s="18">
        <f t="shared" si="24"/>
        <v>0</v>
      </c>
      <c r="X53" s="18">
        <f t="shared" si="24"/>
        <v>0</v>
      </c>
      <c r="Y53" s="18">
        <f t="shared" si="24"/>
        <v>0</v>
      </c>
      <c r="Z53" s="18">
        <f t="shared" si="24"/>
        <v>0</v>
      </c>
      <c r="AA53" s="18">
        <f t="shared" si="24"/>
        <v>0</v>
      </c>
      <c r="AB53" s="18">
        <f t="shared" si="24"/>
        <v>0</v>
      </c>
      <c r="AC53" s="18">
        <f t="shared" si="24"/>
        <v>0</v>
      </c>
      <c r="AD53" s="18">
        <f t="shared" si="24"/>
        <v>0</v>
      </c>
      <c r="AE53" s="18">
        <f t="shared" si="24"/>
        <v>0</v>
      </c>
      <c r="AF53" s="18">
        <f t="shared" si="24"/>
        <v>0</v>
      </c>
      <c r="AG53" s="18">
        <f t="shared" si="24"/>
        <v>0</v>
      </c>
      <c r="AH53" s="18">
        <f t="shared" si="24"/>
        <v>0</v>
      </c>
      <c r="AI53" s="18">
        <f t="shared" si="24"/>
        <v>0</v>
      </c>
      <c r="AJ53" s="18">
        <f t="shared" si="24"/>
        <v>0</v>
      </c>
      <c r="AK53" s="18">
        <f t="shared" si="24"/>
        <v>0</v>
      </c>
      <c r="AL53" s="18">
        <f t="shared" si="24"/>
        <v>0</v>
      </c>
      <c r="AM53" s="18">
        <f t="shared" si="24"/>
        <v>0</v>
      </c>
      <c r="AN53" s="18">
        <f t="shared" si="24"/>
        <v>0</v>
      </c>
      <c r="AO53" s="18">
        <f t="shared" si="24"/>
        <v>0</v>
      </c>
      <c r="AP53" s="18">
        <f t="shared" si="24"/>
        <v>0</v>
      </c>
      <c r="AQ53" s="18">
        <f t="shared" si="24"/>
        <v>0</v>
      </c>
      <c r="AR53" s="18">
        <f t="shared" si="24"/>
        <v>0</v>
      </c>
    </row>
    <row r="54" spans="1:44" x14ac:dyDescent="0.2">
      <c r="B54" s="1" t="s">
        <v>242</v>
      </c>
      <c r="C54" s="71" t="s">
        <v>77</v>
      </c>
      <c r="D54" s="70">
        <f>SUM(F54:AR54)</f>
        <v>185941779.49328446</v>
      </c>
      <c r="E54" s="18"/>
      <c r="F54" s="18">
        <f t="shared" ref="F54:AR54" si="25">F16*F$50</f>
        <v>0</v>
      </c>
      <c r="G54" s="18">
        <f t="shared" si="25"/>
        <v>0</v>
      </c>
      <c r="H54" s="18">
        <f t="shared" si="25"/>
        <v>0</v>
      </c>
      <c r="I54" s="18">
        <f t="shared" si="25"/>
        <v>0</v>
      </c>
      <c r="J54" s="18">
        <f t="shared" si="25"/>
        <v>2801208.8544283756</v>
      </c>
      <c r="K54" s="18">
        <f t="shared" si="25"/>
        <v>0</v>
      </c>
      <c r="L54" s="18">
        <f t="shared" si="25"/>
        <v>10314704.258637873</v>
      </c>
      <c r="M54" s="18">
        <f t="shared" si="25"/>
        <v>57531509.729335003</v>
      </c>
      <c r="N54" s="18">
        <f t="shared" si="25"/>
        <v>62853159.034288965</v>
      </c>
      <c r="O54" s="18">
        <f t="shared" si="25"/>
        <v>52441197.616594248</v>
      </c>
      <c r="P54" s="18">
        <f t="shared" si="25"/>
        <v>0</v>
      </c>
      <c r="Q54" s="18">
        <f t="shared" si="25"/>
        <v>0</v>
      </c>
      <c r="R54" s="18">
        <f t="shared" si="25"/>
        <v>0</v>
      </c>
      <c r="S54" s="18">
        <f t="shared" si="25"/>
        <v>0</v>
      </c>
      <c r="T54" s="18">
        <f t="shared" si="25"/>
        <v>0</v>
      </c>
      <c r="U54" s="18">
        <f t="shared" si="25"/>
        <v>0</v>
      </c>
      <c r="V54" s="18">
        <f t="shared" si="25"/>
        <v>0</v>
      </c>
      <c r="W54" s="18">
        <f t="shared" si="25"/>
        <v>0</v>
      </c>
      <c r="X54" s="18">
        <f t="shared" si="25"/>
        <v>0</v>
      </c>
      <c r="Y54" s="18">
        <f t="shared" si="25"/>
        <v>0</v>
      </c>
      <c r="Z54" s="18">
        <f t="shared" si="25"/>
        <v>0</v>
      </c>
      <c r="AA54" s="18">
        <f t="shared" si="25"/>
        <v>0</v>
      </c>
      <c r="AB54" s="18">
        <f t="shared" si="25"/>
        <v>0</v>
      </c>
      <c r="AC54" s="18">
        <f t="shared" si="25"/>
        <v>0</v>
      </c>
      <c r="AD54" s="18">
        <f t="shared" si="25"/>
        <v>0</v>
      </c>
      <c r="AE54" s="18">
        <f t="shared" si="25"/>
        <v>0</v>
      </c>
      <c r="AF54" s="18">
        <f t="shared" si="25"/>
        <v>0</v>
      </c>
      <c r="AG54" s="18">
        <f t="shared" si="25"/>
        <v>0</v>
      </c>
      <c r="AH54" s="18">
        <f t="shared" si="25"/>
        <v>0</v>
      </c>
      <c r="AI54" s="18">
        <f t="shared" si="25"/>
        <v>0</v>
      </c>
      <c r="AJ54" s="18">
        <f t="shared" si="25"/>
        <v>0</v>
      </c>
      <c r="AK54" s="18">
        <f t="shared" si="25"/>
        <v>0</v>
      </c>
      <c r="AL54" s="18">
        <f t="shared" si="25"/>
        <v>0</v>
      </c>
      <c r="AM54" s="18">
        <f t="shared" si="25"/>
        <v>0</v>
      </c>
      <c r="AN54" s="18">
        <f t="shared" si="25"/>
        <v>0</v>
      </c>
      <c r="AO54" s="18">
        <f t="shared" si="25"/>
        <v>0</v>
      </c>
      <c r="AP54" s="18">
        <f t="shared" si="25"/>
        <v>0</v>
      </c>
      <c r="AQ54" s="18">
        <f t="shared" si="25"/>
        <v>0</v>
      </c>
      <c r="AR54" s="18">
        <f t="shared" si="25"/>
        <v>0</v>
      </c>
    </row>
    <row r="55" spans="1:44" x14ac:dyDescent="0.2">
      <c r="B55" s="1" t="s">
        <v>243</v>
      </c>
      <c r="C55" s="71" t="s">
        <v>77</v>
      </c>
      <c r="D55" s="70">
        <f>SUM(F55:AR55)</f>
        <v>154972028.48195451</v>
      </c>
      <c r="E55" s="18"/>
      <c r="F55" s="18">
        <f t="shared" ref="F55:AR55" si="26">F17*F$50</f>
        <v>0</v>
      </c>
      <c r="G55" s="18">
        <f t="shared" si="26"/>
        <v>0</v>
      </c>
      <c r="H55" s="18">
        <f t="shared" si="26"/>
        <v>0</v>
      </c>
      <c r="I55" s="18">
        <f t="shared" si="26"/>
        <v>0</v>
      </c>
      <c r="J55" s="18">
        <f t="shared" si="26"/>
        <v>2696490.7664123615</v>
      </c>
      <c r="K55" s="18">
        <f t="shared" si="26"/>
        <v>0</v>
      </c>
      <c r="L55" s="18">
        <f t="shared" si="26"/>
        <v>9200620.58264778</v>
      </c>
      <c r="M55" s="18">
        <f t="shared" si="26"/>
        <v>49399159.410751678</v>
      </c>
      <c r="N55" s="18">
        <f t="shared" si="26"/>
        <v>51951051.901622385</v>
      </c>
      <c r="O55" s="18">
        <f t="shared" si="26"/>
        <v>41724705.820520319</v>
      </c>
      <c r="P55" s="18">
        <f t="shared" si="26"/>
        <v>0</v>
      </c>
      <c r="Q55" s="18">
        <f t="shared" si="26"/>
        <v>0</v>
      </c>
      <c r="R55" s="18">
        <f t="shared" si="26"/>
        <v>0</v>
      </c>
      <c r="S55" s="18">
        <f t="shared" si="26"/>
        <v>0</v>
      </c>
      <c r="T55" s="18">
        <f t="shared" si="26"/>
        <v>0</v>
      </c>
      <c r="U55" s="18">
        <f t="shared" si="26"/>
        <v>0</v>
      </c>
      <c r="V55" s="18">
        <f t="shared" si="26"/>
        <v>0</v>
      </c>
      <c r="W55" s="18">
        <f t="shared" si="26"/>
        <v>0</v>
      </c>
      <c r="X55" s="18">
        <f t="shared" si="26"/>
        <v>0</v>
      </c>
      <c r="Y55" s="18">
        <f t="shared" si="26"/>
        <v>0</v>
      </c>
      <c r="Z55" s="18">
        <f t="shared" si="26"/>
        <v>0</v>
      </c>
      <c r="AA55" s="18">
        <f t="shared" si="26"/>
        <v>0</v>
      </c>
      <c r="AB55" s="18">
        <f t="shared" si="26"/>
        <v>0</v>
      </c>
      <c r="AC55" s="18">
        <f t="shared" si="26"/>
        <v>0</v>
      </c>
      <c r="AD55" s="18">
        <f t="shared" si="26"/>
        <v>0</v>
      </c>
      <c r="AE55" s="18">
        <f t="shared" si="26"/>
        <v>0</v>
      </c>
      <c r="AF55" s="18">
        <f t="shared" si="26"/>
        <v>0</v>
      </c>
      <c r="AG55" s="18">
        <f t="shared" si="26"/>
        <v>0</v>
      </c>
      <c r="AH55" s="18">
        <f t="shared" si="26"/>
        <v>0</v>
      </c>
      <c r="AI55" s="18">
        <f t="shared" si="26"/>
        <v>0</v>
      </c>
      <c r="AJ55" s="18">
        <f t="shared" si="26"/>
        <v>0</v>
      </c>
      <c r="AK55" s="18">
        <f t="shared" si="26"/>
        <v>0</v>
      </c>
      <c r="AL55" s="18">
        <f t="shared" si="26"/>
        <v>0</v>
      </c>
      <c r="AM55" s="18">
        <f t="shared" si="26"/>
        <v>0</v>
      </c>
      <c r="AN55" s="18">
        <f t="shared" si="26"/>
        <v>0</v>
      </c>
      <c r="AO55" s="18">
        <f t="shared" si="26"/>
        <v>0</v>
      </c>
      <c r="AP55" s="18">
        <f t="shared" si="26"/>
        <v>0</v>
      </c>
      <c r="AQ55" s="18">
        <f t="shared" si="26"/>
        <v>0</v>
      </c>
      <c r="AR55" s="18">
        <f t="shared" si="26"/>
        <v>0</v>
      </c>
    </row>
    <row r="56" spans="1:44" x14ac:dyDescent="0.2">
      <c r="C56" s="71"/>
      <c r="D56" s="70"/>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row>
    <row r="57" spans="1:44" s="2" customFormat="1" ht="15" x14ac:dyDescent="0.25">
      <c r="A57" s="2" t="s">
        <v>244</v>
      </c>
      <c r="C57" s="77"/>
      <c r="D57" s="78"/>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row>
    <row r="58" spans="1:44" x14ac:dyDescent="0.2">
      <c r="B58" s="1" t="s">
        <v>24</v>
      </c>
      <c r="C58" s="71" t="s">
        <v>77</v>
      </c>
      <c r="D58" s="70">
        <f>SUM(F58:AR58)</f>
        <v>812588.85706304421</v>
      </c>
      <c r="F58" s="18">
        <f>IFERROR(VLOOKUP(F$7,'REF Project Costs'!$A$4:$I$22,5,FALSE),0)*F$18</f>
        <v>0</v>
      </c>
      <c r="G58" s="18">
        <f>IFERROR(VLOOKUP(G$7,'REF Project Costs'!$A$4:$I$22,5,FALSE),0)*G$18</f>
        <v>0</v>
      </c>
      <c r="H58" s="18">
        <f>IFERROR(VLOOKUP(H$7,'REF Project Costs'!$A$4:$I$22,5,FALSE),0)*H$18</f>
        <v>0</v>
      </c>
      <c r="I58" s="18">
        <f>IFERROR(VLOOKUP(I$7,'REF Project Costs'!$A$4:$I$22,5,FALSE),0)*I$18</f>
        <v>0</v>
      </c>
      <c r="J58" s="18">
        <f>IFERROR(VLOOKUP(J$7,'REF Project Costs'!$A$4:$I$22,5,FALSE),0)*J$18</f>
        <v>0</v>
      </c>
      <c r="K58" s="18">
        <f>IFERROR(VLOOKUP(K$7,'REF Project Costs'!$A$4:$I$22,5,FALSE),0)*K$18</f>
        <v>0</v>
      </c>
      <c r="L58" s="18">
        <f>IFERROR(VLOOKUP(L$7,'REF Project Costs'!$A$4:$I$22,5,FALSE),0)*L$18</f>
        <v>0</v>
      </c>
      <c r="M58" s="18">
        <f>IFERROR(VLOOKUP(M$7,'REF Project Costs'!$A$4:$I$22,5,FALSE),0)*M$18</f>
        <v>0</v>
      </c>
      <c r="N58" s="18">
        <f>IFERROR(VLOOKUP(N$7,'REF Project Costs'!$A$4:$I$22,5,FALSE),0)*N$18</f>
        <v>0</v>
      </c>
      <c r="O58" s="18">
        <f>IFERROR(VLOOKUP(O$7,'REF Project Costs'!$A$4:$I$22,5,FALSE),0)*O$18</f>
        <v>0</v>
      </c>
      <c r="P58" s="18">
        <f>IFERROR(VLOOKUP(P$7,'REF Project Costs'!$A$4:$I$22,5,FALSE),0)*P$18</f>
        <v>0</v>
      </c>
      <c r="Q58" s="18">
        <f>IFERROR(VLOOKUP(Q$7,'REF Project Costs'!$A$4:$I$22,5,FALSE),0)*Q$18</f>
        <v>17077.508849134221</v>
      </c>
      <c r="R58" s="18">
        <f>IFERROR(VLOOKUP(R$7,'REF Project Costs'!$A$4:$I$22,5,FALSE),0)*R$18</f>
        <v>0</v>
      </c>
      <c r="S58" s="18">
        <f>IFERROR(VLOOKUP(S$7,'REF Project Costs'!$A$4:$I$22,5,FALSE),0)*S$18</f>
        <v>17077.508849134221</v>
      </c>
      <c r="T58" s="18">
        <f>IFERROR(VLOOKUP(T$7,'REF Project Costs'!$A$4:$I$22,5,FALSE),0)*T$18</f>
        <v>0</v>
      </c>
      <c r="U58" s="18">
        <f>IFERROR(VLOOKUP(U$7,'REF Project Costs'!$A$4:$I$22,5,FALSE),0)*U$18</f>
        <v>17077.508849134221</v>
      </c>
      <c r="V58" s="18">
        <f>IFERROR(VLOOKUP(V$7,'REF Project Costs'!$A$4:$I$22,5,FALSE),0)*V$18</f>
        <v>0</v>
      </c>
      <c r="W58" s="18">
        <f>IFERROR(VLOOKUP(W$7,'REF Project Costs'!$A$4:$I$22,5,FALSE),0)*W$18</f>
        <v>17077.508849134221</v>
      </c>
      <c r="X58" s="18">
        <f>IFERROR(VLOOKUP(X$7,'REF Project Costs'!$A$4:$I$22,5,FALSE),0)*X$18</f>
        <v>0</v>
      </c>
      <c r="Y58" s="18">
        <f>IFERROR(VLOOKUP(Y$7,'REF Project Costs'!$A$4:$I$22,5,FALSE),0)*Y$18</f>
        <v>0</v>
      </c>
      <c r="Z58" s="18">
        <f>IFERROR(VLOOKUP(Z$7,'REF Project Costs'!$A$4:$I$22,5,FALSE),0)*Z$18</f>
        <v>0</v>
      </c>
      <c r="AA58" s="18">
        <f>IFERROR(VLOOKUP(AA$7,'REF Project Costs'!$A$4:$I$22,5,FALSE),0)*AA$18</f>
        <v>0</v>
      </c>
      <c r="AB58" s="18">
        <f>IFERROR(VLOOKUP(AB$7,'REF Project Costs'!$A$4:$I$22,5,FALSE),0)*AB$18</f>
        <v>34155.017698268442</v>
      </c>
      <c r="AC58" s="18">
        <f>IFERROR(VLOOKUP(AC$7,'REF Project Costs'!$A$4:$I$22,5,FALSE),0)*AC$18</f>
        <v>0</v>
      </c>
      <c r="AD58" s="18">
        <f>IFERROR(VLOOKUP(AD$7,'REF Project Costs'!$A$4:$I$22,5,FALSE),0)*AD$18</f>
        <v>0</v>
      </c>
      <c r="AE58" s="18">
        <f>IFERROR(VLOOKUP(AE$7,'REF Project Costs'!$A$4:$I$22,5,FALSE),0)*AE$18</f>
        <v>0</v>
      </c>
      <c r="AF58" s="18">
        <f>IFERROR(VLOOKUP(AF$7,'REF Project Costs'!$A$4:$I$22,5,FALSE),0)*AF$18</f>
        <v>0</v>
      </c>
      <c r="AG58" s="18">
        <f>IFERROR(VLOOKUP(AG$7,'REF Project Costs'!$A$4:$I$22,5,FALSE),0)*AG$18</f>
        <v>710123.80396823888</v>
      </c>
      <c r="AH58" s="18">
        <f>IFERROR(VLOOKUP(AH$7,'REF Project Costs'!$A$4:$I$22,5,FALSE),0)*AH$18</f>
        <v>0</v>
      </c>
      <c r="AI58" s="18">
        <f>IFERROR(VLOOKUP(AI$7,'REF Project Costs'!$A$4:$I$22,5,FALSE),0)*AI$18</f>
        <v>0</v>
      </c>
      <c r="AJ58" s="18">
        <f>IFERROR(VLOOKUP(AJ$7,'REF Project Costs'!$A$4:$I$22,5,FALSE),0)*AJ$18</f>
        <v>0</v>
      </c>
      <c r="AK58" s="18">
        <f>IFERROR(VLOOKUP(AK$7,'REF Project Costs'!$A$4:$I$22,5,FALSE),0)*AK$18</f>
        <v>0</v>
      </c>
      <c r="AL58" s="18">
        <f>IFERROR(VLOOKUP(AL$7,'REF Project Costs'!$A$4:$I$22,5,FALSE),0)*AL$18</f>
        <v>0</v>
      </c>
      <c r="AM58" s="18">
        <f>IFERROR(VLOOKUP(AM$7,'REF Project Costs'!$A$4:$I$22,5,FALSE),0)*AM$18</f>
        <v>0</v>
      </c>
      <c r="AN58" s="18">
        <f>IFERROR(VLOOKUP(AN$7,'REF Project Costs'!$A$4:$I$22,5,FALSE),0)*AN$18</f>
        <v>0</v>
      </c>
      <c r="AO58" s="18">
        <f>IFERROR(VLOOKUP(AO$7,'REF Project Costs'!$A$4:$I$22,5,FALSE),0)*AO$18</f>
        <v>0</v>
      </c>
      <c r="AP58" s="18">
        <f>IFERROR(VLOOKUP(AP$7,'REF Project Costs'!$A$4:$I$22,5,FALSE),0)*AP$18</f>
        <v>0</v>
      </c>
      <c r="AQ58" s="18">
        <f>IFERROR(VLOOKUP(AQ$7,'REF Project Costs'!$A$4:$I$22,5,FALSE),0)*AQ$18</f>
        <v>0</v>
      </c>
      <c r="AR58" s="18">
        <f>IFERROR(VLOOKUP(AR$7,'REF Project Costs'!$A$4:$I$22,5,FALSE),0)*AR$18</f>
        <v>0</v>
      </c>
    </row>
    <row r="59" spans="1:44" x14ac:dyDescent="0.2">
      <c r="C59" s="71"/>
      <c r="D59" s="70"/>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row>
    <row r="60" spans="1:44" ht="15" x14ac:dyDescent="0.25">
      <c r="B60" s="2" t="s">
        <v>240</v>
      </c>
      <c r="C60" s="11"/>
    </row>
    <row r="61" spans="1:44" x14ac:dyDescent="0.2">
      <c r="B61" s="1" t="s">
        <v>241</v>
      </c>
      <c r="C61" s="71" t="s">
        <v>77</v>
      </c>
      <c r="D61" s="70">
        <f>SUM(F61:AR61)</f>
        <v>812588.85706304421</v>
      </c>
      <c r="E61" s="18"/>
      <c r="F61" s="18">
        <f t="shared" ref="F61:AR61" si="27">F$58*F15</f>
        <v>0</v>
      </c>
      <c r="G61" s="18">
        <f t="shared" si="27"/>
        <v>0</v>
      </c>
      <c r="H61" s="18">
        <f t="shared" si="27"/>
        <v>0</v>
      </c>
      <c r="I61" s="18">
        <f t="shared" si="27"/>
        <v>0</v>
      </c>
      <c r="J61" s="18">
        <f t="shared" si="27"/>
        <v>0</v>
      </c>
      <c r="K61" s="18">
        <f t="shared" si="27"/>
        <v>0</v>
      </c>
      <c r="L61" s="18">
        <f t="shared" si="27"/>
        <v>0</v>
      </c>
      <c r="M61" s="18">
        <f t="shared" si="27"/>
        <v>0</v>
      </c>
      <c r="N61" s="18">
        <f t="shared" si="27"/>
        <v>0</v>
      </c>
      <c r="O61" s="18">
        <f t="shared" si="27"/>
        <v>0</v>
      </c>
      <c r="P61" s="18">
        <f t="shared" si="27"/>
        <v>0</v>
      </c>
      <c r="Q61" s="18">
        <f t="shared" si="27"/>
        <v>17077.508849134221</v>
      </c>
      <c r="R61" s="18">
        <f t="shared" si="27"/>
        <v>0</v>
      </c>
      <c r="S61" s="18">
        <f t="shared" si="27"/>
        <v>17077.508849134221</v>
      </c>
      <c r="T61" s="18">
        <f t="shared" si="27"/>
        <v>0</v>
      </c>
      <c r="U61" s="18">
        <f t="shared" si="27"/>
        <v>17077.508849134221</v>
      </c>
      <c r="V61" s="18">
        <f t="shared" si="27"/>
        <v>0</v>
      </c>
      <c r="W61" s="18">
        <f t="shared" si="27"/>
        <v>17077.508849134221</v>
      </c>
      <c r="X61" s="18">
        <f t="shared" si="27"/>
        <v>0</v>
      </c>
      <c r="Y61" s="18">
        <f t="shared" si="27"/>
        <v>0</v>
      </c>
      <c r="Z61" s="18">
        <f t="shared" si="27"/>
        <v>0</v>
      </c>
      <c r="AA61" s="18">
        <f t="shared" si="27"/>
        <v>0</v>
      </c>
      <c r="AB61" s="18">
        <f t="shared" si="27"/>
        <v>34155.017698268442</v>
      </c>
      <c r="AC61" s="18">
        <f t="shared" si="27"/>
        <v>0</v>
      </c>
      <c r="AD61" s="18">
        <f t="shared" si="27"/>
        <v>0</v>
      </c>
      <c r="AE61" s="18">
        <f t="shared" si="27"/>
        <v>0</v>
      </c>
      <c r="AF61" s="18">
        <f t="shared" si="27"/>
        <v>0</v>
      </c>
      <c r="AG61" s="18">
        <f t="shared" si="27"/>
        <v>710123.80396823888</v>
      </c>
      <c r="AH61" s="18">
        <f t="shared" si="27"/>
        <v>0</v>
      </c>
      <c r="AI61" s="18">
        <f t="shared" si="27"/>
        <v>0</v>
      </c>
      <c r="AJ61" s="18">
        <f t="shared" si="27"/>
        <v>0</v>
      </c>
      <c r="AK61" s="18">
        <f t="shared" si="27"/>
        <v>0</v>
      </c>
      <c r="AL61" s="18">
        <f t="shared" si="27"/>
        <v>0</v>
      </c>
      <c r="AM61" s="18">
        <f t="shared" si="27"/>
        <v>0</v>
      </c>
      <c r="AN61" s="18">
        <f t="shared" si="27"/>
        <v>0</v>
      </c>
      <c r="AO61" s="18">
        <f t="shared" si="27"/>
        <v>0</v>
      </c>
      <c r="AP61" s="18">
        <f t="shared" si="27"/>
        <v>0</v>
      </c>
      <c r="AQ61" s="18">
        <f t="shared" si="27"/>
        <v>0</v>
      </c>
      <c r="AR61" s="18">
        <f t="shared" si="27"/>
        <v>0</v>
      </c>
    </row>
    <row r="62" spans="1:44" x14ac:dyDescent="0.2">
      <c r="B62" s="1" t="s">
        <v>242</v>
      </c>
      <c r="C62" s="71" t="s">
        <v>77</v>
      </c>
      <c r="D62" s="70">
        <f>SUM(F62:AR62)</f>
        <v>418268.46537916572</v>
      </c>
      <c r="E62" s="18"/>
      <c r="F62" s="18">
        <f t="shared" ref="F62:AR62" si="28">F$58*F16</f>
        <v>0</v>
      </c>
      <c r="G62" s="18">
        <f t="shared" si="28"/>
        <v>0</v>
      </c>
      <c r="H62" s="18">
        <f t="shared" si="28"/>
        <v>0</v>
      </c>
      <c r="I62" s="18">
        <f t="shared" si="28"/>
        <v>0</v>
      </c>
      <c r="J62" s="18">
        <f t="shared" si="28"/>
        <v>0</v>
      </c>
      <c r="K62" s="18">
        <f t="shared" si="28"/>
        <v>0</v>
      </c>
      <c r="L62" s="18">
        <f t="shared" si="28"/>
        <v>0</v>
      </c>
      <c r="M62" s="18">
        <f t="shared" si="28"/>
        <v>0</v>
      </c>
      <c r="N62" s="18">
        <f t="shared" si="28"/>
        <v>0</v>
      </c>
      <c r="O62" s="18">
        <f t="shared" si="28"/>
        <v>0</v>
      </c>
      <c r="P62" s="18">
        <f t="shared" si="28"/>
        <v>0</v>
      </c>
      <c r="Q62" s="18">
        <f t="shared" si="28"/>
        <v>13481.143184584507</v>
      </c>
      <c r="R62" s="18">
        <f t="shared" si="28"/>
        <v>0</v>
      </c>
      <c r="S62" s="18">
        <f t="shared" si="28"/>
        <v>12707.27041623575</v>
      </c>
      <c r="T62" s="18">
        <f t="shared" si="28"/>
        <v>0</v>
      </c>
      <c r="U62" s="18">
        <f t="shared" si="28"/>
        <v>11977.8211106002</v>
      </c>
      <c r="V62" s="18">
        <f t="shared" si="28"/>
        <v>0</v>
      </c>
      <c r="W62" s="18">
        <f t="shared" si="28"/>
        <v>11290.24517918767</v>
      </c>
      <c r="X62" s="18">
        <f t="shared" si="28"/>
        <v>0</v>
      </c>
      <c r="Y62" s="18">
        <f t="shared" si="28"/>
        <v>0</v>
      </c>
      <c r="Z62" s="18">
        <f t="shared" si="28"/>
        <v>0</v>
      </c>
      <c r="AA62" s="18">
        <f t="shared" si="28"/>
        <v>0</v>
      </c>
      <c r="AB62" s="18">
        <f t="shared" si="28"/>
        <v>19478.12933883649</v>
      </c>
      <c r="AC62" s="18">
        <f t="shared" si="28"/>
        <v>0</v>
      </c>
      <c r="AD62" s="18">
        <f t="shared" si="28"/>
        <v>0</v>
      </c>
      <c r="AE62" s="18">
        <f t="shared" si="28"/>
        <v>0</v>
      </c>
      <c r="AF62" s="18">
        <f t="shared" si="28"/>
        <v>0</v>
      </c>
      <c r="AG62" s="18">
        <f t="shared" si="28"/>
        <v>349333.85614972108</v>
      </c>
      <c r="AH62" s="18">
        <f t="shared" si="28"/>
        <v>0</v>
      </c>
      <c r="AI62" s="18">
        <f t="shared" si="28"/>
        <v>0</v>
      </c>
      <c r="AJ62" s="18">
        <f t="shared" si="28"/>
        <v>0</v>
      </c>
      <c r="AK62" s="18">
        <f t="shared" si="28"/>
        <v>0</v>
      </c>
      <c r="AL62" s="18">
        <f t="shared" si="28"/>
        <v>0</v>
      </c>
      <c r="AM62" s="18">
        <f t="shared" si="28"/>
        <v>0</v>
      </c>
      <c r="AN62" s="18">
        <f t="shared" si="28"/>
        <v>0</v>
      </c>
      <c r="AO62" s="18">
        <f t="shared" si="28"/>
        <v>0</v>
      </c>
      <c r="AP62" s="18">
        <f t="shared" si="28"/>
        <v>0</v>
      </c>
      <c r="AQ62" s="18">
        <f t="shared" si="28"/>
        <v>0</v>
      </c>
      <c r="AR62" s="18">
        <f t="shared" si="28"/>
        <v>0</v>
      </c>
    </row>
    <row r="63" spans="1:44" x14ac:dyDescent="0.2">
      <c r="B63" s="1" t="s">
        <v>243</v>
      </c>
      <c r="C63" s="71" t="s">
        <v>77</v>
      </c>
      <c r="D63" s="70">
        <f>SUM(F63:AR63)</f>
        <v>182268.83040196705</v>
      </c>
      <c r="E63" s="18"/>
      <c r="F63" s="18">
        <f t="shared" ref="F63:AR63" si="29">F$58*F17</f>
        <v>0</v>
      </c>
      <c r="G63" s="18">
        <f t="shared" si="29"/>
        <v>0</v>
      </c>
      <c r="H63" s="18">
        <f t="shared" si="29"/>
        <v>0</v>
      </c>
      <c r="I63" s="18">
        <f t="shared" si="29"/>
        <v>0</v>
      </c>
      <c r="J63" s="18">
        <f t="shared" si="29"/>
        <v>0</v>
      </c>
      <c r="K63" s="18">
        <f t="shared" si="29"/>
        <v>0</v>
      </c>
      <c r="L63" s="18">
        <f t="shared" si="29"/>
        <v>0</v>
      </c>
      <c r="M63" s="18">
        <f t="shared" si="29"/>
        <v>0</v>
      </c>
      <c r="N63" s="18">
        <f t="shared" si="29"/>
        <v>0</v>
      </c>
      <c r="O63" s="18">
        <f t="shared" si="29"/>
        <v>0</v>
      </c>
      <c r="P63" s="18">
        <f t="shared" si="29"/>
        <v>0</v>
      </c>
      <c r="Q63" s="18">
        <f t="shared" si="29"/>
        <v>9939.2656334861276</v>
      </c>
      <c r="R63" s="18">
        <f t="shared" si="29"/>
        <v>0</v>
      </c>
      <c r="S63" s="18">
        <f t="shared" si="29"/>
        <v>8681.3395348817612</v>
      </c>
      <c r="T63" s="18">
        <f t="shared" si="29"/>
        <v>0</v>
      </c>
      <c r="U63" s="18">
        <f t="shared" si="29"/>
        <v>7582.61816305508</v>
      </c>
      <c r="V63" s="18">
        <f t="shared" si="29"/>
        <v>0</v>
      </c>
      <c r="W63" s="18">
        <f t="shared" si="29"/>
        <v>6622.952365320185</v>
      </c>
      <c r="X63" s="18">
        <f t="shared" si="29"/>
        <v>0</v>
      </c>
      <c r="Y63" s="18">
        <f t="shared" si="29"/>
        <v>0</v>
      </c>
      <c r="Z63" s="18">
        <f t="shared" si="29"/>
        <v>0</v>
      </c>
      <c r="AA63" s="18">
        <f t="shared" si="29"/>
        <v>0</v>
      </c>
      <c r="AB63" s="18">
        <f t="shared" si="29"/>
        <v>9444.1470077039266</v>
      </c>
      <c r="AC63" s="18">
        <f t="shared" si="29"/>
        <v>0</v>
      </c>
      <c r="AD63" s="18">
        <f t="shared" si="29"/>
        <v>0</v>
      </c>
      <c r="AE63" s="18">
        <f t="shared" si="29"/>
        <v>0</v>
      </c>
      <c r="AF63" s="18">
        <f t="shared" si="29"/>
        <v>0</v>
      </c>
      <c r="AG63" s="18">
        <f t="shared" si="29"/>
        <v>139998.50769751996</v>
      </c>
      <c r="AH63" s="18">
        <f t="shared" si="29"/>
        <v>0</v>
      </c>
      <c r="AI63" s="18">
        <f t="shared" si="29"/>
        <v>0</v>
      </c>
      <c r="AJ63" s="18">
        <f t="shared" si="29"/>
        <v>0</v>
      </c>
      <c r="AK63" s="18">
        <f t="shared" si="29"/>
        <v>0</v>
      </c>
      <c r="AL63" s="18">
        <f t="shared" si="29"/>
        <v>0</v>
      </c>
      <c r="AM63" s="18">
        <f t="shared" si="29"/>
        <v>0</v>
      </c>
      <c r="AN63" s="18">
        <f t="shared" si="29"/>
        <v>0</v>
      </c>
      <c r="AO63" s="18">
        <f t="shared" si="29"/>
        <v>0</v>
      </c>
      <c r="AP63" s="18">
        <f t="shared" si="29"/>
        <v>0</v>
      </c>
      <c r="AQ63" s="18">
        <f t="shared" si="29"/>
        <v>0</v>
      </c>
      <c r="AR63" s="18">
        <f t="shared" si="29"/>
        <v>0</v>
      </c>
    </row>
    <row r="64" spans="1:44" x14ac:dyDescent="0.2">
      <c r="C64" s="11"/>
    </row>
    <row r="65" spans="1:44" s="8" customFormat="1" x14ac:dyDescent="0.2">
      <c r="A65" s="7" t="s">
        <v>246</v>
      </c>
      <c r="B65" s="7"/>
      <c r="C65" s="12"/>
    </row>
    <row r="66" spans="1:44" ht="15" x14ac:dyDescent="0.25">
      <c r="A66" s="2" t="s">
        <v>234</v>
      </c>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row>
    <row r="67" spans="1:44" x14ac:dyDescent="0.2">
      <c r="B67" s="1" t="s">
        <v>241</v>
      </c>
      <c r="C67" s="71" t="s">
        <v>77</v>
      </c>
      <c r="D67" s="70">
        <f>SUM(F67:AR67)</f>
        <v>214390192.21658853</v>
      </c>
      <c r="F67" s="18">
        <f t="shared" ref="F67" si="30">F53-F31</f>
        <v>0</v>
      </c>
      <c r="G67" s="18">
        <f t="shared" ref="G67:AR67" si="31">G53-G31</f>
        <v>0</v>
      </c>
      <c r="H67" s="18">
        <f t="shared" si="31"/>
        <v>0</v>
      </c>
      <c r="I67" s="18">
        <f t="shared" si="31"/>
        <v>0</v>
      </c>
      <c r="J67" s="18">
        <f t="shared" si="31"/>
        <v>2885245.1200612267</v>
      </c>
      <c r="K67" s="18">
        <f t="shared" si="31"/>
        <v>0</v>
      </c>
      <c r="L67" s="18">
        <f t="shared" si="31"/>
        <v>11271155.840428587</v>
      </c>
      <c r="M67" s="18">
        <f t="shared" si="31"/>
        <v>64752221.05296725</v>
      </c>
      <c r="N67" s="18">
        <f t="shared" si="31"/>
        <v>72864037.756306008</v>
      </c>
      <c r="O67" s="18">
        <f t="shared" si="31"/>
        <v>62617532.446825475</v>
      </c>
      <c r="P67" s="18">
        <f t="shared" si="31"/>
        <v>0</v>
      </c>
      <c r="Q67" s="18">
        <f t="shared" si="31"/>
        <v>0</v>
      </c>
      <c r="R67" s="18">
        <f t="shared" si="31"/>
        <v>0</v>
      </c>
      <c r="S67" s="18">
        <f t="shared" ref="S67" si="32">S53-S31</f>
        <v>0</v>
      </c>
      <c r="T67" s="18">
        <f t="shared" si="31"/>
        <v>0</v>
      </c>
      <c r="U67" s="18">
        <f t="shared" si="31"/>
        <v>0</v>
      </c>
      <c r="V67" s="18">
        <f t="shared" si="31"/>
        <v>0</v>
      </c>
      <c r="W67" s="18">
        <f t="shared" si="31"/>
        <v>0</v>
      </c>
      <c r="X67" s="18">
        <f t="shared" si="31"/>
        <v>0</v>
      </c>
      <c r="Y67" s="18">
        <f t="shared" si="31"/>
        <v>0</v>
      </c>
      <c r="Z67" s="18">
        <f t="shared" si="31"/>
        <v>0</v>
      </c>
      <c r="AA67" s="18">
        <f t="shared" si="31"/>
        <v>0</v>
      </c>
      <c r="AB67" s="18">
        <f t="shared" si="31"/>
        <v>0</v>
      </c>
      <c r="AC67" s="18">
        <f t="shared" si="31"/>
        <v>0</v>
      </c>
      <c r="AD67" s="18">
        <f t="shared" si="31"/>
        <v>0</v>
      </c>
      <c r="AE67" s="18">
        <f t="shared" si="31"/>
        <v>0</v>
      </c>
      <c r="AF67" s="18">
        <f t="shared" si="31"/>
        <v>0</v>
      </c>
      <c r="AG67" s="18">
        <f t="shared" si="31"/>
        <v>0</v>
      </c>
      <c r="AH67" s="18">
        <f t="shared" si="31"/>
        <v>0</v>
      </c>
      <c r="AI67" s="18">
        <f t="shared" si="31"/>
        <v>0</v>
      </c>
      <c r="AJ67" s="18">
        <f t="shared" si="31"/>
        <v>0</v>
      </c>
      <c r="AK67" s="18">
        <f t="shared" si="31"/>
        <v>0</v>
      </c>
      <c r="AL67" s="18">
        <f t="shared" si="31"/>
        <v>0</v>
      </c>
      <c r="AM67" s="18">
        <f t="shared" si="31"/>
        <v>0</v>
      </c>
      <c r="AN67" s="18">
        <f t="shared" si="31"/>
        <v>0</v>
      </c>
      <c r="AO67" s="18">
        <f t="shared" si="31"/>
        <v>0</v>
      </c>
      <c r="AP67" s="18">
        <f t="shared" si="31"/>
        <v>0</v>
      </c>
      <c r="AQ67" s="18">
        <f t="shared" si="31"/>
        <v>0</v>
      </c>
      <c r="AR67" s="18">
        <f t="shared" si="31"/>
        <v>0</v>
      </c>
    </row>
    <row r="68" spans="1:44" x14ac:dyDescent="0.2">
      <c r="B68" s="1" t="s">
        <v>242</v>
      </c>
      <c r="C68" s="71" t="s">
        <v>77</v>
      </c>
      <c r="D68" s="70">
        <f>SUM(F68:AR68)</f>
        <v>185941779.49328446</v>
      </c>
      <c r="F68" s="18">
        <f t="shared" ref="F68" si="33">F54-F32</f>
        <v>0</v>
      </c>
      <c r="G68" s="18">
        <f t="shared" ref="G68:AR68" si="34">G54-G32</f>
        <v>0</v>
      </c>
      <c r="H68" s="18">
        <f t="shared" si="34"/>
        <v>0</v>
      </c>
      <c r="I68" s="18">
        <f t="shared" si="34"/>
        <v>0</v>
      </c>
      <c r="J68" s="18">
        <f t="shared" si="34"/>
        <v>2801208.8544283756</v>
      </c>
      <c r="K68" s="18">
        <f t="shared" si="34"/>
        <v>0</v>
      </c>
      <c r="L68" s="18">
        <f t="shared" si="34"/>
        <v>10314704.258637873</v>
      </c>
      <c r="M68" s="18">
        <f t="shared" si="34"/>
        <v>57531509.729335003</v>
      </c>
      <c r="N68" s="18">
        <f t="shared" si="34"/>
        <v>62853159.034288965</v>
      </c>
      <c r="O68" s="18">
        <f t="shared" si="34"/>
        <v>52441197.616594248</v>
      </c>
      <c r="P68" s="18">
        <f t="shared" si="34"/>
        <v>0</v>
      </c>
      <c r="Q68" s="18">
        <f t="shared" si="34"/>
        <v>0</v>
      </c>
      <c r="R68" s="18">
        <f t="shared" si="34"/>
        <v>0</v>
      </c>
      <c r="S68" s="18">
        <f t="shared" ref="S68" si="35">S54-S32</f>
        <v>0</v>
      </c>
      <c r="T68" s="18">
        <f t="shared" si="34"/>
        <v>0</v>
      </c>
      <c r="U68" s="18">
        <f t="shared" si="34"/>
        <v>0</v>
      </c>
      <c r="V68" s="18">
        <f t="shared" si="34"/>
        <v>0</v>
      </c>
      <c r="W68" s="18">
        <f t="shared" si="34"/>
        <v>0</v>
      </c>
      <c r="X68" s="18">
        <f t="shared" si="34"/>
        <v>0</v>
      </c>
      <c r="Y68" s="18">
        <f t="shared" si="34"/>
        <v>0</v>
      </c>
      <c r="Z68" s="18">
        <f t="shared" si="34"/>
        <v>0</v>
      </c>
      <c r="AA68" s="18">
        <f t="shared" si="34"/>
        <v>0</v>
      </c>
      <c r="AB68" s="18">
        <f t="shared" si="34"/>
        <v>0</v>
      </c>
      <c r="AC68" s="18">
        <f t="shared" si="34"/>
        <v>0</v>
      </c>
      <c r="AD68" s="18">
        <f t="shared" si="34"/>
        <v>0</v>
      </c>
      <c r="AE68" s="18">
        <f t="shared" si="34"/>
        <v>0</v>
      </c>
      <c r="AF68" s="18">
        <f t="shared" si="34"/>
        <v>0</v>
      </c>
      <c r="AG68" s="18">
        <f t="shared" si="34"/>
        <v>0</v>
      </c>
      <c r="AH68" s="18">
        <f t="shared" si="34"/>
        <v>0</v>
      </c>
      <c r="AI68" s="18">
        <f t="shared" si="34"/>
        <v>0</v>
      </c>
      <c r="AJ68" s="18">
        <f t="shared" si="34"/>
        <v>0</v>
      </c>
      <c r="AK68" s="18">
        <f t="shared" si="34"/>
        <v>0</v>
      </c>
      <c r="AL68" s="18">
        <f t="shared" si="34"/>
        <v>0</v>
      </c>
      <c r="AM68" s="18">
        <f t="shared" si="34"/>
        <v>0</v>
      </c>
      <c r="AN68" s="18">
        <f t="shared" si="34"/>
        <v>0</v>
      </c>
      <c r="AO68" s="18">
        <f t="shared" si="34"/>
        <v>0</v>
      </c>
      <c r="AP68" s="18">
        <f t="shared" si="34"/>
        <v>0</v>
      </c>
      <c r="AQ68" s="18">
        <f t="shared" si="34"/>
        <v>0</v>
      </c>
      <c r="AR68" s="18">
        <f t="shared" si="34"/>
        <v>0</v>
      </c>
    </row>
    <row r="69" spans="1:44" x14ac:dyDescent="0.2">
      <c r="B69" s="1" t="s">
        <v>243</v>
      </c>
      <c r="C69" s="71" t="s">
        <v>77</v>
      </c>
      <c r="D69" s="70">
        <f>SUM(F69:AR69)</f>
        <v>154972028.48195451</v>
      </c>
      <c r="F69" s="18">
        <f t="shared" ref="F69" si="36">F55-F33</f>
        <v>0</v>
      </c>
      <c r="G69" s="18">
        <f t="shared" ref="G69:AR69" si="37">G55-G33</f>
        <v>0</v>
      </c>
      <c r="H69" s="18">
        <f t="shared" si="37"/>
        <v>0</v>
      </c>
      <c r="I69" s="18">
        <f t="shared" si="37"/>
        <v>0</v>
      </c>
      <c r="J69" s="18">
        <f t="shared" si="37"/>
        <v>2696490.7664123615</v>
      </c>
      <c r="K69" s="18">
        <f t="shared" si="37"/>
        <v>0</v>
      </c>
      <c r="L69" s="18">
        <f t="shared" si="37"/>
        <v>9200620.58264778</v>
      </c>
      <c r="M69" s="18">
        <f t="shared" si="37"/>
        <v>49399159.410751678</v>
      </c>
      <c r="N69" s="18">
        <f t="shared" si="37"/>
        <v>51951051.901622385</v>
      </c>
      <c r="O69" s="18">
        <f t="shared" si="37"/>
        <v>41724705.820520319</v>
      </c>
      <c r="P69" s="18">
        <f t="shared" si="37"/>
        <v>0</v>
      </c>
      <c r="Q69" s="18">
        <f t="shared" si="37"/>
        <v>0</v>
      </c>
      <c r="R69" s="18">
        <f t="shared" si="37"/>
        <v>0</v>
      </c>
      <c r="S69" s="18">
        <f t="shared" ref="S69" si="38">S55-S33</f>
        <v>0</v>
      </c>
      <c r="T69" s="18">
        <f t="shared" si="37"/>
        <v>0</v>
      </c>
      <c r="U69" s="18">
        <f t="shared" si="37"/>
        <v>0</v>
      </c>
      <c r="V69" s="18">
        <f t="shared" si="37"/>
        <v>0</v>
      </c>
      <c r="W69" s="18">
        <f t="shared" si="37"/>
        <v>0</v>
      </c>
      <c r="X69" s="18">
        <f t="shared" si="37"/>
        <v>0</v>
      </c>
      <c r="Y69" s="18">
        <f t="shared" si="37"/>
        <v>0</v>
      </c>
      <c r="Z69" s="18">
        <f t="shared" si="37"/>
        <v>0</v>
      </c>
      <c r="AA69" s="18">
        <f t="shared" si="37"/>
        <v>0</v>
      </c>
      <c r="AB69" s="18">
        <f t="shared" si="37"/>
        <v>0</v>
      </c>
      <c r="AC69" s="18">
        <f t="shared" si="37"/>
        <v>0</v>
      </c>
      <c r="AD69" s="18">
        <f t="shared" si="37"/>
        <v>0</v>
      </c>
      <c r="AE69" s="18">
        <f t="shared" si="37"/>
        <v>0</v>
      </c>
      <c r="AF69" s="18">
        <f t="shared" si="37"/>
        <v>0</v>
      </c>
      <c r="AG69" s="18">
        <f t="shared" si="37"/>
        <v>0</v>
      </c>
      <c r="AH69" s="18">
        <f t="shared" si="37"/>
        <v>0</v>
      </c>
      <c r="AI69" s="18">
        <f t="shared" si="37"/>
        <v>0</v>
      </c>
      <c r="AJ69" s="18">
        <f t="shared" si="37"/>
        <v>0</v>
      </c>
      <c r="AK69" s="18">
        <f t="shared" si="37"/>
        <v>0</v>
      </c>
      <c r="AL69" s="18">
        <f t="shared" si="37"/>
        <v>0</v>
      </c>
      <c r="AM69" s="18">
        <f t="shared" si="37"/>
        <v>0</v>
      </c>
      <c r="AN69" s="18">
        <f t="shared" si="37"/>
        <v>0</v>
      </c>
      <c r="AO69" s="18">
        <f t="shared" si="37"/>
        <v>0</v>
      </c>
      <c r="AP69" s="18">
        <f t="shared" si="37"/>
        <v>0</v>
      </c>
      <c r="AQ69" s="18">
        <f t="shared" si="37"/>
        <v>0</v>
      </c>
      <c r="AR69" s="18">
        <f t="shared" si="37"/>
        <v>0</v>
      </c>
    </row>
    <row r="70" spans="1:44" x14ac:dyDescent="0.2">
      <c r="C70" s="71"/>
      <c r="D70" s="70"/>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row>
    <row r="71" spans="1:44" ht="15" x14ac:dyDescent="0.25">
      <c r="A71" s="2" t="s">
        <v>244</v>
      </c>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row>
    <row r="72" spans="1:44" x14ac:dyDescent="0.2">
      <c r="B72" s="1" t="s">
        <v>241</v>
      </c>
      <c r="C72" s="71" t="s">
        <v>77</v>
      </c>
      <c r="D72" s="70">
        <f>SUM(F72:AR72)</f>
        <v>-10773789.618830958</v>
      </c>
      <c r="F72" s="18">
        <f>IF(F$13&gt;INPUTS!$E$21,0,F61-F40)</f>
        <v>0</v>
      </c>
      <c r="G72" s="18">
        <f>IF(G$13&gt;INPUTS!$E$21,0,G61-G40)</f>
        <v>0</v>
      </c>
      <c r="H72" s="18">
        <f>IF(H$13&gt;INPUTS!$E$21,0,H61-H40)</f>
        <v>0</v>
      </c>
      <c r="I72" s="18">
        <f>IF(I$13&gt;INPUTS!$E$21,0,I61-I40)</f>
        <v>0</v>
      </c>
      <c r="J72" s="18">
        <f>IF(J$13&gt;INPUTS!$E$21,0,J61-J40)</f>
        <v>0</v>
      </c>
      <c r="K72" s="18">
        <f>IF(K$13&gt;INPUTS!$E$21,0,K61-K40)</f>
        <v>0</v>
      </c>
      <c r="L72" s="18">
        <f>IF(L$13&gt;INPUTS!$E$21,0,L61-L40)</f>
        <v>0</v>
      </c>
      <c r="M72" s="18">
        <f>IF(M$13&gt;INPUTS!$E$21,0,M61-M40)</f>
        <v>0</v>
      </c>
      <c r="N72" s="18">
        <f>IF(N$13&gt;INPUTS!$E$21,0,N61-N40)</f>
        <v>0</v>
      </c>
      <c r="O72" s="18">
        <f>IF(O$13&gt;INPUTS!$E$21,0,O61-O40)</f>
        <v>0</v>
      </c>
      <c r="P72" s="18">
        <f>IF(P$13&gt;INPUTS!$E$21,0,P61-P40)</f>
        <v>-10860584.349805798</v>
      </c>
      <c r="Q72" s="18">
        <f>IF(Q$13&gt;INPUTS!$E$21,0,Q61-Q40)</f>
        <v>-25616.26327370133</v>
      </c>
      <c r="R72" s="18">
        <f>IF(R$13&gt;INPUTS!$E$21,0,R61-R40)</f>
        <v>-42693.772122835551</v>
      </c>
      <c r="S72" s="18">
        <f>IF(S$13&gt;INPUTS!$E$21,0,S61-S40)</f>
        <v>-25616.26327370133</v>
      </c>
      <c r="T72" s="18">
        <f>IF(T$13&gt;INPUTS!$E$21,0,T61-T40)</f>
        <v>-42693.772122835551</v>
      </c>
      <c r="U72" s="18">
        <f>IF(U$13&gt;INPUTS!$E$21,0,U61-U40)</f>
        <v>-25616.26327370133</v>
      </c>
      <c r="V72" s="18">
        <f>IF(V$13&gt;INPUTS!$E$21,0,V61-V40)</f>
        <v>-42693.772122835551</v>
      </c>
      <c r="W72" s="18">
        <f>IF(W$13&gt;INPUTS!$E$21,0,W61-W40)</f>
        <v>-25616.26327370133</v>
      </c>
      <c r="X72" s="18">
        <f>IF(X$13&gt;INPUTS!$E$21,0,X61-X40)</f>
        <v>0</v>
      </c>
      <c r="Y72" s="18">
        <f>IF(Y$13&gt;INPUTS!$E$21,0,Y61-Y40)</f>
        <v>0</v>
      </c>
      <c r="Z72" s="18">
        <f>IF(Z$13&gt;INPUTS!$E$21,0,Z61-Z40)</f>
        <v>0</v>
      </c>
      <c r="AA72" s="18">
        <f>IF(AA$13&gt;INPUTS!$E$21,0,AA61-AA40)</f>
        <v>0</v>
      </c>
      <c r="AB72" s="18">
        <f>IF(AB$13&gt;INPUTS!$E$21,0,AB61-AB40)</f>
        <v>-179313.84291590934</v>
      </c>
      <c r="AC72" s="18">
        <f>IF(AC$13&gt;INPUTS!$E$21,0,AC61-AC40)</f>
        <v>0</v>
      </c>
      <c r="AD72" s="18">
        <f>IF(AD$13&gt;INPUTS!$E$21,0,AD61-AD40)</f>
        <v>0</v>
      </c>
      <c r="AE72" s="18">
        <f>IF(AE$13&gt;INPUTS!$E$21,0,AE61-AE40)</f>
        <v>0</v>
      </c>
      <c r="AF72" s="18">
        <f>IF(AF$13&gt;INPUTS!$E$21,0,AF61-AF40)</f>
        <v>0</v>
      </c>
      <c r="AG72" s="18">
        <f>IF(AG$13&gt;INPUTS!$E$21,0,AG61-AG40)</f>
        <v>496654.94335406111</v>
      </c>
      <c r="AH72" s="18">
        <f>IF(AH$13&gt;INPUTS!$E$21,0,AH61-AH40)</f>
        <v>0</v>
      </c>
      <c r="AI72" s="18">
        <f>IF(AI$13&gt;INPUTS!$E$21,0,AI61-AI40)</f>
        <v>0</v>
      </c>
      <c r="AJ72" s="18">
        <f>IF(AJ$13&gt;INPUTS!$E$21,0,AJ61-AJ40)</f>
        <v>0</v>
      </c>
      <c r="AK72" s="18">
        <f>IF(AK$13&gt;INPUTS!$E$21,0,AK61-AK40)</f>
        <v>0</v>
      </c>
      <c r="AL72" s="18">
        <f>IF(AL$13&gt;INPUTS!$E$21,0,AL61-AL40)</f>
        <v>0</v>
      </c>
      <c r="AM72" s="18">
        <f>IF(AM$13&gt;INPUTS!$E$21,0,AM61-AM40)</f>
        <v>0</v>
      </c>
      <c r="AN72" s="18">
        <f>IF(AN$13&gt;INPUTS!$E$21,0,AN61-AN40)</f>
        <v>0</v>
      </c>
      <c r="AO72" s="18">
        <f>IF(AO$13&gt;INPUTS!$E$21,0,AO61-AO40)</f>
        <v>0</v>
      </c>
      <c r="AP72" s="18">
        <f>IF(AP$13&gt;INPUTS!$E$21,0,AP61-AP40)</f>
        <v>0</v>
      </c>
      <c r="AQ72" s="18">
        <f>IF(AQ$13&gt;INPUTS!$E$21,0,AQ61-AQ40)</f>
        <v>0</v>
      </c>
      <c r="AR72" s="18">
        <f>IF(AR$13&gt;INPUTS!$E$21,0,AR61-AR40)</f>
        <v>0</v>
      </c>
    </row>
    <row r="73" spans="1:44" x14ac:dyDescent="0.2">
      <c r="B73" s="1" t="s">
        <v>242</v>
      </c>
      <c r="C73" s="71" t="s">
        <v>77</v>
      </c>
      <c r="D73" s="70">
        <f>SUM(F73:AR73)</f>
        <v>-8855409.0119827352</v>
      </c>
      <c r="F73" s="18">
        <f>IF(F$13&gt;INPUTS!$E$21,0,F62-F41)</f>
        <v>0</v>
      </c>
      <c r="G73" s="18">
        <f>IF(G$13&gt;INPUTS!$E$21,0,G62-G41)</f>
        <v>0</v>
      </c>
      <c r="H73" s="18">
        <f>IF(H$13&gt;INPUTS!$E$21,0,H62-H41)</f>
        <v>0</v>
      </c>
      <c r="I73" s="18">
        <f>IF(I$13&gt;INPUTS!$E$21,0,I62-I41)</f>
        <v>0</v>
      </c>
      <c r="J73" s="18">
        <f>IF(J$13&gt;INPUTS!$E$21,0,J62-J41)</f>
        <v>0</v>
      </c>
      <c r="K73" s="18">
        <f>IF(K$13&gt;INPUTS!$E$21,0,K62-K41)</f>
        <v>0</v>
      </c>
      <c r="L73" s="18">
        <f>IF(L$13&gt;INPUTS!$E$21,0,L62-L41)</f>
        <v>0</v>
      </c>
      <c r="M73" s="18">
        <f>IF(M$13&gt;INPUTS!$E$21,0,M62-M41)</f>
        <v>0</v>
      </c>
      <c r="N73" s="18">
        <f>IF(N$13&gt;INPUTS!$E$21,0,N62-N41)</f>
        <v>0</v>
      </c>
      <c r="O73" s="18">
        <f>IF(O$13&gt;INPUTS!$E$21,0,O62-O41)</f>
        <v>0</v>
      </c>
      <c r="P73" s="18">
        <f>IF(P$13&gt;INPUTS!$E$21,0,P62-P41)</f>
        <v>-8830648.943055572</v>
      </c>
      <c r="Q73" s="18">
        <f>IF(Q$13&gt;INPUTS!$E$21,0,Q62-Q41)</f>
        <v>-20221.714776876761</v>
      </c>
      <c r="R73" s="18">
        <f>IF(R$13&gt;INPUTS!$E$21,0,R62-R41)</f>
        <v>-32721.221321807057</v>
      </c>
      <c r="S73" s="18">
        <f>IF(S$13&gt;INPUTS!$E$21,0,S62-S41)</f>
        <v>-19060.905624353625</v>
      </c>
      <c r="T73" s="18">
        <f>IF(T$13&gt;INPUTS!$E$21,0,T62-T41)</f>
        <v>-30842.88935979551</v>
      </c>
      <c r="U73" s="18">
        <f>IF(U$13&gt;INPUTS!$E$21,0,U62-U41)</f>
        <v>-17966.731665900297</v>
      </c>
      <c r="V73" s="18">
        <f>IF(V$13&gt;INPUTS!$E$21,0,V62-V41)</f>
        <v>-29072.381336408253</v>
      </c>
      <c r="W73" s="18">
        <f>IF(W$13&gt;INPUTS!$E$21,0,W62-W41)</f>
        <v>-16935.367768781503</v>
      </c>
      <c r="X73" s="18">
        <f>IF(X$13&gt;INPUTS!$E$21,0,X62-X41)</f>
        <v>0</v>
      </c>
      <c r="Y73" s="18">
        <f>IF(Y$13&gt;INPUTS!$E$21,0,Y62-Y41)</f>
        <v>0</v>
      </c>
      <c r="Z73" s="18">
        <f>IF(Z$13&gt;INPUTS!$E$21,0,Z62-Z41)</f>
        <v>0</v>
      </c>
      <c r="AA73" s="18">
        <f>IF(AA$13&gt;INPUTS!$E$21,0,AA62-AA41)</f>
        <v>0</v>
      </c>
      <c r="AB73" s="18">
        <f>IF(AB$13&gt;INPUTS!$E$21,0,AB62-AB41)</f>
        <v>-102260.17902889157</v>
      </c>
      <c r="AC73" s="18">
        <f>IF(AC$13&gt;INPUTS!$E$21,0,AC62-AC41)</f>
        <v>0</v>
      </c>
      <c r="AD73" s="18">
        <f>IF(AD$13&gt;INPUTS!$E$21,0,AD62-AD41)</f>
        <v>0</v>
      </c>
      <c r="AE73" s="18">
        <f>IF(AE$13&gt;INPUTS!$E$21,0,AE62-AE41)</f>
        <v>0</v>
      </c>
      <c r="AF73" s="18">
        <f>IF(AF$13&gt;INPUTS!$E$21,0,AF62-AF41)</f>
        <v>0</v>
      </c>
      <c r="AG73" s="18">
        <f>IF(AG$13&gt;INPUTS!$E$21,0,AG62-AG41)</f>
        <v>244321.32195565064</v>
      </c>
      <c r="AH73" s="18">
        <f>IF(AH$13&gt;INPUTS!$E$21,0,AH62-AH41)</f>
        <v>0</v>
      </c>
      <c r="AI73" s="18">
        <f>IF(AI$13&gt;INPUTS!$E$21,0,AI62-AI41)</f>
        <v>0</v>
      </c>
      <c r="AJ73" s="18">
        <f>IF(AJ$13&gt;INPUTS!$E$21,0,AJ62-AJ41)</f>
        <v>0</v>
      </c>
      <c r="AK73" s="18">
        <f>IF(AK$13&gt;INPUTS!$E$21,0,AK62-AK41)</f>
        <v>0</v>
      </c>
      <c r="AL73" s="18">
        <f>IF(AL$13&gt;INPUTS!$E$21,0,AL62-AL41)</f>
        <v>0</v>
      </c>
      <c r="AM73" s="18">
        <f>IF(AM$13&gt;INPUTS!$E$21,0,AM62-AM41)</f>
        <v>0</v>
      </c>
      <c r="AN73" s="18">
        <f>IF(AN$13&gt;INPUTS!$E$21,0,AN62-AN41)</f>
        <v>0</v>
      </c>
      <c r="AO73" s="18">
        <f>IF(AO$13&gt;INPUTS!$E$21,0,AO62-AO41)</f>
        <v>0</v>
      </c>
      <c r="AP73" s="18">
        <f>IF(AP$13&gt;INPUTS!$E$21,0,AP62-AP41)</f>
        <v>0</v>
      </c>
      <c r="AQ73" s="18">
        <f>IF(AQ$13&gt;INPUTS!$E$21,0,AQ62-AQ41)</f>
        <v>0</v>
      </c>
      <c r="AR73" s="18">
        <f>IF(AR$13&gt;INPUTS!$E$21,0,AR62-AR41)</f>
        <v>0</v>
      </c>
    </row>
    <row r="74" spans="1:44" x14ac:dyDescent="0.2">
      <c r="B74" s="1" t="s">
        <v>243</v>
      </c>
      <c r="C74" s="71" t="s">
        <v>77</v>
      </c>
      <c r="D74" s="70">
        <f>SUM(F74:AR74)</f>
        <v>-6825555.7769490499</v>
      </c>
      <c r="F74" s="18">
        <f>IF(F$13&gt;INPUTS!$E$21,0,F63-F42)</f>
        <v>0</v>
      </c>
      <c r="G74" s="18">
        <f>IF(G$13&gt;INPUTS!$E$21,0,G63-G42)</f>
        <v>0</v>
      </c>
      <c r="H74" s="18">
        <f>IF(H$13&gt;INPUTS!$E$21,0,H63-H42)</f>
        <v>0</v>
      </c>
      <c r="I74" s="18">
        <f>IF(I$13&gt;INPUTS!$E$21,0,I63-I42)</f>
        <v>0</v>
      </c>
      <c r="J74" s="18">
        <f>IF(J$13&gt;INPUTS!$E$21,0,J63-J42)</f>
        <v>0</v>
      </c>
      <c r="K74" s="18">
        <f>IF(K$13&gt;INPUTS!$E$21,0,K63-K42)</f>
        <v>0</v>
      </c>
      <c r="L74" s="18">
        <f>IF(L$13&gt;INPUTS!$E$21,0,L63-L42)</f>
        <v>0</v>
      </c>
      <c r="M74" s="18">
        <f>IF(M$13&gt;INPUTS!$E$21,0,M63-M42)</f>
        <v>0</v>
      </c>
      <c r="N74" s="18">
        <f>IF(N$13&gt;INPUTS!$E$21,0,N63-N42)</f>
        <v>0</v>
      </c>
      <c r="O74" s="18">
        <f>IF(O$13&gt;INPUTS!$E$21,0,O63-O42)</f>
        <v>0</v>
      </c>
      <c r="P74" s="18">
        <f>IF(P$13&gt;INPUTS!$E$21,0,P63-P42)</f>
        <v>-6763426.1005573906</v>
      </c>
      <c r="Q74" s="18">
        <f>IF(Q$13&gt;INPUTS!$E$21,0,Q63-Q42)</f>
        <v>-14908.89845022919</v>
      </c>
      <c r="R74" s="18">
        <f>IF(R$13&gt;INPUTS!$E$21,0,R63-R42)</f>
        <v>-23222.58325580871</v>
      </c>
      <c r="S74" s="18">
        <f>IF(S$13&gt;INPUTS!$E$21,0,S63-S42)</f>
        <v>-13022.00930232264</v>
      </c>
      <c r="T74" s="18">
        <f>IF(T$13&gt;INPUTS!$E$21,0,T63-T42)</f>
        <v>-20283.503586172334</v>
      </c>
      <c r="U74" s="18">
        <f>IF(U$13&gt;INPUTS!$E$21,0,U63-U42)</f>
        <v>-11373.927244582619</v>
      </c>
      <c r="V74" s="18">
        <f>IF(V$13&gt;INPUTS!$E$21,0,V63-V42)</f>
        <v>-17716.397577231492</v>
      </c>
      <c r="W74" s="18">
        <f>IF(W$13&gt;INPUTS!$E$21,0,W63-W42)</f>
        <v>-9934.4285479802766</v>
      </c>
      <c r="X74" s="18">
        <f>IF(X$13&gt;INPUTS!$E$21,0,X63-X42)</f>
        <v>0</v>
      </c>
      <c r="Y74" s="18">
        <f>IF(Y$13&gt;INPUTS!$E$21,0,Y63-Y42)</f>
        <v>0</v>
      </c>
      <c r="Z74" s="18">
        <f>IF(Z$13&gt;INPUTS!$E$21,0,Z63-Z42)</f>
        <v>0</v>
      </c>
      <c r="AA74" s="18">
        <f>IF(AA$13&gt;INPUTS!$E$21,0,AA63-AA42)</f>
        <v>0</v>
      </c>
      <c r="AB74" s="18">
        <f>IF(AB$13&gt;INPUTS!$E$21,0,AB63-AB42)</f>
        <v>-49581.771790445622</v>
      </c>
      <c r="AC74" s="18">
        <f>IF(AC$13&gt;INPUTS!$E$21,0,AC63-AC42)</f>
        <v>0</v>
      </c>
      <c r="AD74" s="18">
        <f>IF(AD$13&gt;INPUTS!$E$21,0,AD63-AD42)</f>
        <v>0</v>
      </c>
      <c r="AE74" s="18">
        <f>IF(AE$13&gt;INPUTS!$E$21,0,AE63-AE42)</f>
        <v>0</v>
      </c>
      <c r="AF74" s="18">
        <f>IF(AF$13&gt;INPUTS!$E$21,0,AF63-AF42)</f>
        <v>0</v>
      </c>
      <c r="AG74" s="18">
        <f>IF(AG$13&gt;INPUTS!$E$21,0,AG63-AG42)</f>
        <v>97913.84336311408</v>
      </c>
      <c r="AH74" s="18">
        <f>IF(AH$13&gt;INPUTS!$E$21,0,AH63-AH42)</f>
        <v>0</v>
      </c>
      <c r="AI74" s="18">
        <f>IF(AI$13&gt;INPUTS!$E$21,0,AI63-AI42)</f>
        <v>0</v>
      </c>
      <c r="AJ74" s="18">
        <f>IF(AJ$13&gt;INPUTS!$E$21,0,AJ63-AJ42)</f>
        <v>0</v>
      </c>
      <c r="AK74" s="18">
        <f>IF(AK$13&gt;INPUTS!$E$21,0,AK63-AK42)</f>
        <v>0</v>
      </c>
      <c r="AL74" s="18">
        <f>IF(AL$13&gt;INPUTS!$E$21,0,AL63-AL42)</f>
        <v>0</v>
      </c>
      <c r="AM74" s="18">
        <f>IF(AM$13&gt;INPUTS!$E$21,0,AM63-AM42)</f>
        <v>0</v>
      </c>
      <c r="AN74" s="18">
        <f>IF(AN$13&gt;INPUTS!$E$21,0,AN63-AN42)</f>
        <v>0</v>
      </c>
      <c r="AO74" s="18">
        <f>IF(AO$13&gt;INPUTS!$E$21,0,AO63-AO42)</f>
        <v>0</v>
      </c>
      <c r="AP74" s="18">
        <f>IF(AP$13&gt;INPUTS!$E$21,0,AP63-AP42)</f>
        <v>0</v>
      </c>
      <c r="AQ74" s="18">
        <f>IF(AQ$13&gt;INPUTS!$E$21,0,AQ63-AQ42)</f>
        <v>0</v>
      </c>
      <c r="AR74" s="18">
        <f>IF(AR$13&gt;INPUTS!$E$21,0,AR63-AR42)</f>
        <v>0</v>
      </c>
    </row>
    <row r="76" spans="1:44" ht="15" x14ac:dyDescent="0.25">
      <c r="A76" s="2" t="s">
        <v>247</v>
      </c>
    </row>
    <row r="77" spans="1:44" x14ac:dyDescent="0.2">
      <c r="B77" s="1" t="s">
        <v>241</v>
      </c>
      <c r="C77" s="71" t="s">
        <v>77</v>
      </c>
      <c r="D77" s="70">
        <f>SUM(F77:AR77)</f>
        <v>203616402.59775752</v>
      </c>
      <c r="F77" s="70">
        <f>(F67+F72)*F$18</f>
        <v>0</v>
      </c>
      <c r="G77" s="70">
        <f t="shared" ref="G77:AR77" si="39">G67+G72</f>
        <v>0</v>
      </c>
      <c r="H77" s="70">
        <f t="shared" si="39"/>
        <v>0</v>
      </c>
      <c r="I77" s="70">
        <f t="shared" si="39"/>
        <v>0</v>
      </c>
      <c r="J77" s="70">
        <f t="shared" si="39"/>
        <v>2885245.1200612267</v>
      </c>
      <c r="K77" s="70">
        <f t="shared" si="39"/>
        <v>0</v>
      </c>
      <c r="L77" s="70">
        <f t="shared" si="39"/>
        <v>11271155.840428587</v>
      </c>
      <c r="M77" s="70">
        <f t="shared" si="39"/>
        <v>64752221.05296725</v>
      </c>
      <c r="N77" s="70">
        <f t="shared" si="39"/>
        <v>72864037.756306008</v>
      </c>
      <c r="O77" s="70">
        <f t="shared" si="39"/>
        <v>62617532.446825475</v>
      </c>
      <c r="P77" s="70">
        <f t="shared" si="39"/>
        <v>-10860584.349805798</v>
      </c>
      <c r="Q77" s="70">
        <f t="shared" si="39"/>
        <v>-25616.26327370133</v>
      </c>
      <c r="R77" s="70">
        <f t="shared" si="39"/>
        <v>-42693.772122835551</v>
      </c>
      <c r="S77" s="70">
        <f>(S67+S72)*S$18</f>
        <v>-25616.26327370133</v>
      </c>
      <c r="T77" s="70">
        <f t="shared" si="39"/>
        <v>-42693.772122835551</v>
      </c>
      <c r="U77" s="70">
        <f t="shared" si="39"/>
        <v>-25616.26327370133</v>
      </c>
      <c r="V77" s="70">
        <f t="shared" si="39"/>
        <v>-42693.772122835551</v>
      </c>
      <c r="W77" s="70">
        <f t="shared" si="39"/>
        <v>-25616.26327370133</v>
      </c>
      <c r="X77" s="70">
        <f t="shared" si="39"/>
        <v>0</v>
      </c>
      <c r="Y77" s="70">
        <f t="shared" si="39"/>
        <v>0</v>
      </c>
      <c r="Z77" s="70">
        <f t="shared" si="39"/>
        <v>0</v>
      </c>
      <c r="AA77" s="70">
        <f t="shared" si="39"/>
        <v>0</v>
      </c>
      <c r="AB77" s="70">
        <f t="shared" si="39"/>
        <v>-179313.84291590934</v>
      </c>
      <c r="AC77" s="70">
        <f t="shared" si="39"/>
        <v>0</v>
      </c>
      <c r="AD77" s="70">
        <f t="shared" si="39"/>
        <v>0</v>
      </c>
      <c r="AE77" s="70">
        <f t="shared" si="39"/>
        <v>0</v>
      </c>
      <c r="AF77" s="70">
        <f t="shared" si="39"/>
        <v>0</v>
      </c>
      <c r="AG77" s="70">
        <f t="shared" si="39"/>
        <v>496654.94335406111</v>
      </c>
      <c r="AH77" s="70">
        <f t="shared" si="39"/>
        <v>0</v>
      </c>
      <c r="AI77" s="70">
        <f t="shared" si="39"/>
        <v>0</v>
      </c>
      <c r="AJ77" s="70">
        <f t="shared" si="39"/>
        <v>0</v>
      </c>
      <c r="AK77" s="70">
        <f t="shared" si="39"/>
        <v>0</v>
      </c>
      <c r="AL77" s="70">
        <f t="shared" si="39"/>
        <v>0</v>
      </c>
      <c r="AM77" s="70">
        <f t="shared" si="39"/>
        <v>0</v>
      </c>
      <c r="AN77" s="70">
        <f t="shared" si="39"/>
        <v>0</v>
      </c>
      <c r="AO77" s="70">
        <f t="shared" si="39"/>
        <v>0</v>
      </c>
      <c r="AP77" s="70">
        <f t="shared" si="39"/>
        <v>0</v>
      </c>
      <c r="AQ77" s="70">
        <f t="shared" si="39"/>
        <v>0</v>
      </c>
      <c r="AR77" s="70">
        <f t="shared" si="39"/>
        <v>0</v>
      </c>
    </row>
    <row r="78" spans="1:44" x14ac:dyDescent="0.2">
      <c r="B78" s="1" t="s">
        <v>242</v>
      </c>
      <c r="C78" s="71" t="s">
        <v>77</v>
      </c>
      <c r="D78" s="70">
        <f>SUM(F78:AR78)</f>
        <v>177086370.48130167</v>
      </c>
      <c r="F78" s="70">
        <f>(F68+F73)*F$18</f>
        <v>0</v>
      </c>
      <c r="G78" s="70">
        <f t="shared" ref="G78:AR78" si="40">G68+G73</f>
        <v>0</v>
      </c>
      <c r="H78" s="70">
        <f t="shared" si="40"/>
        <v>0</v>
      </c>
      <c r="I78" s="70">
        <f t="shared" si="40"/>
        <v>0</v>
      </c>
      <c r="J78" s="70">
        <f t="shared" si="40"/>
        <v>2801208.8544283756</v>
      </c>
      <c r="K78" s="70">
        <f t="shared" si="40"/>
        <v>0</v>
      </c>
      <c r="L78" s="70">
        <f t="shared" si="40"/>
        <v>10314704.258637873</v>
      </c>
      <c r="M78" s="70">
        <f t="shared" si="40"/>
        <v>57531509.729335003</v>
      </c>
      <c r="N78" s="70">
        <f t="shared" si="40"/>
        <v>62853159.034288965</v>
      </c>
      <c r="O78" s="70">
        <f t="shared" si="40"/>
        <v>52441197.616594248</v>
      </c>
      <c r="P78" s="70">
        <f t="shared" si="40"/>
        <v>-8830648.943055572</v>
      </c>
      <c r="Q78" s="70">
        <f t="shared" si="40"/>
        <v>-20221.714776876761</v>
      </c>
      <c r="R78" s="70">
        <f t="shared" si="40"/>
        <v>-32721.221321807057</v>
      </c>
      <c r="S78" s="70">
        <f>(S68+S73)*S$18</f>
        <v>-19060.905624353625</v>
      </c>
      <c r="T78" s="70">
        <f t="shared" si="40"/>
        <v>-30842.88935979551</v>
      </c>
      <c r="U78" s="70">
        <f t="shared" si="40"/>
        <v>-17966.731665900297</v>
      </c>
      <c r="V78" s="70">
        <f t="shared" si="40"/>
        <v>-29072.381336408253</v>
      </c>
      <c r="W78" s="70">
        <f t="shared" si="40"/>
        <v>-16935.367768781503</v>
      </c>
      <c r="X78" s="70">
        <f t="shared" si="40"/>
        <v>0</v>
      </c>
      <c r="Y78" s="70">
        <f t="shared" si="40"/>
        <v>0</v>
      </c>
      <c r="Z78" s="70">
        <f t="shared" si="40"/>
        <v>0</v>
      </c>
      <c r="AA78" s="70">
        <f t="shared" si="40"/>
        <v>0</v>
      </c>
      <c r="AB78" s="70">
        <f t="shared" si="40"/>
        <v>-102260.17902889157</v>
      </c>
      <c r="AC78" s="70">
        <f t="shared" si="40"/>
        <v>0</v>
      </c>
      <c r="AD78" s="70">
        <f t="shared" si="40"/>
        <v>0</v>
      </c>
      <c r="AE78" s="70">
        <f t="shared" si="40"/>
        <v>0</v>
      </c>
      <c r="AF78" s="70">
        <f t="shared" si="40"/>
        <v>0</v>
      </c>
      <c r="AG78" s="70">
        <f t="shared" si="40"/>
        <v>244321.32195565064</v>
      </c>
      <c r="AH78" s="70">
        <f t="shared" si="40"/>
        <v>0</v>
      </c>
      <c r="AI78" s="70">
        <f t="shared" si="40"/>
        <v>0</v>
      </c>
      <c r="AJ78" s="70">
        <f t="shared" si="40"/>
        <v>0</v>
      </c>
      <c r="AK78" s="70">
        <f t="shared" si="40"/>
        <v>0</v>
      </c>
      <c r="AL78" s="70">
        <f t="shared" si="40"/>
        <v>0</v>
      </c>
      <c r="AM78" s="70">
        <f t="shared" si="40"/>
        <v>0</v>
      </c>
      <c r="AN78" s="70">
        <f t="shared" si="40"/>
        <v>0</v>
      </c>
      <c r="AO78" s="70">
        <f t="shared" si="40"/>
        <v>0</v>
      </c>
      <c r="AP78" s="70">
        <f t="shared" si="40"/>
        <v>0</v>
      </c>
      <c r="AQ78" s="70">
        <f t="shared" si="40"/>
        <v>0</v>
      </c>
      <c r="AR78" s="70">
        <f t="shared" si="40"/>
        <v>0</v>
      </c>
    </row>
    <row r="79" spans="1:44" x14ac:dyDescent="0.2">
      <c r="B79" s="1" t="s">
        <v>243</v>
      </c>
      <c r="C79" s="71" t="s">
        <v>77</v>
      </c>
      <c r="D79" s="70">
        <f>SUM(F79:AR79)</f>
        <v>148146472.7050055</v>
      </c>
      <c r="F79" s="70">
        <f>(F69+F74)*F$18</f>
        <v>0</v>
      </c>
      <c r="G79" s="70">
        <f t="shared" ref="G79:AR79" si="41">G69+G74</f>
        <v>0</v>
      </c>
      <c r="H79" s="70">
        <f t="shared" si="41"/>
        <v>0</v>
      </c>
      <c r="I79" s="70">
        <f t="shared" si="41"/>
        <v>0</v>
      </c>
      <c r="J79" s="70">
        <f t="shared" si="41"/>
        <v>2696490.7664123615</v>
      </c>
      <c r="K79" s="70">
        <f t="shared" si="41"/>
        <v>0</v>
      </c>
      <c r="L79" s="70">
        <f t="shared" si="41"/>
        <v>9200620.58264778</v>
      </c>
      <c r="M79" s="70">
        <f t="shared" si="41"/>
        <v>49399159.410751678</v>
      </c>
      <c r="N79" s="70">
        <f t="shared" si="41"/>
        <v>51951051.901622385</v>
      </c>
      <c r="O79" s="70">
        <f t="shared" si="41"/>
        <v>41724705.820520319</v>
      </c>
      <c r="P79" s="70">
        <f t="shared" si="41"/>
        <v>-6763426.1005573906</v>
      </c>
      <c r="Q79" s="70">
        <f t="shared" si="41"/>
        <v>-14908.89845022919</v>
      </c>
      <c r="R79" s="70">
        <f t="shared" si="41"/>
        <v>-23222.58325580871</v>
      </c>
      <c r="S79" s="70">
        <f>(S69+S74)*S$18</f>
        <v>-13022.00930232264</v>
      </c>
      <c r="T79" s="70">
        <f t="shared" si="41"/>
        <v>-20283.503586172334</v>
      </c>
      <c r="U79" s="70">
        <f t="shared" si="41"/>
        <v>-11373.927244582619</v>
      </c>
      <c r="V79" s="70">
        <f t="shared" si="41"/>
        <v>-17716.397577231492</v>
      </c>
      <c r="W79" s="70">
        <f t="shared" si="41"/>
        <v>-9934.4285479802766</v>
      </c>
      <c r="X79" s="70">
        <f t="shared" si="41"/>
        <v>0</v>
      </c>
      <c r="Y79" s="70">
        <f t="shared" si="41"/>
        <v>0</v>
      </c>
      <c r="Z79" s="70">
        <f t="shared" si="41"/>
        <v>0</v>
      </c>
      <c r="AA79" s="70">
        <f t="shared" si="41"/>
        <v>0</v>
      </c>
      <c r="AB79" s="70">
        <f t="shared" si="41"/>
        <v>-49581.771790445622</v>
      </c>
      <c r="AC79" s="70">
        <f t="shared" si="41"/>
        <v>0</v>
      </c>
      <c r="AD79" s="70">
        <f t="shared" si="41"/>
        <v>0</v>
      </c>
      <c r="AE79" s="70">
        <f t="shared" si="41"/>
        <v>0</v>
      </c>
      <c r="AF79" s="70">
        <f t="shared" si="41"/>
        <v>0</v>
      </c>
      <c r="AG79" s="70">
        <f t="shared" si="41"/>
        <v>97913.84336311408</v>
      </c>
      <c r="AH79" s="70">
        <f t="shared" si="41"/>
        <v>0</v>
      </c>
      <c r="AI79" s="70">
        <f t="shared" si="41"/>
        <v>0</v>
      </c>
      <c r="AJ79" s="70">
        <f t="shared" si="41"/>
        <v>0</v>
      </c>
      <c r="AK79" s="70">
        <f t="shared" si="41"/>
        <v>0</v>
      </c>
      <c r="AL79" s="70">
        <f t="shared" si="41"/>
        <v>0</v>
      </c>
      <c r="AM79" s="70">
        <f t="shared" si="41"/>
        <v>0</v>
      </c>
      <c r="AN79" s="70">
        <f t="shared" si="41"/>
        <v>0</v>
      </c>
      <c r="AO79" s="70">
        <f t="shared" si="41"/>
        <v>0</v>
      </c>
      <c r="AP79" s="70">
        <f t="shared" si="41"/>
        <v>0</v>
      </c>
      <c r="AQ79" s="70">
        <f t="shared" si="41"/>
        <v>0</v>
      </c>
      <c r="AR79" s="70">
        <f t="shared" si="41"/>
        <v>0</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560B5-B023-4DA3-B720-D819238E8F88}">
  <sheetPr>
    <tabColor theme="9"/>
  </sheetPr>
  <dimension ref="A1:AS46"/>
  <sheetViews>
    <sheetView workbookViewId="0">
      <pane xSplit="4" ySplit="11" topLeftCell="E14" activePane="bottomRight" state="frozen"/>
      <selection pane="topRight" activeCell="E1" sqref="E1"/>
      <selection pane="bottomLeft" activeCell="A12" sqref="A12"/>
      <selection pane="bottomRight" activeCell="G22" sqref="G22"/>
    </sheetView>
  </sheetViews>
  <sheetFormatPr defaultColWidth="0" defaultRowHeight="14.25" x14ac:dyDescent="0.2"/>
  <cols>
    <col min="1" max="1" width="10.140625" style="1" customWidth="1"/>
    <col min="2" max="2" width="32.5703125" style="1" bestFit="1" customWidth="1"/>
    <col min="3" max="3" width="15.28515625" style="1" bestFit="1" customWidth="1"/>
    <col min="4" max="4" width="17" style="1" bestFit="1" customWidth="1"/>
    <col min="5" max="5" width="1.5703125" style="1" customWidth="1"/>
    <col min="6" max="44" width="14.42578125" style="1" customWidth="1"/>
    <col min="45" max="45" width="9.140625" style="1" customWidth="1"/>
    <col min="46" max="16384" width="9.140625" style="1" hidden="1"/>
  </cols>
  <sheetData>
    <row r="1" spans="1:44" ht="19.5" x14ac:dyDescent="0.3">
      <c r="A1" s="6" t="str">
        <f>'OUTPUT Summary'!$A$1</f>
        <v>ODOT Roosevelt Memorial Bridge US-70</v>
      </c>
    </row>
    <row r="2" spans="1:44" ht="19.5" x14ac:dyDescent="0.3">
      <c r="A2" s="6" t="s">
        <v>248</v>
      </c>
      <c r="C2" s="11"/>
    </row>
    <row r="3" spans="1:44" x14ac:dyDescent="0.2">
      <c r="A3" s="51">
        <f ca="1">'OUTPUT Summary'!A3</f>
        <v>45156</v>
      </c>
      <c r="C3" s="11"/>
    </row>
    <row r="4" spans="1:44" x14ac:dyDescent="0.2">
      <c r="A4" s="52" t="str">
        <f>'OUTPUT Summary'!A4</f>
        <v>All $ values 2021, unless otherwise noted</v>
      </c>
      <c r="C4" s="11"/>
    </row>
    <row r="5" spans="1:44" x14ac:dyDescent="0.2">
      <c r="B5" s="66"/>
      <c r="C5" s="11"/>
    </row>
    <row r="6" spans="1:44" x14ac:dyDescent="0.2">
      <c r="C6" s="1" t="s">
        <v>44</v>
      </c>
      <c r="D6" s="1" t="s">
        <v>45</v>
      </c>
    </row>
    <row r="7" spans="1:44" s="8" customFormat="1" x14ac:dyDescent="0.2">
      <c r="A7" s="8" t="s">
        <v>224</v>
      </c>
      <c r="C7" s="226" t="s">
        <v>224</v>
      </c>
      <c r="F7" s="8">
        <f>INPUTS!$E$12</f>
        <v>2018</v>
      </c>
      <c r="G7" s="8">
        <f>F7+1</f>
        <v>2019</v>
      </c>
      <c r="H7" s="8">
        <f t="shared" ref="H7:W8" si="0">G7+1</f>
        <v>2020</v>
      </c>
      <c r="I7" s="8">
        <f t="shared" si="0"/>
        <v>2021</v>
      </c>
      <c r="J7" s="8">
        <f t="shared" si="0"/>
        <v>2022</v>
      </c>
      <c r="K7" s="8">
        <f t="shared" si="0"/>
        <v>2023</v>
      </c>
      <c r="L7" s="8">
        <f t="shared" si="0"/>
        <v>2024</v>
      </c>
      <c r="M7" s="8">
        <f t="shared" si="0"/>
        <v>2025</v>
      </c>
      <c r="N7" s="8">
        <f t="shared" si="0"/>
        <v>2026</v>
      </c>
      <c r="O7" s="8">
        <f t="shared" si="0"/>
        <v>2027</v>
      </c>
      <c r="P7" s="8">
        <f t="shared" si="0"/>
        <v>2028</v>
      </c>
      <c r="Q7" s="8">
        <f t="shared" si="0"/>
        <v>2029</v>
      </c>
      <c r="R7" s="8">
        <f t="shared" si="0"/>
        <v>2030</v>
      </c>
      <c r="S7" s="8">
        <f t="shared" si="0"/>
        <v>2031</v>
      </c>
      <c r="T7" s="8">
        <f t="shared" si="0"/>
        <v>2032</v>
      </c>
      <c r="U7" s="8">
        <f t="shared" si="0"/>
        <v>2033</v>
      </c>
      <c r="V7" s="8">
        <f t="shared" si="0"/>
        <v>2034</v>
      </c>
      <c r="W7" s="8">
        <f t="shared" si="0"/>
        <v>2035</v>
      </c>
      <c r="X7" s="8">
        <f t="shared" ref="X7:AM8" si="1">W7+1</f>
        <v>2036</v>
      </c>
      <c r="Y7" s="8">
        <f t="shared" si="1"/>
        <v>2037</v>
      </c>
      <c r="Z7" s="8">
        <f t="shared" si="1"/>
        <v>2038</v>
      </c>
      <c r="AA7" s="8">
        <f t="shared" si="1"/>
        <v>2039</v>
      </c>
      <c r="AB7" s="8">
        <f t="shared" si="1"/>
        <v>2040</v>
      </c>
      <c r="AC7" s="8">
        <f t="shared" si="1"/>
        <v>2041</v>
      </c>
      <c r="AD7" s="8">
        <f t="shared" si="1"/>
        <v>2042</v>
      </c>
      <c r="AE7" s="8">
        <f t="shared" si="1"/>
        <v>2043</v>
      </c>
      <c r="AF7" s="8">
        <f t="shared" si="1"/>
        <v>2044</v>
      </c>
      <c r="AG7" s="8">
        <f t="shared" si="1"/>
        <v>2045</v>
      </c>
      <c r="AH7" s="8">
        <f t="shared" si="1"/>
        <v>2046</v>
      </c>
      <c r="AI7" s="8">
        <f t="shared" si="1"/>
        <v>2047</v>
      </c>
      <c r="AJ7" s="8">
        <f t="shared" si="1"/>
        <v>2048</v>
      </c>
      <c r="AK7" s="8">
        <f t="shared" si="1"/>
        <v>2049</v>
      </c>
      <c r="AL7" s="8">
        <f t="shared" si="1"/>
        <v>2050</v>
      </c>
      <c r="AM7" s="8">
        <f t="shared" si="1"/>
        <v>2051</v>
      </c>
      <c r="AN7" s="8">
        <f t="shared" ref="AN7:AR8" si="2">AM7+1</f>
        <v>2052</v>
      </c>
      <c r="AO7" s="8">
        <f t="shared" si="2"/>
        <v>2053</v>
      </c>
      <c r="AP7" s="8">
        <f t="shared" si="2"/>
        <v>2054</v>
      </c>
      <c r="AQ7" s="8">
        <f t="shared" si="2"/>
        <v>2055</v>
      </c>
      <c r="AR7" s="8">
        <f t="shared" si="2"/>
        <v>2056</v>
      </c>
    </row>
    <row r="8" spans="1:44" x14ac:dyDescent="0.2">
      <c r="B8" s="1" t="s">
        <v>225</v>
      </c>
      <c r="C8" s="21" t="s">
        <v>50</v>
      </c>
      <c r="F8" s="1">
        <f>D8+1</f>
        <v>1</v>
      </c>
      <c r="G8" s="1">
        <f t="shared" ref="G8" si="3">F8+1</f>
        <v>2</v>
      </c>
      <c r="H8" s="1">
        <f t="shared" si="0"/>
        <v>3</v>
      </c>
      <c r="I8" s="1">
        <f t="shared" si="0"/>
        <v>4</v>
      </c>
      <c r="J8" s="1">
        <f t="shared" si="0"/>
        <v>5</v>
      </c>
      <c r="K8" s="1">
        <f t="shared" si="0"/>
        <v>6</v>
      </c>
      <c r="L8" s="1">
        <f t="shared" si="0"/>
        <v>7</v>
      </c>
      <c r="M8" s="1">
        <f t="shared" si="0"/>
        <v>8</v>
      </c>
      <c r="N8" s="1">
        <f t="shared" si="0"/>
        <v>9</v>
      </c>
      <c r="O8" s="1">
        <f t="shared" si="0"/>
        <v>10</v>
      </c>
      <c r="P8" s="1">
        <f t="shared" si="0"/>
        <v>11</v>
      </c>
      <c r="Q8" s="1">
        <f t="shared" si="0"/>
        <v>12</v>
      </c>
      <c r="R8" s="1">
        <f t="shared" si="0"/>
        <v>13</v>
      </c>
      <c r="S8" s="1">
        <f t="shared" si="0"/>
        <v>14</v>
      </c>
      <c r="T8" s="1">
        <f t="shared" si="0"/>
        <v>15</v>
      </c>
      <c r="U8" s="1">
        <f t="shared" si="0"/>
        <v>16</v>
      </c>
      <c r="V8" s="1">
        <f t="shared" si="0"/>
        <v>17</v>
      </c>
      <c r="W8" s="1">
        <f t="shared" si="0"/>
        <v>18</v>
      </c>
      <c r="X8" s="1">
        <f t="shared" si="1"/>
        <v>19</v>
      </c>
      <c r="Y8" s="1">
        <f t="shared" si="1"/>
        <v>20</v>
      </c>
      <c r="Z8" s="1">
        <f t="shared" si="1"/>
        <v>21</v>
      </c>
      <c r="AA8" s="1">
        <f t="shared" si="1"/>
        <v>22</v>
      </c>
      <c r="AB8" s="1">
        <f t="shared" si="1"/>
        <v>23</v>
      </c>
      <c r="AC8" s="1">
        <f t="shared" si="1"/>
        <v>24</v>
      </c>
      <c r="AD8" s="1">
        <f t="shared" si="1"/>
        <v>25</v>
      </c>
      <c r="AE8" s="1">
        <f t="shared" si="1"/>
        <v>26</v>
      </c>
      <c r="AF8" s="1">
        <f t="shared" si="1"/>
        <v>27</v>
      </c>
      <c r="AG8" s="1">
        <f t="shared" si="1"/>
        <v>28</v>
      </c>
      <c r="AH8" s="1">
        <f t="shared" si="1"/>
        <v>29</v>
      </c>
      <c r="AI8" s="1">
        <f t="shared" si="1"/>
        <v>30</v>
      </c>
      <c r="AJ8" s="1">
        <f t="shared" si="1"/>
        <v>31</v>
      </c>
      <c r="AK8" s="1">
        <f t="shared" si="1"/>
        <v>32</v>
      </c>
      <c r="AL8" s="1">
        <f t="shared" si="1"/>
        <v>33</v>
      </c>
      <c r="AM8" s="1">
        <f t="shared" si="1"/>
        <v>34</v>
      </c>
      <c r="AN8" s="1">
        <f t="shared" si="2"/>
        <v>35</v>
      </c>
      <c r="AO8" s="1">
        <f t="shared" si="2"/>
        <v>36</v>
      </c>
      <c r="AP8" s="1">
        <f t="shared" si="2"/>
        <v>37</v>
      </c>
      <c r="AQ8" s="1">
        <f t="shared" si="2"/>
        <v>38</v>
      </c>
      <c r="AR8" s="1">
        <f t="shared" si="2"/>
        <v>39</v>
      </c>
    </row>
    <row r="9" spans="1:44" x14ac:dyDescent="0.2">
      <c r="B9" s="1" t="s">
        <v>226</v>
      </c>
      <c r="C9" s="21" t="s">
        <v>227</v>
      </c>
      <c r="F9" s="1">
        <f>IF(F7=INPUTS!$E$13,1,0)</f>
        <v>0</v>
      </c>
      <c r="G9" s="1">
        <f>IF(G7=INPUTS!$E$13,1,0)</f>
        <v>0</v>
      </c>
      <c r="H9" s="1">
        <f>IF(H7=INPUTS!$E$13,1,0)</f>
        <v>0</v>
      </c>
      <c r="I9" s="1">
        <f>IF(I7=INPUTS!$E$13,1,0)</f>
        <v>1</v>
      </c>
      <c r="J9" s="1">
        <f>IF(J7=INPUTS!$E$13,1,0)</f>
        <v>0</v>
      </c>
      <c r="K9" s="1">
        <f>IF(K7=INPUTS!$E$13,1,0)</f>
        <v>0</v>
      </c>
      <c r="L9" s="1">
        <f>IF(L7=INPUTS!$E$13,1,0)</f>
        <v>0</v>
      </c>
      <c r="M9" s="1">
        <f>IF(M7=INPUTS!$E$13,1,0)</f>
        <v>0</v>
      </c>
      <c r="N9" s="1">
        <f>IF(N7=INPUTS!$E$13,1,0)</f>
        <v>0</v>
      </c>
      <c r="O9" s="1">
        <f>IF(O7=INPUTS!$E$13,1,0)</f>
        <v>0</v>
      </c>
      <c r="P9" s="1">
        <f>IF(P7=INPUTS!$E$13,1,0)</f>
        <v>0</v>
      </c>
      <c r="Q9" s="1">
        <f>IF(Q7=INPUTS!$E$13,1,0)</f>
        <v>0</v>
      </c>
      <c r="R9" s="1">
        <f>IF(R7=INPUTS!$E$13,1,0)</f>
        <v>0</v>
      </c>
      <c r="S9" s="1">
        <f>IF(S7=INPUTS!$E$13,1,0)</f>
        <v>0</v>
      </c>
      <c r="T9" s="1">
        <f>IF(T7=INPUTS!$E$13,1,0)</f>
        <v>0</v>
      </c>
      <c r="U9" s="1">
        <f>IF(U7=INPUTS!$E$13,1,0)</f>
        <v>0</v>
      </c>
      <c r="V9" s="1">
        <f>IF(V7=INPUTS!$E$13,1,0)</f>
        <v>0</v>
      </c>
      <c r="W9" s="1">
        <f>IF(W7=INPUTS!$E$13,1,0)</f>
        <v>0</v>
      </c>
      <c r="X9" s="1">
        <f>IF(X7=INPUTS!$E$13,1,0)</f>
        <v>0</v>
      </c>
      <c r="Y9" s="1">
        <f>IF(Y7=INPUTS!$E$13,1,0)</f>
        <v>0</v>
      </c>
      <c r="Z9" s="1">
        <f>IF(Z7=INPUTS!$E$13,1,0)</f>
        <v>0</v>
      </c>
      <c r="AA9" s="1">
        <f>IF(AA7=INPUTS!$E$13,1,0)</f>
        <v>0</v>
      </c>
      <c r="AB9" s="1">
        <f>IF(AB7=INPUTS!$E$13,1,0)</f>
        <v>0</v>
      </c>
      <c r="AC9" s="1">
        <f>IF(AC7=INPUTS!$E$13,1,0)</f>
        <v>0</v>
      </c>
      <c r="AD9" s="1">
        <f>IF(AD7=INPUTS!$E$13,1,0)</f>
        <v>0</v>
      </c>
      <c r="AE9" s="1">
        <f>IF(AE7=INPUTS!$E$13,1,0)</f>
        <v>0</v>
      </c>
      <c r="AF9" s="1">
        <f>IF(AF7=INPUTS!$E$13,1,0)</f>
        <v>0</v>
      </c>
      <c r="AG9" s="1">
        <f>IF(AG7=INPUTS!$E$13,1,0)</f>
        <v>0</v>
      </c>
      <c r="AH9" s="1">
        <f>IF(AH7=INPUTS!$E$13,1,0)</f>
        <v>0</v>
      </c>
      <c r="AI9" s="1">
        <f>IF(AI7=INPUTS!$E$13,1,0)</f>
        <v>0</v>
      </c>
      <c r="AJ9" s="1">
        <f>IF(AJ7=INPUTS!$E$13,1,0)</f>
        <v>0</v>
      </c>
      <c r="AK9" s="1">
        <f>IF(AK7=INPUTS!$E$13,1,0)</f>
        <v>0</v>
      </c>
      <c r="AL9" s="1">
        <f>IF(AL7=INPUTS!$E$13,1,0)</f>
        <v>0</v>
      </c>
      <c r="AM9" s="1">
        <f>IF(AM7=INPUTS!$E$13,1,0)</f>
        <v>0</v>
      </c>
      <c r="AN9" s="1">
        <f>IF(AN7=INPUTS!$E$13,1,0)</f>
        <v>0</v>
      </c>
      <c r="AO9" s="1">
        <f>IF(AO7=INPUTS!$E$13,1,0)</f>
        <v>0</v>
      </c>
      <c r="AP9" s="1">
        <f>IF(AP7=INPUTS!$E$13,1,0)</f>
        <v>0</v>
      </c>
      <c r="AQ9" s="1">
        <f>IF(AQ7=INPUTS!$E$13,1,0)</f>
        <v>0</v>
      </c>
      <c r="AR9" s="1">
        <f>IF(AR7=INPUTS!$E$13,1,0)</f>
        <v>0</v>
      </c>
    </row>
    <row r="10" spans="1:44" x14ac:dyDescent="0.2">
      <c r="B10" s="1" t="s">
        <v>228</v>
      </c>
      <c r="C10" s="21" t="s">
        <v>57</v>
      </c>
      <c r="F10" s="1">
        <f t="shared" ref="F10:H10" si="4">F7-$I$7+1</f>
        <v>-2</v>
      </c>
      <c r="G10" s="1">
        <f t="shared" si="4"/>
        <v>-1</v>
      </c>
      <c r="H10" s="1">
        <f t="shared" si="4"/>
        <v>0</v>
      </c>
      <c r="I10" s="1">
        <f>I7-$I$7+1</f>
        <v>1</v>
      </c>
      <c r="J10" s="1">
        <f t="shared" ref="J10:AR10" si="5">J7-$I$7+1</f>
        <v>2</v>
      </c>
      <c r="K10" s="1">
        <f t="shared" si="5"/>
        <v>3</v>
      </c>
      <c r="L10" s="1">
        <f t="shared" si="5"/>
        <v>4</v>
      </c>
      <c r="M10" s="1">
        <f t="shared" si="5"/>
        <v>5</v>
      </c>
      <c r="N10" s="1">
        <f t="shared" si="5"/>
        <v>6</v>
      </c>
      <c r="O10" s="1">
        <f t="shared" si="5"/>
        <v>7</v>
      </c>
      <c r="P10" s="1">
        <f t="shared" si="5"/>
        <v>8</v>
      </c>
      <c r="Q10" s="1">
        <f t="shared" si="5"/>
        <v>9</v>
      </c>
      <c r="R10" s="1">
        <f t="shared" si="5"/>
        <v>10</v>
      </c>
      <c r="S10" s="1">
        <f t="shared" si="5"/>
        <v>11</v>
      </c>
      <c r="T10" s="1">
        <f t="shared" si="5"/>
        <v>12</v>
      </c>
      <c r="U10" s="1">
        <f t="shared" si="5"/>
        <v>13</v>
      </c>
      <c r="V10" s="1">
        <f t="shared" si="5"/>
        <v>14</v>
      </c>
      <c r="W10" s="1">
        <f t="shared" si="5"/>
        <v>15</v>
      </c>
      <c r="X10" s="1">
        <f t="shared" si="5"/>
        <v>16</v>
      </c>
      <c r="Y10" s="1">
        <f t="shared" si="5"/>
        <v>17</v>
      </c>
      <c r="Z10" s="1">
        <f t="shared" si="5"/>
        <v>18</v>
      </c>
      <c r="AA10" s="1">
        <f t="shared" si="5"/>
        <v>19</v>
      </c>
      <c r="AB10" s="1">
        <f t="shared" si="5"/>
        <v>20</v>
      </c>
      <c r="AC10" s="1">
        <f t="shared" si="5"/>
        <v>21</v>
      </c>
      <c r="AD10" s="1">
        <f t="shared" si="5"/>
        <v>22</v>
      </c>
      <c r="AE10" s="1">
        <f t="shared" si="5"/>
        <v>23</v>
      </c>
      <c r="AF10" s="1">
        <f t="shared" si="5"/>
        <v>24</v>
      </c>
      <c r="AG10" s="1">
        <f t="shared" si="5"/>
        <v>25</v>
      </c>
      <c r="AH10" s="1">
        <f t="shared" si="5"/>
        <v>26</v>
      </c>
      <c r="AI10" s="1">
        <f t="shared" si="5"/>
        <v>27</v>
      </c>
      <c r="AJ10" s="1">
        <f t="shared" si="5"/>
        <v>28</v>
      </c>
      <c r="AK10" s="1">
        <f t="shared" si="5"/>
        <v>29</v>
      </c>
      <c r="AL10" s="1">
        <f t="shared" si="5"/>
        <v>30</v>
      </c>
      <c r="AM10" s="1">
        <f t="shared" si="5"/>
        <v>31</v>
      </c>
      <c r="AN10" s="1">
        <f t="shared" si="5"/>
        <v>32</v>
      </c>
      <c r="AO10" s="1">
        <f t="shared" si="5"/>
        <v>33</v>
      </c>
      <c r="AP10" s="1">
        <f t="shared" si="5"/>
        <v>34</v>
      </c>
      <c r="AQ10" s="1">
        <f t="shared" si="5"/>
        <v>35</v>
      </c>
      <c r="AR10" s="1">
        <f t="shared" si="5"/>
        <v>36</v>
      </c>
    </row>
    <row r="11" spans="1:44" x14ac:dyDescent="0.2">
      <c r="B11" s="1" t="s">
        <v>229</v>
      </c>
      <c r="C11" s="21" t="s">
        <v>227</v>
      </c>
      <c r="F11" s="1">
        <f>IF(AND(F7&gt;=INPUTS!$E$17,F7&lt;INPUTS!$E$21),1,0)</f>
        <v>0</v>
      </c>
      <c r="G11" s="1">
        <f>IF(AND(G7&gt;=INPUTS!$E$17,G7&lt;INPUTS!$E$21),1,0)</f>
        <v>0</v>
      </c>
      <c r="H11" s="1">
        <f>IF(AND(H7&gt;=INPUTS!$E$17,H7&lt;INPUTS!$E$21),1,0)</f>
        <v>0</v>
      </c>
      <c r="I11" s="1">
        <f>IF(AND(I7&gt;=INPUTS!$E$17,I7&lt;INPUTS!$E$21),1,0)</f>
        <v>0</v>
      </c>
      <c r="J11" s="1">
        <f>IF(AND(J7&gt;=INPUTS!$E$17,J7&lt;INPUTS!$E$21),1,0)</f>
        <v>0</v>
      </c>
      <c r="K11" s="1">
        <f>IF(AND(K7&gt;=INPUTS!$E$17,K7&lt;INPUTS!$E$21),1,0)</f>
        <v>0</v>
      </c>
      <c r="L11" s="1">
        <f>IF(AND(L7&gt;=INPUTS!$E$17,L7&lt;INPUTS!$E$21),1,0)</f>
        <v>0</v>
      </c>
      <c r="M11" s="1">
        <f>IF(AND(M7&gt;=INPUTS!$E$17,M7&lt;INPUTS!$E$21),1,0)</f>
        <v>0</v>
      </c>
      <c r="N11" s="1">
        <f>IF(AND(N7&gt;=INPUTS!$E$17,N7&lt;INPUTS!$E$21),1,0)</f>
        <v>0</v>
      </c>
      <c r="O11" s="1">
        <f>IF(AND(O7&gt;=INPUTS!$E$17,O7&lt;INPUTS!$E$21),1,0)</f>
        <v>0</v>
      </c>
      <c r="P11" s="1">
        <f>IF(AND(P7&gt;=INPUTS!$E$17,P7&lt;INPUTS!$E$21),1,0)</f>
        <v>1</v>
      </c>
      <c r="Q11" s="1">
        <f>IF(AND(Q7&gt;=INPUTS!$E$17,Q7&lt;INPUTS!$E$21),1,0)</f>
        <v>1</v>
      </c>
      <c r="R11" s="1">
        <f>IF(AND(R7&gt;=INPUTS!$E$17,R7&lt;INPUTS!$E$21),1,0)</f>
        <v>1</v>
      </c>
      <c r="S11" s="1">
        <f>IF(AND(S7&gt;=INPUTS!$E$17,S7&lt;INPUTS!$E$21),1,0)</f>
        <v>1</v>
      </c>
      <c r="T11" s="1">
        <f>IF(AND(T7&gt;=INPUTS!$E$17,T7&lt;INPUTS!$E$21),1,0)</f>
        <v>1</v>
      </c>
      <c r="U11" s="1">
        <f>IF(AND(U7&gt;=INPUTS!$E$17,U7&lt;INPUTS!$E$21),1,0)</f>
        <v>1</v>
      </c>
      <c r="V11" s="1">
        <f>IF(AND(V7&gt;=INPUTS!$E$17,V7&lt;INPUTS!$E$21),1,0)</f>
        <v>1</v>
      </c>
      <c r="W11" s="1">
        <f>IF(AND(W7&gt;=INPUTS!$E$17,W7&lt;INPUTS!$E$21),1,0)</f>
        <v>1</v>
      </c>
      <c r="X11" s="1">
        <f>IF(AND(X7&gt;=INPUTS!$E$17,X7&lt;INPUTS!$E$21),1,0)</f>
        <v>1</v>
      </c>
      <c r="Y11" s="1">
        <f>IF(AND(Y7&gt;=INPUTS!$E$17,Y7&lt;INPUTS!$E$21),1,0)</f>
        <v>1</v>
      </c>
      <c r="Z11" s="1">
        <f>IF(AND(Z7&gt;=INPUTS!$E$17,Z7&lt;INPUTS!$E$21),1,0)</f>
        <v>1</v>
      </c>
      <c r="AA11" s="1">
        <f>IF(AND(AA7&gt;=INPUTS!$E$17,AA7&lt;INPUTS!$E$21),1,0)</f>
        <v>1</v>
      </c>
      <c r="AB11" s="1">
        <f>IF(AND(AB7&gt;=INPUTS!$E$17,AB7&lt;INPUTS!$E$21),1,0)</f>
        <v>1</v>
      </c>
      <c r="AC11" s="1">
        <f>IF(AND(AC7&gt;=INPUTS!$E$17,AC7&lt;INPUTS!$E$21),1,0)</f>
        <v>1</v>
      </c>
      <c r="AD11" s="1">
        <f>IF(AND(AD7&gt;=INPUTS!$E$17,AD7&lt;INPUTS!$E$21),1,0)</f>
        <v>1</v>
      </c>
      <c r="AE11" s="1">
        <f>IF(AND(AE7&gt;=INPUTS!$E$17,AE7&lt;INPUTS!$E$21),1,0)</f>
        <v>1</v>
      </c>
      <c r="AF11" s="1">
        <f>IF(AND(AF7&gt;=INPUTS!$E$17,AF7&lt;INPUTS!$E$21),1,0)</f>
        <v>1</v>
      </c>
      <c r="AG11" s="1">
        <f>IF(AND(AG7&gt;=INPUTS!$E$17,AG7&lt;INPUTS!$E$21),1,0)</f>
        <v>1</v>
      </c>
      <c r="AH11" s="1">
        <f>IF(AND(AH7&gt;=INPUTS!$E$17,AH7&lt;INPUTS!$E$21),1,0)</f>
        <v>1</v>
      </c>
      <c r="AI11" s="1">
        <f>IF(AND(AI7&gt;=INPUTS!$E$17,AI7&lt;INPUTS!$E$21),1,0)</f>
        <v>1</v>
      </c>
      <c r="AJ11" s="1">
        <f>IF(AND(AJ7&gt;=INPUTS!$E$17,AJ7&lt;INPUTS!$E$21),1,0)</f>
        <v>0</v>
      </c>
      <c r="AK11" s="1">
        <f>IF(AND(AK7&gt;=INPUTS!$E$17,AK7&lt;INPUTS!$E$21),1,0)</f>
        <v>0</v>
      </c>
      <c r="AL11" s="1">
        <f>IF(AND(AL7&gt;=INPUTS!$E$17,AL7&lt;INPUTS!$E$21),1,0)</f>
        <v>0</v>
      </c>
      <c r="AM11" s="1">
        <f>IF(AND(AM7&gt;=INPUTS!$E$17,AM7&lt;INPUTS!$E$21),1,0)</f>
        <v>0</v>
      </c>
      <c r="AN11" s="1">
        <f>IF(AND(AN7&gt;=INPUTS!$E$17,AN7&lt;INPUTS!$E$21),1,0)</f>
        <v>0</v>
      </c>
      <c r="AO11" s="1">
        <f>IF(AND(AO7&gt;=INPUTS!$E$17,AO7&lt;INPUTS!$E$21),1,0)</f>
        <v>0</v>
      </c>
      <c r="AP11" s="1">
        <f>IF(AND(AP7&gt;=INPUTS!$E$17,AP7&lt;INPUTS!$E$21),1,0)</f>
        <v>0</v>
      </c>
      <c r="AQ11" s="1">
        <f>IF(AND(AQ7&gt;=INPUTS!$E$17,AQ7&lt;INPUTS!$E$21),1,0)</f>
        <v>0</v>
      </c>
      <c r="AR11" s="1">
        <f>IF(AND(AR7&gt;=INPUTS!$E$17,AR7&lt;INPUTS!$E$21),1,0)</f>
        <v>0</v>
      </c>
    </row>
    <row r="12" spans="1:44" ht="15" x14ac:dyDescent="0.25">
      <c r="A12" s="2" t="s">
        <v>230</v>
      </c>
      <c r="C12" s="21"/>
    </row>
    <row r="13" spans="1:44" x14ac:dyDescent="0.2">
      <c r="B13" s="1" t="s">
        <v>231</v>
      </c>
      <c r="C13" s="21" t="s">
        <v>50</v>
      </c>
      <c r="F13" s="1">
        <f>(F11+D13)*F11</f>
        <v>0</v>
      </c>
      <c r="G13" s="1">
        <f t="shared" ref="G13:AG13" si="6">(G11+F13)*G11</f>
        <v>0</v>
      </c>
      <c r="H13" s="1">
        <f t="shared" si="6"/>
        <v>0</v>
      </c>
      <c r="I13" s="1">
        <f t="shared" si="6"/>
        <v>0</v>
      </c>
      <c r="J13" s="1">
        <f t="shared" si="6"/>
        <v>0</v>
      </c>
      <c r="K13" s="1">
        <f t="shared" si="6"/>
        <v>0</v>
      </c>
      <c r="L13" s="1">
        <f t="shared" si="6"/>
        <v>0</v>
      </c>
      <c r="M13" s="1">
        <f t="shared" si="6"/>
        <v>0</v>
      </c>
      <c r="N13" s="1">
        <f t="shared" si="6"/>
        <v>0</v>
      </c>
      <c r="O13" s="1">
        <f t="shared" si="6"/>
        <v>0</v>
      </c>
      <c r="P13" s="1">
        <f t="shared" si="6"/>
        <v>1</v>
      </c>
      <c r="Q13" s="1">
        <f t="shared" si="6"/>
        <v>2</v>
      </c>
      <c r="R13" s="1">
        <f t="shared" si="6"/>
        <v>3</v>
      </c>
      <c r="S13" s="1">
        <f t="shared" si="6"/>
        <v>4</v>
      </c>
      <c r="T13" s="1">
        <f t="shared" si="6"/>
        <v>5</v>
      </c>
      <c r="U13" s="1">
        <f t="shared" si="6"/>
        <v>6</v>
      </c>
      <c r="V13" s="1">
        <f t="shared" si="6"/>
        <v>7</v>
      </c>
      <c r="W13" s="1">
        <f t="shared" si="6"/>
        <v>8</v>
      </c>
      <c r="X13" s="1">
        <f t="shared" si="6"/>
        <v>9</v>
      </c>
      <c r="Y13" s="1">
        <f t="shared" si="6"/>
        <v>10</v>
      </c>
      <c r="Z13" s="1">
        <f t="shared" si="6"/>
        <v>11</v>
      </c>
      <c r="AA13" s="1">
        <f t="shared" si="6"/>
        <v>12</v>
      </c>
      <c r="AB13" s="1">
        <f t="shared" si="6"/>
        <v>13</v>
      </c>
      <c r="AC13" s="1">
        <f t="shared" si="6"/>
        <v>14</v>
      </c>
      <c r="AD13" s="1">
        <f t="shared" si="6"/>
        <v>15</v>
      </c>
      <c r="AE13" s="1">
        <f t="shared" si="6"/>
        <v>16</v>
      </c>
      <c r="AF13" s="1">
        <f t="shared" si="6"/>
        <v>17</v>
      </c>
      <c r="AG13" s="1">
        <f t="shared" si="6"/>
        <v>18</v>
      </c>
      <c r="AH13" s="1">
        <f>(AH11+AG13)*AH11</f>
        <v>19</v>
      </c>
      <c r="AI13" s="1">
        <f t="shared" ref="AI13:AR13" si="7">(AI11+AH13)*AI11</f>
        <v>20</v>
      </c>
      <c r="AJ13" s="1">
        <f t="shared" si="7"/>
        <v>0</v>
      </c>
      <c r="AK13" s="1">
        <f t="shared" si="7"/>
        <v>0</v>
      </c>
      <c r="AL13" s="1">
        <f t="shared" si="7"/>
        <v>0</v>
      </c>
      <c r="AM13" s="1">
        <f t="shared" si="7"/>
        <v>0</v>
      </c>
      <c r="AN13" s="1">
        <f t="shared" si="7"/>
        <v>0</v>
      </c>
      <c r="AO13" s="1">
        <f t="shared" si="7"/>
        <v>0</v>
      </c>
      <c r="AP13" s="1">
        <f t="shared" si="7"/>
        <v>0</v>
      </c>
      <c r="AQ13" s="1">
        <f t="shared" si="7"/>
        <v>0</v>
      </c>
      <c r="AR13" s="1">
        <f t="shared" si="7"/>
        <v>0</v>
      </c>
    </row>
    <row r="14" spans="1:44" x14ac:dyDescent="0.2">
      <c r="C14" s="20"/>
    </row>
    <row r="15" spans="1:44" x14ac:dyDescent="0.2">
      <c r="B15" s="1" t="s">
        <v>232</v>
      </c>
      <c r="C15" s="1" t="s">
        <v>44</v>
      </c>
      <c r="D15" s="1" t="s">
        <v>45</v>
      </c>
    </row>
    <row r="16" spans="1:44" s="8" customFormat="1" x14ac:dyDescent="0.2">
      <c r="A16" s="7" t="s">
        <v>249</v>
      </c>
    </row>
    <row r="17" spans="1:44" ht="15" x14ac:dyDescent="0.25">
      <c r="A17" s="2" t="s">
        <v>250</v>
      </c>
      <c r="C17" s="20"/>
    </row>
    <row r="18" spans="1:44" ht="15" x14ac:dyDescent="0.25">
      <c r="A18" s="2"/>
      <c r="B18" s="1" t="s">
        <v>105</v>
      </c>
      <c r="C18" s="21" t="s">
        <v>50</v>
      </c>
      <c r="D18" s="1">
        <f>INPUTS!$E$55</f>
        <v>2021</v>
      </c>
    </row>
    <row r="19" spans="1:44" ht="15" x14ac:dyDescent="0.25">
      <c r="A19" s="2"/>
      <c r="B19" s="1" t="s">
        <v>106</v>
      </c>
      <c r="C19" s="21" t="s">
        <v>251</v>
      </c>
      <c r="D19" s="91">
        <f>INPUTS!$E$56</f>
        <v>8520</v>
      </c>
      <c r="F19" s="91">
        <f>IF(F7=$D$18,$D$19,0)*INPUTS!$E$27</f>
        <v>0</v>
      </c>
      <c r="G19" s="91">
        <f>IF(G7=$D$18,$D$19,0)*INPUTS!$E$27</f>
        <v>0</v>
      </c>
      <c r="H19" s="91">
        <f>IF(H7=$D$18,$D$19,0)*INPUTS!$E$27</f>
        <v>0</v>
      </c>
      <c r="I19" s="91">
        <f>IF(I7=$D$18,$D$19,0)*INPUTS!$E$27</f>
        <v>3109800</v>
      </c>
      <c r="J19" s="91">
        <f>IF(J7=$D$18,$D$19,0)*INPUTS!$E$27</f>
        <v>0</v>
      </c>
      <c r="K19" s="91">
        <f>IF(K7=$D$18,$D$19,0)*INPUTS!$E$27</f>
        <v>0</v>
      </c>
      <c r="L19" s="91">
        <f>IF(L7=$D$18,$D$19,0)*INPUTS!$E$27</f>
        <v>0</v>
      </c>
      <c r="M19" s="91">
        <f>IF(M7=$D$18,$D$19,0)*INPUTS!$E$27</f>
        <v>0</v>
      </c>
      <c r="N19" s="91">
        <f>IF(N7=$D$18,$D$19,0)*INPUTS!$E$27</f>
        <v>0</v>
      </c>
      <c r="O19" s="91">
        <f>IF(O7=$D$18,$D$19,0)*INPUTS!$E$27</f>
        <v>0</v>
      </c>
      <c r="P19" s="91">
        <f>IF(P7=$D$18,$D$19,0)*INPUTS!$E$27</f>
        <v>0</v>
      </c>
      <c r="Q19" s="91">
        <f>IF(Q7=$D$18,$D$19,0)*INPUTS!$E$27</f>
        <v>0</v>
      </c>
      <c r="R19" s="91">
        <f>IF(R7=$D$18,$D$19,0)*INPUTS!$E$27</f>
        <v>0</v>
      </c>
      <c r="S19" s="91">
        <f>IF(S7=$D$18,$D$19,0)*INPUTS!$E$27</f>
        <v>0</v>
      </c>
      <c r="T19" s="91">
        <f>IF(T7=$D$18,$D$19,0)*INPUTS!$E$27</f>
        <v>0</v>
      </c>
      <c r="U19" s="91">
        <f>IF(U7=$D$18,$D$19,0)*INPUTS!$E$27</f>
        <v>0</v>
      </c>
      <c r="V19" s="91">
        <f>IF(V7=$D$18,$D$19,0)*INPUTS!$E$27</f>
        <v>0</v>
      </c>
      <c r="W19" s="91">
        <f>IF(W7=$D$18,$D$19,0)*INPUTS!$E$27</f>
        <v>0</v>
      </c>
      <c r="X19" s="91">
        <f>IF(X7=$D$18,$D$19,0)*INPUTS!$E$27</f>
        <v>0</v>
      </c>
      <c r="Y19" s="91">
        <f>IF(Y7=$D$18,$D$19,0)*INPUTS!$E$27</f>
        <v>0</v>
      </c>
      <c r="Z19" s="91">
        <f>IF(Z7=$D$18,$D$19,0)*INPUTS!$E$27</f>
        <v>0</v>
      </c>
      <c r="AA19" s="91">
        <f>IF(AA7=$D$18,$D$19,0)*INPUTS!$E$27</f>
        <v>0</v>
      </c>
      <c r="AB19" s="91">
        <f>IF(AB7=$D$18,$D$19,0)*INPUTS!$E$27</f>
        <v>0</v>
      </c>
      <c r="AC19" s="91">
        <f>IF(AC7=$D$18,$D$19,0)*INPUTS!$E$27</f>
        <v>0</v>
      </c>
      <c r="AD19" s="91">
        <f>IF(AD7=$D$18,$D$19,0)*INPUTS!$E$27</f>
        <v>0</v>
      </c>
      <c r="AE19" s="91">
        <f>IF(AE7=$D$18,$D$19,0)*INPUTS!$E$27</f>
        <v>0</v>
      </c>
      <c r="AF19" s="91">
        <f>IF(AF7=$D$18,$D$19,0)*INPUTS!$E$27</f>
        <v>0</v>
      </c>
      <c r="AG19" s="91">
        <f>IF(AG7=$D$18,$D$19,0)*INPUTS!$E$27</f>
        <v>0</v>
      </c>
      <c r="AH19" s="91">
        <f>IF(AH7=$D$18,$D$19,0)*INPUTS!$E$27</f>
        <v>0</v>
      </c>
      <c r="AI19" s="91">
        <f>IF(AI7=$D$18,$D$19,0)*INPUTS!$E$27</f>
        <v>0</v>
      </c>
      <c r="AJ19" s="91">
        <f>IF(AJ7=$D$18,$D$19,0)*INPUTS!$E$27</f>
        <v>0</v>
      </c>
      <c r="AK19" s="91">
        <f>IF(AK7=$D$18,$D$19,0)*INPUTS!$E$27</f>
        <v>0</v>
      </c>
      <c r="AL19" s="91">
        <f>IF(AL7=$D$18,$D$19,0)*INPUTS!$E$27</f>
        <v>0</v>
      </c>
      <c r="AM19" s="91">
        <f>IF(AM7=$D$18,$D$19,0)*INPUTS!$E$27</f>
        <v>0</v>
      </c>
      <c r="AN19" s="91">
        <f>IF(AN7=$D$18,$D$19,0)*INPUTS!$E$27</f>
        <v>0</v>
      </c>
      <c r="AO19" s="91">
        <f>IF(AO7=$D$18,$D$19,0)*INPUTS!$E$27</f>
        <v>0</v>
      </c>
      <c r="AP19" s="91">
        <f>IF(AP7=$D$18,$D$19,0)*INPUTS!$E$27</f>
        <v>0</v>
      </c>
      <c r="AQ19" s="91">
        <f>IF(AQ7=$D$18,$D$19,0)*INPUTS!$E$27</f>
        <v>0</v>
      </c>
      <c r="AR19" s="91">
        <f>IF(AR7=$D$18,$D$19,0)*INPUTS!$E$27</f>
        <v>0</v>
      </c>
    </row>
    <row r="20" spans="1:44" ht="15" x14ac:dyDescent="0.25">
      <c r="A20" s="2"/>
      <c r="B20" s="1" t="s">
        <v>108</v>
      </c>
      <c r="C20" s="21" t="s">
        <v>50</v>
      </c>
      <c r="D20" s="1">
        <f>INPUTS!$E$57</f>
        <v>2050</v>
      </c>
    </row>
    <row r="21" spans="1:44" ht="15" x14ac:dyDescent="0.25">
      <c r="A21" s="2"/>
      <c r="B21" s="1" t="s">
        <v>109</v>
      </c>
      <c r="C21" s="21" t="s">
        <v>251</v>
      </c>
      <c r="D21" s="91">
        <f>INPUTS!$E$58</f>
        <v>27260</v>
      </c>
      <c r="F21" s="91">
        <f>IF(F7=$D$20,$D$21,0)*INPUTS!$E$27</f>
        <v>0</v>
      </c>
      <c r="G21" s="91">
        <f>IF(G7=$D$20,$D$21,0)*INPUTS!$E$27</f>
        <v>0</v>
      </c>
      <c r="H21" s="91">
        <f>IF(H7=$D$20,$D$21,0)*INPUTS!$E$27</f>
        <v>0</v>
      </c>
      <c r="I21" s="91">
        <f>IF(I7=$D$20,$D$21,0)*INPUTS!$E$27</f>
        <v>0</v>
      </c>
      <c r="J21" s="91">
        <f>IF(J7=$D$20,$D$21,0)*INPUTS!$E$27</f>
        <v>0</v>
      </c>
      <c r="K21" s="91">
        <f>IF(K7=$D$20,$D$21,0)*INPUTS!$E$27</f>
        <v>0</v>
      </c>
      <c r="L21" s="91">
        <f>IF(L7=$D$20,$D$21,0)*INPUTS!$E$27</f>
        <v>0</v>
      </c>
      <c r="M21" s="91">
        <f>IF(M7=$D$20,$D$21,0)*INPUTS!$E$27</f>
        <v>0</v>
      </c>
      <c r="N21" s="91">
        <f>IF(N7=$D$20,$D$21,0)*INPUTS!$E$27</f>
        <v>0</v>
      </c>
      <c r="O21" s="91">
        <f>IF(O7=$D$20,$D$21,0)*INPUTS!$E$27</f>
        <v>0</v>
      </c>
      <c r="P21" s="91">
        <f>IF(P7=$D$20,$D$21,0)*INPUTS!$E$27</f>
        <v>0</v>
      </c>
      <c r="Q21" s="91">
        <f>IF(Q7=$D$20,$D$21,0)*INPUTS!$E$27</f>
        <v>0</v>
      </c>
      <c r="R21" s="91">
        <f>IF(R7=$D$20,$D$21,0)*INPUTS!$E$27</f>
        <v>0</v>
      </c>
      <c r="S21" s="91">
        <f>IF(S7=$D$20,$D$21,0)*INPUTS!$E$27</f>
        <v>0</v>
      </c>
      <c r="T21" s="91">
        <f>IF(T7=$D$20,$D$21,0)*INPUTS!$E$27</f>
        <v>0</v>
      </c>
      <c r="U21" s="91">
        <f>IF(U7=$D$20,$D$21,0)*INPUTS!$E$27</f>
        <v>0</v>
      </c>
      <c r="V21" s="91">
        <f>IF(V7=$D$20,$D$21,0)*INPUTS!$E$27</f>
        <v>0</v>
      </c>
      <c r="W21" s="91">
        <f>IF(W7=$D$20,$D$21,0)*INPUTS!$E$27</f>
        <v>0</v>
      </c>
      <c r="X21" s="91">
        <f>IF(X7=$D$20,$D$21,0)*INPUTS!$E$27</f>
        <v>0</v>
      </c>
      <c r="Y21" s="91">
        <f>IF(Y7=$D$20,$D$21,0)*INPUTS!$E$27</f>
        <v>0</v>
      </c>
      <c r="Z21" s="91">
        <f>IF(Z7=$D$20,$D$21,0)*INPUTS!$E$27</f>
        <v>0</v>
      </c>
      <c r="AA21" s="91">
        <f>IF(AA7=$D$20,$D$21,0)*INPUTS!$E$27</f>
        <v>0</v>
      </c>
      <c r="AB21" s="91">
        <f>IF(AB7=$D$20,$D$21,0)*INPUTS!$E$27</f>
        <v>0</v>
      </c>
      <c r="AC21" s="91">
        <f>IF(AC7=$D$20,$D$21,0)*INPUTS!$E$27</f>
        <v>0</v>
      </c>
      <c r="AD21" s="91">
        <f>IF(AD7=$D$20,$D$21,0)*INPUTS!$E$27</f>
        <v>0</v>
      </c>
      <c r="AE21" s="91">
        <f>IF(AE7=$D$20,$D$21,0)*INPUTS!$E$27</f>
        <v>0</v>
      </c>
      <c r="AF21" s="91">
        <f>IF(AF7=$D$20,$D$21,0)*INPUTS!$E$27</f>
        <v>0</v>
      </c>
      <c r="AG21" s="91">
        <f>IF(AG7=$D$20,$D$21,0)*INPUTS!$E$27</f>
        <v>0</v>
      </c>
      <c r="AH21" s="91">
        <f>IF(AH7=$D$20,$D$21,0)*INPUTS!$E$27</f>
        <v>0</v>
      </c>
      <c r="AI21" s="91">
        <f>IF(AI7=$D$20,$D$21,0)*INPUTS!$E$27</f>
        <v>0</v>
      </c>
      <c r="AJ21" s="91">
        <f>IF(AJ7=$D$20,$D$21,0)*INPUTS!$E$27</f>
        <v>0</v>
      </c>
      <c r="AK21" s="91">
        <f>IF(AK7=$D$20,$D$21,0)*INPUTS!$E$27</f>
        <v>0</v>
      </c>
      <c r="AL21" s="91">
        <f>IF(AL7=$D$20,$D$21,0)*INPUTS!$E$27</f>
        <v>9949900</v>
      </c>
      <c r="AM21" s="91">
        <f>IF(AM7=$D$20,$D$21,0)*INPUTS!$E$27</f>
        <v>0</v>
      </c>
      <c r="AN21" s="91">
        <f>IF(AN7=$D$20,$D$21,0)*INPUTS!$E$27</f>
        <v>0</v>
      </c>
      <c r="AO21" s="91">
        <f>IF(AO7=$D$20,$D$21,0)*INPUTS!$E$27</f>
        <v>0</v>
      </c>
      <c r="AP21" s="91">
        <f>IF(AP7=$D$20,$D$21,0)*INPUTS!$E$27</f>
        <v>0</v>
      </c>
      <c r="AQ21" s="91">
        <f>IF(AQ7=$D$20,$D$21,0)*INPUTS!$E$27</f>
        <v>0</v>
      </c>
      <c r="AR21" s="91">
        <f>IF(AR7=$D$20,$D$21,0)*INPUTS!$E$27</f>
        <v>0</v>
      </c>
    </row>
    <row r="22" spans="1:44" ht="15" x14ac:dyDescent="0.25">
      <c r="A22" s="2"/>
      <c r="B22" s="1" t="s">
        <v>252</v>
      </c>
      <c r="C22" s="21" t="s">
        <v>68</v>
      </c>
      <c r="D22" s="243">
        <f>(D21/D19)^(1/(D20-D18))-1</f>
        <v>4.0918596483080494E-2</v>
      </c>
    </row>
    <row r="23" spans="1:44" ht="15" x14ac:dyDescent="0.25">
      <c r="A23" s="2"/>
      <c r="B23" s="1" t="s">
        <v>253</v>
      </c>
      <c r="C23" s="21" t="s">
        <v>50</v>
      </c>
      <c r="D23" s="1">
        <f>F7</f>
        <v>2018</v>
      </c>
    </row>
    <row r="24" spans="1:44" ht="15" x14ac:dyDescent="0.25">
      <c r="A24" s="2"/>
      <c r="B24" s="1" t="s">
        <v>254</v>
      </c>
      <c r="C24" s="21" t="s">
        <v>251</v>
      </c>
      <c r="D24" s="70">
        <f>D19*1/(1+D22)^(D18-D23)</f>
        <v>7554.2141520838422</v>
      </c>
      <c r="F24" s="91">
        <f>IF(F7=$D$23,$D$24,0)*INPUTS!$E$27</f>
        <v>2757288.1655106023</v>
      </c>
      <c r="G24" s="91">
        <f>IF(G7=$D$23,$D$24,0)*INPUTS!$E$27</f>
        <v>0</v>
      </c>
      <c r="H24" s="91">
        <f>IF(H7=$D$23,$D$24,0)*INPUTS!$E$27</f>
        <v>0</v>
      </c>
      <c r="I24" s="91">
        <f>IF(I7=$D$23,$D$24,0)*INPUTS!$E$27</f>
        <v>0</v>
      </c>
      <c r="J24" s="91">
        <f>IF(J7=$D$23,$D$24,0)*INPUTS!$E$27</f>
        <v>0</v>
      </c>
      <c r="K24" s="91">
        <f>IF(K7=$D$23,$D$24,0)*INPUTS!$E$27</f>
        <v>0</v>
      </c>
      <c r="L24" s="91">
        <f>IF(L7=$D$23,$D$24,0)*INPUTS!$E$27</f>
        <v>0</v>
      </c>
      <c r="M24" s="91">
        <f>IF(M7=$D$23,$D$24,0)*INPUTS!$E$27</f>
        <v>0</v>
      </c>
      <c r="N24" s="91">
        <f>IF(N7=$D$23,$D$24,0)*INPUTS!$E$27</f>
        <v>0</v>
      </c>
      <c r="O24" s="91">
        <f>IF(O7=$D$23,$D$24,0)*INPUTS!$E$27</f>
        <v>0</v>
      </c>
      <c r="P24" s="91">
        <f>IF(P7=$D$23,$D$24,0)*INPUTS!$E$27</f>
        <v>0</v>
      </c>
      <c r="Q24" s="91">
        <f>IF(Q7=$D$23,$D$24,0)*INPUTS!$E$27</f>
        <v>0</v>
      </c>
      <c r="R24" s="91">
        <f>IF(R7=$D$23,$D$24,0)*INPUTS!$E$27</f>
        <v>0</v>
      </c>
      <c r="S24" s="91">
        <f>IF(S7=$D$23,$D$24,0)*INPUTS!$E$27</f>
        <v>0</v>
      </c>
      <c r="T24" s="91">
        <f>IF(T7=$D$23,$D$24,0)*INPUTS!$E$27</f>
        <v>0</v>
      </c>
      <c r="U24" s="91">
        <f>IF(U7=$D$23,$D$24,0)*INPUTS!$E$27</f>
        <v>0</v>
      </c>
      <c r="V24" s="91">
        <f>IF(V7=$D$23,$D$24,0)*INPUTS!$E$27</f>
        <v>0</v>
      </c>
      <c r="W24" s="91">
        <f>IF(W7=$D$23,$D$24,0)*INPUTS!$E$27</f>
        <v>0</v>
      </c>
      <c r="X24" s="91">
        <f>IF(X7=$D$23,$D$24,0)*INPUTS!$E$27</f>
        <v>0</v>
      </c>
      <c r="Y24" s="91">
        <f>IF(Y7=$D$23,$D$24,0)*INPUTS!$E$27</f>
        <v>0</v>
      </c>
      <c r="Z24" s="91">
        <f>IF(Z7=$D$23,$D$24,0)*INPUTS!$E$27</f>
        <v>0</v>
      </c>
      <c r="AA24" s="91">
        <f>IF(AA7=$D$23,$D$24,0)*INPUTS!$E$27</f>
        <v>0</v>
      </c>
      <c r="AB24" s="91">
        <f>IF(AB7=$D$23,$D$24,0)*INPUTS!$E$27</f>
        <v>0</v>
      </c>
      <c r="AC24" s="91">
        <f>IF(AC7=$D$23,$D$24,0)*INPUTS!$E$27</f>
        <v>0</v>
      </c>
      <c r="AD24" s="91">
        <f>IF(AD7=$D$23,$D$24,0)*INPUTS!$E$27</f>
        <v>0</v>
      </c>
      <c r="AE24" s="91">
        <f>IF(AE7=$D$23,$D$24,0)*INPUTS!$E$27</f>
        <v>0</v>
      </c>
      <c r="AF24" s="91">
        <f>IF(AF7=$D$23,$D$24,0)*INPUTS!$E$27</f>
        <v>0</v>
      </c>
      <c r="AG24" s="91">
        <f>IF(AG7=$D$23,$D$24,0)*INPUTS!$E$27</f>
        <v>0</v>
      </c>
      <c r="AH24" s="91">
        <f>IF(AH7=$D$23,$D$24,0)*INPUTS!$E$27</f>
        <v>0</v>
      </c>
      <c r="AI24" s="91">
        <f>IF(AI7=$D$23,$D$24,0)*INPUTS!$E$27</f>
        <v>0</v>
      </c>
      <c r="AJ24" s="91">
        <f>IF(AJ7=$D$23,$D$24,0)*INPUTS!$E$27</f>
        <v>0</v>
      </c>
      <c r="AK24" s="91">
        <f>IF(AK7=$D$23,$D$24,0)*INPUTS!$E$27</f>
        <v>0</v>
      </c>
      <c r="AL24" s="91">
        <f>IF(AL7=$D$23,$D$24,0)*INPUTS!$E$27</f>
        <v>0</v>
      </c>
      <c r="AM24" s="91">
        <f>IF(AM7=$D$23,$D$24,0)*INPUTS!$E$27</f>
        <v>0</v>
      </c>
      <c r="AN24" s="91">
        <f>IF(AN7=$D$23,$D$24,0)*INPUTS!$E$27</f>
        <v>0</v>
      </c>
      <c r="AO24" s="91">
        <f>IF(AO7=$D$23,$D$24,0)*INPUTS!$E$27</f>
        <v>0</v>
      </c>
      <c r="AP24" s="91">
        <f>IF(AP7=$D$23,$D$24,0)*INPUTS!$E$27</f>
        <v>0</v>
      </c>
      <c r="AQ24" s="91">
        <f>IF(AQ7=$D$23,$D$24,0)*INPUTS!$E$27</f>
        <v>0</v>
      </c>
      <c r="AR24" s="91">
        <f>IF(AR7=$D$23,$D$24,0)*INPUTS!$E$27</f>
        <v>0</v>
      </c>
    </row>
    <row r="25" spans="1:44" ht="15" x14ac:dyDescent="0.25">
      <c r="A25" s="2"/>
      <c r="B25" s="1" t="s">
        <v>103</v>
      </c>
      <c r="C25" s="225" t="s">
        <v>68</v>
      </c>
      <c r="D25" s="69">
        <f>INPUTS!$E$54</f>
        <v>0.09</v>
      </c>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row>
    <row r="26" spans="1:44" ht="15" x14ac:dyDescent="0.25">
      <c r="A26" s="2"/>
      <c r="C26" s="225"/>
      <c r="D26" s="69"/>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row>
    <row r="27" spans="1:44" x14ac:dyDescent="0.2">
      <c r="B27" s="1" t="s">
        <v>255</v>
      </c>
      <c r="C27" s="21" t="s">
        <v>251</v>
      </c>
      <c r="D27" s="70">
        <f>SUM(F27:AR27)</f>
        <v>254585244.2823793</v>
      </c>
      <c r="F27" s="70">
        <f t="shared" ref="F27:AR27" si="8">E27*(1+$D$22)+F24</f>
        <v>2757288.1655106023</v>
      </c>
      <c r="G27" s="70">
        <f t="shared" si="8"/>
        <v>2870112.5273427041</v>
      </c>
      <c r="H27" s="70">
        <f t="shared" si="8"/>
        <v>2987553.5037100744</v>
      </c>
      <c r="I27" s="70">
        <f t="shared" si="8"/>
        <v>3109800</v>
      </c>
      <c r="J27" s="70">
        <f t="shared" si="8"/>
        <v>3237048.6513430839</v>
      </c>
      <c r="K27" s="70">
        <f t="shared" si="8"/>
        <v>3369504.1389034917</v>
      </c>
      <c r="L27" s="70">
        <f t="shared" si="8"/>
        <v>3507379.5191113534</v>
      </c>
      <c r="M27" s="70">
        <f t="shared" si="8"/>
        <v>3650896.5663668918</v>
      </c>
      <c r="N27" s="70">
        <f t="shared" si="8"/>
        <v>3800286.1297675227</v>
      </c>
      <c r="O27" s="70">
        <f t="shared" si="8"/>
        <v>3955788.5044317278</v>
      </c>
      <c r="P27" s="70">
        <f t="shared" si="8"/>
        <v>4117653.818016978</v>
      </c>
      <c r="Q27" s="70">
        <f t="shared" si="8"/>
        <v>4286142.4330534302</v>
      </c>
      <c r="R27" s="70">
        <f t="shared" si="8"/>
        <v>4461525.3657405525</v>
      </c>
      <c r="S27" s="70">
        <f t="shared" si="8"/>
        <v>4644084.7218803186</v>
      </c>
      <c r="T27" s="70">
        <f t="shared" si="8"/>
        <v>4834114.1506481785</v>
      </c>
      <c r="U27" s="70">
        <f t="shared" si="8"/>
        <v>5031919.3169317003</v>
      </c>
      <c r="V27" s="70">
        <f t="shared" si="8"/>
        <v>5237818.3929966465</v>
      </c>
      <c r="W27" s="70">
        <f t="shared" si="8"/>
        <v>5452142.5702713337</v>
      </c>
      <c r="X27" s="70">
        <f t="shared" si="8"/>
        <v>5675236.5920724915</v>
      </c>
      <c r="Y27" s="70">
        <f t="shared" si="8"/>
        <v>5907459.3081295183</v>
      </c>
      <c r="Z27" s="70">
        <f t="shared" si="8"/>
        <v>6149184.251799088</v>
      </c>
      <c r="AA27" s="70">
        <f t="shared" si="8"/>
        <v>6400800.2408985682</v>
      </c>
      <c r="AB27" s="70">
        <f t="shared" si="8"/>
        <v>6662712.0031247009</v>
      </c>
      <c r="AC27" s="70">
        <f t="shared" si="8"/>
        <v>6935340.8270635372</v>
      </c>
      <c r="AD27" s="70">
        <f t="shared" si="8"/>
        <v>7219125.2398387836</v>
      </c>
      <c r="AE27" s="70">
        <f t="shared" si="8"/>
        <v>7514521.7124885684</v>
      </c>
      <c r="AF27" s="70">
        <f t="shared" si="8"/>
        <v>7822005.3942052349</v>
      </c>
      <c r="AG27" s="70">
        <f t="shared" si="8"/>
        <v>8142070.8766191984</v>
      </c>
      <c r="AH27" s="70">
        <f t="shared" si="8"/>
        <v>8475232.9893562216</v>
      </c>
      <c r="AI27" s="70">
        <f t="shared" si="8"/>
        <v>8822027.6281477809</v>
      </c>
      <c r="AJ27" s="70">
        <f t="shared" si="8"/>
        <v>9183012.6168265473</v>
      </c>
      <c r="AK27" s="70">
        <f t="shared" si="8"/>
        <v>9558768.6045935098</v>
      </c>
      <c r="AL27" s="70">
        <f t="shared" si="8"/>
        <v>9949900.0000000093</v>
      </c>
      <c r="AM27" s="70">
        <f t="shared" si="8"/>
        <v>10357035.943147013</v>
      </c>
      <c r="AN27" s="70">
        <f t="shared" si="8"/>
        <v>10780831.317665407</v>
      </c>
      <c r="AO27" s="70">
        <f t="shared" si="8"/>
        <v>11221967.804105116</v>
      </c>
      <c r="AP27" s="70">
        <f t="shared" si="8"/>
        <v>11681154.976427414</v>
      </c>
      <c r="AQ27" s="70">
        <f t="shared" si="8"/>
        <v>12159131.443364175</v>
      </c>
      <c r="AR27" s="70">
        <f t="shared" si="8"/>
        <v>12656666.036479929</v>
      </c>
    </row>
    <row r="28" spans="1:44" x14ac:dyDescent="0.2">
      <c r="B28" s="1" t="s">
        <v>256</v>
      </c>
      <c r="C28" s="21" t="s">
        <v>251</v>
      </c>
      <c r="D28" s="70">
        <f>SUM(F28:AR28)</f>
        <v>231672572.2969653</v>
      </c>
      <c r="F28" s="70">
        <f t="shared" ref="F28:AR28" si="9">F27*(1-$D$25)</f>
        <v>2509132.2306146482</v>
      </c>
      <c r="G28" s="70">
        <f t="shared" si="9"/>
        <v>2611802.3998818607</v>
      </c>
      <c r="H28" s="70">
        <f t="shared" si="9"/>
        <v>2718673.6883761678</v>
      </c>
      <c r="I28" s="70">
        <f t="shared" si="9"/>
        <v>2829918</v>
      </c>
      <c r="J28" s="70">
        <f t="shared" si="9"/>
        <v>2945714.2727222065</v>
      </c>
      <c r="K28" s="70">
        <f t="shared" si="9"/>
        <v>3066248.7664021775</v>
      </c>
      <c r="L28" s="70">
        <f t="shared" si="9"/>
        <v>3191715.3623913317</v>
      </c>
      <c r="M28" s="70">
        <f t="shared" si="9"/>
        <v>3322315.8753938717</v>
      </c>
      <c r="N28" s="70">
        <f t="shared" si="9"/>
        <v>3458260.3780884459</v>
      </c>
      <c r="O28" s="70">
        <f t="shared" si="9"/>
        <v>3599767.5390328723</v>
      </c>
      <c r="P28" s="70">
        <f t="shared" si="9"/>
        <v>3747064.9743954502</v>
      </c>
      <c r="Q28" s="70">
        <f t="shared" si="9"/>
        <v>3900389.6140786214</v>
      </c>
      <c r="R28" s="70">
        <f t="shared" si="9"/>
        <v>4059988.0828239028</v>
      </c>
      <c r="S28" s="70">
        <f t="shared" si="9"/>
        <v>4226117.0969110904</v>
      </c>
      <c r="T28" s="70">
        <f t="shared" si="9"/>
        <v>4399043.8770898422</v>
      </c>
      <c r="U28" s="70">
        <f t="shared" si="9"/>
        <v>4579046.5784078473</v>
      </c>
      <c r="V28" s="70">
        <f t="shared" si="9"/>
        <v>4766414.7376269484</v>
      </c>
      <c r="W28" s="70">
        <f t="shared" si="9"/>
        <v>4961449.7389469137</v>
      </c>
      <c r="X28" s="70">
        <f t="shared" si="9"/>
        <v>5164465.2987859678</v>
      </c>
      <c r="Y28" s="70">
        <f t="shared" si="9"/>
        <v>5375787.9703978617</v>
      </c>
      <c r="Z28" s="70">
        <f t="shared" si="9"/>
        <v>5595757.6691371705</v>
      </c>
      <c r="AA28" s="70">
        <f t="shared" si="9"/>
        <v>5824728.2192176972</v>
      </c>
      <c r="AB28" s="70">
        <f t="shared" si="9"/>
        <v>6063067.9228434777</v>
      </c>
      <c r="AC28" s="70">
        <f t="shared" si="9"/>
        <v>6311160.1526278192</v>
      </c>
      <c r="AD28" s="70">
        <f t="shared" si="9"/>
        <v>6569403.9682532931</v>
      </c>
      <c r="AE28" s="70">
        <f t="shared" si="9"/>
        <v>6838214.7583645973</v>
      </c>
      <c r="AF28" s="70">
        <f t="shared" si="9"/>
        <v>7118024.9087267639</v>
      </c>
      <c r="AG28" s="70">
        <f t="shared" si="9"/>
        <v>7409284.4977234704</v>
      </c>
      <c r="AH28" s="70">
        <f t="shared" si="9"/>
        <v>7712462.0203141617</v>
      </c>
      <c r="AI28" s="70">
        <f t="shared" si="9"/>
        <v>8028045.1416144809</v>
      </c>
      <c r="AJ28" s="70">
        <f t="shared" si="9"/>
        <v>8356541.4813121585</v>
      </c>
      <c r="AK28" s="70">
        <f t="shared" si="9"/>
        <v>8698479.4301800951</v>
      </c>
      <c r="AL28" s="70">
        <f t="shared" si="9"/>
        <v>9054409.0000000093</v>
      </c>
      <c r="AM28" s="70">
        <f t="shared" si="9"/>
        <v>9424902.7082637828</v>
      </c>
      <c r="AN28" s="70">
        <f t="shared" si="9"/>
        <v>9810556.4990755208</v>
      </c>
      <c r="AO28" s="70">
        <f t="shared" si="9"/>
        <v>10211990.701735657</v>
      </c>
      <c r="AP28" s="70">
        <f t="shared" si="9"/>
        <v>10629851.028548947</v>
      </c>
      <c r="AQ28" s="70">
        <f t="shared" si="9"/>
        <v>11064809.613461399</v>
      </c>
      <c r="AR28" s="70">
        <f t="shared" si="9"/>
        <v>11517566.093196737</v>
      </c>
    </row>
    <row r="29" spans="1:44" x14ac:dyDescent="0.2">
      <c r="B29" s="1" t="s">
        <v>257</v>
      </c>
      <c r="C29" s="21" t="s">
        <v>251</v>
      </c>
      <c r="D29" s="70">
        <f>SUM(F29:AR29)</f>
        <v>22912671.985414147</v>
      </c>
      <c r="F29" s="70">
        <f t="shared" ref="F29:AR29" si="10">F27*$D$25</f>
        <v>248155.93489595421</v>
      </c>
      <c r="G29" s="70">
        <f t="shared" si="10"/>
        <v>258310.12746084336</v>
      </c>
      <c r="H29" s="70">
        <f t="shared" si="10"/>
        <v>268879.81533390668</v>
      </c>
      <c r="I29" s="70">
        <f t="shared" si="10"/>
        <v>279882</v>
      </c>
      <c r="J29" s="70">
        <f t="shared" si="10"/>
        <v>291334.37862087757</v>
      </c>
      <c r="K29" s="70">
        <f t="shared" si="10"/>
        <v>303255.37250131421</v>
      </c>
      <c r="L29" s="70">
        <f t="shared" si="10"/>
        <v>315664.1567200218</v>
      </c>
      <c r="M29" s="70">
        <f t="shared" si="10"/>
        <v>328580.69097302028</v>
      </c>
      <c r="N29" s="70">
        <f t="shared" si="10"/>
        <v>342025.75167907705</v>
      </c>
      <c r="O29" s="70">
        <f t="shared" si="10"/>
        <v>356020.96539885551</v>
      </c>
      <c r="P29" s="70">
        <f t="shared" si="10"/>
        <v>370588.84362152801</v>
      </c>
      <c r="Q29" s="70">
        <f t="shared" si="10"/>
        <v>385752.81897480867</v>
      </c>
      <c r="R29" s="70">
        <f t="shared" si="10"/>
        <v>401537.28291664971</v>
      </c>
      <c r="S29" s="70">
        <f t="shared" si="10"/>
        <v>417967.62496922864</v>
      </c>
      <c r="T29" s="70">
        <f t="shared" si="10"/>
        <v>435070.27355833608</v>
      </c>
      <c r="U29" s="70">
        <f t="shared" si="10"/>
        <v>452872.73852385301</v>
      </c>
      <c r="V29" s="70">
        <f t="shared" si="10"/>
        <v>471403.65536969819</v>
      </c>
      <c r="W29" s="70">
        <f t="shared" si="10"/>
        <v>490692.83132442</v>
      </c>
      <c r="X29" s="70">
        <f t="shared" si="10"/>
        <v>510771.29328652425</v>
      </c>
      <c r="Y29" s="70">
        <f t="shared" si="10"/>
        <v>531671.33773165662</v>
      </c>
      <c r="Z29" s="70">
        <f t="shared" si="10"/>
        <v>553426.5826619179</v>
      </c>
      <c r="AA29" s="70">
        <f t="shared" si="10"/>
        <v>576072.02168087114</v>
      </c>
      <c r="AB29" s="70">
        <f t="shared" si="10"/>
        <v>599644.08028122305</v>
      </c>
      <c r="AC29" s="70">
        <f t="shared" si="10"/>
        <v>624180.67443571833</v>
      </c>
      <c r="AD29" s="70">
        <f t="shared" si="10"/>
        <v>649721.27158549055</v>
      </c>
      <c r="AE29" s="70">
        <f t="shared" si="10"/>
        <v>676306.95412397117</v>
      </c>
      <c r="AF29" s="70">
        <f t="shared" si="10"/>
        <v>703980.48547847115</v>
      </c>
      <c r="AG29" s="70">
        <f t="shared" si="10"/>
        <v>732786.3788957278</v>
      </c>
      <c r="AH29" s="70">
        <f t="shared" si="10"/>
        <v>762770.96904205997</v>
      </c>
      <c r="AI29" s="70">
        <f t="shared" si="10"/>
        <v>793982.48653330025</v>
      </c>
      <c r="AJ29" s="70">
        <f t="shared" si="10"/>
        <v>826471.13551438926</v>
      </c>
      <c r="AK29" s="70">
        <f t="shared" si="10"/>
        <v>860289.17441341584</v>
      </c>
      <c r="AL29" s="70">
        <f t="shared" si="10"/>
        <v>895491.00000000081</v>
      </c>
      <c r="AM29" s="70">
        <f t="shared" si="10"/>
        <v>932133.23488323111</v>
      </c>
      <c r="AN29" s="70">
        <f t="shared" si="10"/>
        <v>970274.81858988665</v>
      </c>
      <c r="AO29" s="70">
        <f t="shared" si="10"/>
        <v>1009977.1023694604</v>
      </c>
      <c r="AP29" s="70">
        <f t="shared" si="10"/>
        <v>1051303.9478784672</v>
      </c>
      <c r="AQ29" s="70">
        <f t="shared" si="10"/>
        <v>1094321.8299027758</v>
      </c>
      <c r="AR29" s="70">
        <f t="shared" si="10"/>
        <v>1139099.9432831935</v>
      </c>
    </row>
    <row r="30" spans="1:44" x14ac:dyDescent="0.2">
      <c r="C30" s="21"/>
    </row>
    <row r="31" spans="1:44" ht="15" x14ac:dyDescent="0.25">
      <c r="A31" s="2" t="s">
        <v>258</v>
      </c>
      <c r="C31" s="225"/>
      <c r="D31" s="70"/>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row>
    <row r="32" spans="1:44" ht="15" x14ac:dyDescent="0.25">
      <c r="A32" s="2"/>
      <c r="B32" s="1" t="s">
        <v>185</v>
      </c>
      <c r="C32" s="21" t="s">
        <v>50</v>
      </c>
      <c r="D32" s="1">
        <f>INPUTS!E148</f>
        <v>2023</v>
      </c>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row>
    <row r="33" spans="1:44" ht="15" x14ac:dyDescent="0.25">
      <c r="A33" s="2"/>
      <c r="B33" s="1" t="s">
        <v>186</v>
      </c>
      <c r="C33" s="225" t="s">
        <v>187</v>
      </c>
      <c r="D33" s="22">
        <f>INPUTS!E149</f>
        <v>0</v>
      </c>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row>
    <row r="34" spans="1:44" ht="15" x14ac:dyDescent="0.25">
      <c r="A34" s="2"/>
      <c r="B34" s="1" t="s">
        <v>259</v>
      </c>
      <c r="C34" s="225" t="s">
        <v>187</v>
      </c>
      <c r="D34" s="70">
        <f>D33</f>
        <v>0</v>
      </c>
      <c r="E34" s="18"/>
      <c r="F34" s="18">
        <f t="shared" ref="F34:AR34" si="11">IF(F7=$D$32,$D$34,0)</f>
        <v>0</v>
      </c>
      <c r="G34" s="18">
        <f t="shared" si="11"/>
        <v>0</v>
      </c>
      <c r="H34" s="18">
        <f t="shared" si="11"/>
        <v>0</v>
      </c>
      <c r="I34" s="18">
        <f t="shared" si="11"/>
        <v>0</v>
      </c>
      <c r="J34" s="18">
        <f t="shared" si="11"/>
        <v>0</v>
      </c>
      <c r="K34" s="18">
        <f t="shared" si="11"/>
        <v>0</v>
      </c>
      <c r="L34" s="18">
        <f t="shared" si="11"/>
        <v>0</v>
      </c>
      <c r="M34" s="18">
        <f t="shared" si="11"/>
        <v>0</v>
      </c>
      <c r="N34" s="18">
        <f t="shared" si="11"/>
        <v>0</v>
      </c>
      <c r="O34" s="18">
        <f t="shared" si="11"/>
        <v>0</v>
      </c>
      <c r="P34" s="18">
        <f t="shared" si="11"/>
        <v>0</v>
      </c>
      <c r="Q34" s="18">
        <f t="shared" si="11"/>
        <v>0</v>
      </c>
      <c r="R34" s="18">
        <f t="shared" si="11"/>
        <v>0</v>
      </c>
      <c r="S34" s="18">
        <f t="shared" si="11"/>
        <v>0</v>
      </c>
      <c r="T34" s="18">
        <f t="shared" si="11"/>
        <v>0</v>
      </c>
      <c r="U34" s="18">
        <f t="shared" si="11"/>
        <v>0</v>
      </c>
      <c r="V34" s="18">
        <f t="shared" si="11"/>
        <v>0</v>
      </c>
      <c r="W34" s="18">
        <f t="shared" si="11"/>
        <v>0</v>
      </c>
      <c r="X34" s="18">
        <f t="shared" si="11"/>
        <v>0</v>
      </c>
      <c r="Y34" s="18">
        <f t="shared" si="11"/>
        <v>0</v>
      </c>
      <c r="Z34" s="18">
        <f t="shared" si="11"/>
        <v>0</v>
      </c>
      <c r="AA34" s="18">
        <f t="shared" si="11"/>
        <v>0</v>
      </c>
      <c r="AB34" s="18">
        <f t="shared" si="11"/>
        <v>0</v>
      </c>
      <c r="AC34" s="18">
        <f t="shared" si="11"/>
        <v>0</v>
      </c>
      <c r="AD34" s="18">
        <f t="shared" si="11"/>
        <v>0</v>
      </c>
      <c r="AE34" s="18">
        <f t="shared" si="11"/>
        <v>0</v>
      </c>
      <c r="AF34" s="18">
        <f t="shared" si="11"/>
        <v>0</v>
      </c>
      <c r="AG34" s="18">
        <f t="shared" si="11"/>
        <v>0</v>
      </c>
      <c r="AH34" s="18">
        <f t="shared" si="11"/>
        <v>0</v>
      </c>
      <c r="AI34" s="18">
        <f t="shared" si="11"/>
        <v>0</v>
      </c>
      <c r="AJ34" s="18">
        <f t="shared" si="11"/>
        <v>0</v>
      </c>
      <c r="AK34" s="18">
        <f t="shared" si="11"/>
        <v>0</v>
      </c>
      <c r="AL34" s="18">
        <f t="shared" si="11"/>
        <v>0</v>
      </c>
      <c r="AM34" s="18">
        <f t="shared" si="11"/>
        <v>0</v>
      </c>
      <c r="AN34" s="18">
        <f t="shared" si="11"/>
        <v>0</v>
      </c>
      <c r="AO34" s="18">
        <f t="shared" si="11"/>
        <v>0</v>
      </c>
      <c r="AP34" s="18">
        <f t="shared" si="11"/>
        <v>0</v>
      </c>
      <c r="AQ34" s="18">
        <f t="shared" si="11"/>
        <v>0</v>
      </c>
      <c r="AR34" s="18">
        <f t="shared" si="11"/>
        <v>0</v>
      </c>
    </row>
    <row r="35" spans="1:44" ht="15" x14ac:dyDescent="0.25">
      <c r="A35" s="2"/>
      <c r="B35" s="1" t="s">
        <v>252</v>
      </c>
      <c r="C35" s="21" t="s">
        <v>68</v>
      </c>
      <c r="D35" s="19">
        <f>INPUTS!$E$150</f>
        <v>1.9824251597712748E-2</v>
      </c>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row>
    <row r="36" spans="1:44" ht="15" x14ac:dyDescent="0.25">
      <c r="A36" s="2"/>
      <c r="B36" s="1" t="s">
        <v>260</v>
      </c>
      <c r="C36" s="21" t="s">
        <v>50</v>
      </c>
      <c r="D36" s="1">
        <f>F7</f>
        <v>2018</v>
      </c>
      <c r="F36" s="18">
        <f t="shared" ref="F36:AR36" si="12">IF(F7=$D$36,$D$37,0)</f>
        <v>0</v>
      </c>
      <c r="G36" s="18">
        <f t="shared" si="12"/>
        <v>0</v>
      </c>
      <c r="H36" s="18">
        <f t="shared" si="12"/>
        <v>0</v>
      </c>
      <c r="I36" s="18">
        <f t="shared" si="12"/>
        <v>0</v>
      </c>
      <c r="J36" s="18">
        <f t="shared" si="12"/>
        <v>0</v>
      </c>
      <c r="K36" s="18">
        <f t="shared" si="12"/>
        <v>0</v>
      </c>
      <c r="L36" s="18">
        <f t="shared" si="12"/>
        <v>0</v>
      </c>
      <c r="M36" s="18">
        <f t="shared" si="12"/>
        <v>0</v>
      </c>
      <c r="N36" s="18">
        <f t="shared" si="12"/>
        <v>0</v>
      </c>
      <c r="O36" s="18">
        <f t="shared" si="12"/>
        <v>0</v>
      </c>
      <c r="P36" s="18">
        <f t="shared" si="12"/>
        <v>0</v>
      </c>
      <c r="Q36" s="18">
        <f t="shared" si="12"/>
        <v>0</v>
      </c>
      <c r="R36" s="18">
        <f t="shared" si="12"/>
        <v>0</v>
      </c>
      <c r="S36" s="18">
        <f t="shared" si="12"/>
        <v>0</v>
      </c>
      <c r="T36" s="18">
        <f t="shared" si="12"/>
        <v>0</v>
      </c>
      <c r="U36" s="18">
        <f t="shared" si="12"/>
        <v>0</v>
      </c>
      <c r="V36" s="18">
        <f t="shared" si="12"/>
        <v>0</v>
      </c>
      <c r="W36" s="18">
        <f t="shared" si="12"/>
        <v>0</v>
      </c>
      <c r="X36" s="18">
        <f t="shared" si="12"/>
        <v>0</v>
      </c>
      <c r="Y36" s="18">
        <f t="shared" si="12"/>
        <v>0</v>
      </c>
      <c r="Z36" s="18">
        <f t="shared" si="12"/>
        <v>0</v>
      </c>
      <c r="AA36" s="18">
        <f t="shared" si="12"/>
        <v>0</v>
      </c>
      <c r="AB36" s="18">
        <f t="shared" si="12"/>
        <v>0</v>
      </c>
      <c r="AC36" s="18">
        <f t="shared" si="12"/>
        <v>0</v>
      </c>
      <c r="AD36" s="18">
        <f t="shared" si="12"/>
        <v>0</v>
      </c>
      <c r="AE36" s="18">
        <f t="shared" si="12"/>
        <v>0</v>
      </c>
      <c r="AF36" s="18">
        <f t="shared" si="12"/>
        <v>0</v>
      </c>
      <c r="AG36" s="18">
        <f t="shared" si="12"/>
        <v>0</v>
      </c>
      <c r="AH36" s="18">
        <f t="shared" si="12"/>
        <v>0</v>
      </c>
      <c r="AI36" s="18">
        <f t="shared" si="12"/>
        <v>0</v>
      </c>
      <c r="AJ36" s="18">
        <f t="shared" si="12"/>
        <v>0</v>
      </c>
      <c r="AK36" s="18">
        <f t="shared" si="12"/>
        <v>0</v>
      </c>
      <c r="AL36" s="18">
        <f t="shared" si="12"/>
        <v>0</v>
      </c>
      <c r="AM36" s="18">
        <f t="shared" si="12"/>
        <v>0</v>
      </c>
      <c r="AN36" s="18">
        <f t="shared" si="12"/>
        <v>0</v>
      </c>
      <c r="AO36" s="18">
        <f t="shared" si="12"/>
        <v>0</v>
      </c>
      <c r="AP36" s="18">
        <f t="shared" si="12"/>
        <v>0</v>
      </c>
      <c r="AQ36" s="18">
        <f t="shared" si="12"/>
        <v>0</v>
      </c>
      <c r="AR36" s="18">
        <f t="shared" si="12"/>
        <v>0</v>
      </c>
    </row>
    <row r="37" spans="1:44" ht="15" x14ac:dyDescent="0.25">
      <c r="A37" s="2"/>
      <c r="B37" s="1" t="s">
        <v>261</v>
      </c>
      <c r="C37" s="225" t="s">
        <v>187</v>
      </c>
      <c r="D37" s="70">
        <f>D34*1/(1+D35)^(D32-D36)</f>
        <v>0</v>
      </c>
      <c r="F37" s="70">
        <f>E37*(1+$D$35)+F36</f>
        <v>0</v>
      </c>
      <c r="G37" s="70">
        <f>F37*(1+$D$35)+G36</f>
        <v>0</v>
      </c>
      <c r="H37" s="70">
        <f t="shared" ref="H37:AR37" si="13">G37*(1+$D$35)+H36</f>
        <v>0</v>
      </c>
      <c r="I37" s="70">
        <f t="shared" si="13"/>
        <v>0</v>
      </c>
      <c r="J37" s="70">
        <f t="shared" si="13"/>
        <v>0</v>
      </c>
      <c r="K37" s="70">
        <f t="shared" si="13"/>
        <v>0</v>
      </c>
      <c r="L37" s="70">
        <f t="shared" si="13"/>
        <v>0</v>
      </c>
      <c r="M37" s="70">
        <f t="shared" si="13"/>
        <v>0</v>
      </c>
      <c r="N37" s="70">
        <f t="shared" si="13"/>
        <v>0</v>
      </c>
      <c r="O37" s="70">
        <f t="shared" si="13"/>
        <v>0</v>
      </c>
      <c r="P37" s="70">
        <f t="shared" si="13"/>
        <v>0</v>
      </c>
      <c r="Q37" s="70">
        <f t="shared" si="13"/>
        <v>0</v>
      </c>
      <c r="R37" s="70">
        <f t="shared" si="13"/>
        <v>0</v>
      </c>
      <c r="S37" s="70">
        <f t="shared" si="13"/>
        <v>0</v>
      </c>
      <c r="T37" s="70">
        <f t="shared" si="13"/>
        <v>0</v>
      </c>
      <c r="U37" s="70">
        <f t="shared" si="13"/>
        <v>0</v>
      </c>
      <c r="V37" s="70">
        <f t="shared" si="13"/>
        <v>0</v>
      </c>
      <c r="W37" s="70">
        <f t="shared" si="13"/>
        <v>0</v>
      </c>
      <c r="X37" s="70">
        <f t="shared" si="13"/>
        <v>0</v>
      </c>
      <c r="Y37" s="70">
        <f t="shared" si="13"/>
        <v>0</v>
      </c>
      <c r="Z37" s="70">
        <f t="shared" si="13"/>
        <v>0</v>
      </c>
      <c r="AA37" s="70">
        <f t="shared" si="13"/>
        <v>0</v>
      </c>
      <c r="AB37" s="70">
        <f t="shared" si="13"/>
        <v>0</v>
      </c>
      <c r="AC37" s="70">
        <f t="shared" si="13"/>
        <v>0</v>
      </c>
      <c r="AD37" s="70">
        <f t="shared" si="13"/>
        <v>0</v>
      </c>
      <c r="AE37" s="70">
        <f t="shared" si="13"/>
        <v>0</v>
      </c>
      <c r="AF37" s="70">
        <f t="shared" si="13"/>
        <v>0</v>
      </c>
      <c r="AG37" s="70">
        <f t="shared" si="13"/>
        <v>0</v>
      </c>
      <c r="AH37" s="70">
        <f t="shared" si="13"/>
        <v>0</v>
      </c>
      <c r="AI37" s="70">
        <f t="shared" si="13"/>
        <v>0</v>
      </c>
      <c r="AJ37" s="70">
        <f t="shared" si="13"/>
        <v>0</v>
      </c>
      <c r="AK37" s="70">
        <f t="shared" si="13"/>
        <v>0</v>
      </c>
      <c r="AL37" s="70">
        <f t="shared" si="13"/>
        <v>0</v>
      </c>
      <c r="AM37" s="70">
        <f t="shared" si="13"/>
        <v>0</v>
      </c>
      <c r="AN37" s="70">
        <f t="shared" si="13"/>
        <v>0</v>
      </c>
      <c r="AO37" s="70">
        <f t="shared" si="13"/>
        <v>0</v>
      </c>
      <c r="AP37" s="70">
        <f t="shared" si="13"/>
        <v>0</v>
      </c>
      <c r="AQ37" s="70">
        <f t="shared" si="13"/>
        <v>0</v>
      </c>
      <c r="AR37" s="70">
        <f t="shared" si="13"/>
        <v>0</v>
      </c>
    </row>
    <row r="38" spans="1:44" ht="15" x14ac:dyDescent="0.25">
      <c r="A38" s="2"/>
      <c r="C38" s="21"/>
      <c r="D38" s="70"/>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row>
    <row r="39" spans="1:44" s="8" customFormat="1" x14ac:dyDescent="0.2">
      <c r="A39" s="7" t="s">
        <v>262</v>
      </c>
      <c r="B39" s="12"/>
      <c r="C39" s="226"/>
    </row>
    <row r="40" spans="1:44" ht="15" x14ac:dyDescent="0.25">
      <c r="A40" s="2" t="s">
        <v>250</v>
      </c>
      <c r="C40" s="20"/>
    </row>
    <row r="41" spans="1:44" x14ac:dyDescent="0.2">
      <c r="B41" s="1" t="s">
        <v>255</v>
      </c>
      <c r="C41" s="21" t="s">
        <v>251</v>
      </c>
      <c r="D41" s="70">
        <f>SUM(F41:AR41)</f>
        <v>254585244.2823793</v>
      </c>
      <c r="F41" s="70">
        <f t="shared" ref="F41:AR41" si="14">F27</f>
        <v>2757288.1655106023</v>
      </c>
      <c r="G41" s="70">
        <f t="shared" si="14"/>
        <v>2870112.5273427041</v>
      </c>
      <c r="H41" s="70">
        <f t="shared" si="14"/>
        <v>2987553.5037100744</v>
      </c>
      <c r="I41" s="70">
        <f t="shared" si="14"/>
        <v>3109800</v>
      </c>
      <c r="J41" s="70">
        <f t="shared" si="14"/>
        <v>3237048.6513430839</v>
      </c>
      <c r="K41" s="70">
        <f t="shared" si="14"/>
        <v>3369504.1389034917</v>
      </c>
      <c r="L41" s="70">
        <f t="shared" si="14"/>
        <v>3507379.5191113534</v>
      </c>
      <c r="M41" s="70">
        <f t="shared" si="14"/>
        <v>3650896.5663668918</v>
      </c>
      <c r="N41" s="70">
        <f t="shared" si="14"/>
        <v>3800286.1297675227</v>
      </c>
      <c r="O41" s="70">
        <f t="shared" si="14"/>
        <v>3955788.5044317278</v>
      </c>
      <c r="P41" s="70">
        <f t="shared" si="14"/>
        <v>4117653.818016978</v>
      </c>
      <c r="Q41" s="70">
        <f t="shared" si="14"/>
        <v>4286142.4330534302</v>
      </c>
      <c r="R41" s="70">
        <f t="shared" si="14"/>
        <v>4461525.3657405525</v>
      </c>
      <c r="S41" s="70">
        <f t="shared" si="14"/>
        <v>4644084.7218803186</v>
      </c>
      <c r="T41" s="70">
        <f t="shared" si="14"/>
        <v>4834114.1506481785</v>
      </c>
      <c r="U41" s="70">
        <f t="shared" si="14"/>
        <v>5031919.3169317003</v>
      </c>
      <c r="V41" s="70">
        <f t="shared" si="14"/>
        <v>5237818.3929966465</v>
      </c>
      <c r="W41" s="70">
        <f t="shared" si="14"/>
        <v>5452142.5702713337</v>
      </c>
      <c r="X41" s="70">
        <f t="shared" si="14"/>
        <v>5675236.5920724915</v>
      </c>
      <c r="Y41" s="70">
        <f t="shared" si="14"/>
        <v>5907459.3081295183</v>
      </c>
      <c r="Z41" s="70">
        <f t="shared" si="14"/>
        <v>6149184.251799088</v>
      </c>
      <c r="AA41" s="70">
        <f t="shared" si="14"/>
        <v>6400800.2408985682</v>
      </c>
      <c r="AB41" s="70">
        <f t="shared" si="14"/>
        <v>6662712.0031247009</v>
      </c>
      <c r="AC41" s="70">
        <f t="shared" si="14"/>
        <v>6935340.8270635372</v>
      </c>
      <c r="AD41" s="70">
        <f t="shared" si="14"/>
        <v>7219125.2398387836</v>
      </c>
      <c r="AE41" s="70">
        <f t="shared" si="14"/>
        <v>7514521.7124885684</v>
      </c>
      <c r="AF41" s="70">
        <f t="shared" si="14"/>
        <v>7822005.3942052349</v>
      </c>
      <c r="AG41" s="70">
        <f t="shared" si="14"/>
        <v>8142070.8766191984</v>
      </c>
      <c r="AH41" s="70">
        <f t="shared" si="14"/>
        <v>8475232.9893562216</v>
      </c>
      <c r="AI41" s="70">
        <f t="shared" si="14"/>
        <v>8822027.6281477809</v>
      </c>
      <c r="AJ41" s="70">
        <f t="shared" si="14"/>
        <v>9183012.6168265473</v>
      </c>
      <c r="AK41" s="70">
        <f t="shared" si="14"/>
        <v>9558768.6045935098</v>
      </c>
      <c r="AL41" s="70">
        <f t="shared" si="14"/>
        <v>9949900.0000000093</v>
      </c>
      <c r="AM41" s="70">
        <f t="shared" si="14"/>
        <v>10357035.943147013</v>
      </c>
      <c r="AN41" s="70">
        <f t="shared" si="14"/>
        <v>10780831.317665407</v>
      </c>
      <c r="AO41" s="70">
        <f t="shared" si="14"/>
        <v>11221967.804105116</v>
      </c>
      <c r="AP41" s="70">
        <f t="shared" si="14"/>
        <v>11681154.976427414</v>
      </c>
      <c r="AQ41" s="70">
        <f t="shared" si="14"/>
        <v>12159131.443364175</v>
      </c>
      <c r="AR41" s="70">
        <f t="shared" si="14"/>
        <v>12656666.036479929</v>
      </c>
    </row>
    <row r="42" spans="1:44" x14ac:dyDescent="0.2">
      <c r="B42" s="1" t="s">
        <v>256</v>
      </c>
      <c r="C42" s="21" t="s">
        <v>251</v>
      </c>
      <c r="D42" s="70">
        <f>SUM(F42:AR42)</f>
        <v>231672572.2969653</v>
      </c>
      <c r="F42" s="70">
        <f t="shared" ref="F42:AE42" si="15">F28</f>
        <v>2509132.2306146482</v>
      </c>
      <c r="G42" s="70">
        <f t="shared" si="15"/>
        <v>2611802.3998818607</v>
      </c>
      <c r="H42" s="70">
        <f t="shared" si="15"/>
        <v>2718673.6883761678</v>
      </c>
      <c r="I42" s="70">
        <f t="shared" si="15"/>
        <v>2829918</v>
      </c>
      <c r="J42" s="70">
        <f t="shared" si="15"/>
        <v>2945714.2727222065</v>
      </c>
      <c r="K42" s="70">
        <f t="shared" si="15"/>
        <v>3066248.7664021775</v>
      </c>
      <c r="L42" s="70">
        <f t="shared" si="15"/>
        <v>3191715.3623913317</v>
      </c>
      <c r="M42" s="70">
        <f t="shared" si="15"/>
        <v>3322315.8753938717</v>
      </c>
      <c r="N42" s="70">
        <f t="shared" si="15"/>
        <v>3458260.3780884459</v>
      </c>
      <c r="O42" s="70">
        <f t="shared" si="15"/>
        <v>3599767.5390328723</v>
      </c>
      <c r="P42" s="70">
        <f t="shared" si="15"/>
        <v>3747064.9743954502</v>
      </c>
      <c r="Q42" s="70">
        <f t="shared" si="15"/>
        <v>3900389.6140786214</v>
      </c>
      <c r="R42" s="70">
        <f t="shared" si="15"/>
        <v>4059988.0828239028</v>
      </c>
      <c r="S42" s="70">
        <f t="shared" si="15"/>
        <v>4226117.0969110904</v>
      </c>
      <c r="T42" s="70">
        <f t="shared" si="15"/>
        <v>4399043.8770898422</v>
      </c>
      <c r="U42" s="70">
        <f t="shared" si="15"/>
        <v>4579046.5784078473</v>
      </c>
      <c r="V42" s="70">
        <f t="shared" si="15"/>
        <v>4766414.7376269484</v>
      </c>
      <c r="W42" s="70">
        <f t="shared" si="15"/>
        <v>4961449.7389469137</v>
      </c>
      <c r="X42" s="70">
        <f t="shared" si="15"/>
        <v>5164465.2987859678</v>
      </c>
      <c r="Y42" s="70">
        <f t="shared" si="15"/>
        <v>5375787.9703978617</v>
      </c>
      <c r="Z42" s="70">
        <f t="shared" si="15"/>
        <v>5595757.6691371705</v>
      </c>
      <c r="AA42" s="70">
        <f t="shared" si="15"/>
        <v>5824728.2192176972</v>
      </c>
      <c r="AB42" s="70">
        <f t="shared" si="15"/>
        <v>6063067.9228434777</v>
      </c>
      <c r="AC42" s="70">
        <f t="shared" si="15"/>
        <v>6311160.1526278192</v>
      </c>
      <c r="AD42" s="70">
        <f t="shared" si="15"/>
        <v>6569403.9682532931</v>
      </c>
      <c r="AE42" s="70">
        <f t="shared" si="15"/>
        <v>6838214.7583645973</v>
      </c>
      <c r="AF42" s="70">
        <f>AF28</f>
        <v>7118024.9087267639</v>
      </c>
      <c r="AG42" s="70">
        <f t="shared" ref="AG42:AR42" si="16">AG28</f>
        <v>7409284.4977234704</v>
      </c>
      <c r="AH42" s="70">
        <f t="shared" si="16"/>
        <v>7712462.0203141617</v>
      </c>
      <c r="AI42" s="70">
        <f t="shared" si="16"/>
        <v>8028045.1416144809</v>
      </c>
      <c r="AJ42" s="70">
        <f t="shared" si="16"/>
        <v>8356541.4813121585</v>
      </c>
      <c r="AK42" s="70">
        <f t="shared" si="16"/>
        <v>8698479.4301800951</v>
      </c>
      <c r="AL42" s="70">
        <f t="shared" si="16"/>
        <v>9054409.0000000093</v>
      </c>
      <c r="AM42" s="70">
        <f t="shared" si="16"/>
        <v>9424902.7082637828</v>
      </c>
      <c r="AN42" s="70">
        <f t="shared" si="16"/>
        <v>9810556.4990755208</v>
      </c>
      <c r="AO42" s="70">
        <f t="shared" si="16"/>
        <v>10211990.701735657</v>
      </c>
      <c r="AP42" s="70">
        <f t="shared" si="16"/>
        <v>10629851.028548947</v>
      </c>
      <c r="AQ42" s="70">
        <f t="shared" si="16"/>
        <v>11064809.613461399</v>
      </c>
      <c r="AR42" s="70">
        <f t="shared" si="16"/>
        <v>11517566.093196737</v>
      </c>
    </row>
    <row r="43" spans="1:44" x14ac:dyDescent="0.2">
      <c r="B43" s="1" t="s">
        <v>257</v>
      </c>
      <c r="C43" s="21" t="s">
        <v>251</v>
      </c>
      <c r="D43" s="70">
        <f>SUM(F43:AR43)</f>
        <v>22912671.985414147</v>
      </c>
      <c r="F43" s="70">
        <f t="shared" ref="F43:AE43" si="17">F29</f>
        <v>248155.93489595421</v>
      </c>
      <c r="G43" s="70">
        <f t="shared" si="17"/>
        <v>258310.12746084336</v>
      </c>
      <c r="H43" s="70">
        <f t="shared" si="17"/>
        <v>268879.81533390668</v>
      </c>
      <c r="I43" s="70">
        <f t="shared" si="17"/>
        <v>279882</v>
      </c>
      <c r="J43" s="70">
        <f t="shared" si="17"/>
        <v>291334.37862087757</v>
      </c>
      <c r="K43" s="70">
        <f t="shared" si="17"/>
        <v>303255.37250131421</v>
      </c>
      <c r="L43" s="70">
        <f t="shared" si="17"/>
        <v>315664.1567200218</v>
      </c>
      <c r="M43" s="70">
        <f t="shared" si="17"/>
        <v>328580.69097302028</v>
      </c>
      <c r="N43" s="70">
        <f t="shared" si="17"/>
        <v>342025.75167907705</v>
      </c>
      <c r="O43" s="70">
        <f t="shared" si="17"/>
        <v>356020.96539885551</v>
      </c>
      <c r="P43" s="70">
        <f t="shared" si="17"/>
        <v>370588.84362152801</v>
      </c>
      <c r="Q43" s="70">
        <f t="shared" si="17"/>
        <v>385752.81897480867</v>
      </c>
      <c r="R43" s="70">
        <f t="shared" si="17"/>
        <v>401537.28291664971</v>
      </c>
      <c r="S43" s="70">
        <f t="shared" si="17"/>
        <v>417967.62496922864</v>
      </c>
      <c r="T43" s="70">
        <f t="shared" si="17"/>
        <v>435070.27355833608</v>
      </c>
      <c r="U43" s="70">
        <f t="shared" si="17"/>
        <v>452872.73852385301</v>
      </c>
      <c r="V43" s="70">
        <f t="shared" si="17"/>
        <v>471403.65536969819</v>
      </c>
      <c r="W43" s="70">
        <f t="shared" si="17"/>
        <v>490692.83132442</v>
      </c>
      <c r="X43" s="70">
        <f t="shared" si="17"/>
        <v>510771.29328652425</v>
      </c>
      <c r="Y43" s="70">
        <f t="shared" si="17"/>
        <v>531671.33773165662</v>
      </c>
      <c r="Z43" s="70">
        <f t="shared" si="17"/>
        <v>553426.5826619179</v>
      </c>
      <c r="AA43" s="70">
        <f t="shared" si="17"/>
        <v>576072.02168087114</v>
      </c>
      <c r="AB43" s="70">
        <f t="shared" si="17"/>
        <v>599644.08028122305</v>
      </c>
      <c r="AC43" s="70">
        <f t="shared" si="17"/>
        <v>624180.67443571833</v>
      </c>
      <c r="AD43" s="70">
        <f t="shared" si="17"/>
        <v>649721.27158549055</v>
      </c>
      <c r="AE43" s="70">
        <f t="shared" si="17"/>
        <v>676306.95412397117</v>
      </c>
      <c r="AF43" s="70">
        <f>AF29</f>
        <v>703980.48547847115</v>
      </c>
      <c r="AG43" s="70">
        <f t="shared" ref="AG43:AR43" si="18">AG29</f>
        <v>732786.3788957278</v>
      </c>
      <c r="AH43" s="70">
        <f t="shared" si="18"/>
        <v>762770.96904205997</v>
      </c>
      <c r="AI43" s="70">
        <f t="shared" si="18"/>
        <v>793982.48653330025</v>
      </c>
      <c r="AJ43" s="70">
        <f t="shared" si="18"/>
        <v>826471.13551438926</v>
      </c>
      <c r="AK43" s="70">
        <f t="shared" si="18"/>
        <v>860289.17441341584</v>
      </c>
      <c r="AL43" s="70">
        <f t="shared" si="18"/>
        <v>895491.00000000081</v>
      </c>
      <c r="AM43" s="70">
        <f t="shared" si="18"/>
        <v>932133.23488323111</v>
      </c>
      <c r="AN43" s="70">
        <f t="shared" si="18"/>
        <v>970274.81858988665</v>
      </c>
      <c r="AO43" s="70">
        <f t="shared" si="18"/>
        <v>1009977.1023694604</v>
      </c>
      <c r="AP43" s="70">
        <f t="shared" si="18"/>
        <v>1051303.9478784672</v>
      </c>
      <c r="AQ43" s="70">
        <f t="shared" si="18"/>
        <v>1094321.8299027758</v>
      </c>
      <c r="AR43" s="70">
        <f t="shared" si="18"/>
        <v>1139099.9432831935</v>
      </c>
    </row>
    <row r="44" spans="1:44" x14ac:dyDescent="0.2">
      <c r="C44" s="21"/>
    </row>
    <row r="45" spans="1:44" ht="15" x14ac:dyDescent="0.25">
      <c r="A45" s="2" t="s">
        <v>258</v>
      </c>
      <c r="C45" s="225"/>
      <c r="D45" s="70"/>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row>
    <row r="46" spans="1:44" ht="15" x14ac:dyDescent="0.25">
      <c r="A46" s="2"/>
      <c r="B46" s="1" t="s">
        <v>263</v>
      </c>
      <c r="C46" s="225" t="s">
        <v>187</v>
      </c>
      <c r="D46" s="70">
        <f>SUM(F46:AR46)</f>
        <v>0</v>
      </c>
      <c r="F46" s="70">
        <f>F37</f>
        <v>0</v>
      </c>
      <c r="G46" s="70">
        <f t="shared" ref="G46:AR46" si="19">G37</f>
        <v>0</v>
      </c>
      <c r="H46" s="70">
        <f t="shared" si="19"/>
        <v>0</v>
      </c>
      <c r="I46" s="70">
        <f t="shared" si="19"/>
        <v>0</v>
      </c>
      <c r="J46" s="70">
        <f t="shared" si="19"/>
        <v>0</v>
      </c>
      <c r="K46" s="70">
        <f t="shared" si="19"/>
        <v>0</v>
      </c>
      <c r="L46" s="70">
        <f t="shared" si="19"/>
        <v>0</v>
      </c>
      <c r="M46" s="70">
        <f t="shared" si="19"/>
        <v>0</v>
      </c>
      <c r="N46" s="70">
        <f t="shared" si="19"/>
        <v>0</v>
      </c>
      <c r="O46" s="70">
        <f t="shared" si="19"/>
        <v>0</v>
      </c>
      <c r="P46" s="70">
        <f t="shared" si="19"/>
        <v>0</v>
      </c>
      <c r="Q46" s="70">
        <f t="shared" si="19"/>
        <v>0</v>
      </c>
      <c r="R46" s="70">
        <f t="shared" si="19"/>
        <v>0</v>
      </c>
      <c r="S46" s="70">
        <f t="shared" si="19"/>
        <v>0</v>
      </c>
      <c r="T46" s="70">
        <f t="shared" si="19"/>
        <v>0</v>
      </c>
      <c r="U46" s="70">
        <f t="shared" si="19"/>
        <v>0</v>
      </c>
      <c r="V46" s="70">
        <f t="shared" si="19"/>
        <v>0</v>
      </c>
      <c r="W46" s="70">
        <f t="shared" si="19"/>
        <v>0</v>
      </c>
      <c r="X46" s="70">
        <f t="shared" si="19"/>
        <v>0</v>
      </c>
      <c r="Y46" s="70">
        <f t="shared" si="19"/>
        <v>0</v>
      </c>
      <c r="Z46" s="70">
        <f t="shared" si="19"/>
        <v>0</v>
      </c>
      <c r="AA46" s="70">
        <f t="shared" si="19"/>
        <v>0</v>
      </c>
      <c r="AB46" s="70">
        <f t="shared" si="19"/>
        <v>0</v>
      </c>
      <c r="AC46" s="70">
        <f t="shared" si="19"/>
        <v>0</v>
      </c>
      <c r="AD46" s="70">
        <f t="shared" si="19"/>
        <v>0</v>
      </c>
      <c r="AE46" s="70">
        <f t="shared" si="19"/>
        <v>0</v>
      </c>
      <c r="AF46" s="70">
        <f t="shared" si="19"/>
        <v>0</v>
      </c>
      <c r="AG46" s="70">
        <f t="shared" si="19"/>
        <v>0</v>
      </c>
      <c r="AH46" s="70">
        <f t="shared" si="19"/>
        <v>0</v>
      </c>
      <c r="AI46" s="70">
        <f t="shared" si="19"/>
        <v>0</v>
      </c>
      <c r="AJ46" s="70">
        <f t="shared" si="19"/>
        <v>0</v>
      </c>
      <c r="AK46" s="70">
        <f t="shared" si="19"/>
        <v>0</v>
      </c>
      <c r="AL46" s="70">
        <f t="shared" si="19"/>
        <v>0</v>
      </c>
      <c r="AM46" s="70">
        <f t="shared" si="19"/>
        <v>0</v>
      </c>
      <c r="AN46" s="70">
        <f t="shared" si="19"/>
        <v>0</v>
      </c>
      <c r="AO46" s="70">
        <f t="shared" si="19"/>
        <v>0</v>
      </c>
      <c r="AP46" s="70">
        <f t="shared" si="19"/>
        <v>0</v>
      </c>
      <c r="AQ46" s="70">
        <f t="shared" si="19"/>
        <v>0</v>
      </c>
      <c r="AR46" s="70">
        <f t="shared" si="19"/>
        <v>0</v>
      </c>
    </row>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909F8-59BE-4ABA-84B1-B8635A43E3AC}">
  <sheetPr>
    <tabColor theme="9"/>
  </sheetPr>
  <dimension ref="A1:AS104"/>
  <sheetViews>
    <sheetView workbookViewId="0">
      <pane xSplit="4" ySplit="11" topLeftCell="M85" activePane="bottomRight" state="frozen"/>
      <selection pane="topRight" activeCell="E1" sqref="E1"/>
      <selection pane="bottomLeft" activeCell="A12" sqref="A12"/>
      <selection pane="bottomRight" activeCell="O87" sqref="O87:T88"/>
    </sheetView>
  </sheetViews>
  <sheetFormatPr defaultColWidth="0" defaultRowHeight="14.25" x14ac:dyDescent="0.2"/>
  <cols>
    <col min="1" max="1" width="10.85546875" style="1" customWidth="1"/>
    <col min="2" max="2" width="32.5703125" style="1" bestFit="1" customWidth="1"/>
    <col min="3" max="3" width="17.5703125" style="1" bestFit="1" customWidth="1"/>
    <col min="4" max="4" width="15.7109375" style="1" bestFit="1" customWidth="1"/>
    <col min="5" max="5" width="1.5703125" style="1" customWidth="1"/>
    <col min="6" max="44" width="14.42578125" style="1" customWidth="1"/>
    <col min="45" max="45" width="9.140625" style="1" customWidth="1"/>
    <col min="46" max="16384" width="9.140625" style="1" hidden="1"/>
  </cols>
  <sheetData>
    <row r="1" spans="1:44" ht="19.5" x14ac:dyDescent="0.3">
      <c r="A1" s="6" t="str">
        <f>'OUTPUT Summary'!$A$1</f>
        <v>ODOT Roosevelt Memorial Bridge US-70</v>
      </c>
    </row>
    <row r="2" spans="1:44" ht="19.5" x14ac:dyDescent="0.3">
      <c r="A2" s="6" t="s">
        <v>11</v>
      </c>
      <c r="C2" s="11"/>
    </row>
    <row r="3" spans="1:44" x14ac:dyDescent="0.2">
      <c r="A3" s="51">
        <f ca="1">'OUTPUT Summary'!A3</f>
        <v>45156</v>
      </c>
      <c r="C3" s="11"/>
    </row>
    <row r="4" spans="1:44" x14ac:dyDescent="0.2">
      <c r="A4" s="52" t="str">
        <f>'OUTPUT Summary'!A4</f>
        <v>All $ values 2021, unless otherwise noted</v>
      </c>
      <c r="C4" s="11"/>
    </row>
    <row r="5" spans="1:44" x14ac:dyDescent="0.2">
      <c r="B5" s="66"/>
      <c r="C5" s="11"/>
    </row>
    <row r="6" spans="1:44" x14ac:dyDescent="0.2">
      <c r="C6" s="1" t="s">
        <v>44</v>
      </c>
      <c r="D6" s="1" t="s">
        <v>45</v>
      </c>
    </row>
    <row r="7" spans="1:44" s="8" customFormat="1" x14ac:dyDescent="0.2">
      <c r="A7" s="8" t="s">
        <v>224</v>
      </c>
      <c r="C7" s="226" t="s">
        <v>224</v>
      </c>
      <c r="F7" s="8">
        <f>INPUTS!$E$12</f>
        <v>2018</v>
      </c>
      <c r="G7" s="8">
        <f>F7+1</f>
        <v>2019</v>
      </c>
      <c r="H7" s="8">
        <f t="shared" ref="H7:W8" si="0">G7+1</f>
        <v>2020</v>
      </c>
      <c r="I7" s="8">
        <f t="shared" si="0"/>
        <v>2021</v>
      </c>
      <c r="J7" s="8">
        <f t="shared" si="0"/>
        <v>2022</v>
      </c>
      <c r="K7" s="8">
        <f t="shared" si="0"/>
        <v>2023</v>
      </c>
      <c r="L7" s="8">
        <f t="shared" si="0"/>
        <v>2024</v>
      </c>
      <c r="M7" s="8">
        <f t="shared" si="0"/>
        <v>2025</v>
      </c>
      <c r="N7" s="8">
        <f t="shared" si="0"/>
        <v>2026</v>
      </c>
      <c r="O7" s="8">
        <f t="shared" si="0"/>
        <v>2027</v>
      </c>
      <c r="P7" s="8">
        <f t="shared" si="0"/>
        <v>2028</v>
      </c>
      <c r="Q7" s="8">
        <f t="shared" si="0"/>
        <v>2029</v>
      </c>
      <c r="R7" s="8">
        <f t="shared" si="0"/>
        <v>2030</v>
      </c>
      <c r="S7" s="8">
        <f t="shared" si="0"/>
        <v>2031</v>
      </c>
      <c r="T7" s="8">
        <f t="shared" si="0"/>
        <v>2032</v>
      </c>
      <c r="U7" s="8">
        <f t="shared" si="0"/>
        <v>2033</v>
      </c>
      <c r="V7" s="8">
        <f t="shared" si="0"/>
        <v>2034</v>
      </c>
      <c r="W7" s="8">
        <f t="shared" si="0"/>
        <v>2035</v>
      </c>
      <c r="X7" s="8">
        <f t="shared" ref="X7:AM8" si="1">W7+1</f>
        <v>2036</v>
      </c>
      <c r="Y7" s="8">
        <f t="shared" si="1"/>
        <v>2037</v>
      </c>
      <c r="Z7" s="8">
        <f t="shared" si="1"/>
        <v>2038</v>
      </c>
      <c r="AA7" s="8">
        <f t="shared" si="1"/>
        <v>2039</v>
      </c>
      <c r="AB7" s="8">
        <f t="shared" si="1"/>
        <v>2040</v>
      </c>
      <c r="AC7" s="8">
        <f t="shared" si="1"/>
        <v>2041</v>
      </c>
      <c r="AD7" s="8">
        <f t="shared" si="1"/>
        <v>2042</v>
      </c>
      <c r="AE7" s="8">
        <f t="shared" si="1"/>
        <v>2043</v>
      </c>
      <c r="AF7" s="8">
        <f t="shared" si="1"/>
        <v>2044</v>
      </c>
      <c r="AG7" s="8">
        <f t="shared" si="1"/>
        <v>2045</v>
      </c>
      <c r="AH7" s="8">
        <f t="shared" si="1"/>
        <v>2046</v>
      </c>
      <c r="AI7" s="8">
        <f t="shared" si="1"/>
        <v>2047</v>
      </c>
      <c r="AJ7" s="8">
        <f t="shared" si="1"/>
        <v>2048</v>
      </c>
      <c r="AK7" s="8">
        <f t="shared" si="1"/>
        <v>2049</v>
      </c>
      <c r="AL7" s="8">
        <f t="shared" si="1"/>
        <v>2050</v>
      </c>
      <c r="AM7" s="8">
        <f t="shared" si="1"/>
        <v>2051</v>
      </c>
      <c r="AN7" s="8">
        <f t="shared" ref="AN7:AR8" si="2">AM7+1</f>
        <v>2052</v>
      </c>
      <c r="AO7" s="8">
        <f t="shared" si="2"/>
        <v>2053</v>
      </c>
      <c r="AP7" s="8">
        <f t="shared" si="2"/>
        <v>2054</v>
      </c>
      <c r="AQ7" s="8">
        <f t="shared" si="2"/>
        <v>2055</v>
      </c>
      <c r="AR7" s="8">
        <f t="shared" si="2"/>
        <v>2056</v>
      </c>
    </row>
    <row r="8" spans="1:44" x14ac:dyDescent="0.2">
      <c r="B8" s="1" t="s">
        <v>225</v>
      </c>
      <c r="C8" s="21" t="s">
        <v>50</v>
      </c>
      <c r="F8" s="1">
        <f>D8+1</f>
        <v>1</v>
      </c>
      <c r="G8" s="1">
        <f t="shared" ref="G8" si="3">F8+1</f>
        <v>2</v>
      </c>
      <c r="H8" s="1">
        <f t="shared" si="0"/>
        <v>3</v>
      </c>
      <c r="I8" s="1">
        <f t="shared" si="0"/>
        <v>4</v>
      </c>
      <c r="J8" s="1">
        <f t="shared" si="0"/>
        <v>5</v>
      </c>
      <c r="K8" s="1">
        <f t="shared" si="0"/>
        <v>6</v>
      </c>
      <c r="L8" s="1">
        <f t="shared" si="0"/>
        <v>7</v>
      </c>
      <c r="M8" s="1">
        <f t="shared" si="0"/>
        <v>8</v>
      </c>
      <c r="N8" s="1">
        <f t="shared" si="0"/>
        <v>9</v>
      </c>
      <c r="O8" s="1">
        <f t="shared" si="0"/>
        <v>10</v>
      </c>
      <c r="P8" s="1">
        <f t="shared" si="0"/>
        <v>11</v>
      </c>
      <c r="Q8" s="1">
        <f t="shared" si="0"/>
        <v>12</v>
      </c>
      <c r="R8" s="1">
        <f t="shared" si="0"/>
        <v>13</v>
      </c>
      <c r="S8" s="1">
        <f t="shared" si="0"/>
        <v>14</v>
      </c>
      <c r="T8" s="1">
        <f t="shared" si="0"/>
        <v>15</v>
      </c>
      <c r="U8" s="1">
        <f t="shared" si="0"/>
        <v>16</v>
      </c>
      <c r="V8" s="1">
        <f t="shared" si="0"/>
        <v>17</v>
      </c>
      <c r="W8" s="1">
        <f t="shared" si="0"/>
        <v>18</v>
      </c>
      <c r="X8" s="1">
        <f t="shared" si="1"/>
        <v>19</v>
      </c>
      <c r="Y8" s="1">
        <f t="shared" si="1"/>
        <v>20</v>
      </c>
      <c r="Z8" s="1">
        <f t="shared" si="1"/>
        <v>21</v>
      </c>
      <c r="AA8" s="1">
        <f t="shared" si="1"/>
        <v>22</v>
      </c>
      <c r="AB8" s="1">
        <f t="shared" si="1"/>
        <v>23</v>
      </c>
      <c r="AC8" s="1">
        <f t="shared" si="1"/>
        <v>24</v>
      </c>
      <c r="AD8" s="1">
        <f t="shared" si="1"/>
        <v>25</v>
      </c>
      <c r="AE8" s="1">
        <f t="shared" si="1"/>
        <v>26</v>
      </c>
      <c r="AF8" s="1">
        <f t="shared" si="1"/>
        <v>27</v>
      </c>
      <c r="AG8" s="1">
        <f t="shared" si="1"/>
        <v>28</v>
      </c>
      <c r="AH8" s="1">
        <f t="shared" si="1"/>
        <v>29</v>
      </c>
      <c r="AI8" s="1">
        <f t="shared" si="1"/>
        <v>30</v>
      </c>
      <c r="AJ8" s="1">
        <f t="shared" si="1"/>
        <v>31</v>
      </c>
      <c r="AK8" s="1">
        <f t="shared" si="1"/>
        <v>32</v>
      </c>
      <c r="AL8" s="1">
        <f t="shared" si="1"/>
        <v>33</v>
      </c>
      <c r="AM8" s="1">
        <f t="shared" si="1"/>
        <v>34</v>
      </c>
      <c r="AN8" s="1">
        <f t="shared" si="2"/>
        <v>35</v>
      </c>
      <c r="AO8" s="1">
        <f t="shared" si="2"/>
        <v>36</v>
      </c>
      <c r="AP8" s="1">
        <f t="shared" si="2"/>
        <v>37</v>
      </c>
      <c r="AQ8" s="1">
        <f t="shared" si="2"/>
        <v>38</v>
      </c>
      <c r="AR8" s="1">
        <f t="shared" si="2"/>
        <v>39</v>
      </c>
    </row>
    <row r="9" spans="1:44" x14ac:dyDescent="0.2">
      <c r="B9" s="1" t="s">
        <v>226</v>
      </c>
      <c r="C9" s="21" t="s">
        <v>227</v>
      </c>
      <c r="F9" s="1">
        <f>IF(F7=INPUTS!$E$13,1,0)</f>
        <v>0</v>
      </c>
      <c r="G9" s="1">
        <f>IF(G7=INPUTS!$E$13,1,0)</f>
        <v>0</v>
      </c>
      <c r="H9" s="1">
        <f>IF(H7=INPUTS!$E$13,1,0)</f>
        <v>0</v>
      </c>
      <c r="I9" s="1">
        <f>IF(I7=INPUTS!$E$13,1,0)</f>
        <v>1</v>
      </c>
      <c r="J9" s="1">
        <f>IF(J7=INPUTS!$E$13,1,0)</f>
        <v>0</v>
      </c>
      <c r="K9" s="1">
        <f>IF(K7=INPUTS!$E$13,1,0)</f>
        <v>0</v>
      </c>
      <c r="L9" s="1">
        <f>IF(L7=INPUTS!$E$13,1,0)</f>
        <v>0</v>
      </c>
      <c r="M9" s="1">
        <f>IF(M7=INPUTS!$E$13,1,0)</f>
        <v>0</v>
      </c>
      <c r="N9" s="1">
        <f>IF(N7=INPUTS!$E$13,1,0)</f>
        <v>0</v>
      </c>
      <c r="O9" s="1">
        <f>IF(O7=INPUTS!$E$13,1,0)</f>
        <v>0</v>
      </c>
      <c r="P9" s="1">
        <f>IF(P7=INPUTS!$E$13,1,0)</f>
        <v>0</v>
      </c>
      <c r="Q9" s="1">
        <f>IF(Q7=INPUTS!$E$13,1,0)</f>
        <v>0</v>
      </c>
      <c r="R9" s="1">
        <f>IF(R7=INPUTS!$E$13,1,0)</f>
        <v>0</v>
      </c>
      <c r="S9" s="1">
        <f>IF(S7=INPUTS!$E$13,1,0)</f>
        <v>0</v>
      </c>
      <c r="T9" s="1">
        <f>IF(T7=INPUTS!$E$13,1,0)</f>
        <v>0</v>
      </c>
      <c r="U9" s="1">
        <f>IF(U7=INPUTS!$E$13,1,0)</f>
        <v>0</v>
      </c>
      <c r="V9" s="1">
        <f>IF(V7=INPUTS!$E$13,1,0)</f>
        <v>0</v>
      </c>
      <c r="W9" s="1">
        <f>IF(W7=INPUTS!$E$13,1,0)</f>
        <v>0</v>
      </c>
      <c r="X9" s="1">
        <f>IF(X7=INPUTS!$E$13,1,0)</f>
        <v>0</v>
      </c>
      <c r="Y9" s="1">
        <f>IF(Y7=INPUTS!$E$13,1,0)</f>
        <v>0</v>
      </c>
      <c r="Z9" s="1">
        <f>IF(Z7=INPUTS!$E$13,1,0)</f>
        <v>0</v>
      </c>
      <c r="AA9" s="1">
        <f>IF(AA7=INPUTS!$E$13,1,0)</f>
        <v>0</v>
      </c>
      <c r="AB9" s="1">
        <f>IF(AB7=INPUTS!$E$13,1,0)</f>
        <v>0</v>
      </c>
      <c r="AC9" s="1">
        <f>IF(AC7=INPUTS!$E$13,1,0)</f>
        <v>0</v>
      </c>
      <c r="AD9" s="1">
        <f>IF(AD7=INPUTS!$E$13,1,0)</f>
        <v>0</v>
      </c>
      <c r="AE9" s="1">
        <f>IF(AE7=INPUTS!$E$13,1,0)</f>
        <v>0</v>
      </c>
      <c r="AF9" s="1">
        <f>IF(AF7=INPUTS!$E$13,1,0)</f>
        <v>0</v>
      </c>
      <c r="AG9" s="1">
        <f>IF(AG7=INPUTS!$E$13,1,0)</f>
        <v>0</v>
      </c>
      <c r="AH9" s="1">
        <f>IF(AH7=INPUTS!$E$13,1,0)</f>
        <v>0</v>
      </c>
      <c r="AI9" s="1">
        <f>IF(AI7=INPUTS!$E$13,1,0)</f>
        <v>0</v>
      </c>
      <c r="AJ9" s="1">
        <f>IF(AJ7=INPUTS!$E$13,1,0)</f>
        <v>0</v>
      </c>
      <c r="AK9" s="1">
        <f>IF(AK7=INPUTS!$E$13,1,0)</f>
        <v>0</v>
      </c>
      <c r="AL9" s="1">
        <f>IF(AL7=INPUTS!$E$13,1,0)</f>
        <v>0</v>
      </c>
      <c r="AM9" s="1">
        <f>IF(AM7=INPUTS!$E$13,1,0)</f>
        <v>0</v>
      </c>
      <c r="AN9" s="1">
        <f>IF(AN7=INPUTS!$E$13,1,0)</f>
        <v>0</v>
      </c>
      <c r="AO9" s="1">
        <f>IF(AO7=INPUTS!$E$13,1,0)</f>
        <v>0</v>
      </c>
      <c r="AP9" s="1">
        <f>IF(AP7=INPUTS!$E$13,1,0)</f>
        <v>0</v>
      </c>
      <c r="AQ9" s="1">
        <f>IF(AQ7=INPUTS!$E$13,1,0)</f>
        <v>0</v>
      </c>
      <c r="AR9" s="1">
        <f>IF(AR7=INPUTS!$E$13,1,0)</f>
        <v>0</v>
      </c>
    </row>
    <row r="10" spans="1:44" x14ac:dyDescent="0.2">
      <c r="B10" s="1" t="s">
        <v>228</v>
      </c>
      <c r="C10" s="21" t="s">
        <v>57</v>
      </c>
      <c r="F10" s="1">
        <f t="shared" ref="F10:H10" si="4">F7-$I$7+1</f>
        <v>-2</v>
      </c>
      <c r="G10" s="1">
        <f t="shared" si="4"/>
        <v>-1</v>
      </c>
      <c r="H10" s="1">
        <f t="shared" si="4"/>
        <v>0</v>
      </c>
      <c r="I10" s="1">
        <f>I7-$I$7+1</f>
        <v>1</v>
      </c>
      <c r="J10" s="1">
        <f t="shared" ref="J10:AR10" si="5">J7-$I$7+1</f>
        <v>2</v>
      </c>
      <c r="K10" s="1">
        <f t="shared" si="5"/>
        <v>3</v>
      </c>
      <c r="L10" s="1">
        <f t="shared" si="5"/>
        <v>4</v>
      </c>
      <c r="M10" s="1">
        <f t="shared" si="5"/>
        <v>5</v>
      </c>
      <c r="N10" s="1">
        <f t="shared" si="5"/>
        <v>6</v>
      </c>
      <c r="O10" s="1">
        <f t="shared" si="5"/>
        <v>7</v>
      </c>
      <c r="P10" s="1">
        <f t="shared" si="5"/>
        <v>8</v>
      </c>
      <c r="Q10" s="1">
        <f t="shared" si="5"/>
        <v>9</v>
      </c>
      <c r="R10" s="1">
        <f t="shared" si="5"/>
        <v>10</v>
      </c>
      <c r="S10" s="1">
        <f t="shared" si="5"/>
        <v>11</v>
      </c>
      <c r="T10" s="1">
        <f t="shared" si="5"/>
        <v>12</v>
      </c>
      <c r="U10" s="1">
        <f t="shared" si="5"/>
        <v>13</v>
      </c>
      <c r="V10" s="1">
        <f t="shared" si="5"/>
        <v>14</v>
      </c>
      <c r="W10" s="1">
        <f t="shared" si="5"/>
        <v>15</v>
      </c>
      <c r="X10" s="1">
        <f t="shared" si="5"/>
        <v>16</v>
      </c>
      <c r="Y10" s="1">
        <f t="shared" si="5"/>
        <v>17</v>
      </c>
      <c r="Z10" s="1">
        <f t="shared" si="5"/>
        <v>18</v>
      </c>
      <c r="AA10" s="1">
        <f t="shared" si="5"/>
        <v>19</v>
      </c>
      <c r="AB10" s="1">
        <f t="shared" si="5"/>
        <v>20</v>
      </c>
      <c r="AC10" s="1">
        <f t="shared" si="5"/>
        <v>21</v>
      </c>
      <c r="AD10" s="1">
        <f t="shared" si="5"/>
        <v>22</v>
      </c>
      <c r="AE10" s="1">
        <f t="shared" si="5"/>
        <v>23</v>
      </c>
      <c r="AF10" s="1">
        <f t="shared" si="5"/>
        <v>24</v>
      </c>
      <c r="AG10" s="1">
        <f t="shared" si="5"/>
        <v>25</v>
      </c>
      <c r="AH10" s="1">
        <f t="shared" si="5"/>
        <v>26</v>
      </c>
      <c r="AI10" s="1">
        <f t="shared" si="5"/>
        <v>27</v>
      </c>
      <c r="AJ10" s="1">
        <f t="shared" si="5"/>
        <v>28</v>
      </c>
      <c r="AK10" s="1">
        <f t="shared" si="5"/>
        <v>29</v>
      </c>
      <c r="AL10" s="1">
        <f t="shared" si="5"/>
        <v>30</v>
      </c>
      <c r="AM10" s="1">
        <f t="shared" si="5"/>
        <v>31</v>
      </c>
      <c r="AN10" s="1">
        <f t="shared" si="5"/>
        <v>32</v>
      </c>
      <c r="AO10" s="1">
        <f t="shared" si="5"/>
        <v>33</v>
      </c>
      <c r="AP10" s="1">
        <f t="shared" si="5"/>
        <v>34</v>
      </c>
      <c r="AQ10" s="1">
        <f t="shared" si="5"/>
        <v>35</v>
      </c>
      <c r="AR10" s="1">
        <f t="shared" si="5"/>
        <v>36</v>
      </c>
    </row>
    <row r="11" spans="1:44" x14ac:dyDescent="0.2">
      <c r="B11" s="1" t="s">
        <v>229</v>
      </c>
      <c r="C11" s="21" t="s">
        <v>227</v>
      </c>
      <c r="F11" s="1">
        <f>IF(AND(F7&gt;=INPUTS!$E$17,F7&lt;INPUTS!$E$21),1,0)</f>
        <v>0</v>
      </c>
      <c r="G11" s="1">
        <f>IF(AND(G7&gt;=INPUTS!$E$17,G7&lt;INPUTS!$E$21),1,0)</f>
        <v>0</v>
      </c>
      <c r="H11" s="1">
        <f>IF(AND(H7&gt;=INPUTS!$E$17,H7&lt;INPUTS!$E$21),1,0)</f>
        <v>0</v>
      </c>
      <c r="I11" s="1">
        <f>IF(AND(I7&gt;=INPUTS!$E$17,I7&lt;INPUTS!$E$21),1,0)</f>
        <v>0</v>
      </c>
      <c r="J11" s="1">
        <f>IF(AND(J7&gt;=INPUTS!$E$17,J7&lt;INPUTS!$E$21),1,0)</f>
        <v>0</v>
      </c>
      <c r="K11" s="1">
        <f>IF(AND(K7&gt;=INPUTS!$E$17,K7&lt;INPUTS!$E$21),1,0)</f>
        <v>0</v>
      </c>
      <c r="L11" s="1">
        <f>IF(AND(L7&gt;=INPUTS!$E$17,L7&lt;INPUTS!$E$21),1,0)</f>
        <v>0</v>
      </c>
      <c r="M11" s="1">
        <f>IF(AND(M7&gt;=INPUTS!$E$17,M7&lt;INPUTS!$E$21),1,0)</f>
        <v>0</v>
      </c>
      <c r="N11" s="1">
        <f>IF(AND(N7&gt;=INPUTS!$E$17,N7&lt;INPUTS!$E$21),1,0)</f>
        <v>0</v>
      </c>
      <c r="O11" s="1">
        <f>IF(AND(O7&gt;=INPUTS!$E$17,O7&lt;INPUTS!$E$21),1,0)</f>
        <v>0</v>
      </c>
      <c r="P11" s="1">
        <f>IF(AND(P7&gt;=INPUTS!$E$17,P7&lt;INPUTS!$E$21),1,0)</f>
        <v>1</v>
      </c>
      <c r="Q11" s="1">
        <f>IF(AND(Q7&gt;=INPUTS!$E$17,Q7&lt;INPUTS!$E$21),1,0)</f>
        <v>1</v>
      </c>
      <c r="R11" s="1">
        <f>IF(AND(R7&gt;=INPUTS!$E$17,R7&lt;INPUTS!$E$21),1,0)</f>
        <v>1</v>
      </c>
      <c r="S11" s="1">
        <f>IF(AND(S7&gt;=INPUTS!$E$17,S7&lt;INPUTS!$E$21),1,0)</f>
        <v>1</v>
      </c>
      <c r="T11" s="1">
        <f>IF(AND(T7&gt;=INPUTS!$E$17,T7&lt;INPUTS!$E$21),1,0)</f>
        <v>1</v>
      </c>
      <c r="U11" s="1">
        <f>IF(AND(U7&gt;=INPUTS!$E$17,U7&lt;INPUTS!$E$21),1,0)</f>
        <v>1</v>
      </c>
      <c r="V11" s="1">
        <f>IF(AND(V7&gt;=INPUTS!$E$17,V7&lt;INPUTS!$E$21),1,0)</f>
        <v>1</v>
      </c>
      <c r="W11" s="1">
        <f>IF(AND(W7&gt;=INPUTS!$E$17,W7&lt;INPUTS!$E$21),1,0)</f>
        <v>1</v>
      </c>
      <c r="X11" s="1">
        <f>IF(AND(X7&gt;=INPUTS!$E$17,X7&lt;INPUTS!$E$21),1,0)</f>
        <v>1</v>
      </c>
      <c r="Y11" s="1">
        <f>IF(AND(Y7&gt;=INPUTS!$E$17,Y7&lt;INPUTS!$E$21),1,0)</f>
        <v>1</v>
      </c>
      <c r="Z11" s="1">
        <f>IF(AND(Z7&gt;=INPUTS!$E$17,Z7&lt;INPUTS!$E$21),1,0)</f>
        <v>1</v>
      </c>
      <c r="AA11" s="1">
        <f>IF(AND(AA7&gt;=INPUTS!$E$17,AA7&lt;INPUTS!$E$21),1,0)</f>
        <v>1</v>
      </c>
      <c r="AB11" s="1">
        <f>IF(AND(AB7&gt;=INPUTS!$E$17,AB7&lt;INPUTS!$E$21),1,0)</f>
        <v>1</v>
      </c>
      <c r="AC11" s="1">
        <f>IF(AND(AC7&gt;=INPUTS!$E$17,AC7&lt;INPUTS!$E$21),1,0)</f>
        <v>1</v>
      </c>
      <c r="AD11" s="1">
        <f>IF(AND(AD7&gt;=INPUTS!$E$17,AD7&lt;INPUTS!$E$21),1,0)</f>
        <v>1</v>
      </c>
      <c r="AE11" s="1">
        <f>IF(AND(AE7&gt;=INPUTS!$E$17,AE7&lt;INPUTS!$E$21),1,0)</f>
        <v>1</v>
      </c>
      <c r="AF11" s="1">
        <f>IF(AND(AF7&gt;=INPUTS!$E$17,AF7&lt;INPUTS!$E$21),1,0)</f>
        <v>1</v>
      </c>
      <c r="AG11" s="1">
        <f>IF(AND(AG7&gt;=INPUTS!$E$17,AG7&lt;INPUTS!$E$21),1,0)</f>
        <v>1</v>
      </c>
      <c r="AH11" s="1">
        <f>IF(AND(AH7&gt;=INPUTS!$E$17,AH7&lt;INPUTS!$E$21),1,0)</f>
        <v>1</v>
      </c>
      <c r="AI11" s="1">
        <f>IF(AND(AI7&gt;=INPUTS!$E$17,AI7&lt;INPUTS!$E$21),1,0)</f>
        <v>1</v>
      </c>
      <c r="AJ11" s="1">
        <f>IF(AND(AJ7&gt;=INPUTS!$E$17,AJ7&lt;INPUTS!$E$21),1,0)</f>
        <v>0</v>
      </c>
      <c r="AK11" s="1">
        <f>IF(AND(AK7&gt;=INPUTS!$E$17,AK7&lt;INPUTS!$E$21),1,0)</f>
        <v>0</v>
      </c>
      <c r="AL11" s="1">
        <f>IF(AND(AL7&gt;=INPUTS!$E$17,AL7&lt;INPUTS!$E$21),1,0)</f>
        <v>0</v>
      </c>
      <c r="AM11" s="1">
        <f>IF(AND(AM7&gt;=INPUTS!$E$17,AM7&lt;INPUTS!$E$21),1,0)</f>
        <v>0</v>
      </c>
      <c r="AN11" s="1">
        <f>IF(AND(AN7&gt;=INPUTS!$E$17,AN7&lt;INPUTS!$E$21),1,0)</f>
        <v>0</v>
      </c>
      <c r="AO11" s="1">
        <f>IF(AND(AO7&gt;=INPUTS!$E$17,AO7&lt;INPUTS!$E$21),1,0)</f>
        <v>0</v>
      </c>
      <c r="AP11" s="1">
        <f>IF(AND(AP7&gt;=INPUTS!$E$17,AP7&lt;INPUTS!$E$21),1,0)</f>
        <v>0</v>
      </c>
      <c r="AQ11" s="1">
        <f>IF(AND(AQ7&gt;=INPUTS!$E$17,AQ7&lt;INPUTS!$E$21),1,0)</f>
        <v>0</v>
      </c>
      <c r="AR11" s="1">
        <f>IF(AND(AR7&gt;=INPUTS!$E$17,AR7&lt;INPUTS!$E$21),1,0)</f>
        <v>0</v>
      </c>
    </row>
    <row r="12" spans="1:44" ht="15" x14ac:dyDescent="0.25">
      <c r="A12" s="2" t="s">
        <v>230</v>
      </c>
      <c r="C12" s="21"/>
    </row>
    <row r="13" spans="1:44" x14ac:dyDescent="0.2">
      <c r="B13" s="1" t="s">
        <v>231</v>
      </c>
      <c r="C13" s="21" t="s">
        <v>50</v>
      </c>
      <c r="F13" s="1">
        <f>(F11+D13)*F11</f>
        <v>0</v>
      </c>
      <c r="G13" s="1">
        <f t="shared" ref="G13:AG13" si="6">(G11+F13)*G11</f>
        <v>0</v>
      </c>
      <c r="H13" s="1">
        <f t="shared" si="6"/>
        <v>0</v>
      </c>
      <c r="I13" s="1">
        <f t="shared" si="6"/>
        <v>0</v>
      </c>
      <c r="J13" s="1">
        <f t="shared" si="6"/>
        <v>0</v>
      </c>
      <c r="K13" s="1">
        <f t="shared" si="6"/>
        <v>0</v>
      </c>
      <c r="L13" s="1">
        <f t="shared" si="6"/>
        <v>0</v>
      </c>
      <c r="M13" s="1">
        <f t="shared" si="6"/>
        <v>0</v>
      </c>
      <c r="N13" s="1">
        <f t="shared" si="6"/>
        <v>0</v>
      </c>
      <c r="O13" s="1">
        <f t="shared" si="6"/>
        <v>0</v>
      </c>
      <c r="P13" s="1">
        <f t="shared" si="6"/>
        <v>1</v>
      </c>
      <c r="Q13" s="1">
        <f t="shared" si="6"/>
        <v>2</v>
      </c>
      <c r="R13" s="1">
        <f t="shared" si="6"/>
        <v>3</v>
      </c>
      <c r="S13" s="1">
        <f t="shared" si="6"/>
        <v>4</v>
      </c>
      <c r="T13" s="1">
        <f t="shared" si="6"/>
        <v>5</v>
      </c>
      <c r="U13" s="1">
        <f t="shared" si="6"/>
        <v>6</v>
      </c>
      <c r="V13" s="1">
        <f t="shared" si="6"/>
        <v>7</v>
      </c>
      <c r="W13" s="1">
        <f t="shared" si="6"/>
        <v>8</v>
      </c>
      <c r="X13" s="1">
        <f t="shared" si="6"/>
        <v>9</v>
      </c>
      <c r="Y13" s="1">
        <f t="shared" si="6"/>
        <v>10</v>
      </c>
      <c r="Z13" s="1">
        <f t="shared" si="6"/>
        <v>11</v>
      </c>
      <c r="AA13" s="1">
        <f t="shared" si="6"/>
        <v>12</v>
      </c>
      <c r="AB13" s="1">
        <f t="shared" si="6"/>
        <v>13</v>
      </c>
      <c r="AC13" s="1">
        <f t="shared" si="6"/>
        <v>14</v>
      </c>
      <c r="AD13" s="1">
        <f t="shared" si="6"/>
        <v>15</v>
      </c>
      <c r="AE13" s="1">
        <f t="shared" si="6"/>
        <v>16</v>
      </c>
      <c r="AF13" s="1">
        <f t="shared" si="6"/>
        <v>17</v>
      </c>
      <c r="AG13" s="1">
        <f t="shared" si="6"/>
        <v>18</v>
      </c>
      <c r="AH13" s="1">
        <f>(AH11+AG13)*AH11</f>
        <v>19</v>
      </c>
      <c r="AI13" s="1">
        <f t="shared" ref="AI13:AR13" si="7">(AI11+AH13)*AI11</f>
        <v>20</v>
      </c>
      <c r="AJ13" s="1">
        <f t="shared" si="7"/>
        <v>0</v>
      </c>
      <c r="AK13" s="1">
        <f t="shared" si="7"/>
        <v>0</v>
      </c>
      <c r="AL13" s="1">
        <f t="shared" si="7"/>
        <v>0</v>
      </c>
      <c r="AM13" s="1">
        <f t="shared" si="7"/>
        <v>0</v>
      </c>
      <c r="AN13" s="1">
        <f t="shared" si="7"/>
        <v>0</v>
      </c>
      <c r="AO13" s="1">
        <f t="shared" si="7"/>
        <v>0</v>
      </c>
      <c r="AP13" s="1">
        <f t="shared" si="7"/>
        <v>0</v>
      </c>
      <c r="AQ13" s="1">
        <f t="shared" si="7"/>
        <v>0</v>
      </c>
      <c r="AR13" s="1">
        <f t="shared" si="7"/>
        <v>0</v>
      </c>
    </row>
    <row r="14" spans="1:44" ht="15" x14ac:dyDescent="0.25">
      <c r="A14" s="2" t="s">
        <v>8</v>
      </c>
      <c r="C14" s="21"/>
    </row>
    <row r="15" spans="1:44" x14ac:dyDescent="0.2">
      <c r="B15" s="1" t="s">
        <v>67</v>
      </c>
      <c r="C15" s="21" t="s">
        <v>50</v>
      </c>
      <c r="D15" s="69">
        <f>INPUTS!E24</f>
        <v>0</v>
      </c>
      <c r="E15" s="69"/>
      <c r="F15" s="3">
        <f>1/(1+$D15)^(F$10-1)</f>
        <v>1</v>
      </c>
      <c r="G15" s="3">
        <f t="shared" ref="G15:AR15" si="8">1/(1+$D15)^(G$10-1)</f>
        <v>1</v>
      </c>
      <c r="H15" s="3">
        <f t="shared" si="8"/>
        <v>1</v>
      </c>
      <c r="I15" s="3">
        <f t="shared" si="8"/>
        <v>1</v>
      </c>
      <c r="J15" s="3">
        <f t="shared" si="8"/>
        <v>1</v>
      </c>
      <c r="K15" s="3">
        <f t="shared" si="8"/>
        <v>1</v>
      </c>
      <c r="L15" s="3">
        <f t="shared" si="8"/>
        <v>1</v>
      </c>
      <c r="M15" s="3">
        <f t="shared" si="8"/>
        <v>1</v>
      </c>
      <c r="N15" s="3">
        <f t="shared" si="8"/>
        <v>1</v>
      </c>
      <c r="O15" s="3">
        <f t="shared" si="8"/>
        <v>1</v>
      </c>
      <c r="P15" s="3">
        <f t="shared" si="8"/>
        <v>1</v>
      </c>
      <c r="Q15" s="3">
        <f t="shared" si="8"/>
        <v>1</v>
      </c>
      <c r="R15" s="3">
        <f t="shared" si="8"/>
        <v>1</v>
      </c>
      <c r="S15" s="3">
        <f t="shared" si="8"/>
        <v>1</v>
      </c>
      <c r="T15" s="3">
        <f t="shared" si="8"/>
        <v>1</v>
      </c>
      <c r="U15" s="3">
        <f t="shared" si="8"/>
        <v>1</v>
      </c>
      <c r="V15" s="3">
        <f t="shared" si="8"/>
        <v>1</v>
      </c>
      <c r="W15" s="3">
        <f t="shared" si="8"/>
        <v>1</v>
      </c>
      <c r="X15" s="3">
        <f t="shared" si="8"/>
        <v>1</v>
      </c>
      <c r="Y15" s="3">
        <f t="shared" si="8"/>
        <v>1</v>
      </c>
      <c r="Z15" s="3">
        <f t="shared" si="8"/>
        <v>1</v>
      </c>
      <c r="AA15" s="3">
        <f t="shared" si="8"/>
        <v>1</v>
      </c>
      <c r="AB15" s="3">
        <f t="shared" si="8"/>
        <v>1</v>
      </c>
      <c r="AC15" s="3">
        <f t="shared" si="8"/>
        <v>1</v>
      </c>
      <c r="AD15" s="3">
        <f t="shared" si="8"/>
        <v>1</v>
      </c>
      <c r="AE15" s="3">
        <f t="shared" si="8"/>
        <v>1</v>
      </c>
      <c r="AF15" s="3">
        <f t="shared" si="8"/>
        <v>1</v>
      </c>
      <c r="AG15" s="3">
        <f t="shared" si="8"/>
        <v>1</v>
      </c>
      <c r="AH15" s="3">
        <f t="shared" si="8"/>
        <v>1</v>
      </c>
      <c r="AI15" s="3">
        <f t="shared" si="8"/>
        <v>1</v>
      </c>
      <c r="AJ15" s="3">
        <f t="shared" si="8"/>
        <v>1</v>
      </c>
      <c r="AK15" s="3">
        <f t="shared" si="8"/>
        <v>1</v>
      </c>
      <c r="AL15" s="3">
        <f t="shared" si="8"/>
        <v>1</v>
      </c>
      <c r="AM15" s="3">
        <f t="shared" si="8"/>
        <v>1</v>
      </c>
      <c r="AN15" s="3">
        <f t="shared" si="8"/>
        <v>1</v>
      </c>
      <c r="AO15" s="3">
        <f t="shared" si="8"/>
        <v>1</v>
      </c>
      <c r="AP15" s="3">
        <f t="shared" si="8"/>
        <v>1</v>
      </c>
      <c r="AQ15" s="3">
        <f t="shared" si="8"/>
        <v>1</v>
      </c>
      <c r="AR15" s="3">
        <f t="shared" si="8"/>
        <v>1</v>
      </c>
    </row>
    <row r="16" spans="1:44" x14ac:dyDescent="0.2">
      <c r="B16" s="1" t="s">
        <v>69</v>
      </c>
      <c r="C16" s="21" t="s">
        <v>50</v>
      </c>
      <c r="D16" s="69">
        <f>INPUTS!E25</f>
        <v>0.03</v>
      </c>
      <c r="E16" s="69"/>
      <c r="F16" s="3">
        <f t="shared" ref="F16:G16" si="9">MIN(1,IF(F10=0,1,1/(1+$D16)^(F$10-1)))</f>
        <v>1</v>
      </c>
      <c r="G16" s="3">
        <f t="shared" si="9"/>
        <v>1</v>
      </c>
      <c r="H16" s="3">
        <f>MIN(1,IF(H10=0,1,1/(1+$D16)^(H$10-1)))</f>
        <v>1</v>
      </c>
      <c r="I16" s="3">
        <f t="shared" ref="I16:AR16" si="10">MIN(1,IF(I10=0,1,1/(1+$D16)^(I$10-1)))</f>
        <v>1</v>
      </c>
      <c r="J16" s="3">
        <f t="shared" si="10"/>
        <v>0.970873786407767</v>
      </c>
      <c r="K16" s="3">
        <f t="shared" si="10"/>
        <v>0.94259590913375435</v>
      </c>
      <c r="L16" s="3">
        <f t="shared" si="10"/>
        <v>0.91514165935315961</v>
      </c>
      <c r="M16" s="3">
        <f t="shared" si="10"/>
        <v>0.888487047915689</v>
      </c>
      <c r="N16" s="3">
        <f t="shared" si="10"/>
        <v>0.86260878438416411</v>
      </c>
      <c r="O16" s="3">
        <f t="shared" si="10"/>
        <v>0.83748425668365445</v>
      </c>
      <c r="P16" s="3">
        <f t="shared" si="10"/>
        <v>0.81309151134335378</v>
      </c>
      <c r="Q16" s="3">
        <f t="shared" si="10"/>
        <v>0.78940923431393573</v>
      </c>
      <c r="R16" s="3">
        <f t="shared" si="10"/>
        <v>0.76641673234362695</v>
      </c>
      <c r="S16" s="3">
        <f t="shared" si="10"/>
        <v>0.74409391489672516</v>
      </c>
      <c r="T16" s="3">
        <f t="shared" si="10"/>
        <v>0.72242127659876232</v>
      </c>
      <c r="U16" s="3">
        <f t="shared" si="10"/>
        <v>0.70137988019297326</v>
      </c>
      <c r="V16" s="3">
        <f t="shared" si="10"/>
        <v>0.68095133999317792</v>
      </c>
      <c r="W16" s="3">
        <f t="shared" si="10"/>
        <v>0.66111780581861923</v>
      </c>
      <c r="X16" s="3">
        <f t="shared" si="10"/>
        <v>0.64186194739671765</v>
      </c>
      <c r="Y16" s="3">
        <f t="shared" si="10"/>
        <v>0.62316693922011435</v>
      </c>
      <c r="Z16" s="3">
        <f t="shared" si="10"/>
        <v>0.60501644584477121</v>
      </c>
      <c r="AA16" s="3">
        <f t="shared" si="10"/>
        <v>0.5873946076162827</v>
      </c>
      <c r="AB16" s="3">
        <f t="shared" si="10"/>
        <v>0.57028602681192497</v>
      </c>
      <c r="AC16" s="3">
        <f t="shared" si="10"/>
        <v>0.55367575418633497</v>
      </c>
      <c r="AD16" s="3">
        <f t="shared" si="10"/>
        <v>0.5375492759090631</v>
      </c>
      <c r="AE16" s="3">
        <f t="shared" si="10"/>
        <v>0.52189250088258554</v>
      </c>
      <c r="AF16" s="3">
        <f t="shared" si="10"/>
        <v>0.50669174842969467</v>
      </c>
      <c r="AG16" s="3">
        <f t="shared" si="10"/>
        <v>0.49193373633950943</v>
      </c>
      <c r="AH16" s="3">
        <f t="shared" si="10"/>
        <v>0.47760556926165965</v>
      </c>
      <c r="AI16" s="3">
        <f t="shared" si="10"/>
        <v>0.46369472743850448</v>
      </c>
      <c r="AJ16" s="3">
        <f t="shared" si="10"/>
        <v>0.45018905576553836</v>
      </c>
      <c r="AK16" s="3">
        <f t="shared" si="10"/>
        <v>0.4370767531704256</v>
      </c>
      <c r="AL16" s="3">
        <f t="shared" si="10"/>
        <v>0.42434636230138412</v>
      </c>
      <c r="AM16" s="3">
        <f t="shared" si="10"/>
        <v>0.41198675951590691</v>
      </c>
      <c r="AN16" s="3">
        <f t="shared" si="10"/>
        <v>0.39998714516107459</v>
      </c>
      <c r="AO16" s="3">
        <f t="shared" si="10"/>
        <v>0.38833703413696569</v>
      </c>
      <c r="AP16" s="3">
        <f t="shared" si="10"/>
        <v>0.37702624673491814</v>
      </c>
      <c r="AQ16" s="3">
        <f t="shared" si="10"/>
        <v>0.36604489974263904</v>
      </c>
      <c r="AR16" s="3">
        <f t="shared" si="10"/>
        <v>0.35538339780838735</v>
      </c>
    </row>
    <row r="17" spans="1:44" x14ac:dyDescent="0.2">
      <c r="B17" s="1" t="s">
        <v>70</v>
      </c>
      <c r="C17" s="21" t="s">
        <v>50</v>
      </c>
      <c r="D17" s="69">
        <f>INPUTS!E26</f>
        <v>7.0000000000000007E-2</v>
      </c>
      <c r="E17" s="69"/>
      <c r="F17" s="3">
        <f t="shared" ref="F17:G17" si="11">MIN(1,IF(F10=0,1,1/(1+$D17)^(F$10-1)))</f>
        <v>1</v>
      </c>
      <c r="G17" s="3">
        <f t="shared" si="11"/>
        <v>1</v>
      </c>
      <c r="H17" s="3">
        <f>MIN(1,IF(H10=0,1,1/(1+$D17)^(H$10-1)))</f>
        <v>1</v>
      </c>
      <c r="I17" s="3">
        <f t="shared" ref="I17:AR17" si="12">MIN(1,IF(I10=0,1,1/(1+$D17)^(I$10-1)))</f>
        <v>1</v>
      </c>
      <c r="J17" s="3">
        <f t="shared" si="12"/>
        <v>0.93457943925233644</v>
      </c>
      <c r="K17" s="3">
        <f t="shared" si="12"/>
        <v>0.87343872827321156</v>
      </c>
      <c r="L17" s="3">
        <f t="shared" si="12"/>
        <v>0.81629787689085187</v>
      </c>
      <c r="M17" s="3">
        <f t="shared" si="12"/>
        <v>0.7628952120475252</v>
      </c>
      <c r="N17" s="3">
        <f t="shared" si="12"/>
        <v>0.71298617948366838</v>
      </c>
      <c r="O17" s="3">
        <f t="shared" si="12"/>
        <v>0.66634222381651254</v>
      </c>
      <c r="P17" s="3">
        <f t="shared" si="12"/>
        <v>0.62274974188459109</v>
      </c>
      <c r="Q17" s="3">
        <f t="shared" si="12"/>
        <v>0.5820091045650384</v>
      </c>
      <c r="R17" s="3">
        <f t="shared" si="12"/>
        <v>0.54393374258414806</v>
      </c>
      <c r="S17" s="3">
        <f t="shared" si="12"/>
        <v>0.5083492921347178</v>
      </c>
      <c r="T17" s="3">
        <f t="shared" si="12"/>
        <v>0.47509279638758667</v>
      </c>
      <c r="U17" s="3">
        <f t="shared" si="12"/>
        <v>0.44401195924073528</v>
      </c>
      <c r="V17" s="3">
        <f t="shared" si="12"/>
        <v>0.41496444788853759</v>
      </c>
      <c r="W17" s="3">
        <f t="shared" si="12"/>
        <v>0.3878172410173249</v>
      </c>
      <c r="X17" s="3">
        <f t="shared" si="12"/>
        <v>0.36244601964235967</v>
      </c>
      <c r="Y17" s="3">
        <f t="shared" si="12"/>
        <v>0.33873459779659787</v>
      </c>
      <c r="Z17" s="3">
        <f t="shared" si="12"/>
        <v>0.31657439046411018</v>
      </c>
      <c r="AA17" s="3">
        <f t="shared" si="12"/>
        <v>0.29586391632159825</v>
      </c>
      <c r="AB17" s="3">
        <f t="shared" si="12"/>
        <v>0.27650833301083949</v>
      </c>
      <c r="AC17" s="3">
        <f t="shared" si="12"/>
        <v>0.2584190028138687</v>
      </c>
      <c r="AD17" s="3">
        <f t="shared" si="12"/>
        <v>0.24151308674193336</v>
      </c>
      <c r="AE17" s="3">
        <f t="shared" si="12"/>
        <v>0.22571316517937698</v>
      </c>
      <c r="AF17" s="3">
        <f t="shared" si="12"/>
        <v>0.21094688334521211</v>
      </c>
      <c r="AG17" s="3">
        <f t="shared" si="12"/>
        <v>0.19714661994879637</v>
      </c>
      <c r="AH17" s="3">
        <f t="shared" si="12"/>
        <v>0.18424917752223957</v>
      </c>
      <c r="AI17" s="3">
        <f t="shared" si="12"/>
        <v>0.17219549301143888</v>
      </c>
      <c r="AJ17" s="3">
        <f t="shared" si="12"/>
        <v>0.16093036730041013</v>
      </c>
      <c r="AK17" s="3">
        <f t="shared" si="12"/>
        <v>0.15040221243028987</v>
      </c>
      <c r="AL17" s="3">
        <f t="shared" si="12"/>
        <v>0.1405628153554111</v>
      </c>
      <c r="AM17" s="3">
        <f t="shared" si="12"/>
        <v>0.13136711715458982</v>
      </c>
      <c r="AN17" s="3">
        <f t="shared" si="12"/>
        <v>0.1227730066865325</v>
      </c>
      <c r="AO17" s="3">
        <f t="shared" si="12"/>
        <v>0.11474112774442291</v>
      </c>
      <c r="AP17" s="3">
        <f t="shared" si="12"/>
        <v>0.10723469882656347</v>
      </c>
      <c r="AQ17" s="3">
        <f t="shared" si="12"/>
        <v>0.10021934469772288</v>
      </c>
      <c r="AR17" s="3">
        <f t="shared" si="12"/>
        <v>9.366293896983445E-2</v>
      </c>
    </row>
    <row r="19" spans="1:44" x14ac:dyDescent="0.2">
      <c r="B19" s="1" t="s">
        <v>232</v>
      </c>
      <c r="C19" s="1" t="s">
        <v>44</v>
      </c>
      <c r="D19" s="1" t="s">
        <v>45</v>
      </c>
    </row>
    <row r="20" spans="1:44" s="8" customFormat="1" x14ac:dyDescent="0.2">
      <c r="A20" s="7" t="s">
        <v>233</v>
      </c>
    </row>
    <row r="21" spans="1:44" ht="15" x14ac:dyDescent="0.25">
      <c r="A21" s="2" t="s">
        <v>264</v>
      </c>
    </row>
    <row r="22" spans="1:44" x14ac:dyDescent="0.2">
      <c r="B22" s="1" t="str">
        <f>'CALCS Traffic'!B27</f>
        <v>Total Vehicular Traffic</v>
      </c>
      <c r="C22" s="225" t="s">
        <v>107</v>
      </c>
      <c r="D22" s="70">
        <f t="shared" ref="D22" si="13">SUM(F22:AR22)</f>
        <v>254585244.2823793</v>
      </c>
      <c r="F22" s="18">
        <f>'CALCS Traffic'!F27</f>
        <v>2757288.1655106023</v>
      </c>
      <c r="G22" s="18">
        <f>'CALCS Traffic'!G27</f>
        <v>2870112.5273427041</v>
      </c>
      <c r="H22" s="18">
        <f>'CALCS Traffic'!H27</f>
        <v>2987553.5037100744</v>
      </c>
      <c r="I22" s="18">
        <f>'CALCS Traffic'!I27</f>
        <v>3109800</v>
      </c>
      <c r="J22" s="18">
        <f>'CALCS Traffic'!J27</f>
        <v>3237048.6513430839</v>
      </c>
      <c r="K22" s="18">
        <f>'CALCS Traffic'!K27</f>
        <v>3369504.1389034917</v>
      </c>
      <c r="L22" s="18">
        <f>'CALCS Traffic'!L27</f>
        <v>3507379.5191113534</v>
      </c>
      <c r="M22" s="18">
        <f>'CALCS Traffic'!M27</f>
        <v>3650896.5663668918</v>
      </c>
      <c r="N22" s="18">
        <f>'CALCS Traffic'!N27</f>
        <v>3800286.1297675227</v>
      </c>
      <c r="O22" s="18">
        <f>'CALCS Traffic'!O27</f>
        <v>3955788.5044317278</v>
      </c>
      <c r="P22" s="18">
        <f>'CALCS Traffic'!P27</f>
        <v>4117653.818016978</v>
      </c>
      <c r="Q22" s="18">
        <f>'CALCS Traffic'!Q27</f>
        <v>4286142.4330534302</v>
      </c>
      <c r="R22" s="18">
        <f>'CALCS Traffic'!R27</f>
        <v>4461525.3657405525</v>
      </c>
      <c r="S22" s="18">
        <f>'CALCS Traffic'!S27</f>
        <v>4644084.7218803186</v>
      </c>
      <c r="T22" s="18">
        <f>'CALCS Traffic'!T27</f>
        <v>4834114.1506481785</v>
      </c>
      <c r="U22" s="18">
        <f>'CALCS Traffic'!U27</f>
        <v>5031919.3169317003</v>
      </c>
      <c r="V22" s="18">
        <f>'CALCS Traffic'!V27</f>
        <v>5237818.3929966465</v>
      </c>
      <c r="W22" s="18">
        <f>'CALCS Traffic'!W27</f>
        <v>5452142.5702713337</v>
      </c>
      <c r="X22" s="18">
        <f>'CALCS Traffic'!X27</f>
        <v>5675236.5920724915</v>
      </c>
      <c r="Y22" s="18">
        <f>'CALCS Traffic'!Y27</f>
        <v>5907459.3081295183</v>
      </c>
      <c r="Z22" s="18">
        <f>'CALCS Traffic'!Z27</f>
        <v>6149184.251799088</v>
      </c>
      <c r="AA22" s="18">
        <f>'CALCS Traffic'!AA27</f>
        <v>6400800.2408985682</v>
      </c>
      <c r="AB22" s="18">
        <f>'CALCS Traffic'!AB27</f>
        <v>6662712.0031247009</v>
      </c>
      <c r="AC22" s="18">
        <f>'CALCS Traffic'!AC27</f>
        <v>6935340.8270635372</v>
      </c>
      <c r="AD22" s="18">
        <f>'CALCS Traffic'!AD27</f>
        <v>7219125.2398387836</v>
      </c>
      <c r="AE22" s="18">
        <f>'CALCS Traffic'!AE27</f>
        <v>7514521.7124885684</v>
      </c>
      <c r="AF22" s="18">
        <f>'CALCS Traffic'!AF27</f>
        <v>7822005.3942052349</v>
      </c>
      <c r="AG22" s="18">
        <f>'CALCS Traffic'!AG27</f>
        <v>8142070.8766191984</v>
      </c>
      <c r="AH22" s="18">
        <f>'CALCS Traffic'!AH27</f>
        <v>8475232.9893562216</v>
      </c>
      <c r="AI22" s="18">
        <f>'CALCS Traffic'!AI27</f>
        <v>8822027.6281477809</v>
      </c>
      <c r="AJ22" s="18">
        <f>'CALCS Traffic'!AJ27</f>
        <v>9183012.6168265473</v>
      </c>
      <c r="AK22" s="18">
        <f>'CALCS Traffic'!AK27</f>
        <v>9558768.6045935098</v>
      </c>
      <c r="AL22" s="18">
        <f>'CALCS Traffic'!AL27</f>
        <v>9949900.0000000093</v>
      </c>
      <c r="AM22" s="18">
        <f>'CALCS Traffic'!AM27</f>
        <v>10357035.943147013</v>
      </c>
      <c r="AN22" s="18">
        <f>'CALCS Traffic'!AN27</f>
        <v>10780831.317665407</v>
      </c>
      <c r="AO22" s="18">
        <f>'CALCS Traffic'!AO27</f>
        <v>11221967.804105116</v>
      </c>
      <c r="AP22" s="18">
        <f>'CALCS Traffic'!AP27</f>
        <v>11681154.976427414</v>
      </c>
      <c r="AQ22" s="18">
        <f>'CALCS Traffic'!AQ27</f>
        <v>12159131.443364175</v>
      </c>
      <c r="AR22" s="18">
        <f>'CALCS Traffic'!AR27</f>
        <v>12656666.036479929</v>
      </c>
    </row>
    <row r="23" spans="1:44" x14ac:dyDescent="0.2">
      <c r="C23" s="225"/>
      <c r="D23" s="70"/>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row>
    <row r="24" spans="1:44" ht="15" x14ac:dyDescent="0.25">
      <c r="A24" s="2" t="s">
        <v>265</v>
      </c>
      <c r="C24" s="225"/>
      <c r="D24" s="70"/>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row>
    <row r="25" spans="1:44" x14ac:dyDescent="0.2">
      <c r="B25" s="1" t="s">
        <v>115</v>
      </c>
      <c r="C25" s="225" t="s">
        <v>116</v>
      </c>
      <c r="D25" s="84">
        <f>INPUTS!E61</f>
        <v>7.2</v>
      </c>
      <c r="F25" s="19">
        <f>IF(F$7=$D$30,$D25/F$22,0)</f>
        <v>0</v>
      </c>
      <c r="G25" s="19">
        <f t="shared" ref="G25:V29" si="14">IF(G$7=$D$30,$D25/G$22,0)</f>
        <v>0</v>
      </c>
      <c r="H25" s="19">
        <f t="shared" si="14"/>
        <v>2.4099986798759339E-6</v>
      </c>
      <c r="I25" s="19">
        <f t="shared" si="14"/>
        <v>0</v>
      </c>
      <c r="J25" s="19">
        <f t="shared" si="14"/>
        <v>0</v>
      </c>
      <c r="K25" s="19">
        <f t="shared" si="14"/>
        <v>0</v>
      </c>
      <c r="L25" s="19">
        <f t="shared" si="14"/>
        <v>0</v>
      </c>
      <c r="M25" s="19">
        <f t="shared" si="14"/>
        <v>0</v>
      </c>
      <c r="N25" s="19">
        <f t="shared" si="14"/>
        <v>0</v>
      </c>
      <c r="O25" s="19">
        <f t="shared" si="14"/>
        <v>0</v>
      </c>
      <c r="P25" s="19">
        <f t="shared" si="14"/>
        <v>0</v>
      </c>
      <c r="Q25" s="19">
        <f t="shared" si="14"/>
        <v>0</v>
      </c>
      <c r="R25" s="19">
        <f t="shared" si="14"/>
        <v>0</v>
      </c>
      <c r="S25" s="19">
        <f t="shared" si="14"/>
        <v>0</v>
      </c>
      <c r="T25" s="19">
        <f t="shared" si="14"/>
        <v>0</v>
      </c>
      <c r="U25" s="19">
        <f t="shared" si="14"/>
        <v>0</v>
      </c>
      <c r="V25" s="19">
        <f t="shared" si="14"/>
        <v>0</v>
      </c>
      <c r="W25" s="19">
        <f t="shared" ref="W25:AL29" si="15">IF(W$7=$D$30,$D25/W$22,0)</f>
        <v>0</v>
      </c>
      <c r="X25" s="19">
        <f t="shared" si="15"/>
        <v>0</v>
      </c>
      <c r="Y25" s="19">
        <f t="shared" si="15"/>
        <v>0</v>
      </c>
      <c r="Z25" s="19">
        <f t="shared" si="15"/>
        <v>0</v>
      </c>
      <c r="AA25" s="19">
        <f t="shared" si="15"/>
        <v>0</v>
      </c>
      <c r="AB25" s="19">
        <f t="shared" si="15"/>
        <v>0</v>
      </c>
      <c r="AC25" s="19">
        <f t="shared" si="15"/>
        <v>0</v>
      </c>
      <c r="AD25" s="19">
        <f t="shared" si="15"/>
        <v>0</v>
      </c>
      <c r="AE25" s="19">
        <f t="shared" si="15"/>
        <v>0</v>
      </c>
      <c r="AF25" s="19">
        <f t="shared" si="15"/>
        <v>0</v>
      </c>
      <c r="AG25" s="19">
        <f t="shared" si="15"/>
        <v>0</v>
      </c>
      <c r="AH25" s="19">
        <f t="shared" si="15"/>
        <v>0</v>
      </c>
      <c r="AI25" s="19">
        <f t="shared" si="15"/>
        <v>0</v>
      </c>
      <c r="AJ25" s="19">
        <f t="shared" si="15"/>
        <v>0</v>
      </c>
      <c r="AK25" s="19">
        <f t="shared" si="15"/>
        <v>0</v>
      </c>
      <c r="AL25" s="19">
        <f t="shared" si="15"/>
        <v>0</v>
      </c>
      <c r="AM25" s="19">
        <f t="shared" ref="AM25:AR29" si="16">IF(AM$7=$D$30,$D25/AM$22,0)</f>
        <v>0</v>
      </c>
      <c r="AN25" s="19">
        <f t="shared" si="16"/>
        <v>0</v>
      </c>
      <c r="AO25" s="19">
        <f t="shared" si="16"/>
        <v>0</v>
      </c>
      <c r="AP25" s="19">
        <f t="shared" si="16"/>
        <v>0</v>
      </c>
      <c r="AQ25" s="19">
        <f t="shared" si="16"/>
        <v>0</v>
      </c>
      <c r="AR25" s="19">
        <f t="shared" si="16"/>
        <v>0</v>
      </c>
    </row>
    <row r="26" spans="1:44" x14ac:dyDescent="0.2">
      <c r="B26" s="1" t="s">
        <v>118</v>
      </c>
      <c r="C26" s="225" t="s">
        <v>116</v>
      </c>
      <c r="D26" s="84">
        <f>INPUTS!E62</f>
        <v>1.2</v>
      </c>
      <c r="F26" s="19">
        <f t="shared" ref="F26:F29" si="17">IF(F$7=$D$30,$D26/F$22,0)</f>
        <v>0</v>
      </c>
      <c r="G26" s="19">
        <f t="shared" si="14"/>
        <v>0</v>
      </c>
      <c r="H26" s="19">
        <f t="shared" si="14"/>
        <v>4.0166644664598898E-7</v>
      </c>
      <c r="I26" s="19">
        <f t="shared" si="14"/>
        <v>0</v>
      </c>
      <c r="J26" s="19">
        <f t="shared" si="14"/>
        <v>0</v>
      </c>
      <c r="K26" s="19">
        <f t="shared" si="14"/>
        <v>0</v>
      </c>
      <c r="L26" s="19">
        <f t="shared" si="14"/>
        <v>0</v>
      </c>
      <c r="M26" s="19">
        <f t="shared" si="14"/>
        <v>0</v>
      </c>
      <c r="N26" s="19">
        <f t="shared" si="14"/>
        <v>0</v>
      </c>
      <c r="O26" s="19">
        <f t="shared" si="14"/>
        <v>0</v>
      </c>
      <c r="P26" s="19">
        <f t="shared" si="14"/>
        <v>0</v>
      </c>
      <c r="Q26" s="19">
        <f t="shared" si="14"/>
        <v>0</v>
      </c>
      <c r="R26" s="19">
        <f t="shared" si="14"/>
        <v>0</v>
      </c>
      <c r="S26" s="19">
        <f t="shared" si="14"/>
        <v>0</v>
      </c>
      <c r="T26" s="19">
        <f t="shared" si="14"/>
        <v>0</v>
      </c>
      <c r="U26" s="19">
        <f t="shared" si="14"/>
        <v>0</v>
      </c>
      <c r="V26" s="19">
        <f t="shared" si="14"/>
        <v>0</v>
      </c>
      <c r="W26" s="19">
        <f t="shared" si="15"/>
        <v>0</v>
      </c>
      <c r="X26" s="19">
        <f t="shared" si="15"/>
        <v>0</v>
      </c>
      <c r="Y26" s="19">
        <f t="shared" si="15"/>
        <v>0</v>
      </c>
      <c r="Z26" s="19">
        <f t="shared" si="15"/>
        <v>0</v>
      </c>
      <c r="AA26" s="19">
        <f t="shared" si="15"/>
        <v>0</v>
      </c>
      <c r="AB26" s="19">
        <f t="shared" si="15"/>
        <v>0</v>
      </c>
      <c r="AC26" s="19">
        <f t="shared" si="15"/>
        <v>0</v>
      </c>
      <c r="AD26" s="19">
        <f t="shared" si="15"/>
        <v>0</v>
      </c>
      <c r="AE26" s="19">
        <f t="shared" si="15"/>
        <v>0</v>
      </c>
      <c r="AF26" s="19">
        <f t="shared" si="15"/>
        <v>0</v>
      </c>
      <c r="AG26" s="19">
        <f t="shared" si="15"/>
        <v>0</v>
      </c>
      <c r="AH26" s="19">
        <f t="shared" si="15"/>
        <v>0</v>
      </c>
      <c r="AI26" s="19">
        <f t="shared" si="15"/>
        <v>0</v>
      </c>
      <c r="AJ26" s="19">
        <f t="shared" si="15"/>
        <v>0</v>
      </c>
      <c r="AK26" s="19">
        <f t="shared" si="15"/>
        <v>0</v>
      </c>
      <c r="AL26" s="19">
        <f t="shared" si="15"/>
        <v>0</v>
      </c>
      <c r="AM26" s="19">
        <f t="shared" si="16"/>
        <v>0</v>
      </c>
      <c r="AN26" s="19">
        <f t="shared" si="16"/>
        <v>0</v>
      </c>
      <c r="AO26" s="19">
        <f t="shared" si="16"/>
        <v>0</v>
      </c>
      <c r="AP26" s="19">
        <f t="shared" si="16"/>
        <v>0</v>
      </c>
      <c r="AQ26" s="19">
        <f t="shared" si="16"/>
        <v>0</v>
      </c>
      <c r="AR26" s="19">
        <f t="shared" si="16"/>
        <v>0</v>
      </c>
    </row>
    <row r="27" spans="1:44" x14ac:dyDescent="0.2">
      <c r="B27" s="1" t="s">
        <v>119</v>
      </c>
      <c r="C27" s="225" t="s">
        <v>116</v>
      </c>
      <c r="D27" s="84">
        <f>INPUTS!E63</f>
        <v>1.8</v>
      </c>
      <c r="F27" s="19">
        <f t="shared" si="17"/>
        <v>0</v>
      </c>
      <c r="G27" s="19">
        <f t="shared" si="14"/>
        <v>0</v>
      </c>
      <c r="H27" s="19">
        <f t="shared" si="14"/>
        <v>6.0249966996898348E-7</v>
      </c>
      <c r="I27" s="19">
        <f t="shared" si="14"/>
        <v>0</v>
      </c>
      <c r="J27" s="19">
        <f t="shared" si="14"/>
        <v>0</v>
      </c>
      <c r="K27" s="19">
        <f t="shared" si="14"/>
        <v>0</v>
      </c>
      <c r="L27" s="19">
        <f t="shared" si="14"/>
        <v>0</v>
      </c>
      <c r="M27" s="19">
        <f t="shared" si="14"/>
        <v>0</v>
      </c>
      <c r="N27" s="19">
        <f t="shared" si="14"/>
        <v>0</v>
      </c>
      <c r="O27" s="19">
        <f t="shared" si="14"/>
        <v>0</v>
      </c>
      <c r="P27" s="19">
        <f t="shared" si="14"/>
        <v>0</v>
      </c>
      <c r="Q27" s="19">
        <f t="shared" si="14"/>
        <v>0</v>
      </c>
      <c r="R27" s="19">
        <f t="shared" si="14"/>
        <v>0</v>
      </c>
      <c r="S27" s="19">
        <f t="shared" si="14"/>
        <v>0</v>
      </c>
      <c r="T27" s="19">
        <f t="shared" si="14"/>
        <v>0</v>
      </c>
      <c r="U27" s="19">
        <f t="shared" si="14"/>
        <v>0</v>
      </c>
      <c r="V27" s="19">
        <f t="shared" si="14"/>
        <v>0</v>
      </c>
      <c r="W27" s="19">
        <f t="shared" si="15"/>
        <v>0</v>
      </c>
      <c r="X27" s="19">
        <f t="shared" si="15"/>
        <v>0</v>
      </c>
      <c r="Y27" s="19">
        <f t="shared" si="15"/>
        <v>0</v>
      </c>
      <c r="Z27" s="19">
        <f t="shared" si="15"/>
        <v>0</v>
      </c>
      <c r="AA27" s="19">
        <f t="shared" si="15"/>
        <v>0</v>
      </c>
      <c r="AB27" s="19">
        <f t="shared" si="15"/>
        <v>0</v>
      </c>
      <c r="AC27" s="19">
        <f t="shared" si="15"/>
        <v>0</v>
      </c>
      <c r="AD27" s="19">
        <f t="shared" si="15"/>
        <v>0</v>
      </c>
      <c r="AE27" s="19">
        <f t="shared" si="15"/>
        <v>0</v>
      </c>
      <c r="AF27" s="19">
        <f t="shared" si="15"/>
        <v>0</v>
      </c>
      <c r="AG27" s="19">
        <f t="shared" si="15"/>
        <v>0</v>
      </c>
      <c r="AH27" s="19">
        <f t="shared" si="15"/>
        <v>0</v>
      </c>
      <c r="AI27" s="19">
        <f t="shared" si="15"/>
        <v>0</v>
      </c>
      <c r="AJ27" s="19">
        <f t="shared" si="15"/>
        <v>0</v>
      </c>
      <c r="AK27" s="19">
        <f t="shared" si="15"/>
        <v>0</v>
      </c>
      <c r="AL27" s="19">
        <f t="shared" si="15"/>
        <v>0</v>
      </c>
      <c r="AM27" s="19">
        <f t="shared" si="16"/>
        <v>0</v>
      </c>
      <c r="AN27" s="19">
        <f t="shared" si="16"/>
        <v>0</v>
      </c>
      <c r="AO27" s="19">
        <f t="shared" si="16"/>
        <v>0</v>
      </c>
      <c r="AP27" s="19">
        <f t="shared" si="16"/>
        <v>0</v>
      </c>
      <c r="AQ27" s="19">
        <f t="shared" si="16"/>
        <v>0</v>
      </c>
      <c r="AR27" s="19">
        <f t="shared" si="16"/>
        <v>0</v>
      </c>
    </row>
    <row r="28" spans="1:44" x14ac:dyDescent="0.2">
      <c r="B28" s="1" t="s">
        <v>120</v>
      </c>
      <c r="C28" s="225" t="s">
        <v>116</v>
      </c>
      <c r="D28" s="84">
        <f>INPUTS!E64</f>
        <v>0.4</v>
      </c>
      <c r="F28" s="19">
        <f t="shared" si="17"/>
        <v>0</v>
      </c>
      <c r="G28" s="19">
        <f t="shared" si="14"/>
        <v>0</v>
      </c>
      <c r="H28" s="19">
        <f t="shared" si="14"/>
        <v>1.33888815548663E-7</v>
      </c>
      <c r="I28" s="19">
        <f t="shared" si="14"/>
        <v>0</v>
      </c>
      <c r="J28" s="19">
        <f t="shared" si="14"/>
        <v>0</v>
      </c>
      <c r="K28" s="19">
        <f t="shared" si="14"/>
        <v>0</v>
      </c>
      <c r="L28" s="19">
        <f t="shared" si="14"/>
        <v>0</v>
      </c>
      <c r="M28" s="19">
        <f t="shared" si="14"/>
        <v>0</v>
      </c>
      <c r="N28" s="19">
        <f t="shared" si="14"/>
        <v>0</v>
      </c>
      <c r="O28" s="19">
        <f t="shared" si="14"/>
        <v>0</v>
      </c>
      <c r="P28" s="19">
        <f t="shared" si="14"/>
        <v>0</v>
      </c>
      <c r="Q28" s="19">
        <f t="shared" si="14"/>
        <v>0</v>
      </c>
      <c r="R28" s="19">
        <f t="shared" si="14"/>
        <v>0</v>
      </c>
      <c r="S28" s="19">
        <f t="shared" si="14"/>
        <v>0</v>
      </c>
      <c r="T28" s="19">
        <f t="shared" si="14"/>
        <v>0</v>
      </c>
      <c r="U28" s="19">
        <f t="shared" si="14"/>
        <v>0</v>
      </c>
      <c r="V28" s="19">
        <f t="shared" si="14"/>
        <v>0</v>
      </c>
      <c r="W28" s="19">
        <f t="shared" si="15"/>
        <v>0</v>
      </c>
      <c r="X28" s="19">
        <f t="shared" si="15"/>
        <v>0</v>
      </c>
      <c r="Y28" s="19">
        <f t="shared" si="15"/>
        <v>0</v>
      </c>
      <c r="Z28" s="19">
        <f t="shared" si="15"/>
        <v>0</v>
      </c>
      <c r="AA28" s="19">
        <f t="shared" si="15"/>
        <v>0</v>
      </c>
      <c r="AB28" s="19">
        <f t="shared" si="15"/>
        <v>0</v>
      </c>
      <c r="AC28" s="19">
        <f t="shared" si="15"/>
        <v>0</v>
      </c>
      <c r="AD28" s="19">
        <f t="shared" si="15"/>
        <v>0</v>
      </c>
      <c r="AE28" s="19">
        <f t="shared" si="15"/>
        <v>0</v>
      </c>
      <c r="AF28" s="19">
        <f t="shared" si="15"/>
        <v>0</v>
      </c>
      <c r="AG28" s="19">
        <f t="shared" si="15"/>
        <v>0</v>
      </c>
      <c r="AH28" s="19">
        <f t="shared" si="15"/>
        <v>0</v>
      </c>
      <c r="AI28" s="19">
        <f t="shared" si="15"/>
        <v>0</v>
      </c>
      <c r="AJ28" s="19">
        <f t="shared" si="15"/>
        <v>0</v>
      </c>
      <c r="AK28" s="19">
        <f t="shared" si="15"/>
        <v>0</v>
      </c>
      <c r="AL28" s="19">
        <f t="shared" si="15"/>
        <v>0</v>
      </c>
      <c r="AM28" s="19">
        <f t="shared" si="16"/>
        <v>0</v>
      </c>
      <c r="AN28" s="19">
        <f t="shared" si="16"/>
        <v>0</v>
      </c>
      <c r="AO28" s="19">
        <f t="shared" si="16"/>
        <v>0</v>
      </c>
      <c r="AP28" s="19">
        <f t="shared" si="16"/>
        <v>0</v>
      </c>
      <c r="AQ28" s="19">
        <f t="shared" si="16"/>
        <v>0</v>
      </c>
      <c r="AR28" s="19">
        <f t="shared" si="16"/>
        <v>0</v>
      </c>
    </row>
    <row r="29" spans="1:44" x14ac:dyDescent="0.2">
      <c r="B29" s="1" t="s">
        <v>121</v>
      </c>
      <c r="C29" s="225" t="s">
        <v>116</v>
      </c>
      <c r="D29" s="84">
        <f>INPUTS!E65</f>
        <v>0.8</v>
      </c>
      <c r="F29" s="19">
        <f t="shared" si="17"/>
        <v>0</v>
      </c>
      <c r="G29" s="19">
        <f t="shared" si="14"/>
        <v>0</v>
      </c>
      <c r="H29" s="19">
        <f t="shared" si="14"/>
        <v>2.6777763109732601E-7</v>
      </c>
      <c r="I29" s="19">
        <f t="shared" si="14"/>
        <v>0</v>
      </c>
      <c r="J29" s="19">
        <f t="shared" si="14"/>
        <v>0</v>
      </c>
      <c r="K29" s="19">
        <f t="shared" si="14"/>
        <v>0</v>
      </c>
      <c r="L29" s="19">
        <f t="shared" si="14"/>
        <v>0</v>
      </c>
      <c r="M29" s="19">
        <f t="shared" si="14"/>
        <v>0</v>
      </c>
      <c r="N29" s="19">
        <f t="shared" si="14"/>
        <v>0</v>
      </c>
      <c r="O29" s="19">
        <f t="shared" si="14"/>
        <v>0</v>
      </c>
      <c r="P29" s="19">
        <f t="shared" si="14"/>
        <v>0</v>
      </c>
      <c r="Q29" s="19">
        <f t="shared" si="14"/>
        <v>0</v>
      </c>
      <c r="R29" s="19">
        <f t="shared" si="14"/>
        <v>0</v>
      </c>
      <c r="S29" s="19">
        <f t="shared" si="14"/>
        <v>0</v>
      </c>
      <c r="T29" s="19">
        <f t="shared" si="14"/>
        <v>0</v>
      </c>
      <c r="U29" s="19">
        <f t="shared" si="14"/>
        <v>0</v>
      </c>
      <c r="V29" s="19">
        <f t="shared" si="14"/>
        <v>0</v>
      </c>
      <c r="W29" s="19">
        <f t="shared" si="15"/>
        <v>0</v>
      </c>
      <c r="X29" s="19">
        <f t="shared" si="15"/>
        <v>0</v>
      </c>
      <c r="Y29" s="19">
        <f t="shared" si="15"/>
        <v>0</v>
      </c>
      <c r="Z29" s="19">
        <f t="shared" si="15"/>
        <v>0</v>
      </c>
      <c r="AA29" s="19">
        <f t="shared" si="15"/>
        <v>0</v>
      </c>
      <c r="AB29" s="19">
        <f t="shared" si="15"/>
        <v>0</v>
      </c>
      <c r="AC29" s="19">
        <f t="shared" si="15"/>
        <v>0</v>
      </c>
      <c r="AD29" s="19">
        <f t="shared" si="15"/>
        <v>0</v>
      </c>
      <c r="AE29" s="19">
        <f t="shared" si="15"/>
        <v>0</v>
      </c>
      <c r="AF29" s="19">
        <f t="shared" si="15"/>
        <v>0</v>
      </c>
      <c r="AG29" s="19">
        <f t="shared" si="15"/>
        <v>0</v>
      </c>
      <c r="AH29" s="19">
        <f t="shared" si="15"/>
        <v>0</v>
      </c>
      <c r="AI29" s="19">
        <f t="shared" si="15"/>
        <v>0</v>
      </c>
      <c r="AJ29" s="19">
        <f t="shared" si="15"/>
        <v>0</v>
      </c>
      <c r="AK29" s="19">
        <f t="shared" si="15"/>
        <v>0</v>
      </c>
      <c r="AL29" s="19">
        <f t="shared" si="15"/>
        <v>0</v>
      </c>
      <c r="AM29" s="19">
        <f t="shared" si="16"/>
        <v>0</v>
      </c>
      <c r="AN29" s="19">
        <f t="shared" si="16"/>
        <v>0</v>
      </c>
      <c r="AO29" s="19">
        <f t="shared" si="16"/>
        <v>0</v>
      </c>
      <c r="AP29" s="19">
        <f t="shared" si="16"/>
        <v>0</v>
      </c>
      <c r="AQ29" s="19">
        <f t="shared" si="16"/>
        <v>0</v>
      </c>
      <c r="AR29" s="19">
        <f t="shared" si="16"/>
        <v>0</v>
      </c>
    </row>
    <row r="30" spans="1:44" x14ac:dyDescent="0.2">
      <c r="C30" s="225" t="s">
        <v>50</v>
      </c>
      <c r="D30" s="22">
        <f>INPUTS!E66</f>
        <v>2020</v>
      </c>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row>
    <row r="31" spans="1:44" x14ac:dyDescent="0.2">
      <c r="C31" s="225"/>
      <c r="D31" s="19"/>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row>
    <row r="32" spans="1:44" ht="15" x14ac:dyDescent="0.25">
      <c r="A32" s="2" t="s">
        <v>266</v>
      </c>
      <c r="C32" s="225"/>
      <c r="D32" s="70"/>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row>
    <row r="33" spans="1:44" ht="15" x14ac:dyDescent="0.25">
      <c r="A33" s="2"/>
      <c r="B33" s="1" t="s">
        <v>115</v>
      </c>
      <c r="C33" s="225" t="s">
        <v>116</v>
      </c>
      <c r="D33" s="312">
        <f>SUM(F25:AR25)</f>
        <v>2.4099986798759339E-6</v>
      </c>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row>
    <row r="34" spans="1:44" ht="15" x14ac:dyDescent="0.25">
      <c r="A34" s="2"/>
      <c r="B34" s="1" t="s">
        <v>118</v>
      </c>
      <c r="C34" s="225" t="s">
        <v>116</v>
      </c>
      <c r="D34" s="312">
        <f>SUM(F26:AR26)</f>
        <v>4.0166644664598898E-7</v>
      </c>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row>
    <row r="35" spans="1:44" x14ac:dyDescent="0.2">
      <c r="B35" s="1" t="s">
        <v>119</v>
      </c>
      <c r="C35" s="225" t="s">
        <v>116</v>
      </c>
      <c r="D35" s="312">
        <f>SUM(F27:AR27)</f>
        <v>6.0249966996898348E-7</v>
      </c>
      <c r="F35" s="18"/>
      <c r="G35" s="18"/>
      <c r="H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row>
    <row r="36" spans="1:44" x14ac:dyDescent="0.2">
      <c r="B36" s="1" t="s">
        <v>120</v>
      </c>
      <c r="C36" s="225" t="s">
        <v>116</v>
      </c>
      <c r="D36" s="312">
        <f>SUM(F28:AR28)</f>
        <v>1.33888815548663E-7</v>
      </c>
      <c r="F36" s="18"/>
      <c r="G36" s="18"/>
      <c r="H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row>
    <row r="37" spans="1:44" x14ac:dyDescent="0.2">
      <c r="B37" s="1" t="s">
        <v>121</v>
      </c>
      <c r="C37" s="225" t="s">
        <v>116</v>
      </c>
      <c r="D37" s="312">
        <f>SUM(F29:AR29)</f>
        <v>2.6777763109732601E-7</v>
      </c>
      <c r="F37" s="18"/>
      <c r="G37" s="18"/>
      <c r="H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row>
    <row r="38" spans="1:44" x14ac:dyDescent="0.2">
      <c r="C38" s="225"/>
      <c r="D38" s="19"/>
      <c r="F38" s="18"/>
      <c r="G38" s="18"/>
      <c r="H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row>
    <row r="39" spans="1:44" ht="15" x14ac:dyDescent="0.25">
      <c r="A39" s="2" t="s">
        <v>267</v>
      </c>
      <c r="C39" s="225"/>
      <c r="D39" s="19"/>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row>
    <row r="40" spans="1:44" x14ac:dyDescent="0.2">
      <c r="B40" s="1" t="s">
        <v>115</v>
      </c>
      <c r="C40" s="225" t="s">
        <v>124</v>
      </c>
      <c r="D40" s="4">
        <f>INPUTS!E67</f>
        <v>4800</v>
      </c>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row>
    <row r="41" spans="1:44" x14ac:dyDescent="0.2">
      <c r="B41" s="1" t="s">
        <v>118</v>
      </c>
      <c r="C41" s="225" t="s">
        <v>124</v>
      </c>
      <c r="D41" s="4">
        <f>INPUTS!E68</f>
        <v>78500</v>
      </c>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row>
    <row r="42" spans="1:44" x14ac:dyDescent="0.2">
      <c r="B42" s="1" t="s">
        <v>119</v>
      </c>
      <c r="C42" s="225" t="s">
        <v>124</v>
      </c>
      <c r="D42" s="4">
        <f>INPUTS!E69</f>
        <v>153700</v>
      </c>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row>
    <row r="43" spans="1:44" x14ac:dyDescent="0.2">
      <c r="B43" s="1" t="s">
        <v>120</v>
      </c>
      <c r="C43" s="225" t="s">
        <v>124</v>
      </c>
      <c r="D43" s="4">
        <f>INPUTS!E70</f>
        <v>564300</v>
      </c>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row>
    <row r="44" spans="1:44" x14ac:dyDescent="0.2">
      <c r="B44" s="1" t="s">
        <v>121</v>
      </c>
      <c r="C44" s="225" t="s">
        <v>124</v>
      </c>
      <c r="D44" s="4">
        <f>INPUTS!E71</f>
        <v>13046800</v>
      </c>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row>
    <row r="45" spans="1:44" x14ac:dyDescent="0.2">
      <c r="C45" s="225"/>
      <c r="D45" s="19"/>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row>
    <row r="46" spans="1:44" ht="15" x14ac:dyDescent="0.25">
      <c r="A46" s="2" t="s">
        <v>268</v>
      </c>
      <c r="C46" s="225"/>
      <c r="D46" s="70"/>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row>
    <row r="47" spans="1:44" ht="15" x14ac:dyDescent="0.25">
      <c r="A47" s="2"/>
      <c r="B47" s="1" t="s">
        <v>115</v>
      </c>
      <c r="C47" s="225" t="s">
        <v>269</v>
      </c>
      <c r="D47" s="70">
        <f>SUM(F47:AR47)</f>
        <v>613.55010263642646</v>
      </c>
      <c r="F47" s="18">
        <f>$D33*F$22</f>
        <v>6.645060838918087</v>
      </c>
      <c r="G47" s="18">
        <f t="shared" ref="G47:AR47" si="18">$D33*G$22</f>
        <v>6.9169674019912968</v>
      </c>
      <c r="H47" s="18">
        <f t="shared" si="18"/>
        <v>7.2</v>
      </c>
      <c r="I47" s="18">
        <f t="shared" si="18"/>
        <v>7.4946138946781788</v>
      </c>
      <c r="J47" s="18">
        <f t="shared" si="18"/>
        <v>7.8012829764310041</v>
      </c>
      <c r="K47" s="18">
        <f t="shared" si="18"/>
        <v>8.1205005265939096</v>
      </c>
      <c r="L47" s="18">
        <f t="shared" si="18"/>
        <v>8.4527800108822504</v>
      </c>
      <c r="M47" s="18">
        <f t="shared" si="18"/>
        <v>8.7986559053077897</v>
      </c>
      <c r="N47" s="18">
        <f t="shared" si="18"/>
        <v>9.1586845558905523</v>
      </c>
      <c r="O47" s="18">
        <f t="shared" si="18"/>
        <v>9.5334450735488581</v>
      </c>
      <c r="P47" s="18">
        <f t="shared" si="18"/>
        <v>9.9235402656070164</v>
      </c>
      <c r="Q47" s="18">
        <f t="shared" si="18"/>
        <v>10.329597605418989</v>
      </c>
      <c r="R47" s="18">
        <f t="shared" si="18"/>
        <v>10.752270241667725</v>
      </c>
      <c r="S47" s="18">
        <f t="shared" si="18"/>
        <v>11.192238048963562</v>
      </c>
      <c r="T47" s="18">
        <f t="shared" si="18"/>
        <v>11.650208721431682</v>
      </c>
      <c r="U47" s="18">
        <f t="shared" si="18"/>
        <v>12.126918911047609</v>
      </c>
      <c r="V47" s="18">
        <f t="shared" si="18"/>
        <v>12.623135412551804</v>
      </c>
      <c r="W47" s="18">
        <f t="shared" si="18"/>
        <v>13.139656396849295</v>
      </c>
      <c r="X47" s="18">
        <f t="shared" si="18"/>
        <v>13.677312694878299</v>
      </c>
      <c r="Y47" s="18">
        <f t="shared" si="18"/>
        <v>14.236969134012936</v>
      </c>
      <c r="Z47" s="18">
        <f t="shared" si="18"/>
        <v>14.819525929149684</v>
      </c>
      <c r="AA47" s="18">
        <f t="shared" si="18"/>
        <v>15.425920130715109</v>
      </c>
      <c r="AB47" s="18">
        <f t="shared" si="18"/>
        <v>16.057127131924069</v>
      </c>
      <c r="AC47" s="18">
        <f t="shared" si="18"/>
        <v>16.714162237712792</v>
      </c>
      <c r="AD47" s="18">
        <f t="shared" si="18"/>
        <v>17.398082297870502</v>
      </c>
      <c r="AE47" s="18">
        <f t="shared" si="18"/>
        <v>18.109987406996492</v>
      </c>
      <c r="AF47" s="18">
        <f t="shared" si="18"/>
        <v>18.851022674017049</v>
      </c>
      <c r="AG47" s="18">
        <f t="shared" si="18"/>
        <v>19.622380064108555</v>
      </c>
      <c r="AH47" s="18">
        <f t="shared" si="18"/>
        <v>20.42530031598946</v>
      </c>
      <c r="AI47" s="18">
        <f t="shared" si="18"/>
        <v>21.261074937665168</v>
      </c>
      <c r="AJ47" s="18">
        <f t="shared" si="18"/>
        <v>22.131048283836023</v>
      </c>
      <c r="AK47" s="18">
        <f t="shared" si="18"/>
        <v>23.036619718309883</v>
      </c>
      <c r="AL47" s="18">
        <f t="shared" si="18"/>
        <v>23.979245864897578</v>
      </c>
      <c r="AM47" s="18">
        <f t="shared" si="18"/>
        <v>24.960442950411899</v>
      </c>
      <c r="AN47" s="18">
        <f t="shared" si="18"/>
        <v>25.981789243538756</v>
      </c>
      <c r="AO47" s="18">
        <f t="shared" si="18"/>
        <v>27.044927593503562</v>
      </c>
      <c r="AP47" s="18">
        <f t="shared" si="18"/>
        <v>28.151568072616261</v>
      </c>
      <c r="AQ47" s="18">
        <f t="shared" si="18"/>
        <v>29.303490726945622</v>
      </c>
      <c r="AR47" s="18">
        <f t="shared" si="18"/>
        <v>30.502548439547198</v>
      </c>
    </row>
    <row r="48" spans="1:44" ht="15" x14ac:dyDescent="0.25">
      <c r="A48" s="2"/>
      <c r="B48" s="1" t="s">
        <v>118</v>
      </c>
      <c r="C48" s="225" t="s">
        <v>269</v>
      </c>
      <c r="D48" s="70">
        <f t="shared" ref="D48:D52" si="19">SUM(F48:AR48)</f>
        <v>102.25835043940442</v>
      </c>
      <c r="F48" s="18">
        <f t="shared" ref="F48:AR48" si="20">$D34*F$22</f>
        <v>1.1075101398196812</v>
      </c>
      <c r="G48" s="18">
        <f t="shared" si="20"/>
        <v>1.1528279003318829</v>
      </c>
      <c r="H48" s="18">
        <f t="shared" si="20"/>
        <v>1.2</v>
      </c>
      <c r="I48" s="18">
        <f t="shared" si="20"/>
        <v>1.2491023157796965</v>
      </c>
      <c r="J48" s="18">
        <f t="shared" si="20"/>
        <v>1.3002138294051675</v>
      </c>
      <c r="K48" s="18">
        <f t="shared" si="20"/>
        <v>1.3534167544323183</v>
      </c>
      <c r="L48" s="18">
        <f t="shared" si="20"/>
        <v>1.408796668480375</v>
      </c>
      <c r="M48" s="18">
        <f t="shared" si="20"/>
        <v>1.4664426508846315</v>
      </c>
      <c r="N48" s="18">
        <f t="shared" si="20"/>
        <v>1.5264474259817586</v>
      </c>
      <c r="O48" s="18">
        <f t="shared" si="20"/>
        <v>1.5889075122581431</v>
      </c>
      <c r="P48" s="18">
        <f t="shared" si="20"/>
        <v>1.6539233776011693</v>
      </c>
      <c r="Q48" s="18">
        <f t="shared" si="20"/>
        <v>1.7215996009031651</v>
      </c>
      <c r="R48" s="18">
        <f t="shared" si="20"/>
        <v>1.7920450402779542</v>
      </c>
      <c r="S48" s="18">
        <f t="shared" si="20"/>
        <v>1.8653730081605935</v>
      </c>
      <c r="T48" s="18">
        <f t="shared" si="20"/>
        <v>1.941701453571947</v>
      </c>
      <c r="U48" s="18">
        <f t="shared" si="20"/>
        <v>2.021153151841268</v>
      </c>
      <c r="V48" s="18">
        <f t="shared" si="20"/>
        <v>2.1038559020919672</v>
      </c>
      <c r="W48" s="18">
        <f t="shared" si="20"/>
        <v>2.1899427328082157</v>
      </c>
      <c r="X48" s="18">
        <f t="shared" si="20"/>
        <v>2.2795521158130496</v>
      </c>
      <c r="Y48" s="18">
        <f t="shared" si="20"/>
        <v>2.3728281890021563</v>
      </c>
      <c r="Z48" s="18">
        <f t="shared" si="20"/>
        <v>2.469920988191614</v>
      </c>
      <c r="AA48" s="18">
        <f t="shared" si="20"/>
        <v>2.5709866884525181</v>
      </c>
      <c r="AB48" s="18">
        <f t="shared" si="20"/>
        <v>2.6761878553206779</v>
      </c>
      <c r="AC48" s="18">
        <f t="shared" si="20"/>
        <v>2.7856937062854654</v>
      </c>
      <c r="AD48" s="18">
        <f t="shared" si="20"/>
        <v>2.899680382978417</v>
      </c>
      <c r="AE48" s="18">
        <f t="shared" si="20"/>
        <v>3.0183312344994153</v>
      </c>
      <c r="AF48" s="18">
        <f t="shared" si="20"/>
        <v>3.1418371123361752</v>
      </c>
      <c r="AG48" s="18">
        <f t="shared" si="20"/>
        <v>3.2703966773514259</v>
      </c>
      <c r="AH48" s="18">
        <f t="shared" si="20"/>
        <v>3.4042167193315764</v>
      </c>
      <c r="AI48" s="18">
        <f t="shared" si="20"/>
        <v>3.5435124896108614</v>
      </c>
      <c r="AJ48" s="18">
        <f t="shared" si="20"/>
        <v>3.6885080473060041</v>
      </c>
      <c r="AK48" s="18">
        <f t="shared" si="20"/>
        <v>3.8394366197183136</v>
      </c>
      <c r="AL48" s="18">
        <f t="shared" si="20"/>
        <v>3.9965409774829297</v>
      </c>
      <c r="AM48" s="18">
        <f t="shared" si="20"/>
        <v>4.1600738250686495</v>
      </c>
      <c r="AN48" s="18">
        <f t="shared" si="20"/>
        <v>4.3302982072564591</v>
      </c>
      <c r="AO48" s="18">
        <f t="shared" si="20"/>
        <v>4.5074879322505934</v>
      </c>
      <c r="AP48" s="18">
        <f t="shared" si="20"/>
        <v>4.6919280121027107</v>
      </c>
      <c r="AQ48" s="18">
        <f t="shared" si="20"/>
        <v>4.8839151211576031</v>
      </c>
      <c r="AR48" s="18">
        <f t="shared" si="20"/>
        <v>5.0837580732578669</v>
      </c>
    </row>
    <row r="49" spans="1:44" ht="15" x14ac:dyDescent="0.25">
      <c r="A49" s="2"/>
      <c r="B49" s="1" t="s">
        <v>119</v>
      </c>
      <c r="C49" s="225" t="s">
        <v>269</v>
      </c>
      <c r="D49" s="70">
        <f t="shared" si="19"/>
        <v>153.38752565910661</v>
      </c>
      <c r="F49" s="18">
        <f t="shared" ref="F49:AR49" si="21">$D35*F$22</f>
        <v>1.6612652097295217</v>
      </c>
      <c r="G49" s="18">
        <f t="shared" si="21"/>
        <v>1.7292418504978242</v>
      </c>
      <c r="H49" s="18">
        <f t="shared" si="21"/>
        <v>1.8</v>
      </c>
      <c r="I49" s="18">
        <f t="shared" si="21"/>
        <v>1.8736534736695447</v>
      </c>
      <c r="J49" s="18">
        <f t="shared" si="21"/>
        <v>1.950320744107751</v>
      </c>
      <c r="K49" s="18">
        <f t="shared" si="21"/>
        <v>2.0301251316484774</v>
      </c>
      <c r="L49" s="18">
        <f t="shared" si="21"/>
        <v>2.1131950027205626</v>
      </c>
      <c r="M49" s="18">
        <f t="shared" si="21"/>
        <v>2.1996639763269474</v>
      </c>
      <c r="N49" s="18">
        <f t="shared" si="21"/>
        <v>2.2896711389726381</v>
      </c>
      <c r="O49" s="18">
        <f t="shared" si="21"/>
        <v>2.3833612683872145</v>
      </c>
      <c r="P49" s="18">
        <f t="shared" si="21"/>
        <v>2.4808850664017541</v>
      </c>
      <c r="Q49" s="18">
        <f t="shared" si="21"/>
        <v>2.5823994013547473</v>
      </c>
      <c r="R49" s="18">
        <f t="shared" si="21"/>
        <v>2.6880675604169313</v>
      </c>
      <c r="S49" s="18">
        <f t="shared" si="21"/>
        <v>2.7980595122408904</v>
      </c>
      <c r="T49" s="18">
        <f t="shared" si="21"/>
        <v>2.9125521803579204</v>
      </c>
      <c r="U49" s="18">
        <f t="shared" si="21"/>
        <v>3.0317297277619022</v>
      </c>
      <c r="V49" s="18">
        <f t="shared" si="21"/>
        <v>3.155783853137951</v>
      </c>
      <c r="W49" s="18">
        <f t="shared" si="21"/>
        <v>3.2849140992123238</v>
      </c>
      <c r="X49" s="18">
        <f t="shared" si="21"/>
        <v>3.4193281737195749</v>
      </c>
      <c r="Y49" s="18">
        <f t="shared" si="21"/>
        <v>3.559242283503234</v>
      </c>
      <c r="Z49" s="18">
        <f t="shared" si="21"/>
        <v>3.704881482287421</v>
      </c>
      <c r="AA49" s="18">
        <f t="shared" si="21"/>
        <v>3.8564800326787774</v>
      </c>
      <c r="AB49" s="18">
        <f t="shared" si="21"/>
        <v>4.0142817829810173</v>
      </c>
      <c r="AC49" s="18">
        <f t="shared" si="21"/>
        <v>4.1785405594281979</v>
      </c>
      <c r="AD49" s="18">
        <f t="shared" si="21"/>
        <v>4.3495205744676255</v>
      </c>
      <c r="AE49" s="18">
        <f t="shared" si="21"/>
        <v>4.527496851749123</v>
      </c>
      <c r="AF49" s="18">
        <f t="shared" si="21"/>
        <v>4.7127556685042622</v>
      </c>
      <c r="AG49" s="18">
        <f t="shared" si="21"/>
        <v>4.9055950160271387</v>
      </c>
      <c r="AH49" s="18">
        <f t="shared" si="21"/>
        <v>5.1063250789973651</v>
      </c>
      <c r="AI49" s="18">
        <f t="shared" si="21"/>
        <v>5.3152687344162919</v>
      </c>
      <c r="AJ49" s="18">
        <f t="shared" si="21"/>
        <v>5.5327620709590057</v>
      </c>
      <c r="AK49" s="18">
        <f t="shared" si="21"/>
        <v>5.7591549295774707</v>
      </c>
      <c r="AL49" s="18">
        <f t="shared" si="21"/>
        <v>5.9948114662243945</v>
      </c>
      <c r="AM49" s="18">
        <f t="shared" si="21"/>
        <v>6.2401107376029747</v>
      </c>
      <c r="AN49" s="18">
        <f t="shared" si="21"/>
        <v>6.4954473108846891</v>
      </c>
      <c r="AO49" s="18">
        <f t="shared" si="21"/>
        <v>6.7612318983758906</v>
      </c>
      <c r="AP49" s="18">
        <f t="shared" si="21"/>
        <v>7.0378920181540652</v>
      </c>
      <c r="AQ49" s="18">
        <f t="shared" si="21"/>
        <v>7.3258726817364055</v>
      </c>
      <c r="AR49" s="18">
        <f t="shared" si="21"/>
        <v>7.6256371098867994</v>
      </c>
    </row>
    <row r="50" spans="1:44" ht="15" x14ac:dyDescent="0.25">
      <c r="A50" s="2"/>
      <c r="B50" s="1" t="s">
        <v>120</v>
      </c>
      <c r="C50" s="225" t="s">
        <v>269</v>
      </c>
      <c r="D50" s="70">
        <f t="shared" si="19"/>
        <v>34.086116813134808</v>
      </c>
      <c r="F50" s="18">
        <f t="shared" ref="F50:AR50" si="22">$D36*F$22</f>
        <v>0.36917004660656044</v>
      </c>
      <c r="G50" s="18">
        <f t="shared" si="22"/>
        <v>0.38427596677729431</v>
      </c>
      <c r="H50" s="18">
        <f t="shared" si="22"/>
        <v>0.4</v>
      </c>
      <c r="I50" s="18">
        <f t="shared" si="22"/>
        <v>0.41636743859323222</v>
      </c>
      <c r="J50" s="18">
        <f t="shared" si="22"/>
        <v>0.43340460980172252</v>
      </c>
      <c r="K50" s="18">
        <f t="shared" si="22"/>
        <v>0.45113891814410617</v>
      </c>
      <c r="L50" s="18">
        <f t="shared" si="22"/>
        <v>0.46959888949345835</v>
      </c>
      <c r="M50" s="18">
        <f t="shared" si="22"/>
        <v>0.48881421696154387</v>
      </c>
      <c r="N50" s="18">
        <f t="shared" si="22"/>
        <v>0.50881580866058629</v>
      </c>
      <c r="O50" s="18">
        <f t="shared" si="22"/>
        <v>0.52963583741938114</v>
      </c>
      <c r="P50" s="18">
        <f t="shared" si="22"/>
        <v>0.5513077925337232</v>
      </c>
      <c r="Q50" s="18">
        <f t="shared" si="22"/>
        <v>0.57386653363438833</v>
      </c>
      <c r="R50" s="18">
        <f t="shared" si="22"/>
        <v>0.59734834675931814</v>
      </c>
      <c r="S50" s="18">
        <f t="shared" si="22"/>
        <v>0.62179100272019794</v>
      </c>
      <c r="T50" s="18">
        <f t="shared" si="22"/>
        <v>0.64723381785731571</v>
      </c>
      <c r="U50" s="18">
        <f t="shared" si="22"/>
        <v>0.67371771728042273</v>
      </c>
      <c r="V50" s="18">
        <f t="shared" si="22"/>
        <v>0.70128530069732242</v>
      </c>
      <c r="W50" s="18">
        <f t="shared" si="22"/>
        <v>0.72998091093607198</v>
      </c>
      <c r="X50" s="18">
        <f t="shared" si="22"/>
        <v>0.75985070527101661</v>
      </c>
      <c r="Y50" s="18">
        <f t="shared" si="22"/>
        <v>0.79094272966738544</v>
      </c>
      <c r="Z50" s="18">
        <f t="shared" si="22"/>
        <v>0.82330699606387137</v>
      </c>
      <c r="AA50" s="18">
        <f t="shared" si="22"/>
        <v>0.85699556281750611</v>
      </c>
      <c r="AB50" s="18">
        <f t="shared" si="22"/>
        <v>0.89206261844022605</v>
      </c>
      <c r="AC50" s="18">
        <f t="shared" si="22"/>
        <v>0.92856456876182181</v>
      </c>
      <c r="AD50" s="18">
        <f t="shared" si="22"/>
        <v>0.96656012765947241</v>
      </c>
      <c r="AE50" s="18">
        <f t="shared" si="22"/>
        <v>1.0061104114998052</v>
      </c>
      <c r="AF50" s="18">
        <f t="shared" si="22"/>
        <v>1.0472790374453917</v>
      </c>
      <c r="AG50" s="18">
        <f t="shared" si="22"/>
        <v>1.0901322257838086</v>
      </c>
      <c r="AH50" s="18">
        <f t="shared" si="22"/>
        <v>1.1347389064438589</v>
      </c>
      <c r="AI50" s="18">
        <f t="shared" si="22"/>
        <v>1.1811708298702872</v>
      </c>
      <c r="AJ50" s="18">
        <f t="shared" si="22"/>
        <v>1.2295026824353348</v>
      </c>
      <c r="AK50" s="18">
        <f t="shared" si="22"/>
        <v>1.2798122065727713</v>
      </c>
      <c r="AL50" s="18">
        <f t="shared" si="22"/>
        <v>1.3321803258276432</v>
      </c>
      <c r="AM50" s="18">
        <f t="shared" si="22"/>
        <v>1.3866912750228835</v>
      </c>
      <c r="AN50" s="18">
        <f t="shared" si="22"/>
        <v>1.4434327357521533</v>
      </c>
      <c r="AO50" s="18">
        <f t="shared" si="22"/>
        <v>1.5024959774168647</v>
      </c>
      <c r="AP50" s="18">
        <f t="shared" si="22"/>
        <v>1.563976004034237</v>
      </c>
      <c r="AQ50" s="18">
        <f t="shared" si="22"/>
        <v>1.6279717070525346</v>
      </c>
      <c r="AR50" s="18">
        <f t="shared" si="22"/>
        <v>1.694586024419289</v>
      </c>
    </row>
    <row r="51" spans="1:44" ht="15" x14ac:dyDescent="0.25">
      <c r="A51" s="2"/>
      <c r="B51" s="64" t="s">
        <v>121</v>
      </c>
      <c r="C51" s="230" t="s">
        <v>269</v>
      </c>
      <c r="D51" s="75">
        <f t="shared" si="19"/>
        <v>68.172233626269616</v>
      </c>
      <c r="E51" s="64"/>
      <c r="F51" s="76">
        <f t="shared" ref="F51:AR51" si="23">$D37*F$22</f>
        <v>0.73834009321312088</v>
      </c>
      <c r="G51" s="76">
        <f t="shared" si="23"/>
        <v>0.76855193355458862</v>
      </c>
      <c r="H51" s="76">
        <f t="shared" si="23"/>
        <v>0.8</v>
      </c>
      <c r="I51" s="76">
        <f t="shared" si="23"/>
        <v>0.83273487718646444</v>
      </c>
      <c r="J51" s="76">
        <f t="shared" si="23"/>
        <v>0.86680921960344504</v>
      </c>
      <c r="K51" s="76">
        <f t="shared" si="23"/>
        <v>0.90227783628821234</v>
      </c>
      <c r="L51" s="76">
        <f t="shared" si="23"/>
        <v>0.9391977789869167</v>
      </c>
      <c r="M51" s="76">
        <f t="shared" si="23"/>
        <v>0.97762843392308774</v>
      </c>
      <c r="N51" s="76">
        <f t="shared" si="23"/>
        <v>1.0176316173211726</v>
      </c>
      <c r="O51" s="76">
        <f t="shared" si="23"/>
        <v>1.0592716748387623</v>
      </c>
      <c r="P51" s="76">
        <f t="shared" si="23"/>
        <v>1.1026155850674464</v>
      </c>
      <c r="Q51" s="76">
        <f t="shared" si="23"/>
        <v>1.1477330672687767</v>
      </c>
      <c r="R51" s="76">
        <f t="shared" si="23"/>
        <v>1.1946966935186363</v>
      </c>
      <c r="S51" s="76">
        <f t="shared" si="23"/>
        <v>1.2435820054403959</v>
      </c>
      <c r="T51" s="76">
        <f t="shared" si="23"/>
        <v>1.2944676357146314</v>
      </c>
      <c r="U51" s="76">
        <f t="shared" si="23"/>
        <v>1.3474354345608455</v>
      </c>
      <c r="V51" s="76">
        <f t="shared" si="23"/>
        <v>1.4025706013946448</v>
      </c>
      <c r="W51" s="76">
        <f t="shared" si="23"/>
        <v>1.459961821872144</v>
      </c>
      <c r="X51" s="76">
        <f t="shared" si="23"/>
        <v>1.5197014105420332</v>
      </c>
      <c r="Y51" s="76">
        <f t="shared" si="23"/>
        <v>1.5818854593347709</v>
      </c>
      <c r="Z51" s="76">
        <f t="shared" si="23"/>
        <v>1.6466139921277427</v>
      </c>
      <c r="AA51" s="76">
        <f t="shared" si="23"/>
        <v>1.7139911256350122</v>
      </c>
      <c r="AB51" s="76">
        <f t="shared" si="23"/>
        <v>1.7841252368804521</v>
      </c>
      <c r="AC51" s="76">
        <f t="shared" si="23"/>
        <v>1.8571291375236436</v>
      </c>
      <c r="AD51" s="76">
        <f t="shared" si="23"/>
        <v>1.9331202553189448</v>
      </c>
      <c r="AE51" s="76">
        <f t="shared" si="23"/>
        <v>2.0122208229996104</v>
      </c>
      <c r="AF51" s="76">
        <f t="shared" si="23"/>
        <v>2.0945580748907835</v>
      </c>
      <c r="AG51" s="76">
        <f t="shared" si="23"/>
        <v>2.1802644515676173</v>
      </c>
      <c r="AH51" s="76">
        <f t="shared" si="23"/>
        <v>2.2694778128877178</v>
      </c>
      <c r="AI51" s="76">
        <f t="shared" si="23"/>
        <v>2.3623416597405744</v>
      </c>
      <c r="AJ51" s="76">
        <f t="shared" si="23"/>
        <v>2.4590053648706696</v>
      </c>
      <c r="AK51" s="76">
        <f t="shared" si="23"/>
        <v>2.5596244131455426</v>
      </c>
      <c r="AL51" s="76">
        <f t="shared" si="23"/>
        <v>2.6643606516552865</v>
      </c>
      <c r="AM51" s="76">
        <f t="shared" si="23"/>
        <v>2.7733825500457669</v>
      </c>
      <c r="AN51" s="76">
        <f t="shared" si="23"/>
        <v>2.8868654715043065</v>
      </c>
      <c r="AO51" s="76">
        <f t="shared" si="23"/>
        <v>3.0049919548337294</v>
      </c>
      <c r="AP51" s="76">
        <f t="shared" si="23"/>
        <v>3.127952008068474</v>
      </c>
      <c r="AQ51" s="76">
        <f t="shared" si="23"/>
        <v>3.2559434141050692</v>
      </c>
      <c r="AR51" s="76">
        <f t="shared" si="23"/>
        <v>3.3891720488385779</v>
      </c>
    </row>
    <row r="52" spans="1:44" ht="15" x14ac:dyDescent="0.25">
      <c r="A52" s="2"/>
      <c r="B52" s="1" t="s">
        <v>270</v>
      </c>
      <c r="C52" s="225" t="s">
        <v>269</v>
      </c>
      <c r="D52" s="70">
        <f t="shared" si="19"/>
        <v>971.45432917434186</v>
      </c>
      <c r="F52" s="18">
        <f>SUM(F47:F51)</f>
        <v>10.521346328286972</v>
      </c>
      <c r="G52" s="18">
        <f t="shared" ref="G52:AR52" si="24">SUM(G47:G51)</f>
        <v>10.951865053152886</v>
      </c>
      <c r="H52" s="18">
        <f t="shared" si="24"/>
        <v>11.400000000000002</v>
      </c>
      <c r="I52" s="18">
        <f t="shared" si="24"/>
        <v>11.866471999907118</v>
      </c>
      <c r="J52" s="18">
        <f t="shared" si="24"/>
        <v>12.352031379349091</v>
      </c>
      <c r="K52" s="18">
        <f t="shared" si="24"/>
        <v>12.857459167107024</v>
      </c>
      <c r="L52" s="18">
        <f t="shared" si="24"/>
        <v>13.383568350563563</v>
      </c>
      <c r="M52" s="18">
        <f t="shared" si="24"/>
        <v>13.931205183404</v>
      </c>
      <c r="N52" s="18">
        <f t="shared" si="24"/>
        <v>14.501250546826707</v>
      </c>
      <c r="O52" s="18">
        <f t="shared" si="24"/>
        <v>15.094621366452358</v>
      </c>
      <c r="P52" s="18">
        <f t="shared" si="24"/>
        <v>15.71227208721111</v>
      </c>
      <c r="Q52" s="18">
        <f t="shared" si="24"/>
        <v>16.355196208580068</v>
      </c>
      <c r="R52" s="18">
        <f t="shared" si="24"/>
        <v>17.024427882640563</v>
      </c>
      <c r="S52" s="18">
        <f t="shared" si="24"/>
        <v>17.721043577525638</v>
      </c>
      <c r="T52" s="18">
        <f t="shared" si="24"/>
        <v>18.446163808933495</v>
      </c>
      <c r="U52" s="18">
        <f t="shared" si="24"/>
        <v>19.200954942492046</v>
      </c>
      <c r="V52" s="18">
        <f t="shared" si="24"/>
        <v>19.986631069873688</v>
      </c>
      <c r="W52" s="18">
        <f t="shared" si="24"/>
        <v>20.804455961678052</v>
      </c>
      <c r="X52" s="18">
        <f t="shared" si="24"/>
        <v>21.655745100223974</v>
      </c>
      <c r="Y52" s="18">
        <f t="shared" si="24"/>
        <v>22.541867795520485</v>
      </c>
      <c r="Z52" s="18">
        <f t="shared" si="24"/>
        <v>23.464249387820335</v>
      </c>
      <c r="AA52" s="18">
        <f t="shared" si="24"/>
        <v>24.424373540298923</v>
      </c>
      <c r="AB52" s="18">
        <f t="shared" si="24"/>
        <v>25.423784625546439</v>
      </c>
      <c r="AC52" s="18">
        <f t="shared" si="24"/>
        <v>26.464090209711919</v>
      </c>
      <c r="AD52" s="18">
        <f t="shared" si="24"/>
        <v>27.546963638294962</v>
      </c>
      <c r="AE52" s="18">
        <f t="shared" si="24"/>
        <v>28.674146727744446</v>
      </c>
      <c r="AF52" s="18">
        <f t="shared" si="24"/>
        <v>29.847452567193663</v>
      </c>
      <c r="AG52" s="18">
        <f t="shared" si="24"/>
        <v>31.068768434838542</v>
      </c>
      <c r="AH52" s="18">
        <f t="shared" si="24"/>
        <v>32.340058833649977</v>
      </c>
      <c r="AI52" s="18">
        <f t="shared" si="24"/>
        <v>33.66336865130318</v>
      </c>
      <c r="AJ52" s="18">
        <f t="shared" si="24"/>
        <v>35.040826449407035</v>
      </c>
      <c r="AK52" s="18">
        <f t="shared" si="24"/>
        <v>36.474647887323982</v>
      </c>
      <c r="AL52" s="18">
        <f t="shared" si="24"/>
        <v>37.967139286087836</v>
      </c>
      <c r="AM52" s="18">
        <f t="shared" si="24"/>
        <v>39.520701338152172</v>
      </c>
      <c r="AN52" s="18">
        <f t="shared" si="24"/>
        <v>41.137832968936365</v>
      </c>
      <c r="AO52" s="18">
        <f t="shared" si="24"/>
        <v>42.821135356380637</v>
      </c>
      <c r="AP52" s="18">
        <f t="shared" si="24"/>
        <v>44.573316114975754</v>
      </c>
      <c r="AQ52" s="18">
        <f t="shared" si="24"/>
        <v>46.397193650997238</v>
      </c>
      <c r="AR52" s="18">
        <f t="shared" si="24"/>
        <v>48.295701695949731</v>
      </c>
    </row>
    <row r="53" spans="1:44" ht="15" x14ac:dyDescent="0.25">
      <c r="A53" s="2"/>
      <c r="C53" s="225"/>
      <c r="D53" s="70"/>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row>
    <row r="54" spans="1:44" ht="15" x14ac:dyDescent="0.25">
      <c r="A54" s="2" t="s">
        <v>271</v>
      </c>
      <c r="C54" s="225"/>
      <c r="D54" s="70"/>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row>
    <row r="55" spans="1:44" ht="15" x14ac:dyDescent="0.25">
      <c r="A55" s="2"/>
      <c r="B55" s="1" t="s">
        <v>115</v>
      </c>
      <c r="C55" s="225" t="s">
        <v>77</v>
      </c>
      <c r="D55" s="70">
        <f>SUM(F55:AR55)</f>
        <v>2945040.492654847</v>
      </c>
      <c r="F55" s="313">
        <f>$D40*F47</f>
        <v>31896.292026806819</v>
      </c>
      <c r="G55" s="313">
        <f t="shared" ref="G55:AR55" si="25">$D40*G47</f>
        <v>33201.443529558223</v>
      </c>
      <c r="H55" s="313">
        <f t="shared" si="25"/>
        <v>34560</v>
      </c>
      <c r="I55" s="313">
        <f t="shared" si="25"/>
        <v>35974.146694455259</v>
      </c>
      <c r="J55" s="313">
        <f t="shared" si="25"/>
        <v>37446.15828686882</v>
      </c>
      <c r="K55" s="313">
        <f t="shared" si="25"/>
        <v>38978.402527650767</v>
      </c>
      <c r="L55" s="313">
        <f t="shared" si="25"/>
        <v>40573.344052234803</v>
      </c>
      <c r="M55" s="313">
        <f t="shared" si="25"/>
        <v>42233.548345477393</v>
      </c>
      <c r="N55" s="313">
        <f t="shared" si="25"/>
        <v>43961.685868274653</v>
      </c>
      <c r="O55" s="313">
        <f t="shared" si="25"/>
        <v>45760.53635303452</v>
      </c>
      <c r="P55" s="313">
        <f t="shared" si="25"/>
        <v>47632.993274913679</v>
      </c>
      <c r="Q55" s="313">
        <f t="shared" si="25"/>
        <v>49582.06850601115</v>
      </c>
      <c r="R55" s="313">
        <f t="shared" si="25"/>
        <v>51610.897160005079</v>
      </c>
      <c r="S55" s="313">
        <f t="shared" si="25"/>
        <v>53722.742635025097</v>
      </c>
      <c r="T55" s="313">
        <f t="shared" si="25"/>
        <v>55921.001862872072</v>
      </c>
      <c r="U55" s="313">
        <f t="shared" si="25"/>
        <v>58209.210773028521</v>
      </c>
      <c r="V55" s="313">
        <f t="shared" si="25"/>
        <v>60591.049980248659</v>
      </c>
      <c r="W55" s="313">
        <f t="shared" si="25"/>
        <v>63070.350704876619</v>
      </c>
      <c r="X55" s="313">
        <f t="shared" si="25"/>
        <v>65651.10093541583</v>
      </c>
      <c r="Y55" s="313">
        <f t="shared" si="25"/>
        <v>68337.451843262097</v>
      </c>
      <c r="Z55" s="313">
        <f t="shared" si="25"/>
        <v>71133.724459918478</v>
      </c>
      <c r="AA55" s="313">
        <f t="shared" si="25"/>
        <v>74044.416627432525</v>
      </c>
      <c r="AB55" s="313">
        <f t="shared" si="25"/>
        <v>77074.210233235528</v>
      </c>
      <c r="AC55" s="313">
        <f t="shared" si="25"/>
        <v>80227.978741021405</v>
      </c>
      <c r="AD55" s="313">
        <f t="shared" si="25"/>
        <v>83510.795029778412</v>
      </c>
      <c r="AE55" s="313">
        <f t="shared" si="25"/>
        <v>86927.939553583157</v>
      </c>
      <c r="AF55" s="313">
        <f t="shared" si="25"/>
        <v>90484.908835281836</v>
      </c>
      <c r="AG55" s="313">
        <f t="shared" si="25"/>
        <v>94187.424307721056</v>
      </c>
      <c r="AH55" s="313">
        <f t="shared" si="25"/>
        <v>98041.441516749415</v>
      </c>
      <c r="AI55" s="313">
        <f t="shared" si="25"/>
        <v>102053.15970079281</v>
      </c>
      <c r="AJ55" s="313">
        <f t="shared" si="25"/>
        <v>106229.03176241291</v>
      </c>
      <c r="AK55" s="313">
        <f t="shared" si="25"/>
        <v>110575.77464788743</v>
      </c>
      <c r="AL55" s="313">
        <f t="shared" si="25"/>
        <v>115100.38015150838</v>
      </c>
      <c r="AM55" s="313">
        <f t="shared" si="25"/>
        <v>119810.12616197711</v>
      </c>
      <c r="AN55" s="313">
        <f t="shared" si="25"/>
        <v>124712.58836898603</v>
      </c>
      <c r="AO55" s="313">
        <f t="shared" si="25"/>
        <v>129815.6524488171</v>
      </c>
      <c r="AP55" s="313">
        <f t="shared" si="25"/>
        <v>135127.52674855804</v>
      </c>
      <c r="AQ55" s="313">
        <f t="shared" si="25"/>
        <v>140656.75548933898</v>
      </c>
      <c r="AR55" s="313">
        <f t="shared" si="25"/>
        <v>146412.23250982654</v>
      </c>
    </row>
    <row r="56" spans="1:44" ht="15" x14ac:dyDescent="0.25">
      <c r="A56" s="2"/>
      <c r="B56" s="1" t="s">
        <v>118</v>
      </c>
      <c r="C56" s="225" t="s">
        <v>77</v>
      </c>
      <c r="D56" s="70">
        <f t="shared" ref="D56:D59" si="26">SUM(F56:AR56)</f>
        <v>8027280.5094932467</v>
      </c>
      <c r="F56" s="313">
        <f t="shared" ref="F56:AR56" si="27">$D41*F48</f>
        <v>86939.545975844972</v>
      </c>
      <c r="G56" s="313">
        <f t="shared" si="27"/>
        <v>90496.990176052801</v>
      </c>
      <c r="H56" s="313">
        <f t="shared" si="27"/>
        <v>94200</v>
      </c>
      <c r="I56" s="313">
        <f t="shared" si="27"/>
        <v>98054.531788706183</v>
      </c>
      <c r="J56" s="313">
        <f t="shared" si="27"/>
        <v>102066.78560830565</v>
      </c>
      <c r="K56" s="313">
        <f t="shared" si="27"/>
        <v>106243.215222937</v>
      </c>
      <c r="L56" s="313">
        <f t="shared" si="27"/>
        <v>110590.53847570944</v>
      </c>
      <c r="M56" s="313">
        <f t="shared" si="27"/>
        <v>115115.74809444358</v>
      </c>
      <c r="N56" s="313">
        <f t="shared" si="27"/>
        <v>119826.12293956806</v>
      </c>
      <c r="O56" s="313">
        <f t="shared" si="27"/>
        <v>124729.23971226423</v>
      </c>
      <c r="P56" s="313">
        <f t="shared" si="27"/>
        <v>129832.98514169178</v>
      </c>
      <c r="Q56" s="313">
        <f t="shared" si="27"/>
        <v>135145.56867089847</v>
      </c>
      <c r="R56" s="313">
        <f t="shared" si="27"/>
        <v>140675.53566181939</v>
      </c>
      <c r="S56" s="313">
        <f t="shared" si="27"/>
        <v>146431.78114060659</v>
      </c>
      <c r="T56" s="313">
        <f t="shared" si="27"/>
        <v>152423.56410539785</v>
      </c>
      <c r="U56" s="313">
        <f t="shared" si="27"/>
        <v>158660.52241953954</v>
      </c>
      <c r="V56" s="313">
        <f t="shared" si="27"/>
        <v>165152.68831421941</v>
      </c>
      <c r="W56" s="313">
        <f t="shared" si="27"/>
        <v>171910.50452544494</v>
      </c>
      <c r="X56" s="313">
        <f t="shared" si="27"/>
        <v>178944.8410913244</v>
      </c>
      <c r="Y56" s="313">
        <f t="shared" si="27"/>
        <v>186267.01283666928</v>
      </c>
      <c r="Z56" s="313">
        <f t="shared" si="27"/>
        <v>193888.79757304169</v>
      </c>
      <c r="AA56" s="313">
        <f t="shared" si="27"/>
        <v>201822.45504352267</v>
      </c>
      <c r="AB56" s="313">
        <f t="shared" si="27"/>
        <v>210080.74664267321</v>
      </c>
      <c r="AC56" s="313">
        <f t="shared" si="27"/>
        <v>218676.95594340903</v>
      </c>
      <c r="AD56" s="313">
        <f t="shared" si="27"/>
        <v>227624.91006380573</v>
      </c>
      <c r="AE56" s="313">
        <f t="shared" si="27"/>
        <v>236939.00190820411</v>
      </c>
      <c r="AF56" s="313">
        <f t="shared" si="27"/>
        <v>246634.21331838975</v>
      </c>
      <c r="AG56" s="313">
        <f t="shared" si="27"/>
        <v>256726.13917208693</v>
      </c>
      <c r="AH56" s="313">
        <f t="shared" si="27"/>
        <v>267231.01246752875</v>
      </c>
      <c r="AI56" s="313">
        <f t="shared" si="27"/>
        <v>278165.73043445265</v>
      </c>
      <c r="AJ56" s="313">
        <f t="shared" si="27"/>
        <v>289547.88171352132</v>
      </c>
      <c r="AK56" s="313">
        <f t="shared" si="27"/>
        <v>301395.77464788762</v>
      </c>
      <c r="AL56" s="313">
        <f t="shared" si="27"/>
        <v>313728.46673240996</v>
      </c>
      <c r="AM56" s="313">
        <f t="shared" si="27"/>
        <v>326565.79526788899</v>
      </c>
      <c r="AN56" s="313">
        <f t="shared" si="27"/>
        <v>339928.40926963201</v>
      </c>
      <c r="AO56" s="313">
        <f t="shared" si="27"/>
        <v>353837.80268167157</v>
      </c>
      <c r="AP56" s="313">
        <f t="shared" si="27"/>
        <v>368316.34895006276</v>
      </c>
      <c r="AQ56" s="313">
        <f t="shared" si="27"/>
        <v>383387.33701087185</v>
      </c>
      <c r="AR56" s="313">
        <f t="shared" si="27"/>
        <v>399075.00875074253</v>
      </c>
    </row>
    <row r="57" spans="1:44" ht="15" x14ac:dyDescent="0.25">
      <c r="A57" s="2"/>
      <c r="B57" s="1" t="s">
        <v>119</v>
      </c>
      <c r="C57" s="225" t="s">
        <v>77</v>
      </c>
      <c r="D57" s="70">
        <f t="shared" si="26"/>
        <v>23575662.693804689</v>
      </c>
      <c r="F57" s="313">
        <f t="shared" ref="F57:AR57" si="28">$D42*F49</f>
        <v>255336.46273542749</v>
      </c>
      <c r="G57" s="313">
        <f t="shared" si="28"/>
        <v>265784.47242151556</v>
      </c>
      <c r="H57" s="313">
        <f t="shared" si="28"/>
        <v>276660</v>
      </c>
      <c r="I57" s="313">
        <f t="shared" si="28"/>
        <v>287980.53890300903</v>
      </c>
      <c r="J57" s="313">
        <f t="shared" si="28"/>
        <v>299764.29836936132</v>
      </c>
      <c r="K57" s="313">
        <f t="shared" si="28"/>
        <v>312030.23273437098</v>
      </c>
      <c r="L57" s="313">
        <f t="shared" si="28"/>
        <v>324798.07191815047</v>
      </c>
      <c r="M57" s="313">
        <f t="shared" si="28"/>
        <v>338088.35316145181</v>
      </c>
      <c r="N57" s="313">
        <f t="shared" si="28"/>
        <v>351922.45406009449</v>
      </c>
      <c r="O57" s="313">
        <f t="shared" si="28"/>
        <v>366322.62695111486</v>
      </c>
      <c r="P57" s="313">
        <f t="shared" si="28"/>
        <v>381312.0347059496</v>
      </c>
      <c r="Q57" s="313">
        <f t="shared" si="28"/>
        <v>396914.78798822465</v>
      </c>
      <c r="R57" s="313">
        <f t="shared" si="28"/>
        <v>413155.98403608234</v>
      </c>
      <c r="S57" s="313">
        <f t="shared" si="28"/>
        <v>430061.74703142483</v>
      </c>
      <c r="T57" s="313">
        <f t="shared" si="28"/>
        <v>447659.27012101235</v>
      </c>
      <c r="U57" s="313">
        <f t="shared" si="28"/>
        <v>465976.85915700439</v>
      </c>
      <c r="V57" s="313">
        <f t="shared" si="28"/>
        <v>485043.97822730307</v>
      </c>
      <c r="W57" s="313">
        <f t="shared" si="28"/>
        <v>504891.29704893415</v>
      </c>
      <c r="X57" s="313">
        <f t="shared" si="28"/>
        <v>525550.74030069867</v>
      </c>
      <c r="Y57" s="313">
        <f t="shared" si="28"/>
        <v>547055.53897444706</v>
      </c>
      <c r="Z57" s="313">
        <f t="shared" si="28"/>
        <v>569440.28382757655</v>
      </c>
      <c r="AA57" s="313">
        <f t="shared" si="28"/>
        <v>592740.98102272802</v>
      </c>
      <c r="AB57" s="313">
        <f t="shared" si="28"/>
        <v>616995.11004418239</v>
      </c>
      <c r="AC57" s="313">
        <f t="shared" si="28"/>
        <v>642241.68398411397</v>
      </c>
      <c r="AD57" s="313">
        <f t="shared" si="28"/>
        <v>668521.312295674</v>
      </c>
      <c r="AE57" s="313">
        <f t="shared" si="28"/>
        <v>695876.26611384016</v>
      </c>
      <c r="AF57" s="313">
        <f t="shared" si="28"/>
        <v>724350.54624910513</v>
      </c>
      <c r="AG57" s="313">
        <f t="shared" si="28"/>
        <v>753989.95396337123</v>
      </c>
      <c r="AH57" s="313">
        <f t="shared" si="28"/>
        <v>784842.16464189498</v>
      </c>
      <c r="AI57" s="313">
        <f t="shared" si="28"/>
        <v>816956.8044797841</v>
      </c>
      <c r="AJ57" s="313">
        <f t="shared" si="28"/>
        <v>850385.53030639922</v>
      </c>
      <c r="AK57" s="313">
        <f t="shared" si="28"/>
        <v>885182.11267605727</v>
      </c>
      <c r="AL57" s="313">
        <f t="shared" si="28"/>
        <v>921402.52235868946</v>
      </c>
      <c r="AM57" s="313">
        <f t="shared" si="28"/>
        <v>959105.02036957722</v>
      </c>
      <c r="AN57" s="313">
        <f t="shared" si="28"/>
        <v>998350.25168297673</v>
      </c>
      <c r="AO57" s="313">
        <f t="shared" si="28"/>
        <v>1039201.3427803743</v>
      </c>
      <c r="AP57" s="313">
        <f t="shared" si="28"/>
        <v>1081724.0031902797</v>
      </c>
      <c r="AQ57" s="313">
        <f t="shared" si="28"/>
        <v>1125986.6311828855</v>
      </c>
      <c r="AR57" s="313">
        <f t="shared" si="28"/>
        <v>1172060.4237896011</v>
      </c>
    </row>
    <row r="58" spans="1:44" ht="15" x14ac:dyDescent="0.25">
      <c r="A58" s="2"/>
      <c r="B58" s="1" t="s">
        <v>120</v>
      </c>
      <c r="C58" s="225" t="s">
        <v>77</v>
      </c>
      <c r="D58" s="70">
        <f t="shared" si="26"/>
        <v>19234795.717651971</v>
      </c>
      <c r="F58" s="313">
        <f t="shared" ref="F58:AR58" si="29">$D43*F50</f>
        <v>208322.65730008206</v>
      </c>
      <c r="G58" s="313">
        <f t="shared" si="29"/>
        <v>216846.92805242719</v>
      </c>
      <c r="H58" s="313">
        <f t="shared" si="29"/>
        <v>225720</v>
      </c>
      <c r="I58" s="313">
        <f t="shared" si="29"/>
        <v>234956.14559816095</v>
      </c>
      <c r="J58" s="313">
        <f t="shared" si="29"/>
        <v>244570.22131111202</v>
      </c>
      <c r="K58" s="313">
        <f t="shared" si="29"/>
        <v>254577.69150871912</v>
      </c>
      <c r="L58" s="313">
        <f t="shared" si="29"/>
        <v>264994.65334115853</v>
      </c>
      <c r="M58" s="313">
        <f t="shared" si="29"/>
        <v>275837.86263139918</v>
      </c>
      <c r="N58" s="313">
        <f t="shared" si="29"/>
        <v>287124.76082716882</v>
      </c>
      <c r="O58" s="313">
        <f t="shared" si="29"/>
        <v>298873.5030557568</v>
      </c>
      <c r="P58" s="313">
        <f t="shared" si="29"/>
        <v>311102.98732677998</v>
      </c>
      <c r="Q58" s="313">
        <f t="shared" si="29"/>
        <v>323832.88492988533</v>
      </c>
      <c r="R58" s="313">
        <f t="shared" si="29"/>
        <v>337083.6720762832</v>
      </c>
      <c r="S58" s="313">
        <f t="shared" si="29"/>
        <v>350876.66283500771</v>
      </c>
      <c r="T58" s="313">
        <f t="shared" si="29"/>
        <v>365234.04341688327</v>
      </c>
      <c r="U58" s="313">
        <f t="shared" si="29"/>
        <v>380178.90786134254</v>
      </c>
      <c r="V58" s="313">
        <f t="shared" si="29"/>
        <v>395735.29518349905</v>
      </c>
      <c r="W58" s="313">
        <f t="shared" si="29"/>
        <v>411928.2280412254</v>
      </c>
      <c r="X58" s="313">
        <f t="shared" si="29"/>
        <v>428783.75298443466</v>
      </c>
      <c r="Y58" s="313">
        <f t="shared" si="29"/>
        <v>446328.9823513056</v>
      </c>
      <c r="Z58" s="313">
        <f t="shared" si="29"/>
        <v>464592.13787884259</v>
      </c>
      <c r="AA58" s="313">
        <f t="shared" si="29"/>
        <v>483602.59609791869</v>
      </c>
      <c r="AB58" s="313">
        <f t="shared" si="29"/>
        <v>503390.93558581953</v>
      </c>
      <c r="AC58" s="313">
        <f t="shared" si="29"/>
        <v>523988.98615229607</v>
      </c>
      <c r="AD58" s="313">
        <f t="shared" si="29"/>
        <v>545429.88003824023</v>
      </c>
      <c r="AE58" s="313">
        <f t="shared" si="29"/>
        <v>567748.10520934011</v>
      </c>
      <c r="AF58" s="313">
        <f t="shared" si="29"/>
        <v>590979.56083043455</v>
      </c>
      <c r="AG58" s="313">
        <f t="shared" si="29"/>
        <v>615161.61500980321</v>
      </c>
      <c r="AH58" s="313">
        <f t="shared" si="29"/>
        <v>640333.16490626952</v>
      </c>
      <c r="AI58" s="313">
        <f t="shared" si="29"/>
        <v>666534.69929580309</v>
      </c>
      <c r="AJ58" s="313">
        <f t="shared" si="29"/>
        <v>693808.36369825946</v>
      </c>
      <c r="AK58" s="313">
        <f t="shared" si="29"/>
        <v>722198.02816901484</v>
      </c>
      <c r="AL58" s="313">
        <f t="shared" si="29"/>
        <v>751749.35786453902</v>
      </c>
      <c r="AM58" s="313">
        <f t="shared" si="29"/>
        <v>782509.88649541314</v>
      </c>
      <c r="AN58" s="313">
        <f t="shared" si="29"/>
        <v>814529.09278494003</v>
      </c>
      <c r="AO58" s="313">
        <f t="shared" si="29"/>
        <v>847858.48005633673</v>
      </c>
      <c r="AP58" s="313">
        <f t="shared" si="29"/>
        <v>882551.65907651989</v>
      </c>
      <c r="AQ58" s="313">
        <f t="shared" si="29"/>
        <v>918664.43428974529</v>
      </c>
      <c r="AR58" s="313">
        <f t="shared" si="29"/>
        <v>956254.8935798048</v>
      </c>
    </row>
    <row r="59" spans="1:44" ht="15" x14ac:dyDescent="0.25">
      <c r="A59" s="2"/>
      <c r="B59" s="64" t="s">
        <v>121</v>
      </c>
      <c r="C59" s="230" t="s">
        <v>77</v>
      </c>
      <c r="D59" s="75">
        <f t="shared" si="26"/>
        <v>889429497.67521429</v>
      </c>
      <c r="E59" s="64"/>
      <c r="F59" s="76">
        <f t="shared" ref="F59:AR59" si="30">$D44*F51</f>
        <v>9632975.5281329453</v>
      </c>
      <c r="G59" s="76">
        <f t="shared" si="30"/>
        <v>10027143.366700007</v>
      </c>
      <c r="H59" s="76">
        <f t="shared" si="30"/>
        <v>10437440</v>
      </c>
      <c r="I59" s="76">
        <f t="shared" si="30"/>
        <v>10864525.395676365</v>
      </c>
      <c r="J59" s="76">
        <f t="shared" si="30"/>
        <v>11309086.526322227</v>
      </c>
      <c r="K59" s="76">
        <f t="shared" si="30"/>
        <v>11771838.474485049</v>
      </c>
      <c r="L59" s="76">
        <f t="shared" si="30"/>
        <v>12253525.582886504</v>
      </c>
      <c r="M59" s="76">
        <f t="shared" si="30"/>
        <v>12754922.651707741</v>
      </c>
      <c r="N59" s="76">
        <f t="shared" si="30"/>
        <v>13276836.184865875</v>
      </c>
      <c r="O59" s="76">
        <f t="shared" si="30"/>
        <v>13820105.687286364</v>
      </c>
      <c r="P59" s="76">
        <f t="shared" si="30"/>
        <v>14385605.01525796</v>
      </c>
      <c r="Q59" s="76">
        <f t="shared" si="30"/>
        <v>14974243.782042276</v>
      </c>
      <c r="R59" s="76">
        <f t="shared" si="30"/>
        <v>15586968.820998944</v>
      </c>
      <c r="S59" s="76">
        <f t="shared" si="30"/>
        <v>16224765.708579756</v>
      </c>
      <c r="T59" s="76">
        <f t="shared" si="30"/>
        <v>16888660.349641655</v>
      </c>
      <c r="U59" s="76">
        <f t="shared" si="30"/>
        <v>17579720.627628438</v>
      </c>
      <c r="V59" s="76">
        <f t="shared" si="30"/>
        <v>18299058.122275651</v>
      </c>
      <c r="W59" s="76">
        <f t="shared" si="30"/>
        <v>19047829.897601489</v>
      </c>
      <c r="X59" s="76">
        <f t="shared" si="30"/>
        <v>19827240.3630598</v>
      </c>
      <c r="Y59" s="76">
        <f t="shared" si="30"/>
        <v>20638543.21084889</v>
      </c>
      <c r="Z59" s="76">
        <f t="shared" si="30"/>
        <v>21483043.432492234</v>
      </c>
      <c r="AA59" s="76">
        <f t="shared" si="30"/>
        <v>22362099.417934876</v>
      </c>
      <c r="AB59" s="76">
        <f t="shared" si="30"/>
        <v>23277125.140531883</v>
      </c>
      <c r="AC59" s="76">
        <f t="shared" si="30"/>
        <v>24229592.431443475</v>
      </c>
      <c r="AD59" s="76">
        <f t="shared" si="30"/>
        <v>25221033.34709521</v>
      </c>
      <c r="AE59" s="76">
        <f t="shared" si="30"/>
        <v>26253042.633511316</v>
      </c>
      <c r="AF59" s="76">
        <f t="shared" si="30"/>
        <v>27327280.291485075</v>
      </c>
      <c r="AG59" s="76">
        <f t="shared" si="30"/>
        <v>28445474.24671239</v>
      </c>
      <c r="AH59" s="76">
        <f t="shared" si="30"/>
        <v>29609423.129183475</v>
      </c>
      <c r="AI59" s="76">
        <f t="shared" si="30"/>
        <v>30820999.166303325</v>
      </c>
      <c r="AJ59" s="76">
        <f t="shared" si="30"/>
        <v>32082151.194394652</v>
      </c>
      <c r="AK59" s="76">
        <f t="shared" si="30"/>
        <v>33394907.793427266</v>
      </c>
      <c r="AL59" s="76">
        <f t="shared" si="30"/>
        <v>34761380.550016195</v>
      </c>
      <c r="AM59" s="76">
        <f t="shared" si="30"/>
        <v>36183767.453937113</v>
      </c>
      <c r="AN59" s="76">
        <f t="shared" si="30"/>
        <v>37664356.433622383</v>
      </c>
      <c r="AO59" s="76">
        <f t="shared" si="30"/>
        <v>39205529.036324702</v>
      </c>
      <c r="AP59" s="76">
        <f t="shared" si="30"/>
        <v>40809764.258867763</v>
      </c>
      <c r="AQ59" s="76">
        <f t="shared" si="30"/>
        <v>42479642.535146013</v>
      </c>
      <c r="AR59" s="76">
        <f t="shared" si="30"/>
        <v>44217849.886787161</v>
      </c>
    </row>
    <row r="60" spans="1:44" ht="15" x14ac:dyDescent="0.25">
      <c r="A60" s="2"/>
      <c r="B60" s="1" t="s">
        <v>272</v>
      </c>
      <c r="C60" s="225" t="s">
        <v>77</v>
      </c>
      <c r="D60" s="70">
        <f>SUM(F60:AR60)</f>
        <v>943212277.08881915</v>
      </c>
      <c r="F60" s="18">
        <f t="shared" ref="F60:AR60" si="31">SUM(F55:F59)</f>
        <v>10215470.486171106</v>
      </c>
      <c r="G60" s="18">
        <f t="shared" si="31"/>
        <v>10633473.200879561</v>
      </c>
      <c r="H60" s="18">
        <f t="shared" si="31"/>
        <v>11068580</v>
      </c>
      <c r="I60" s="18">
        <f t="shared" si="31"/>
        <v>11521490.758660696</v>
      </c>
      <c r="J60" s="18">
        <f t="shared" si="31"/>
        <v>11992933.989897875</v>
      </c>
      <c r="K60" s="18">
        <f t="shared" si="31"/>
        <v>12483668.016478727</v>
      </c>
      <c r="L60" s="18">
        <f t="shared" si="31"/>
        <v>12994482.190673757</v>
      </c>
      <c r="M60" s="18">
        <f t="shared" si="31"/>
        <v>13526198.163940512</v>
      </c>
      <c r="N60" s="18">
        <f t="shared" si="31"/>
        <v>14079671.208560981</v>
      </c>
      <c r="O60" s="18">
        <f t="shared" si="31"/>
        <v>14655791.593358533</v>
      </c>
      <c r="P60" s="18">
        <f t="shared" si="31"/>
        <v>15255486.015707295</v>
      </c>
      <c r="Q60" s="18">
        <f t="shared" si="31"/>
        <v>15879719.092137296</v>
      </c>
      <c r="R60" s="18">
        <f t="shared" si="31"/>
        <v>16529494.909933135</v>
      </c>
      <c r="S60" s="18">
        <f t="shared" si="31"/>
        <v>17205858.64222182</v>
      </c>
      <c r="T60" s="18">
        <f t="shared" si="31"/>
        <v>17909898.229147822</v>
      </c>
      <c r="U60" s="18">
        <f t="shared" si="31"/>
        <v>18642746.127839353</v>
      </c>
      <c r="V60" s="18">
        <f t="shared" si="31"/>
        <v>19405581.133980922</v>
      </c>
      <c r="W60" s="18">
        <f t="shared" si="31"/>
        <v>20199630.277921971</v>
      </c>
      <c r="X60" s="18">
        <f t="shared" si="31"/>
        <v>21026170.798371673</v>
      </c>
      <c r="Y60" s="18">
        <f t="shared" si="31"/>
        <v>21886532.196854573</v>
      </c>
      <c r="Z60" s="18">
        <f t="shared" si="31"/>
        <v>22782098.376231615</v>
      </c>
      <c r="AA60" s="18">
        <f t="shared" si="31"/>
        <v>23714309.866726477</v>
      </c>
      <c r="AB60" s="18">
        <f t="shared" si="31"/>
        <v>24684666.143037792</v>
      </c>
      <c r="AC60" s="18">
        <f t="shared" si="31"/>
        <v>25694728.036264315</v>
      </c>
      <c r="AD60" s="18">
        <f t="shared" si="31"/>
        <v>26746120.244522709</v>
      </c>
      <c r="AE60" s="18">
        <f t="shared" si="31"/>
        <v>27840533.946296282</v>
      </c>
      <c r="AF60" s="18">
        <f t="shared" si="31"/>
        <v>28979729.520718288</v>
      </c>
      <c r="AG60" s="18">
        <f t="shared" si="31"/>
        <v>30165539.379165374</v>
      </c>
      <c r="AH60" s="18">
        <f t="shared" si="31"/>
        <v>31399870.912715919</v>
      </c>
      <c r="AI60" s="18">
        <f t="shared" si="31"/>
        <v>32684709.560214158</v>
      </c>
      <c r="AJ60" s="18">
        <f t="shared" si="31"/>
        <v>34022122.001875244</v>
      </c>
      <c r="AK60" s="18">
        <f t="shared" si="31"/>
        <v>35414259.483568117</v>
      </c>
      <c r="AL60" s="18">
        <f t="shared" si="31"/>
        <v>36863361.277123339</v>
      </c>
      <c r="AM60" s="18">
        <f t="shared" si="31"/>
        <v>38371758.282231972</v>
      </c>
      <c r="AN60" s="18">
        <f t="shared" si="31"/>
        <v>39941876.775728919</v>
      </c>
      <c r="AO60" s="18">
        <f t="shared" si="31"/>
        <v>41576242.314291902</v>
      </c>
      <c r="AP60" s="18">
        <f t="shared" si="31"/>
        <v>43277483.79683318</v>
      </c>
      <c r="AQ60" s="18">
        <f t="shared" si="31"/>
        <v>45048337.693118855</v>
      </c>
      <c r="AR60" s="18">
        <f t="shared" si="31"/>
        <v>46891652.445417136</v>
      </c>
    </row>
    <row r="61" spans="1:44" x14ac:dyDescent="0.2">
      <c r="C61" s="225"/>
      <c r="D61" s="70"/>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row>
    <row r="62" spans="1:44" x14ac:dyDescent="0.2">
      <c r="C62" s="21"/>
    </row>
    <row r="63" spans="1:44" s="8" customFormat="1" x14ac:dyDescent="0.2">
      <c r="A63" s="7" t="s">
        <v>245</v>
      </c>
      <c r="B63" s="12"/>
      <c r="C63" s="226"/>
    </row>
    <row r="64" spans="1:44" ht="15" x14ac:dyDescent="0.25">
      <c r="A64" s="2" t="s">
        <v>264</v>
      </c>
      <c r="C64" s="20"/>
    </row>
    <row r="65" spans="1:44" x14ac:dyDescent="0.2">
      <c r="B65" s="1" t="str">
        <f>'CALCS Traffic'!B41</f>
        <v>Total Vehicular Traffic</v>
      </c>
      <c r="C65" s="225" t="s">
        <v>107</v>
      </c>
      <c r="D65" s="70">
        <f t="shared" ref="D65" si="32">SUM(F65:AR65)</f>
        <v>254585244.2823793</v>
      </c>
      <c r="F65" s="18">
        <f>'CALCS Traffic'!F41</f>
        <v>2757288.1655106023</v>
      </c>
      <c r="G65" s="18">
        <f>'CALCS Traffic'!G41</f>
        <v>2870112.5273427041</v>
      </c>
      <c r="H65" s="18">
        <f>'CALCS Traffic'!H41</f>
        <v>2987553.5037100744</v>
      </c>
      <c r="I65" s="18">
        <f>'CALCS Traffic'!I41</f>
        <v>3109800</v>
      </c>
      <c r="J65" s="18">
        <f>'CALCS Traffic'!J41</f>
        <v>3237048.6513430839</v>
      </c>
      <c r="K65" s="18">
        <f>'CALCS Traffic'!K41</f>
        <v>3369504.1389034917</v>
      </c>
      <c r="L65" s="18">
        <f>'CALCS Traffic'!L41</f>
        <v>3507379.5191113534</v>
      </c>
      <c r="M65" s="18">
        <f>'CALCS Traffic'!M41</f>
        <v>3650896.5663668918</v>
      </c>
      <c r="N65" s="18">
        <f>'CALCS Traffic'!N41</f>
        <v>3800286.1297675227</v>
      </c>
      <c r="O65" s="18">
        <f>'CALCS Traffic'!O41</f>
        <v>3955788.5044317278</v>
      </c>
      <c r="P65" s="18">
        <f>'CALCS Traffic'!P41</f>
        <v>4117653.818016978</v>
      </c>
      <c r="Q65" s="18">
        <f>'CALCS Traffic'!Q41</f>
        <v>4286142.4330534302</v>
      </c>
      <c r="R65" s="18">
        <f>'CALCS Traffic'!R41</f>
        <v>4461525.3657405525</v>
      </c>
      <c r="S65" s="18">
        <f>'CALCS Traffic'!S41</f>
        <v>4644084.7218803186</v>
      </c>
      <c r="T65" s="18">
        <f>'CALCS Traffic'!T41</f>
        <v>4834114.1506481785</v>
      </c>
      <c r="U65" s="18">
        <f>'CALCS Traffic'!U41</f>
        <v>5031919.3169317003</v>
      </c>
      <c r="V65" s="18">
        <f>'CALCS Traffic'!V41</f>
        <v>5237818.3929966465</v>
      </c>
      <c r="W65" s="18">
        <f>'CALCS Traffic'!W41</f>
        <v>5452142.5702713337</v>
      </c>
      <c r="X65" s="18">
        <f>'CALCS Traffic'!X41</f>
        <v>5675236.5920724915</v>
      </c>
      <c r="Y65" s="18">
        <f>'CALCS Traffic'!Y41</f>
        <v>5907459.3081295183</v>
      </c>
      <c r="Z65" s="18">
        <f>'CALCS Traffic'!Z41</f>
        <v>6149184.251799088</v>
      </c>
      <c r="AA65" s="18">
        <f>'CALCS Traffic'!AA41</f>
        <v>6400800.2408985682</v>
      </c>
      <c r="AB65" s="18">
        <f>'CALCS Traffic'!AB41</f>
        <v>6662712.0031247009</v>
      </c>
      <c r="AC65" s="18">
        <f>'CALCS Traffic'!AC41</f>
        <v>6935340.8270635372</v>
      </c>
      <c r="AD65" s="18">
        <f>'CALCS Traffic'!AD41</f>
        <v>7219125.2398387836</v>
      </c>
      <c r="AE65" s="18">
        <f>'CALCS Traffic'!AE41</f>
        <v>7514521.7124885684</v>
      </c>
      <c r="AF65" s="18">
        <f>'CALCS Traffic'!AF41</f>
        <v>7822005.3942052349</v>
      </c>
      <c r="AG65" s="18">
        <f>'CALCS Traffic'!AG41</f>
        <v>8142070.8766191984</v>
      </c>
      <c r="AH65" s="18">
        <f>'CALCS Traffic'!AH41</f>
        <v>8475232.9893562216</v>
      </c>
      <c r="AI65" s="18">
        <f>'CALCS Traffic'!AI41</f>
        <v>8822027.6281477809</v>
      </c>
      <c r="AJ65" s="18">
        <f>'CALCS Traffic'!AJ41</f>
        <v>9183012.6168265473</v>
      </c>
      <c r="AK65" s="18">
        <f>'CALCS Traffic'!AK41</f>
        <v>9558768.6045935098</v>
      </c>
      <c r="AL65" s="18">
        <f>'CALCS Traffic'!AL41</f>
        <v>9949900.0000000093</v>
      </c>
      <c r="AM65" s="18">
        <f>'CALCS Traffic'!AM41</f>
        <v>10357035.943147013</v>
      </c>
      <c r="AN65" s="18">
        <f>'CALCS Traffic'!AN41</f>
        <v>10780831.317665407</v>
      </c>
      <c r="AO65" s="18">
        <f>'CALCS Traffic'!AO41</f>
        <v>11221967.804105116</v>
      </c>
      <c r="AP65" s="18">
        <f>'CALCS Traffic'!AP41</f>
        <v>11681154.976427414</v>
      </c>
      <c r="AQ65" s="18">
        <f>'CALCS Traffic'!AQ41</f>
        <v>12159131.443364175</v>
      </c>
      <c r="AR65" s="18">
        <f>'CALCS Traffic'!AR41</f>
        <v>12656666.036479929</v>
      </c>
    </row>
    <row r="66" spans="1:44" ht="15" x14ac:dyDescent="0.25">
      <c r="A66" s="2" t="s">
        <v>273</v>
      </c>
      <c r="C66" s="225"/>
      <c r="D66" s="70"/>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row>
    <row r="67" spans="1:44" x14ac:dyDescent="0.2">
      <c r="B67" s="1" t="str">
        <f>INPUTS!C73</f>
        <v>Crash Modification Factor - Utilized</v>
      </c>
      <c r="C67" s="225" t="s">
        <v>111</v>
      </c>
      <c r="D67" s="1">
        <f>INPUTS!$E$73</f>
        <v>0.44</v>
      </c>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row>
    <row r="68" spans="1:44" x14ac:dyDescent="0.2">
      <c r="C68" s="225"/>
      <c r="D68" s="70"/>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row>
    <row r="69" spans="1:44" ht="15" x14ac:dyDescent="0.25">
      <c r="A69" s="2" t="s">
        <v>266</v>
      </c>
      <c r="C69" s="225"/>
      <c r="D69" s="70"/>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row>
    <row r="70" spans="1:44" x14ac:dyDescent="0.2">
      <c r="B70" s="1" t="s">
        <v>115</v>
      </c>
      <c r="C70" s="225" t="s">
        <v>274</v>
      </c>
      <c r="D70" s="312">
        <f>D33*$D$67</f>
        <v>1.0603994191454109E-6</v>
      </c>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row>
    <row r="71" spans="1:44" x14ac:dyDescent="0.2">
      <c r="B71" s="1" t="s">
        <v>118</v>
      </c>
      <c r="C71" s="225" t="s">
        <v>274</v>
      </c>
      <c r="D71" s="312">
        <f>D34*$D$67</f>
        <v>1.7673323652423516E-7</v>
      </c>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row>
    <row r="72" spans="1:44" x14ac:dyDescent="0.2">
      <c r="B72" s="1" t="s">
        <v>119</v>
      </c>
      <c r="C72" s="225" t="s">
        <v>274</v>
      </c>
      <c r="D72" s="312">
        <f>D35*$D$67</f>
        <v>2.6509985478635274E-7</v>
      </c>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row>
    <row r="73" spans="1:44" x14ac:dyDescent="0.2">
      <c r="B73" s="1" t="s">
        <v>120</v>
      </c>
      <c r="C73" s="225" t="s">
        <v>274</v>
      </c>
      <c r="D73" s="312">
        <f>D36*$D$67</f>
        <v>5.8911078841411721E-8</v>
      </c>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row>
    <row r="74" spans="1:44" x14ac:dyDescent="0.2">
      <c r="B74" s="1" t="s">
        <v>121</v>
      </c>
      <c r="C74" s="225" t="s">
        <v>274</v>
      </c>
      <c r="D74" s="312">
        <f>D37*$D$67</f>
        <v>1.1782215768282344E-7</v>
      </c>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row>
    <row r="75" spans="1:44" x14ac:dyDescent="0.2">
      <c r="C75" s="225"/>
      <c r="D75" s="70"/>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row>
    <row r="76" spans="1:44" ht="15" x14ac:dyDescent="0.25">
      <c r="A76" s="2" t="s">
        <v>267</v>
      </c>
      <c r="C76" s="225"/>
      <c r="D76" s="19"/>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row>
    <row r="77" spans="1:44" x14ac:dyDescent="0.2">
      <c r="B77" s="1" t="s">
        <v>115</v>
      </c>
      <c r="C77" s="225" t="s">
        <v>124</v>
      </c>
      <c r="D77" s="4">
        <f>INPUTS!E67</f>
        <v>4800</v>
      </c>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row>
    <row r="78" spans="1:44" x14ac:dyDescent="0.2">
      <c r="B78" s="1" t="s">
        <v>118</v>
      </c>
      <c r="C78" s="225" t="s">
        <v>124</v>
      </c>
      <c r="D78" s="4">
        <f>INPUTS!E68</f>
        <v>78500</v>
      </c>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row>
    <row r="79" spans="1:44" x14ac:dyDescent="0.2">
      <c r="B79" s="1" t="s">
        <v>119</v>
      </c>
      <c r="C79" s="225" t="s">
        <v>124</v>
      </c>
      <c r="D79" s="4">
        <f>INPUTS!E69</f>
        <v>153700</v>
      </c>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row>
    <row r="80" spans="1:44" x14ac:dyDescent="0.2">
      <c r="B80" s="1" t="s">
        <v>120</v>
      </c>
      <c r="C80" s="225" t="s">
        <v>124</v>
      </c>
      <c r="D80" s="4">
        <f>INPUTS!E70</f>
        <v>564300</v>
      </c>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row>
    <row r="81" spans="1:44" x14ac:dyDescent="0.2">
      <c r="B81" s="1" t="s">
        <v>121</v>
      </c>
      <c r="C81" s="225" t="s">
        <v>124</v>
      </c>
      <c r="D81" s="4">
        <f>INPUTS!E71</f>
        <v>13046800</v>
      </c>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row>
    <row r="82" spans="1:44" x14ac:dyDescent="0.2">
      <c r="C82" s="225"/>
      <c r="D82" s="4"/>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row>
    <row r="83" spans="1:44" ht="15" x14ac:dyDescent="0.25">
      <c r="A83" s="2" t="s">
        <v>268</v>
      </c>
      <c r="C83" s="225"/>
      <c r="D83" s="70"/>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row>
    <row r="84" spans="1:44" ht="15" x14ac:dyDescent="0.25">
      <c r="A84" s="2"/>
      <c r="B84" s="1" t="s">
        <v>115</v>
      </c>
      <c r="C84" s="225" t="s">
        <v>269</v>
      </c>
      <c r="D84" s="70">
        <f t="shared" ref="D84:D89" si="33">SUM(F84:AR84)</f>
        <v>269.96204516002769</v>
      </c>
      <c r="F84" s="18">
        <f>F$65*$D70</f>
        <v>2.9238267691239583</v>
      </c>
      <c r="G84" s="18">
        <f t="shared" ref="G84:AR84" si="34">G$65*$D70</f>
        <v>3.0434656568761707</v>
      </c>
      <c r="H84" s="18">
        <f t="shared" si="34"/>
        <v>3.1680000000000001</v>
      </c>
      <c r="I84" s="18">
        <f t="shared" si="34"/>
        <v>3.297630113658399</v>
      </c>
      <c r="J84" s="18">
        <f t="shared" si="34"/>
        <v>3.4325645096296422</v>
      </c>
      <c r="K84" s="18">
        <f t="shared" si="34"/>
        <v>3.5730202317013204</v>
      </c>
      <c r="L84" s="18">
        <f t="shared" si="34"/>
        <v>3.7192232047881899</v>
      </c>
      <c r="M84" s="18">
        <f t="shared" si="34"/>
        <v>3.8714085983354272</v>
      </c>
      <c r="N84" s="18">
        <f t="shared" si="34"/>
        <v>4.0298212045918431</v>
      </c>
      <c r="O84" s="18">
        <f t="shared" si="34"/>
        <v>4.1947158323614984</v>
      </c>
      <c r="P84" s="18">
        <f t="shared" si="34"/>
        <v>4.3663577168670873</v>
      </c>
      <c r="Q84" s="18">
        <f t="shared" si="34"/>
        <v>4.5450229463843561</v>
      </c>
      <c r="R84" s="18">
        <f t="shared" si="34"/>
        <v>4.7309989063337987</v>
      </c>
      <c r="S84" s="18">
        <f t="shared" si="34"/>
        <v>4.924584741543967</v>
      </c>
      <c r="T84" s="18">
        <f t="shared" si="34"/>
        <v>5.1260918374299402</v>
      </c>
      <c r="U84" s="18">
        <f t="shared" si="34"/>
        <v>5.3358443208609483</v>
      </c>
      <c r="V84" s="18">
        <f t="shared" si="34"/>
        <v>5.5541795815227939</v>
      </c>
      <c r="W84" s="18">
        <f t="shared" si="34"/>
        <v>5.7814488146136904</v>
      </c>
      <c r="X84" s="18">
        <f t="shared" si="34"/>
        <v>6.0180175857464517</v>
      </c>
      <c r="Y84" s="18">
        <f t="shared" si="34"/>
        <v>6.2642664189656925</v>
      </c>
      <c r="Z84" s="18">
        <f t="shared" si="34"/>
        <v>6.5205914088258616</v>
      </c>
      <c r="AA84" s="18">
        <f t="shared" si="34"/>
        <v>6.7874048575146482</v>
      </c>
      <c r="AB84" s="18">
        <f t="shared" si="34"/>
        <v>7.0651359380465903</v>
      </c>
      <c r="AC84" s="18">
        <f t="shared" si="34"/>
        <v>7.3542313845936285</v>
      </c>
      <c r="AD84" s="18">
        <f t="shared" si="34"/>
        <v>7.655156211063022</v>
      </c>
      <c r="AE84" s="18">
        <f t="shared" si="34"/>
        <v>7.968394459078457</v>
      </c>
      <c r="AF84" s="18">
        <f t="shared" si="34"/>
        <v>8.2944499765675026</v>
      </c>
      <c r="AG84" s="18">
        <f t="shared" si="34"/>
        <v>8.633847228207765</v>
      </c>
      <c r="AH84" s="18">
        <f t="shared" si="34"/>
        <v>8.9871321390353618</v>
      </c>
      <c r="AI84" s="18">
        <f t="shared" si="34"/>
        <v>9.3548729725726751</v>
      </c>
      <c r="AJ84" s="18">
        <f t="shared" si="34"/>
        <v>9.7376612448878515</v>
      </c>
      <c r="AK84" s="18">
        <f t="shared" si="34"/>
        <v>10.136112676056348</v>
      </c>
      <c r="AL84" s="18">
        <f t="shared" si="34"/>
        <v>10.550868180554934</v>
      </c>
      <c r="AM84" s="18">
        <f t="shared" si="34"/>
        <v>10.982594898181237</v>
      </c>
      <c r="AN84" s="18">
        <f t="shared" si="34"/>
        <v>11.431987267157053</v>
      </c>
      <c r="AO84" s="18">
        <f t="shared" si="34"/>
        <v>11.899768141141568</v>
      </c>
      <c r="AP84" s="18">
        <f t="shared" si="34"/>
        <v>12.386689951951157</v>
      </c>
      <c r="AQ84" s="18">
        <f t="shared" si="34"/>
        <v>12.893535919856074</v>
      </c>
      <c r="AR84" s="18">
        <f t="shared" si="34"/>
        <v>13.421121313400768</v>
      </c>
    </row>
    <row r="85" spans="1:44" ht="15" x14ac:dyDescent="0.25">
      <c r="A85" s="2"/>
      <c r="B85" s="1" t="s">
        <v>118</v>
      </c>
      <c r="C85" s="225"/>
      <c r="D85" s="70">
        <f t="shared" si="33"/>
        <v>44.993674193337959</v>
      </c>
      <c r="F85" s="18">
        <f t="shared" ref="F85:AR85" si="35">F$65*$D71</f>
        <v>0.4873044615206597</v>
      </c>
      <c r="G85" s="18">
        <f t="shared" si="35"/>
        <v>0.50724427614602852</v>
      </c>
      <c r="H85" s="18">
        <f t="shared" si="35"/>
        <v>0.52800000000000002</v>
      </c>
      <c r="I85" s="18">
        <f t="shared" si="35"/>
        <v>0.54960501894306646</v>
      </c>
      <c r="J85" s="18">
        <f t="shared" si="35"/>
        <v>0.57209408493827363</v>
      </c>
      <c r="K85" s="18">
        <f t="shared" si="35"/>
        <v>0.59550337195022007</v>
      </c>
      <c r="L85" s="18">
        <f t="shared" si="35"/>
        <v>0.61987053413136495</v>
      </c>
      <c r="M85" s="18">
        <f t="shared" si="35"/>
        <v>0.64523476638923793</v>
      </c>
      <c r="N85" s="18">
        <f t="shared" si="35"/>
        <v>0.67163686743197382</v>
      </c>
      <c r="O85" s="18">
        <f t="shared" si="35"/>
        <v>0.69911930539358302</v>
      </c>
      <c r="P85" s="18">
        <f t="shared" si="35"/>
        <v>0.72772628614451451</v>
      </c>
      <c r="Q85" s="18">
        <f t="shared" si="35"/>
        <v>0.75750382439739261</v>
      </c>
      <c r="R85" s="18">
        <f t="shared" si="35"/>
        <v>0.78849981772229982</v>
      </c>
      <c r="S85" s="18">
        <f t="shared" si="35"/>
        <v>0.8207641235906612</v>
      </c>
      <c r="T85" s="18">
        <f t="shared" si="35"/>
        <v>0.85434863957165663</v>
      </c>
      <c r="U85" s="18">
        <f t="shared" si="35"/>
        <v>0.88930738681015797</v>
      </c>
      <c r="V85" s="18">
        <f t="shared" si="35"/>
        <v>0.92569659692046558</v>
      </c>
      <c r="W85" s="18">
        <f t="shared" si="35"/>
        <v>0.963574802435615</v>
      </c>
      <c r="X85" s="18">
        <f t="shared" si="35"/>
        <v>1.003002930957742</v>
      </c>
      <c r="Y85" s="18">
        <f t="shared" si="35"/>
        <v>1.0440444031609488</v>
      </c>
      <c r="Z85" s="18">
        <f t="shared" si="35"/>
        <v>1.0867652348043102</v>
      </c>
      <c r="AA85" s="18">
        <f t="shared" si="35"/>
        <v>1.131234142919108</v>
      </c>
      <c r="AB85" s="18">
        <f t="shared" si="35"/>
        <v>1.1775226563410983</v>
      </c>
      <c r="AC85" s="18">
        <f t="shared" si="35"/>
        <v>1.2257052307656049</v>
      </c>
      <c r="AD85" s="18">
        <f t="shared" si="35"/>
        <v>1.2758593685105035</v>
      </c>
      <c r="AE85" s="18">
        <f t="shared" si="35"/>
        <v>1.3280657431797427</v>
      </c>
      <c r="AF85" s="18">
        <f t="shared" si="35"/>
        <v>1.382408329427917</v>
      </c>
      <c r="AG85" s="18">
        <f t="shared" si="35"/>
        <v>1.4389745380346275</v>
      </c>
      <c r="AH85" s="18">
        <f t="shared" si="35"/>
        <v>1.4978553565058936</v>
      </c>
      <c r="AI85" s="18">
        <f t="shared" si="35"/>
        <v>1.5591454954287791</v>
      </c>
      <c r="AJ85" s="18">
        <f t="shared" si="35"/>
        <v>1.6229435408146418</v>
      </c>
      <c r="AK85" s="18">
        <f t="shared" si="35"/>
        <v>1.689352112676058</v>
      </c>
      <c r="AL85" s="18">
        <f t="shared" si="35"/>
        <v>1.7584780300924889</v>
      </c>
      <c r="AM85" s="18">
        <f t="shared" si="35"/>
        <v>1.8304324830302059</v>
      </c>
      <c r="AN85" s="18">
        <f t="shared" si="35"/>
        <v>1.9053312111928422</v>
      </c>
      <c r="AO85" s="18">
        <f t="shared" si="35"/>
        <v>1.9832946901902613</v>
      </c>
      <c r="AP85" s="18">
        <f t="shared" si="35"/>
        <v>2.0644483253251926</v>
      </c>
      <c r="AQ85" s="18">
        <f t="shared" si="35"/>
        <v>2.1489226533093455</v>
      </c>
      <c r="AR85" s="18">
        <f t="shared" si="35"/>
        <v>2.2368535522334612</v>
      </c>
    </row>
    <row r="86" spans="1:44" ht="15" x14ac:dyDescent="0.25">
      <c r="A86" s="2"/>
      <c r="B86" s="1" t="s">
        <v>119</v>
      </c>
      <c r="C86" s="225"/>
      <c r="D86" s="70">
        <f t="shared" si="33"/>
        <v>67.490511290006921</v>
      </c>
      <c r="F86" s="18">
        <f t="shared" ref="F86:AR86" si="36">F$65*$D72</f>
        <v>0.73095669228098958</v>
      </c>
      <c r="G86" s="18">
        <f t="shared" si="36"/>
        <v>0.76086641421904266</v>
      </c>
      <c r="H86" s="18">
        <f t="shared" si="36"/>
        <v>0.79200000000000004</v>
      </c>
      <c r="I86" s="18">
        <f t="shared" si="36"/>
        <v>0.82440752841459974</v>
      </c>
      <c r="J86" s="18">
        <f t="shared" si="36"/>
        <v>0.85814112740741055</v>
      </c>
      <c r="K86" s="18">
        <f t="shared" si="36"/>
        <v>0.89325505792533011</v>
      </c>
      <c r="L86" s="18">
        <f t="shared" si="36"/>
        <v>0.92980580119704748</v>
      </c>
      <c r="M86" s="18">
        <f t="shared" si="36"/>
        <v>0.96785214958385679</v>
      </c>
      <c r="N86" s="18">
        <f t="shared" si="36"/>
        <v>1.0074553011479608</v>
      </c>
      <c r="O86" s="18">
        <f t="shared" si="36"/>
        <v>1.0486789580903746</v>
      </c>
      <c r="P86" s="18">
        <f t="shared" si="36"/>
        <v>1.0915894292167718</v>
      </c>
      <c r="Q86" s="18">
        <f t="shared" si="36"/>
        <v>1.136255736596089</v>
      </c>
      <c r="R86" s="18">
        <f t="shared" si="36"/>
        <v>1.1827497265834497</v>
      </c>
      <c r="S86" s="18">
        <f t="shared" si="36"/>
        <v>1.2311461853859917</v>
      </c>
      <c r="T86" s="18">
        <f t="shared" si="36"/>
        <v>1.2815229593574851</v>
      </c>
      <c r="U86" s="18">
        <f t="shared" si="36"/>
        <v>1.3339610802152371</v>
      </c>
      <c r="V86" s="18">
        <f t="shared" si="36"/>
        <v>1.3885448953806985</v>
      </c>
      <c r="W86" s="18">
        <f t="shared" si="36"/>
        <v>1.4453622036534226</v>
      </c>
      <c r="X86" s="18">
        <f t="shared" si="36"/>
        <v>1.5045043964366129</v>
      </c>
      <c r="Y86" s="18">
        <f t="shared" si="36"/>
        <v>1.5660666047414231</v>
      </c>
      <c r="Z86" s="18">
        <f t="shared" si="36"/>
        <v>1.6301478522064654</v>
      </c>
      <c r="AA86" s="18">
        <f t="shared" si="36"/>
        <v>1.696851214378662</v>
      </c>
      <c r="AB86" s="18">
        <f t="shared" si="36"/>
        <v>1.7662839845116476</v>
      </c>
      <c r="AC86" s="18">
        <f t="shared" si="36"/>
        <v>1.8385578461484071</v>
      </c>
      <c r="AD86" s="18">
        <f t="shared" si="36"/>
        <v>1.9137890527657555</v>
      </c>
      <c r="AE86" s="18">
        <f t="shared" si="36"/>
        <v>1.9920986147696143</v>
      </c>
      <c r="AF86" s="18">
        <f t="shared" si="36"/>
        <v>2.0736124941418757</v>
      </c>
      <c r="AG86" s="18">
        <f t="shared" si="36"/>
        <v>2.1584618070519412</v>
      </c>
      <c r="AH86" s="18">
        <f t="shared" si="36"/>
        <v>2.2467830347588404</v>
      </c>
      <c r="AI86" s="18">
        <f t="shared" si="36"/>
        <v>2.3387182431431688</v>
      </c>
      <c r="AJ86" s="18">
        <f t="shared" si="36"/>
        <v>2.4344153112219629</v>
      </c>
      <c r="AK86" s="18">
        <f t="shared" si="36"/>
        <v>2.5340281690140869</v>
      </c>
      <c r="AL86" s="18">
        <f t="shared" si="36"/>
        <v>2.6377170451387335</v>
      </c>
      <c r="AM86" s="18">
        <f t="shared" si="36"/>
        <v>2.7456487245453092</v>
      </c>
      <c r="AN86" s="18">
        <f t="shared" si="36"/>
        <v>2.8579968167892633</v>
      </c>
      <c r="AO86" s="18">
        <f t="shared" si="36"/>
        <v>2.9749420352853919</v>
      </c>
      <c r="AP86" s="18">
        <f t="shared" si="36"/>
        <v>3.0966724879877892</v>
      </c>
      <c r="AQ86" s="18">
        <f t="shared" si="36"/>
        <v>3.2233839799640185</v>
      </c>
      <c r="AR86" s="18">
        <f t="shared" si="36"/>
        <v>3.355280328350192</v>
      </c>
    </row>
    <row r="87" spans="1:44" ht="15" x14ac:dyDescent="0.25">
      <c r="A87" s="2"/>
      <c r="B87" s="1" t="s">
        <v>120</v>
      </c>
      <c r="C87" s="225" t="s">
        <v>269</v>
      </c>
      <c r="D87" s="70">
        <f t="shared" si="33"/>
        <v>14.997891397779318</v>
      </c>
      <c r="F87" s="18">
        <f t="shared" ref="F87:AR87" si="37">F$65*$D73</f>
        <v>0.1624348205068866</v>
      </c>
      <c r="G87" s="18">
        <f t="shared" si="37"/>
        <v>0.16908142538200949</v>
      </c>
      <c r="H87" s="18">
        <f t="shared" si="37"/>
        <v>0.17600000000000002</v>
      </c>
      <c r="I87" s="18">
        <f t="shared" si="37"/>
        <v>0.18320167298102216</v>
      </c>
      <c r="J87" s="18">
        <f t="shared" si="37"/>
        <v>0.19069802831275789</v>
      </c>
      <c r="K87" s="18">
        <f t="shared" si="37"/>
        <v>0.19850112398340672</v>
      </c>
      <c r="L87" s="18">
        <f t="shared" si="37"/>
        <v>0.20662351137712168</v>
      </c>
      <c r="M87" s="18">
        <f t="shared" si="37"/>
        <v>0.21507825546307929</v>
      </c>
      <c r="N87" s="18">
        <f t="shared" si="37"/>
        <v>0.22387895581065795</v>
      </c>
      <c r="O87" s="18">
        <f t="shared" si="37"/>
        <v>0.23303976846452767</v>
      </c>
      <c r="P87" s="18">
        <f t="shared" si="37"/>
        <v>0.24257542871483817</v>
      </c>
      <c r="Q87" s="18">
        <f t="shared" si="37"/>
        <v>0.25250127479913087</v>
      </c>
      <c r="R87" s="18">
        <f t="shared" si="37"/>
        <v>0.26283327257409994</v>
      </c>
      <c r="S87" s="18">
        <f t="shared" si="37"/>
        <v>0.27358804119688707</v>
      </c>
      <c r="T87" s="18">
        <f t="shared" si="37"/>
        <v>0.2847828798572189</v>
      </c>
      <c r="U87" s="18">
        <f t="shared" si="37"/>
        <v>0.29643579560338601</v>
      </c>
      <c r="V87" s="18">
        <f t="shared" si="37"/>
        <v>0.30856553230682188</v>
      </c>
      <c r="W87" s="18">
        <f t="shared" si="37"/>
        <v>0.3211916008118717</v>
      </c>
      <c r="X87" s="18">
        <f t="shared" si="37"/>
        <v>0.33433431031924732</v>
      </c>
      <c r="Y87" s="18">
        <f t="shared" si="37"/>
        <v>0.34801480105364957</v>
      </c>
      <c r="Z87" s="18">
        <f t="shared" si="37"/>
        <v>0.36225507826810344</v>
      </c>
      <c r="AA87" s="18">
        <f t="shared" si="37"/>
        <v>0.37707804763970271</v>
      </c>
      <c r="AB87" s="18">
        <f t="shared" si="37"/>
        <v>0.39250755211369948</v>
      </c>
      <c r="AC87" s="18">
        <f t="shared" si="37"/>
        <v>0.40856841025520163</v>
      </c>
      <c r="AD87" s="18">
        <f t="shared" si="37"/>
        <v>0.42528645617016786</v>
      </c>
      <c r="AE87" s="18">
        <f t="shared" si="37"/>
        <v>0.44268858105991427</v>
      </c>
      <c r="AF87" s="18">
        <f t="shared" si="37"/>
        <v>0.46080277647597234</v>
      </c>
      <c r="AG87" s="18">
        <f t="shared" si="37"/>
        <v>0.47965817934487587</v>
      </c>
      <c r="AH87" s="18">
        <f t="shared" si="37"/>
        <v>0.49928511883529791</v>
      </c>
      <c r="AI87" s="18">
        <f t="shared" si="37"/>
        <v>0.51971516514292637</v>
      </c>
      <c r="AJ87" s="18">
        <f t="shared" si="37"/>
        <v>0.54098118027154729</v>
      </c>
      <c r="AK87" s="18">
        <f t="shared" si="37"/>
        <v>0.56311737089201941</v>
      </c>
      <c r="AL87" s="18">
        <f t="shared" si="37"/>
        <v>0.58615934336416309</v>
      </c>
      <c r="AM87" s="18">
        <f t="shared" si="37"/>
        <v>0.61014416101006863</v>
      </c>
      <c r="AN87" s="18">
        <f t="shared" si="37"/>
        <v>0.6351104037309474</v>
      </c>
      <c r="AO87" s="18">
        <f t="shared" si="37"/>
        <v>0.6610982300634205</v>
      </c>
      <c r="AP87" s="18">
        <f t="shared" si="37"/>
        <v>0.68814944177506421</v>
      </c>
      <c r="AQ87" s="18">
        <f t="shared" si="37"/>
        <v>0.71630755110311517</v>
      </c>
      <c r="AR87" s="18">
        <f t="shared" si="37"/>
        <v>0.74561785074448717</v>
      </c>
    </row>
    <row r="88" spans="1:44" ht="15" x14ac:dyDescent="0.25">
      <c r="A88" s="2"/>
      <c r="B88" s="64" t="s">
        <v>121</v>
      </c>
      <c r="C88" s="230" t="s">
        <v>269</v>
      </c>
      <c r="D88" s="75">
        <f t="shared" si="33"/>
        <v>29.995782795558636</v>
      </c>
      <c r="E88" s="64"/>
      <c r="F88" s="76">
        <f t="shared" ref="F88:AR88" si="38">F$65*$D74</f>
        <v>0.32486964101377319</v>
      </c>
      <c r="G88" s="76">
        <f t="shared" si="38"/>
        <v>0.33816285076401897</v>
      </c>
      <c r="H88" s="76">
        <f t="shared" si="38"/>
        <v>0.35200000000000004</v>
      </c>
      <c r="I88" s="76">
        <f t="shared" si="38"/>
        <v>0.36640334596204432</v>
      </c>
      <c r="J88" s="76">
        <f t="shared" si="38"/>
        <v>0.38139605662551579</v>
      </c>
      <c r="K88" s="76">
        <f t="shared" si="38"/>
        <v>0.39700224796681344</v>
      </c>
      <c r="L88" s="76">
        <f t="shared" si="38"/>
        <v>0.41324702275424335</v>
      </c>
      <c r="M88" s="76">
        <f t="shared" si="38"/>
        <v>0.43015651092615859</v>
      </c>
      <c r="N88" s="76">
        <f t="shared" si="38"/>
        <v>0.4477579116213159</v>
      </c>
      <c r="O88" s="76">
        <f t="shared" si="38"/>
        <v>0.46607953692905535</v>
      </c>
      <c r="P88" s="76">
        <f t="shared" si="38"/>
        <v>0.48515085742967634</v>
      </c>
      <c r="Q88" s="76">
        <f t="shared" si="38"/>
        <v>0.50500254959826174</v>
      </c>
      <c r="R88" s="76">
        <f t="shared" si="38"/>
        <v>0.52566654514819988</v>
      </c>
      <c r="S88" s="76">
        <f t="shared" si="38"/>
        <v>0.54717608239377413</v>
      </c>
      <c r="T88" s="76">
        <f t="shared" si="38"/>
        <v>0.56956575971443779</v>
      </c>
      <c r="U88" s="76">
        <f t="shared" si="38"/>
        <v>0.59287159120677202</v>
      </c>
      <c r="V88" s="76">
        <f t="shared" si="38"/>
        <v>0.61713106461364375</v>
      </c>
      <c r="W88" s="76">
        <f t="shared" si="38"/>
        <v>0.64238320162374341</v>
      </c>
      <c r="X88" s="76">
        <f t="shared" si="38"/>
        <v>0.66866862063849464</v>
      </c>
      <c r="Y88" s="76">
        <f t="shared" si="38"/>
        <v>0.69602960210729914</v>
      </c>
      <c r="Z88" s="76">
        <f t="shared" si="38"/>
        <v>0.72451015653620687</v>
      </c>
      <c r="AA88" s="76">
        <f t="shared" si="38"/>
        <v>0.75415609527940541</v>
      </c>
      <c r="AB88" s="76">
        <f t="shared" si="38"/>
        <v>0.78501510422739895</v>
      </c>
      <c r="AC88" s="76">
        <f t="shared" si="38"/>
        <v>0.81713682051040326</v>
      </c>
      <c r="AD88" s="76">
        <f t="shared" si="38"/>
        <v>0.85057291234033572</v>
      </c>
      <c r="AE88" s="76">
        <f t="shared" si="38"/>
        <v>0.88537716211982853</v>
      </c>
      <c r="AF88" s="76">
        <f t="shared" si="38"/>
        <v>0.92160555295194468</v>
      </c>
      <c r="AG88" s="76">
        <f t="shared" si="38"/>
        <v>0.95931635868975174</v>
      </c>
      <c r="AH88" s="76">
        <f t="shared" si="38"/>
        <v>0.99857023767059583</v>
      </c>
      <c r="AI88" s="76">
        <f t="shared" si="38"/>
        <v>1.0394303302858527</v>
      </c>
      <c r="AJ88" s="76">
        <f t="shared" si="38"/>
        <v>1.0819623605430946</v>
      </c>
      <c r="AK88" s="76">
        <f t="shared" si="38"/>
        <v>1.1262347417840388</v>
      </c>
      <c r="AL88" s="76">
        <f t="shared" si="38"/>
        <v>1.1723186867283262</v>
      </c>
      <c r="AM88" s="76">
        <f t="shared" si="38"/>
        <v>1.2202883220201373</v>
      </c>
      <c r="AN88" s="76">
        <f t="shared" si="38"/>
        <v>1.2702208074618948</v>
      </c>
      <c r="AO88" s="76">
        <f t="shared" si="38"/>
        <v>1.322196460126841</v>
      </c>
      <c r="AP88" s="76">
        <f t="shared" si="38"/>
        <v>1.3762988835501284</v>
      </c>
      <c r="AQ88" s="76">
        <f t="shared" si="38"/>
        <v>1.4326151022062303</v>
      </c>
      <c r="AR88" s="76">
        <f t="shared" si="38"/>
        <v>1.4912357014889743</v>
      </c>
    </row>
    <row r="89" spans="1:44" ht="15" x14ac:dyDescent="0.25">
      <c r="A89" s="2"/>
      <c r="B89" s="1" t="s">
        <v>270</v>
      </c>
      <c r="C89" s="225" t="s">
        <v>269</v>
      </c>
      <c r="D89" s="70">
        <f t="shared" si="33"/>
        <v>427.43990483671047</v>
      </c>
      <c r="F89" s="18">
        <f>SUM(F84:F88)</f>
        <v>4.6293923844462679</v>
      </c>
      <c r="G89" s="18">
        <f t="shared" ref="G89:AR89" si="39">SUM(G84:G88)</f>
        <v>4.8188206233872712</v>
      </c>
      <c r="H89" s="18">
        <f t="shared" si="39"/>
        <v>5.0160000000000009</v>
      </c>
      <c r="I89" s="18">
        <f t="shared" si="39"/>
        <v>5.2212476799591316</v>
      </c>
      <c r="J89" s="18">
        <f t="shared" si="39"/>
        <v>5.4348938069135997</v>
      </c>
      <c r="K89" s="18">
        <f t="shared" si="39"/>
        <v>5.6572820335270917</v>
      </c>
      <c r="L89" s="18">
        <f t="shared" si="39"/>
        <v>5.8887700742479669</v>
      </c>
      <c r="M89" s="18">
        <f t="shared" si="39"/>
        <v>6.1297302806977596</v>
      </c>
      <c r="N89" s="18">
        <f t="shared" si="39"/>
        <v>6.3805502406037515</v>
      </c>
      <c r="O89" s="18">
        <f t="shared" si="39"/>
        <v>6.641633401239039</v>
      </c>
      <c r="P89" s="18">
        <f t="shared" si="39"/>
        <v>6.9133997183728884</v>
      </c>
      <c r="Q89" s="18">
        <f t="shared" si="39"/>
        <v>7.1962863317752301</v>
      </c>
      <c r="R89" s="18">
        <f t="shared" si="39"/>
        <v>7.4907482683618474</v>
      </c>
      <c r="S89" s="18">
        <f t="shared" si="39"/>
        <v>7.7972591741112804</v>
      </c>
      <c r="T89" s="18">
        <f t="shared" si="39"/>
        <v>8.1163120759307379</v>
      </c>
      <c r="U89" s="18">
        <f t="shared" si="39"/>
        <v>8.4484201746965013</v>
      </c>
      <c r="V89" s="18">
        <f t="shared" si="39"/>
        <v>8.7941176707444235</v>
      </c>
      <c r="W89" s="18">
        <f t="shared" si="39"/>
        <v>9.1539606231383441</v>
      </c>
      <c r="X89" s="18">
        <f t="shared" si="39"/>
        <v>9.5285278440985479</v>
      </c>
      <c r="Y89" s="18">
        <f t="shared" si="39"/>
        <v>9.9184218300290112</v>
      </c>
      <c r="Z89" s="18">
        <f t="shared" si="39"/>
        <v>10.324269730640948</v>
      </c>
      <c r="AA89" s="18">
        <f t="shared" si="39"/>
        <v>10.746724357731527</v>
      </c>
      <c r="AB89" s="18">
        <f t="shared" si="39"/>
        <v>11.186465235240433</v>
      </c>
      <c r="AC89" s="18">
        <f t="shared" si="39"/>
        <v>11.644199692273247</v>
      </c>
      <c r="AD89" s="18">
        <f t="shared" si="39"/>
        <v>12.120664000849786</v>
      </c>
      <c r="AE89" s="18">
        <f t="shared" si="39"/>
        <v>12.616624560207555</v>
      </c>
      <c r="AF89" s="18">
        <f t="shared" si="39"/>
        <v>13.132879129565215</v>
      </c>
      <c r="AG89" s="18">
        <f t="shared" si="39"/>
        <v>13.670258111328959</v>
      </c>
      <c r="AH89" s="18">
        <f t="shared" si="39"/>
        <v>14.229625886805987</v>
      </c>
      <c r="AI89" s="18">
        <f t="shared" si="39"/>
        <v>14.811882206573404</v>
      </c>
      <c r="AJ89" s="18">
        <f t="shared" si="39"/>
        <v>15.417963637739099</v>
      </c>
      <c r="AK89" s="18">
        <f t="shared" si="39"/>
        <v>16.048845070422551</v>
      </c>
      <c r="AL89" s="18">
        <f t="shared" si="39"/>
        <v>16.705541285878645</v>
      </c>
      <c r="AM89" s="18">
        <f t="shared" si="39"/>
        <v>17.389108588786961</v>
      </c>
      <c r="AN89" s="18">
        <f t="shared" si="39"/>
        <v>18.100646506332005</v>
      </c>
      <c r="AO89" s="18">
        <f t="shared" si="39"/>
        <v>18.841299556807481</v>
      </c>
      <c r="AP89" s="18">
        <f t="shared" si="39"/>
        <v>19.61225909058933</v>
      </c>
      <c r="AQ89" s="18">
        <f t="shared" si="39"/>
        <v>20.414765206438783</v>
      </c>
      <c r="AR89" s="18">
        <f t="shared" si="39"/>
        <v>21.250108746217883</v>
      </c>
    </row>
    <row r="90" spans="1:44" ht="15" x14ac:dyDescent="0.25">
      <c r="A90" s="2"/>
      <c r="C90" s="225"/>
      <c r="D90" s="85"/>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row>
    <row r="91" spans="1:44" ht="15" x14ac:dyDescent="0.25">
      <c r="A91" s="2" t="s">
        <v>271</v>
      </c>
      <c r="C91" s="225"/>
      <c r="D91" s="70"/>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row>
    <row r="92" spans="1:44" ht="15" x14ac:dyDescent="0.25">
      <c r="A92" s="2"/>
      <c r="B92" s="1" t="s">
        <v>115</v>
      </c>
      <c r="C92" s="225" t="s">
        <v>77</v>
      </c>
      <c r="D92" s="70">
        <f t="shared" ref="D92:D97" si="40">SUM(F92:AR92)</f>
        <v>1295817.8167681331</v>
      </c>
      <c r="F92" s="313">
        <f>F84*$D77</f>
        <v>14034.368491794999</v>
      </c>
      <c r="G92" s="313">
        <f t="shared" ref="G92:AR92" si="41">G84*$D77</f>
        <v>14608.63515300562</v>
      </c>
      <c r="H92" s="313">
        <f t="shared" si="41"/>
        <v>15206.400000000001</v>
      </c>
      <c r="I92" s="313">
        <f t="shared" si="41"/>
        <v>15828.624545560315</v>
      </c>
      <c r="J92" s="313">
        <f t="shared" si="41"/>
        <v>16476.309646222282</v>
      </c>
      <c r="K92" s="313">
        <f t="shared" si="41"/>
        <v>17150.497112166337</v>
      </c>
      <c r="L92" s="313">
        <f t="shared" si="41"/>
        <v>17852.271382983312</v>
      </c>
      <c r="M92" s="313">
        <f t="shared" si="41"/>
        <v>18582.761272010051</v>
      </c>
      <c r="N92" s="313">
        <f t="shared" si="41"/>
        <v>19343.141782040846</v>
      </c>
      <c r="O92" s="313">
        <f t="shared" si="41"/>
        <v>20134.635995335193</v>
      </c>
      <c r="P92" s="313">
        <f t="shared" si="41"/>
        <v>20958.517040962019</v>
      </c>
      <c r="Q92" s="313">
        <f t="shared" si="41"/>
        <v>21816.11014264491</v>
      </c>
      <c r="R92" s="313">
        <f t="shared" si="41"/>
        <v>22708.794750402234</v>
      </c>
      <c r="S92" s="313">
        <f t="shared" si="41"/>
        <v>23638.006759411041</v>
      </c>
      <c r="T92" s="313">
        <f t="shared" si="41"/>
        <v>24605.240819663712</v>
      </c>
      <c r="U92" s="313">
        <f t="shared" si="41"/>
        <v>25612.052740132553</v>
      </c>
      <c r="V92" s="313">
        <f t="shared" si="41"/>
        <v>26660.061991309412</v>
      </c>
      <c r="W92" s="313">
        <f t="shared" si="41"/>
        <v>27750.954310145713</v>
      </c>
      <c r="X92" s="313">
        <f t="shared" si="41"/>
        <v>28886.484411582969</v>
      </c>
      <c r="Y92" s="313">
        <f t="shared" si="41"/>
        <v>30068.478811035326</v>
      </c>
      <c r="Z92" s="313">
        <f t="shared" si="41"/>
        <v>31298.838762364136</v>
      </c>
      <c r="AA92" s="313">
        <f t="shared" si="41"/>
        <v>32579.543316070311</v>
      </c>
      <c r="AB92" s="313">
        <f t="shared" si="41"/>
        <v>33912.652502623634</v>
      </c>
      <c r="AC92" s="313">
        <f t="shared" si="41"/>
        <v>35300.310646049416</v>
      </c>
      <c r="AD92" s="313">
        <f t="shared" si="41"/>
        <v>36744.749813102506</v>
      </c>
      <c r="AE92" s="313">
        <f t="shared" si="41"/>
        <v>38248.293403576594</v>
      </c>
      <c r="AF92" s="313">
        <f t="shared" si="41"/>
        <v>39813.359887524013</v>
      </c>
      <c r="AG92" s="313">
        <f t="shared" si="41"/>
        <v>41442.46669539727</v>
      </c>
      <c r="AH92" s="313">
        <f t="shared" si="41"/>
        <v>43138.234267369735</v>
      </c>
      <c r="AI92" s="313">
        <f t="shared" si="41"/>
        <v>44903.390268348841</v>
      </c>
      <c r="AJ92" s="313">
        <f t="shared" si="41"/>
        <v>46740.773975461685</v>
      </c>
      <c r="AK92" s="313">
        <f t="shared" si="41"/>
        <v>48653.340845070466</v>
      </c>
      <c r="AL92" s="313">
        <f t="shared" si="41"/>
        <v>50644.16726666368</v>
      </c>
      <c r="AM92" s="313">
        <f t="shared" si="41"/>
        <v>52716.455511269938</v>
      </c>
      <c r="AN92" s="313">
        <f t="shared" si="41"/>
        <v>54873.538882353852</v>
      </c>
      <c r="AO92" s="313">
        <f t="shared" si="41"/>
        <v>57118.887077479521</v>
      </c>
      <c r="AP92" s="313">
        <f t="shared" si="41"/>
        <v>59456.111769365554</v>
      </c>
      <c r="AQ92" s="313">
        <f t="shared" si="41"/>
        <v>61888.972415309152</v>
      </c>
      <c r="AR92" s="313">
        <f t="shared" si="41"/>
        <v>64421.382304323684</v>
      </c>
    </row>
    <row r="93" spans="1:44" ht="15" x14ac:dyDescent="0.25">
      <c r="A93" s="2"/>
      <c r="B93" s="1" t="s">
        <v>118</v>
      </c>
      <c r="C93" s="225" t="s">
        <v>77</v>
      </c>
      <c r="D93" s="70">
        <f t="shared" si="40"/>
        <v>3532003.4241770282</v>
      </c>
      <c r="F93" s="313">
        <f t="shared" ref="F93:AR93" si="42">F85*$D78</f>
        <v>38253.400229371786</v>
      </c>
      <c r="G93" s="313">
        <f t="shared" si="42"/>
        <v>39818.675677463238</v>
      </c>
      <c r="H93" s="313">
        <f t="shared" si="42"/>
        <v>41448</v>
      </c>
      <c r="I93" s="313">
        <f t="shared" si="42"/>
        <v>43143.993987030713</v>
      </c>
      <c r="J93" s="313">
        <f t="shared" si="42"/>
        <v>44909.385667654482</v>
      </c>
      <c r="K93" s="313">
        <f t="shared" si="42"/>
        <v>46747.014698092273</v>
      </c>
      <c r="L93" s="313">
        <f t="shared" si="42"/>
        <v>48659.83692931215</v>
      </c>
      <c r="M93" s="313">
        <f t="shared" si="42"/>
        <v>50650.929161555177</v>
      </c>
      <c r="N93" s="313">
        <f t="shared" si="42"/>
        <v>52723.494093409943</v>
      </c>
      <c r="O93" s="313">
        <f t="shared" si="42"/>
        <v>54880.865473396268</v>
      </c>
      <c r="P93" s="313">
        <f t="shared" si="42"/>
        <v>57126.513462344388</v>
      </c>
      <c r="Q93" s="313">
        <f t="shared" si="42"/>
        <v>59464.050215195319</v>
      </c>
      <c r="R93" s="313">
        <f t="shared" si="42"/>
        <v>61897.235691200534</v>
      </c>
      <c r="S93" s="313">
        <f t="shared" si="42"/>
        <v>64429.983701866906</v>
      </c>
      <c r="T93" s="313">
        <f t="shared" si="42"/>
        <v>67066.368206375046</v>
      </c>
      <c r="U93" s="313">
        <f t="shared" si="42"/>
        <v>69810.629864597402</v>
      </c>
      <c r="V93" s="313">
        <f t="shared" si="42"/>
        <v>72667.18285825655</v>
      </c>
      <c r="W93" s="313">
        <f t="shared" si="42"/>
        <v>75640.621991195774</v>
      </c>
      <c r="X93" s="313">
        <f t="shared" si="42"/>
        <v>78735.730080182737</v>
      </c>
      <c r="Y93" s="313">
        <f t="shared" si="42"/>
        <v>81957.485648134476</v>
      </c>
      <c r="Z93" s="313">
        <f t="shared" si="42"/>
        <v>85311.070932138347</v>
      </c>
      <c r="AA93" s="313">
        <f t="shared" si="42"/>
        <v>88801.880219149971</v>
      </c>
      <c r="AB93" s="313">
        <f t="shared" si="42"/>
        <v>92435.528522776222</v>
      </c>
      <c r="AC93" s="313">
        <f t="shared" si="42"/>
        <v>96217.860615099984</v>
      </c>
      <c r="AD93" s="313">
        <f t="shared" si="42"/>
        <v>100154.96042807453</v>
      </c>
      <c r="AE93" s="313">
        <f t="shared" si="42"/>
        <v>104253.1608396098</v>
      </c>
      <c r="AF93" s="313">
        <f t="shared" si="42"/>
        <v>108519.05386009149</v>
      </c>
      <c r="AG93" s="313">
        <f t="shared" si="42"/>
        <v>112959.50123571826</v>
      </c>
      <c r="AH93" s="313">
        <f t="shared" si="42"/>
        <v>117581.64548571265</v>
      </c>
      <c r="AI93" s="313">
        <f t="shared" si="42"/>
        <v>122392.92139115917</v>
      </c>
      <c r="AJ93" s="313">
        <f t="shared" si="42"/>
        <v>127401.06795394937</v>
      </c>
      <c r="AK93" s="313">
        <f t="shared" si="42"/>
        <v>132614.14084507056</v>
      </c>
      <c r="AL93" s="313">
        <f t="shared" si="42"/>
        <v>138040.52536226038</v>
      </c>
      <c r="AM93" s="313">
        <f t="shared" si="42"/>
        <v>143688.94991787116</v>
      </c>
      <c r="AN93" s="313">
        <f t="shared" si="42"/>
        <v>149568.50007863811</v>
      </c>
      <c r="AO93" s="313">
        <f t="shared" si="42"/>
        <v>155688.63317993551</v>
      </c>
      <c r="AP93" s="313">
        <f t="shared" si="42"/>
        <v>162059.19353802761</v>
      </c>
      <c r="AQ93" s="313">
        <f t="shared" si="42"/>
        <v>168690.42828478361</v>
      </c>
      <c r="AR93" s="313">
        <f t="shared" si="42"/>
        <v>175593.0038503267</v>
      </c>
    </row>
    <row r="94" spans="1:44" ht="15" x14ac:dyDescent="0.25">
      <c r="A94" s="2"/>
      <c r="B94" s="1" t="s">
        <v>119</v>
      </c>
      <c r="C94" s="225" t="s">
        <v>77</v>
      </c>
      <c r="D94" s="70">
        <f t="shared" si="40"/>
        <v>10373291.585274065</v>
      </c>
      <c r="F94" s="313">
        <f t="shared" ref="F94:AR94" si="43">F86*$D79</f>
        <v>112348.0436035881</v>
      </c>
      <c r="G94" s="313">
        <f t="shared" si="43"/>
        <v>116945.16786546685</v>
      </c>
      <c r="H94" s="313">
        <f t="shared" si="43"/>
        <v>121730.40000000001</v>
      </c>
      <c r="I94" s="313">
        <f t="shared" si="43"/>
        <v>126711.43711732398</v>
      </c>
      <c r="J94" s="313">
        <f t="shared" si="43"/>
        <v>131896.291282519</v>
      </c>
      <c r="K94" s="313">
        <f t="shared" si="43"/>
        <v>137293.30240312323</v>
      </c>
      <c r="L94" s="313">
        <f t="shared" si="43"/>
        <v>142911.1516439862</v>
      </c>
      <c r="M94" s="313">
        <f t="shared" si="43"/>
        <v>148758.87539103877</v>
      </c>
      <c r="N94" s="313">
        <f t="shared" si="43"/>
        <v>154845.87978644157</v>
      </c>
      <c r="O94" s="313">
        <f t="shared" si="43"/>
        <v>161181.95585849058</v>
      </c>
      <c r="P94" s="313">
        <f t="shared" si="43"/>
        <v>167777.29527061782</v>
      </c>
      <c r="Q94" s="313">
        <f t="shared" si="43"/>
        <v>174642.50671481888</v>
      </c>
      <c r="R94" s="313">
        <f t="shared" si="43"/>
        <v>181788.63297587621</v>
      </c>
      <c r="S94" s="313">
        <f t="shared" si="43"/>
        <v>189227.16869382694</v>
      </c>
      <c r="T94" s="313">
        <f t="shared" si="43"/>
        <v>196970.07885324545</v>
      </c>
      <c r="U94" s="313">
        <f t="shared" si="43"/>
        <v>205029.81802908194</v>
      </c>
      <c r="V94" s="313">
        <f t="shared" si="43"/>
        <v>213419.35042001336</v>
      </c>
      <c r="W94" s="313">
        <f t="shared" si="43"/>
        <v>222152.17070153105</v>
      </c>
      <c r="X94" s="313">
        <f t="shared" si="43"/>
        <v>231242.32573230742</v>
      </c>
      <c r="Y94" s="313">
        <f t="shared" si="43"/>
        <v>240704.43714875673</v>
      </c>
      <c r="Z94" s="313">
        <f t="shared" si="43"/>
        <v>250553.72488413373</v>
      </c>
      <c r="AA94" s="313">
        <f t="shared" si="43"/>
        <v>260806.03165000037</v>
      </c>
      <c r="AB94" s="313">
        <f t="shared" si="43"/>
        <v>271477.84841944021</v>
      </c>
      <c r="AC94" s="313">
        <f t="shared" si="43"/>
        <v>282586.34095301019</v>
      </c>
      <c r="AD94" s="313">
        <f t="shared" si="43"/>
        <v>294149.37741009664</v>
      </c>
      <c r="AE94" s="313">
        <f t="shared" si="43"/>
        <v>306185.55709008971</v>
      </c>
      <c r="AF94" s="313">
        <f t="shared" si="43"/>
        <v>318714.24034960626</v>
      </c>
      <c r="AG94" s="313">
        <f t="shared" si="43"/>
        <v>331755.57974388334</v>
      </c>
      <c r="AH94" s="313">
        <f t="shared" si="43"/>
        <v>345330.55244243378</v>
      </c>
      <c r="AI94" s="313">
        <f t="shared" si="43"/>
        <v>359460.99397110502</v>
      </c>
      <c r="AJ94" s="313">
        <f t="shared" si="43"/>
        <v>374169.63333481568</v>
      </c>
      <c r="AK94" s="313">
        <f t="shared" si="43"/>
        <v>389480.12957746518</v>
      </c>
      <c r="AL94" s="313">
        <f t="shared" si="43"/>
        <v>405417.10983782331</v>
      </c>
      <c r="AM94" s="313">
        <f t="shared" si="43"/>
        <v>422006.20896261401</v>
      </c>
      <c r="AN94" s="313">
        <f t="shared" si="43"/>
        <v>439274.11074050976</v>
      </c>
      <c r="AO94" s="313">
        <f t="shared" si="43"/>
        <v>457248.59082336474</v>
      </c>
      <c r="AP94" s="313">
        <f t="shared" si="43"/>
        <v>475958.5614037232</v>
      </c>
      <c r="AQ94" s="313">
        <f t="shared" si="43"/>
        <v>495434.11772046966</v>
      </c>
      <c r="AR94" s="313">
        <f t="shared" si="43"/>
        <v>515706.58646742452</v>
      </c>
    </row>
    <row r="95" spans="1:44" ht="15" x14ac:dyDescent="0.25">
      <c r="A95" s="2"/>
      <c r="B95" s="1" t="s">
        <v>120</v>
      </c>
      <c r="C95" s="225" t="s">
        <v>77</v>
      </c>
      <c r="D95" s="70">
        <f t="shared" si="40"/>
        <v>8463310.115766868</v>
      </c>
      <c r="F95" s="313">
        <f t="shared" ref="F95:AR95" si="44">F87*$D80</f>
        <v>91661.9692120361</v>
      </c>
      <c r="G95" s="313">
        <f t="shared" si="44"/>
        <v>95412.648343067951</v>
      </c>
      <c r="H95" s="313">
        <f t="shared" si="44"/>
        <v>99316.800000000003</v>
      </c>
      <c r="I95" s="313">
        <f t="shared" si="44"/>
        <v>103380.7040631908</v>
      </c>
      <c r="J95" s="313">
        <f t="shared" si="44"/>
        <v>107610.89737688928</v>
      </c>
      <c r="K95" s="313">
        <f t="shared" si="44"/>
        <v>112014.18426383642</v>
      </c>
      <c r="L95" s="313">
        <f t="shared" si="44"/>
        <v>116597.64747010976</v>
      </c>
      <c r="M95" s="313">
        <f t="shared" si="44"/>
        <v>121368.65955781564</v>
      </c>
      <c r="N95" s="313">
        <f t="shared" si="44"/>
        <v>126334.89476395427</v>
      </c>
      <c r="O95" s="313">
        <f t="shared" si="44"/>
        <v>131504.34134453296</v>
      </c>
      <c r="P95" s="313">
        <f t="shared" si="44"/>
        <v>136885.31442378319</v>
      </c>
      <c r="Q95" s="313">
        <f t="shared" si="44"/>
        <v>142486.46936914956</v>
      </c>
      <c r="R95" s="313">
        <f t="shared" si="44"/>
        <v>148316.8157135646</v>
      </c>
      <c r="S95" s="313">
        <f t="shared" si="44"/>
        <v>154385.73164740336</v>
      </c>
      <c r="T95" s="313">
        <f t="shared" si="44"/>
        <v>160702.97910342863</v>
      </c>
      <c r="U95" s="313">
        <f t="shared" si="44"/>
        <v>167278.71945899073</v>
      </c>
      <c r="V95" s="313">
        <f t="shared" si="44"/>
        <v>174123.52988073957</v>
      </c>
      <c r="W95" s="313">
        <f t="shared" si="44"/>
        <v>181248.4203381392</v>
      </c>
      <c r="X95" s="313">
        <f t="shared" si="44"/>
        <v>188664.85131315127</v>
      </c>
      <c r="Y95" s="313">
        <f t="shared" si="44"/>
        <v>196384.75223457447</v>
      </c>
      <c r="Z95" s="313">
        <f t="shared" si="44"/>
        <v>204420.54066669077</v>
      </c>
      <c r="AA95" s="313">
        <f t="shared" si="44"/>
        <v>212785.14228308425</v>
      </c>
      <c r="AB95" s="313">
        <f t="shared" si="44"/>
        <v>221492.01165776062</v>
      </c>
      <c r="AC95" s="313">
        <f t="shared" si="44"/>
        <v>230555.15390701027</v>
      </c>
      <c r="AD95" s="313">
        <f t="shared" si="44"/>
        <v>239989.14721682572</v>
      </c>
      <c r="AE95" s="313">
        <f t="shared" si="44"/>
        <v>249809.16629210961</v>
      </c>
      <c r="AF95" s="313">
        <f t="shared" si="44"/>
        <v>260031.00676539118</v>
      </c>
      <c r="AG95" s="313">
        <f t="shared" si="44"/>
        <v>270671.11060431344</v>
      </c>
      <c r="AH95" s="313">
        <f t="shared" si="44"/>
        <v>281746.59255875862</v>
      </c>
      <c r="AI95" s="313">
        <f t="shared" si="44"/>
        <v>293275.26769015333</v>
      </c>
      <c r="AJ95" s="313">
        <f t="shared" si="44"/>
        <v>305275.68002723414</v>
      </c>
      <c r="AK95" s="313">
        <f t="shared" si="44"/>
        <v>317767.13239436655</v>
      </c>
      <c r="AL95" s="313">
        <f t="shared" si="44"/>
        <v>330769.71746039722</v>
      </c>
      <c r="AM95" s="313">
        <f t="shared" si="44"/>
        <v>344304.35005798173</v>
      </c>
      <c r="AN95" s="313">
        <f t="shared" si="44"/>
        <v>358392.80082537362</v>
      </c>
      <c r="AO95" s="313">
        <f t="shared" si="44"/>
        <v>373057.73122478818</v>
      </c>
      <c r="AP95" s="313">
        <f t="shared" si="44"/>
        <v>388322.72999366873</v>
      </c>
      <c r="AQ95" s="313">
        <f t="shared" si="44"/>
        <v>404212.35108748788</v>
      </c>
      <c r="AR95" s="313">
        <f t="shared" si="44"/>
        <v>420752.15317511413</v>
      </c>
    </row>
    <row r="96" spans="1:44" ht="15" x14ac:dyDescent="0.25">
      <c r="A96" s="2"/>
      <c r="B96" s="64" t="s">
        <v>121</v>
      </c>
      <c r="C96" s="230" t="s">
        <v>77</v>
      </c>
      <c r="D96" s="75">
        <f t="shared" si="40"/>
        <v>391348978.97709435</v>
      </c>
      <c r="E96" s="64"/>
      <c r="F96" s="76">
        <f t="shared" ref="F96:AR96" si="45">F88*$D81</f>
        <v>4238509.2323784959</v>
      </c>
      <c r="G96" s="76">
        <f t="shared" si="45"/>
        <v>4411943.0813480029</v>
      </c>
      <c r="H96" s="76">
        <f t="shared" si="45"/>
        <v>4592473.6000000006</v>
      </c>
      <c r="I96" s="76">
        <f t="shared" si="45"/>
        <v>4780391.1740975995</v>
      </c>
      <c r="J96" s="76">
        <f t="shared" si="45"/>
        <v>4975998.071581779</v>
      </c>
      <c r="K96" s="76">
        <f t="shared" si="45"/>
        <v>5179608.9287734218</v>
      </c>
      <c r="L96" s="76">
        <f t="shared" si="45"/>
        <v>5391551.2564700618</v>
      </c>
      <c r="M96" s="76">
        <f t="shared" si="45"/>
        <v>5612165.966751406</v>
      </c>
      <c r="N96" s="76">
        <f t="shared" si="45"/>
        <v>5841807.9213409843</v>
      </c>
      <c r="O96" s="76">
        <f t="shared" si="45"/>
        <v>6080846.5024059992</v>
      </c>
      <c r="P96" s="76">
        <f t="shared" si="45"/>
        <v>6329666.2067135014</v>
      </c>
      <c r="Q96" s="76">
        <f t="shared" si="45"/>
        <v>6588667.2640986014</v>
      </c>
      <c r="R96" s="76">
        <f t="shared" si="45"/>
        <v>6858266.2812395338</v>
      </c>
      <c r="S96" s="76">
        <f t="shared" si="45"/>
        <v>7138896.9117750926</v>
      </c>
      <c r="T96" s="76">
        <f t="shared" si="45"/>
        <v>7431010.5538423266</v>
      </c>
      <c r="U96" s="76">
        <f t="shared" si="45"/>
        <v>7735077.0761565128</v>
      </c>
      <c r="V96" s="76">
        <f t="shared" si="45"/>
        <v>8051585.5738012874</v>
      </c>
      <c r="W96" s="76">
        <f t="shared" si="45"/>
        <v>8381045.1549446555</v>
      </c>
      <c r="X96" s="76">
        <f t="shared" si="45"/>
        <v>8723985.7597463112</v>
      </c>
      <c r="Y96" s="76">
        <f t="shared" si="45"/>
        <v>9080959.0127735101</v>
      </c>
      <c r="Z96" s="76">
        <f t="shared" si="45"/>
        <v>9452539.1102965847</v>
      </c>
      <c r="AA96" s="76">
        <f t="shared" si="45"/>
        <v>9839323.7438913472</v>
      </c>
      <c r="AB96" s="76">
        <f t="shared" si="45"/>
        <v>10241935.061834028</v>
      </c>
      <c r="AC96" s="76">
        <f t="shared" si="45"/>
        <v>10661020.66983513</v>
      </c>
      <c r="AD96" s="76">
        <f t="shared" si="45"/>
        <v>11097254.672721893</v>
      </c>
      <c r="AE96" s="76">
        <f t="shared" si="45"/>
        <v>11551338.758744979</v>
      </c>
      <c r="AF96" s="76">
        <f t="shared" si="45"/>
        <v>12024003.328253431</v>
      </c>
      <c r="AG96" s="76">
        <f t="shared" si="45"/>
        <v>12516008.668553453</v>
      </c>
      <c r="AH96" s="76">
        <f t="shared" si="45"/>
        <v>13028146.17684073</v>
      </c>
      <c r="AI96" s="76">
        <f t="shared" si="45"/>
        <v>13561239.633173464</v>
      </c>
      <c r="AJ96" s="76">
        <f t="shared" si="45"/>
        <v>14116146.525533646</v>
      </c>
      <c r="AK96" s="76">
        <f t="shared" si="45"/>
        <v>14693759.429107998</v>
      </c>
      <c r="AL96" s="76">
        <f t="shared" si="45"/>
        <v>15295007.442007126</v>
      </c>
      <c r="AM96" s="76">
        <f t="shared" si="45"/>
        <v>15920857.679732326</v>
      </c>
      <c r="AN96" s="76">
        <f t="shared" si="45"/>
        <v>16572316.830793848</v>
      </c>
      <c r="AO96" s="76">
        <f t="shared" si="45"/>
        <v>17250432.775982868</v>
      </c>
      <c r="AP96" s="76">
        <f t="shared" si="45"/>
        <v>17956296.273901816</v>
      </c>
      <c r="AQ96" s="76">
        <f t="shared" si="45"/>
        <v>18691042.715464246</v>
      </c>
      <c r="AR96" s="76">
        <f t="shared" si="45"/>
        <v>19455853.950186349</v>
      </c>
    </row>
    <row r="97" spans="1:44" ht="15" x14ac:dyDescent="0.25">
      <c r="A97" s="2"/>
      <c r="B97" s="1" t="s">
        <v>34</v>
      </c>
      <c r="C97" s="225" t="s">
        <v>77</v>
      </c>
      <c r="D97" s="70">
        <f t="shared" si="40"/>
        <v>415013401.91908056</v>
      </c>
      <c r="F97" s="18">
        <f>SUM(F92:F96)</f>
        <v>4494807.0139152873</v>
      </c>
      <c r="G97" s="18">
        <f t="shared" ref="G97:AR97" si="46">SUM(G92:G96)</f>
        <v>4678728.2083870061</v>
      </c>
      <c r="H97" s="18">
        <f t="shared" si="46"/>
        <v>4870175.2</v>
      </c>
      <c r="I97" s="18">
        <f t="shared" si="46"/>
        <v>5069455.9338107053</v>
      </c>
      <c r="J97" s="18">
        <f t="shared" si="46"/>
        <v>5276890.9555550637</v>
      </c>
      <c r="K97" s="18">
        <f t="shared" si="46"/>
        <v>5492813.9272506405</v>
      </c>
      <c r="L97" s="18">
        <f t="shared" si="46"/>
        <v>5717572.1638964536</v>
      </c>
      <c r="M97" s="18">
        <f t="shared" si="46"/>
        <v>5951527.1921338253</v>
      </c>
      <c r="N97" s="18">
        <f t="shared" si="46"/>
        <v>6195055.3317668308</v>
      </c>
      <c r="O97" s="18">
        <f t="shared" si="46"/>
        <v>6448548.3010777542</v>
      </c>
      <c r="P97" s="18">
        <f t="shared" si="46"/>
        <v>6712413.8469112087</v>
      </c>
      <c r="Q97" s="18">
        <f t="shared" si="46"/>
        <v>6987076.4005404096</v>
      </c>
      <c r="R97" s="18">
        <f t="shared" si="46"/>
        <v>7272977.7603705777</v>
      </c>
      <c r="S97" s="18">
        <f t="shared" si="46"/>
        <v>7570577.8025776008</v>
      </c>
      <c r="T97" s="18">
        <f t="shared" si="46"/>
        <v>7880355.2208250398</v>
      </c>
      <c r="U97" s="18">
        <f t="shared" si="46"/>
        <v>8202808.2962493151</v>
      </c>
      <c r="V97" s="18">
        <f t="shared" si="46"/>
        <v>8538455.6989516057</v>
      </c>
      <c r="W97" s="18">
        <f t="shared" si="46"/>
        <v>8887837.3222856671</v>
      </c>
      <c r="X97" s="18">
        <f t="shared" si="46"/>
        <v>9251515.1512835361</v>
      </c>
      <c r="Y97" s="18">
        <f t="shared" si="46"/>
        <v>9630074.1666160114</v>
      </c>
      <c r="Z97" s="18">
        <f t="shared" si="46"/>
        <v>10024123.285541911</v>
      </c>
      <c r="AA97" s="18">
        <f t="shared" si="46"/>
        <v>10434296.341359653</v>
      </c>
      <c r="AB97" s="18">
        <f t="shared" si="46"/>
        <v>10861253.102936629</v>
      </c>
      <c r="AC97" s="18">
        <f t="shared" si="46"/>
        <v>11305680.3359563</v>
      </c>
      <c r="AD97" s="18">
        <f t="shared" si="46"/>
        <v>11768292.907589993</v>
      </c>
      <c r="AE97" s="18">
        <f t="shared" si="46"/>
        <v>12249834.936370365</v>
      </c>
      <c r="AF97" s="18">
        <f t="shared" si="46"/>
        <v>12751080.989116045</v>
      </c>
      <c r="AG97" s="18">
        <f t="shared" si="46"/>
        <v>13272837.326832766</v>
      </c>
      <c r="AH97" s="18">
        <f t="shared" si="46"/>
        <v>13815943.201595005</v>
      </c>
      <c r="AI97" s="18">
        <f t="shared" si="46"/>
        <v>14381272.206494231</v>
      </c>
      <c r="AJ97" s="18">
        <f t="shared" si="46"/>
        <v>14969733.680825107</v>
      </c>
      <c r="AK97" s="18">
        <f t="shared" si="46"/>
        <v>15582274.172769971</v>
      </c>
      <c r="AL97" s="18">
        <f t="shared" si="46"/>
        <v>16219878.96193427</v>
      </c>
      <c r="AM97" s="18">
        <f t="shared" si="46"/>
        <v>16883573.644182064</v>
      </c>
      <c r="AN97" s="18">
        <f t="shared" si="46"/>
        <v>17574425.781320725</v>
      </c>
      <c r="AO97" s="18">
        <f t="shared" si="46"/>
        <v>18293546.618288435</v>
      </c>
      <c r="AP97" s="18">
        <f t="shared" si="46"/>
        <v>19042092.870606601</v>
      </c>
      <c r="AQ97" s="18">
        <f t="shared" si="46"/>
        <v>19821268.584972296</v>
      </c>
      <c r="AR97" s="18">
        <f t="shared" si="46"/>
        <v>20632327.075983539</v>
      </c>
    </row>
    <row r="98" spans="1:44" ht="15" x14ac:dyDescent="0.25">
      <c r="A98" s="2"/>
      <c r="C98" s="225"/>
      <c r="D98" s="70"/>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row>
    <row r="99" spans="1:44" s="8" customFormat="1" x14ac:dyDescent="0.2">
      <c r="A99" s="7" t="s">
        <v>275</v>
      </c>
      <c r="B99" s="7"/>
      <c r="C99" s="226"/>
    </row>
    <row r="100" spans="1:44" ht="15" x14ac:dyDescent="0.25">
      <c r="A100" s="2" t="s">
        <v>276</v>
      </c>
      <c r="C100" s="20"/>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row>
    <row r="101" spans="1:44" x14ac:dyDescent="0.2">
      <c r="B101" s="1" t="s">
        <v>241</v>
      </c>
      <c r="C101" s="225" t="s">
        <v>77</v>
      </c>
      <c r="D101" s="70">
        <f>SUM(F101:AR101)</f>
        <v>256834717.10960492</v>
      </c>
      <c r="F101" s="18">
        <f t="shared" ref="F101:AR101" si="47">F$11*F15*(F$60-F$97)</f>
        <v>0</v>
      </c>
      <c r="G101" s="18">
        <f t="shared" si="47"/>
        <v>0</v>
      </c>
      <c r="H101" s="18">
        <f t="shared" si="47"/>
        <v>0</v>
      </c>
      <c r="I101" s="18">
        <f t="shared" si="47"/>
        <v>0</v>
      </c>
      <c r="J101" s="18">
        <f t="shared" si="47"/>
        <v>0</v>
      </c>
      <c r="K101" s="18">
        <f t="shared" si="47"/>
        <v>0</v>
      </c>
      <c r="L101" s="18">
        <f t="shared" si="47"/>
        <v>0</v>
      </c>
      <c r="M101" s="18">
        <f t="shared" si="47"/>
        <v>0</v>
      </c>
      <c r="N101" s="18">
        <f t="shared" si="47"/>
        <v>0</v>
      </c>
      <c r="O101" s="18">
        <f t="shared" si="47"/>
        <v>0</v>
      </c>
      <c r="P101" s="18">
        <f t="shared" si="47"/>
        <v>8543072.1687960867</v>
      </c>
      <c r="Q101" s="18">
        <f t="shared" si="47"/>
        <v>8892642.6915968861</v>
      </c>
      <c r="R101" s="18">
        <f t="shared" si="47"/>
        <v>9256517.1495625563</v>
      </c>
      <c r="S101" s="18">
        <f t="shared" si="47"/>
        <v>9635280.8396442197</v>
      </c>
      <c r="T101" s="18">
        <f t="shared" si="47"/>
        <v>10029543.008322783</v>
      </c>
      <c r="U101" s="18">
        <f t="shared" si="47"/>
        <v>10439937.831590038</v>
      </c>
      <c r="V101" s="18">
        <f t="shared" si="47"/>
        <v>10867125.435029317</v>
      </c>
      <c r="W101" s="18">
        <f t="shared" si="47"/>
        <v>11311792.955636304</v>
      </c>
      <c r="X101" s="18">
        <f t="shared" si="47"/>
        <v>11774655.647088137</v>
      </c>
      <c r="Y101" s="18">
        <f t="shared" si="47"/>
        <v>12256458.030238561</v>
      </c>
      <c r="Z101" s="18">
        <f t="shared" si="47"/>
        <v>12757975.090689704</v>
      </c>
      <c r="AA101" s="18">
        <f t="shared" si="47"/>
        <v>13280013.525366824</v>
      </c>
      <c r="AB101" s="18">
        <f t="shared" si="47"/>
        <v>13823413.040101163</v>
      </c>
      <c r="AC101" s="18">
        <f t="shared" si="47"/>
        <v>14389047.700308016</v>
      </c>
      <c r="AD101" s="18">
        <f t="shared" si="47"/>
        <v>14977827.336932717</v>
      </c>
      <c r="AE101" s="18">
        <f t="shared" si="47"/>
        <v>15590699.009925917</v>
      </c>
      <c r="AF101" s="18">
        <f t="shared" si="47"/>
        <v>16228648.531602243</v>
      </c>
      <c r="AG101" s="18">
        <f t="shared" si="47"/>
        <v>16892702.05233261</v>
      </c>
      <c r="AH101" s="18">
        <f t="shared" si="47"/>
        <v>17583927.711120915</v>
      </c>
      <c r="AI101" s="18">
        <f t="shared" si="47"/>
        <v>18303437.353719927</v>
      </c>
      <c r="AJ101" s="18">
        <f t="shared" si="47"/>
        <v>0</v>
      </c>
      <c r="AK101" s="18">
        <f t="shared" si="47"/>
        <v>0</v>
      </c>
      <c r="AL101" s="18">
        <f t="shared" si="47"/>
        <v>0</v>
      </c>
      <c r="AM101" s="18">
        <f t="shared" si="47"/>
        <v>0</v>
      </c>
      <c r="AN101" s="18">
        <f t="shared" si="47"/>
        <v>0</v>
      </c>
      <c r="AO101" s="18">
        <f t="shared" si="47"/>
        <v>0</v>
      </c>
      <c r="AP101" s="18">
        <f t="shared" si="47"/>
        <v>0</v>
      </c>
      <c r="AQ101" s="18">
        <f t="shared" si="47"/>
        <v>0</v>
      </c>
      <c r="AR101" s="18">
        <f t="shared" si="47"/>
        <v>0</v>
      </c>
    </row>
    <row r="102" spans="1:44" x14ac:dyDescent="0.2">
      <c r="B102" s="1" t="s">
        <v>242</v>
      </c>
      <c r="C102" s="225" t="s">
        <v>77</v>
      </c>
      <c r="D102" s="70">
        <f>SUM(F102:AR102)</f>
        <v>153847938.89085609</v>
      </c>
      <c r="F102" s="18">
        <f t="shared" ref="F102:AR102" si="48">F$11*F16*(F$60-F$97)</f>
        <v>0</v>
      </c>
      <c r="G102" s="18">
        <f t="shared" si="48"/>
        <v>0</v>
      </c>
      <c r="H102" s="18">
        <f t="shared" si="48"/>
        <v>0</v>
      </c>
      <c r="I102" s="18">
        <f t="shared" si="48"/>
        <v>0</v>
      </c>
      <c r="J102" s="18">
        <f t="shared" si="48"/>
        <v>0</v>
      </c>
      <c r="K102" s="18">
        <f t="shared" si="48"/>
        <v>0</v>
      </c>
      <c r="L102" s="18">
        <f t="shared" si="48"/>
        <v>0</v>
      </c>
      <c r="M102" s="18">
        <f t="shared" si="48"/>
        <v>0</v>
      </c>
      <c r="N102" s="18">
        <f t="shared" si="48"/>
        <v>0</v>
      </c>
      <c r="O102" s="18">
        <f t="shared" si="48"/>
        <v>0</v>
      </c>
      <c r="P102" s="18">
        <f t="shared" si="48"/>
        <v>6946299.4612417528</v>
      </c>
      <c r="Q102" s="18">
        <f t="shared" si="48"/>
        <v>7019934.2582009146</v>
      </c>
      <c r="R102" s="18">
        <f t="shared" si="48"/>
        <v>7094349.6266504787</v>
      </c>
      <c r="S102" s="18">
        <f t="shared" si="48"/>
        <v>7169553.8411002727</v>
      </c>
      <c r="T102" s="18">
        <f t="shared" si="48"/>
        <v>7245555.2637747359</v>
      </c>
      <c r="U102" s="18">
        <f t="shared" si="48"/>
        <v>7322362.3455427093</v>
      </c>
      <c r="V102" s="18">
        <f t="shared" si="48"/>
        <v>7399983.6268571597</v>
      </c>
      <c r="W102" s="18">
        <f t="shared" si="48"/>
        <v>7478427.7387047866</v>
      </c>
      <c r="X102" s="18">
        <f t="shared" si="48"/>
        <v>7557703.4035657495</v>
      </c>
      <c r="Y102" s="18">
        <f t="shared" si="48"/>
        <v>7637819.4363835556</v>
      </c>
      <c r="Z102" s="18">
        <f t="shared" si="48"/>
        <v>7718784.7455452075</v>
      </c>
      <c r="AA102" s="18">
        <f t="shared" si="48"/>
        <v>7800608.3338717725</v>
      </c>
      <c r="AB102" s="18">
        <f t="shared" si="48"/>
        <v>7883299.2996194456</v>
      </c>
      <c r="AC102" s="18">
        <f t="shared" si="48"/>
        <v>7966866.8374911891</v>
      </c>
      <c r="AD102" s="18">
        <f t="shared" si="48"/>
        <v>8051320.2396591529</v>
      </c>
      <c r="AE102" s="18">
        <f t="shared" si="48"/>
        <v>8136668.896797887</v>
      </c>
      <c r="AF102" s="18">
        <f t="shared" si="48"/>
        <v>8222922.2991285371</v>
      </c>
      <c r="AG102" s="18">
        <f t="shared" si="48"/>
        <v>8310090.03747408</v>
      </c>
      <c r="AH102" s="18">
        <f t="shared" si="48"/>
        <v>8398181.8043257762</v>
      </c>
      <c r="AI102" s="18">
        <f t="shared" si="48"/>
        <v>8487207.3949209042</v>
      </c>
      <c r="AJ102" s="18">
        <f t="shared" si="48"/>
        <v>0</v>
      </c>
      <c r="AK102" s="18">
        <f t="shared" si="48"/>
        <v>0</v>
      </c>
      <c r="AL102" s="18">
        <f t="shared" si="48"/>
        <v>0</v>
      </c>
      <c r="AM102" s="18">
        <f t="shared" si="48"/>
        <v>0</v>
      </c>
      <c r="AN102" s="18">
        <f t="shared" si="48"/>
        <v>0</v>
      </c>
      <c r="AO102" s="18">
        <f t="shared" si="48"/>
        <v>0</v>
      </c>
      <c r="AP102" s="18">
        <f t="shared" si="48"/>
        <v>0</v>
      </c>
      <c r="AQ102" s="18">
        <f t="shared" si="48"/>
        <v>0</v>
      </c>
      <c r="AR102" s="18">
        <f t="shared" si="48"/>
        <v>0</v>
      </c>
    </row>
    <row r="103" spans="1:44" x14ac:dyDescent="0.2">
      <c r="B103" s="1" t="s">
        <v>243</v>
      </c>
      <c r="C103" s="225" t="s">
        <v>77</v>
      </c>
      <c r="D103" s="70">
        <f>SUM(F103:AR103)</f>
        <v>82935278.752578303</v>
      </c>
      <c r="F103" s="18">
        <f t="shared" ref="F103:AR103" si="49">F$11*F17*(F$60-F$97)</f>
        <v>0</v>
      </c>
      <c r="G103" s="18">
        <f t="shared" si="49"/>
        <v>0</v>
      </c>
      <c r="H103" s="18">
        <f t="shared" si="49"/>
        <v>0</v>
      </c>
      <c r="I103" s="18">
        <f t="shared" si="49"/>
        <v>0</v>
      </c>
      <c r="J103" s="18">
        <f t="shared" si="49"/>
        <v>0</v>
      </c>
      <c r="K103" s="18">
        <f t="shared" si="49"/>
        <v>0</v>
      </c>
      <c r="L103" s="18">
        <f t="shared" si="49"/>
        <v>0</v>
      </c>
      <c r="M103" s="18">
        <f t="shared" si="49"/>
        <v>0</v>
      </c>
      <c r="N103" s="18">
        <f t="shared" si="49"/>
        <v>0</v>
      </c>
      <c r="O103" s="18">
        <f t="shared" si="49"/>
        <v>0</v>
      </c>
      <c r="P103" s="18">
        <f t="shared" si="49"/>
        <v>5320195.9880191972</v>
      </c>
      <c r="Q103" s="18">
        <f t="shared" si="49"/>
        <v>5175599.0101531362</v>
      </c>
      <c r="R103" s="18">
        <f t="shared" si="49"/>
        <v>5034932.0164559111</v>
      </c>
      <c r="S103" s="18">
        <f t="shared" si="49"/>
        <v>4898088.1943523483</v>
      </c>
      <c r="T103" s="18">
        <f t="shared" si="49"/>
        <v>4764963.6343136393</v>
      </c>
      <c r="U103" s="18">
        <f t="shared" si="49"/>
        <v>4635457.2509557661</v>
      </c>
      <c r="V103" s="18">
        <f t="shared" si="49"/>
        <v>4509470.7062824247</v>
      </c>
      <c r="W103" s="18">
        <f t="shared" si="49"/>
        <v>4386908.3350140825</v>
      </c>
      <c r="X103" s="18">
        <f t="shared" si="49"/>
        <v>4267677.0719465278</v>
      </c>
      <c r="Y103" s="18">
        <f t="shared" si="49"/>
        <v>4151686.3812837414</v>
      </c>
      <c r="Z103" s="18">
        <f t="shared" si="49"/>
        <v>4038848.1878913939</v>
      </c>
      <c r="AA103" s="18">
        <f t="shared" si="49"/>
        <v>3929076.8104188233</v>
      </c>
      <c r="AB103" s="18">
        <f t="shared" si="49"/>
        <v>3822288.8962386735</v>
      </c>
      <c r="AC103" s="18">
        <f t="shared" si="49"/>
        <v>3718403.3581547881</v>
      </c>
      <c r="AD103" s="18">
        <f t="shared" si="49"/>
        <v>3617341.3128303322</v>
      </c>
      <c r="AE103" s="18">
        <f t="shared" si="49"/>
        <v>3519026.0208893577</v>
      </c>
      <c r="AF103" s="18">
        <f t="shared" si="49"/>
        <v>3423382.828646346</v>
      </c>
      <c r="AG103" s="18">
        <f t="shared" si="49"/>
        <v>3330339.1114194696</v>
      </c>
      <c r="AH103" s="18">
        <f t="shared" si="49"/>
        <v>3239824.2183845453</v>
      </c>
      <c r="AI103" s="18">
        <f t="shared" si="49"/>
        <v>3151769.4189277892</v>
      </c>
      <c r="AJ103" s="18">
        <f t="shared" si="49"/>
        <v>0</v>
      </c>
      <c r="AK103" s="18">
        <f t="shared" si="49"/>
        <v>0</v>
      </c>
      <c r="AL103" s="18">
        <f t="shared" si="49"/>
        <v>0</v>
      </c>
      <c r="AM103" s="18">
        <f t="shared" si="49"/>
        <v>0</v>
      </c>
      <c r="AN103" s="18">
        <f t="shared" si="49"/>
        <v>0</v>
      </c>
      <c r="AO103" s="18">
        <f t="shared" si="49"/>
        <v>0</v>
      </c>
      <c r="AP103" s="18">
        <f t="shared" si="49"/>
        <v>0</v>
      </c>
      <c r="AQ103" s="18">
        <f t="shared" si="49"/>
        <v>0</v>
      </c>
      <c r="AR103" s="18">
        <f t="shared" si="49"/>
        <v>0</v>
      </c>
    </row>
    <row r="104" spans="1:44" x14ac:dyDescent="0.2">
      <c r="C104" s="225"/>
      <c r="D104" s="70"/>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F4CD0-86FA-43CD-AE33-31957FAF9407}">
  <sheetPr>
    <tabColor theme="9"/>
  </sheetPr>
  <dimension ref="A1:AS117"/>
  <sheetViews>
    <sheetView workbookViewId="0">
      <pane xSplit="4" ySplit="11" topLeftCell="AG69" activePane="bottomRight" state="frozen"/>
      <selection pane="topRight" activeCell="E1" sqref="E1"/>
      <selection pane="bottomLeft" activeCell="A12" sqref="A12"/>
      <selection pane="bottomRight" activeCell="D74" sqref="D74"/>
    </sheetView>
  </sheetViews>
  <sheetFormatPr defaultColWidth="0" defaultRowHeight="14.25" x14ac:dyDescent="0.2"/>
  <cols>
    <col min="1" max="1" width="10.5703125" style="1" customWidth="1"/>
    <col min="2" max="2" width="32.5703125" style="1" bestFit="1" customWidth="1"/>
    <col min="3" max="3" width="22.28515625" style="1" bestFit="1" customWidth="1"/>
    <col min="4" max="4" width="15" style="1" bestFit="1" customWidth="1"/>
    <col min="5" max="5" width="1.5703125" style="1" customWidth="1"/>
    <col min="6" max="44" width="14.42578125" style="1" customWidth="1"/>
    <col min="45" max="45" width="9.140625" style="1" customWidth="1"/>
    <col min="46" max="16384" width="9.140625" style="1" hidden="1"/>
  </cols>
  <sheetData>
    <row r="1" spans="1:44" ht="19.5" x14ac:dyDescent="0.3">
      <c r="A1" s="6" t="str">
        <f>'OUTPUT Summary'!$A$1</f>
        <v>ODOT Roosevelt Memorial Bridge US-70</v>
      </c>
    </row>
    <row r="2" spans="1:44" ht="19.5" x14ac:dyDescent="0.3">
      <c r="A2" s="6" t="s">
        <v>277</v>
      </c>
      <c r="C2" s="11"/>
    </row>
    <row r="3" spans="1:44" x14ac:dyDescent="0.2">
      <c r="A3" s="51">
        <f ca="1">'OUTPUT Summary'!A3</f>
        <v>45156</v>
      </c>
      <c r="C3" s="11"/>
    </row>
    <row r="4" spans="1:44" x14ac:dyDescent="0.2">
      <c r="A4" s="52" t="str">
        <f>'OUTPUT Summary'!A4</f>
        <v>All $ values 2021, unless otherwise noted</v>
      </c>
      <c r="C4" s="11"/>
    </row>
    <row r="5" spans="1:44" x14ac:dyDescent="0.2">
      <c r="B5" s="66"/>
      <c r="C5" s="11"/>
    </row>
    <row r="6" spans="1:44" x14ac:dyDescent="0.2">
      <c r="C6" s="1" t="s">
        <v>44</v>
      </c>
      <c r="D6" s="1" t="s">
        <v>45</v>
      </c>
    </row>
    <row r="7" spans="1:44" s="8" customFormat="1" x14ac:dyDescent="0.2">
      <c r="A7" s="8" t="s">
        <v>224</v>
      </c>
      <c r="C7" s="226" t="s">
        <v>224</v>
      </c>
      <c r="F7" s="8">
        <f>INPUTS!$E$12</f>
        <v>2018</v>
      </c>
      <c r="G7" s="8">
        <f>F7+1</f>
        <v>2019</v>
      </c>
      <c r="H7" s="8">
        <f t="shared" ref="H7:W8" si="0">G7+1</f>
        <v>2020</v>
      </c>
      <c r="I7" s="8">
        <f t="shared" si="0"/>
        <v>2021</v>
      </c>
      <c r="J7" s="8">
        <f t="shared" si="0"/>
        <v>2022</v>
      </c>
      <c r="K7" s="8">
        <f t="shared" si="0"/>
        <v>2023</v>
      </c>
      <c r="L7" s="8">
        <f t="shared" si="0"/>
        <v>2024</v>
      </c>
      <c r="M7" s="8">
        <f t="shared" si="0"/>
        <v>2025</v>
      </c>
      <c r="N7" s="8">
        <f t="shared" si="0"/>
        <v>2026</v>
      </c>
      <c r="O7" s="8">
        <f t="shared" si="0"/>
        <v>2027</v>
      </c>
      <c r="P7" s="8">
        <f t="shared" si="0"/>
        <v>2028</v>
      </c>
      <c r="Q7" s="8">
        <f t="shared" si="0"/>
        <v>2029</v>
      </c>
      <c r="R7" s="8">
        <f t="shared" si="0"/>
        <v>2030</v>
      </c>
      <c r="S7" s="8">
        <f t="shared" si="0"/>
        <v>2031</v>
      </c>
      <c r="T7" s="8">
        <f t="shared" si="0"/>
        <v>2032</v>
      </c>
      <c r="U7" s="8">
        <f t="shared" si="0"/>
        <v>2033</v>
      </c>
      <c r="V7" s="8">
        <f t="shared" si="0"/>
        <v>2034</v>
      </c>
      <c r="W7" s="8">
        <f t="shared" si="0"/>
        <v>2035</v>
      </c>
      <c r="X7" s="8">
        <f t="shared" ref="X7:AM8" si="1">W7+1</f>
        <v>2036</v>
      </c>
      <c r="Y7" s="8">
        <f t="shared" si="1"/>
        <v>2037</v>
      </c>
      <c r="Z7" s="8">
        <f t="shared" si="1"/>
        <v>2038</v>
      </c>
      <c r="AA7" s="8">
        <f t="shared" si="1"/>
        <v>2039</v>
      </c>
      <c r="AB7" s="8">
        <f t="shared" si="1"/>
        <v>2040</v>
      </c>
      <c r="AC7" s="8">
        <f t="shared" si="1"/>
        <v>2041</v>
      </c>
      <c r="AD7" s="8">
        <f t="shared" si="1"/>
        <v>2042</v>
      </c>
      <c r="AE7" s="8">
        <f t="shared" si="1"/>
        <v>2043</v>
      </c>
      <c r="AF7" s="8">
        <f t="shared" si="1"/>
        <v>2044</v>
      </c>
      <c r="AG7" s="8">
        <f t="shared" si="1"/>
        <v>2045</v>
      </c>
      <c r="AH7" s="8">
        <f t="shared" si="1"/>
        <v>2046</v>
      </c>
      <c r="AI7" s="8">
        <f t="shared" si="1"/>
        <v>2047</v>
      </c>
      <c r="AJ7" s="8">
        <f t="shared" si="1"/>
        <v>2048</v>
      </c>
      <c r="AK7" s="8">
        <f t="shared" si="1"/>
        <v>2049</v>
      </c>
      <c r="AL7" s="8">
        <f t="shared" si="1"/>
        <v>2050</v>
      </c>
      <c r="AM7" s="8">
        <f t="shared" si="1"/>
        <v>2051</v>
      </c>
      <c r="AN7" s="8">
        <f t="shared" ref="AN7:AR8" si="2">AM7+1</f>
        <v>2052</v>
      </c>
      <c r="AO7" s="8">
        <f t="shared" si="2"/>
        <v>2053</v>
      </c>
      <c r="AP7" s="8">
        <f t="shared" si="2"/>
        <v>2054</v>
      </c>
      <c r="AQ7" s="8">
        <f t="shared" si="2"/>
        <v>2055</v>
      </c>
      <c r="AR7" s="8">
        <f t="shared" si="2"/>
        <v>2056</v>
      </c>
    </row>
    <row r="8" spans="1:44" x14ac:dyDescent="0.2">
      <c r="B8" s="1" t="s">
        <v>225</v>
      </c>
      <c r="C8" s="21" t="s">
        <v>50</v>
      </c>
      <c r="F8" s="1">
        <f>D8+1</f>
        <v>1</v>
      </c>
      <c r="G8" s="1">
        <f t="shared" ref="G8" si="3">F8+1</f>
        <v>2</v>
      </c>
      <c r="H8" s="1">
        <f t="shared" si="0"/>
        <v>3</v>
      </c>
      <c r="I8" s="1">
        <f t="shared" si="0"/>
        <v>4</v>
      </c>
      <c r="J8" s="1">
        <f t="shared" si="0"/>
        <v>5</v>
      </c>
      <c r="K8" s="1">
        <f t="shared" si="0"/>
        <v>6</v>
      </c>
      <c r="L8" s="1">
        <f t="shared" si="0"/>
        <v>7</v>
      </c>
      <c r="M8" s="1">
        <f t="shared" si="0"/>
        <v>8</v>
      </c>
      <c r="N8" s="1">
        <f t="shared" si="0"/>
        <v>9</v>
      </c>
      <c r="O8" s="1">
        <f t="shared" si="0"/>
        <v>10</v>
      </c>
      <c r="P8" s="1">
        <f t="shared" si="0"/>
        <v>11</v>
      </c>
      <c r="Q8" s="1">
        <f t="shared" si="0"/>
        <v>12</v>
      </c>
      <c r="R8" s="1">
        <f t="shared" si="0"/>
        <v>13</v>
      </c>
      <c r="S8" s="1">
        <f t="shared" si="0"/>
        <v>14</v>
      </c>
      <c r="T8" s="1">
        <f t="shared" si="0"/>
        <v>15</v>
      </c>
      <c r="U8" s="1">
        <f t="shared" si="0"/>
        <v>16</v>
      </c>
      <c r="V8" s="1">
        <f t="shared" si="0"/>
        <v>17</v>
      </c>
      <c r="W8" s="1">
        <f t="shared" si="0"/>
        <v>18</v>
      </c>
      <c r="X8" s="1">
        <f t="shared" si="1"/>
        <v>19</v>
      </c>
      <c r="Y8" s="1">
        <f t="shared" si="1"/>
        <v>20</v>
      </c>
      <c r="Z8" s="1">
        <f t="shared" si="1"/>
        <v>21</v>
      </c>
      <c r="AA8" s="1">
        <f t="shared" si="1"/>
        <v>22</v>
      </c>
      <c r="AB8" s="1">
        <f t="shared" si="1"/>
        <v>23</v>
      </c>
      <c r="AC8" s="1">
        <f t="shared" si="1"/>
        <v>24</v>
      </c>
      <c r="AD8" s="1">
        <f t="shared" si="1"/>
        <v>25</v>
      </c>
      <c r="AE8" s="1">
        <f t="shared" si="1"/>
        <v>26</v>
      </c>
      <c r="AF8" s="1">
        <f t="shared" si="1"/>
        <v>27</v>
      </c>
      <c r="AG8" s="1">
        <f t="shared" si="1"/>
        <v>28</v>
      </c>
      <c r="AH8" s="1">
        <f t="shared" si="1"/>
        <v>29</v>
      </c>
      <c r="AI8" s="1">
        <f t="shared" si="1"/>
        <v>30</v>
      </c>
      <c r="AJ8" s="1">
        <f t="shared" si="1"/>
        <v>31</v>
      </c>
      <c r="AK8" s="1">
        <f t="shared" si="1"/>
        <v>32</v>
      </c>
      <c r="AL8" s="1">
        <f t="shared" si="1"/>
        <v>33</v>
      </c>
      <c r="AM8" s="1">
        <f t="shared" si="1"/>
        <v>34</v>
      </c>
      <c r="AN8" s="1">
        <f t="shared" si="2"/>
        <v>35</v>
      </c>
      <c r="AO8" s="1">
        <f t="shared" si="2"/>
        <v>36</v>
      </c>
      <c r="AP8" s="1">
        <f t="shared" si="2"/>
        <v>37</v>
      </c>
      <c r="AQ8" s="1">
        <f t="shared" si="2"/>
        <v>38</v>
      </c>
      <c r="AR8" s="1">
        <f t="shared" si="2"/>
        <v>39</v>
      </c>
    </row>
    <row r="9" spans="1:44" x14ac:dyDescent="0.2">
      <c r="B9" s="1" t="s">
        <v>226</v>
      </c>
      <c r="C9" s="21" t="s">
        <v>227</v>
      </c>
      <c r="F9" s="1">
        <f>IF(F7=INPUTS!$E$13,1,0)</f>
        <v>0</v>
      </c>
      <c r="G9" s="1">
        <f>IF(G7=INPUTS!$E$13,1,0)</f>
        <v>0</v>
      </c>
      <c r="H9" s="1">
        <f>IF(H7=INPUTS!$E$13,1,0)</f>
        <v>0</v>
      </c>
      <c r="I9" s="1">
        <f>IF(I7=INPUTS!$E$13,1,0)</f>
        <v>1</v>
      </c>
      <c r="J9" s="1">
        <f>IF(J7=INPUTS!$E$13,1,0)</f>
        <v>0</v>
      </c>
      <c r="K9" s="1">
        <f>IF(K7=INPUTS!$E$13,1,0)</f>
        <v>0</v>
      </c>
      <c r="L9" s="1">
        <f>IF(L7=INPUTS!$E$13,1,0)</f>
        <v>0</v>
      </c>
      <c r="M9" s="1">
        <f>IF(M7=INPUTS!$E$13,1,0)</f>
        <v>0</v>
      </c>
      <c r="N9" s="1">
        <f>IF(N7=INPUTS!$E$13,1,0)</f>
        <v>0</v>
      </c>
      <c r="O9" s="1">
        <f>IF(O7=INPUTS!$E$13,1,0)</f>
        <v>0</v>
      </c>
      <c r="P9" s="1">
        <f>IF(P7=INPUTS!$E$13,1,0)</f>
        <v>0</v>
      </c>
      <c r="Q9" s="1">
        <f>IF(Q7=INPUTS!$E$13,1,0)</f>
        <v>0</v>
      </c>
      <c r="R9" s="1">
        <f>IF(R7=INPUTS!$E$13,1,0)</f>
        <v>0</v>
      </c>
      <c r="S9" s="1">
        <f>IF(S7=INPUTS!$E$13,1,0)</f>
        <v>0</v>
      </c>
      <c r="T9" s="1">
        <f>IF(T7=INPUTS!$E$13,1,0)</f>
        <v>0</v>
      </c>
      <c r="U9" s="1">
        <f>IF(U7=INPUTS!$E$13,1,0)</f>
        <v>0</v>
      </c>
      <c r="V9" s="1">
        <f>IF(V7=INPUTS!$E$13,1,0)</f>
        <v>0</v>
      </c>
      <c r="W9" s="1">
        <f>IF(W7=INPUTS!$E$13,1,0)</f>
        <v>0</v>
      </c>
      <c r="X9" s="1">
        <f>IF(X7=INPUTS!$E$13,1,0)</f>
        <v>0</v>
      </c>
      <c r="Y9" s="1">
        <f>IF(Y7=INPUTS!$E$13,1,0)</f>
        <v>0</v>
      </c>
      <c r="Z9" s="1">
        <f>IF(Z7=INPUTS!$E$13,1,0)</f>
        <v>0</v>
      </c>
      <c r="AA9" s="1">
        <f>IF(AA7=INPUTS!$E$13,1,0)</f>
        <v>0</v>
      </c>
      <c r="AB9" s="1">
        <f>IF(AB7=INPUTS!$E$13,1,0)</f>
        <v>0</v>
      </c>
      <c r="AC9" s="1">
        <f>IF(AC7=INPUTS!$E$13,1,0)</f>
        <v>0</v>
      </c>
      <c r="AD9" s="1">
        <f>IF(AD7=INPUTS!$E$13,1,0)</f>
        <v>0</v>
      </c>
      <c r="AE9" s="1">
        <f>IF(AE7=INPUTS!$E$13,1,0)</f>
        <v>0</v>
      </c>
      <c r="AF9" s="1">
        <f>IF(AF7=INPUTS!$E$13,1,0)</f>
        <v>0</v>
      </c>
      <c r="AG9" s="1">
        <f>IF(AG7=INPUTS!$E$13,1,0)</f>
        <v>0</v>
      </c>
      <c r="AH9" s="1">
        <f>IF(AH7=INPUTS!$E$13,1,0)</f>
        <v>0</v>
      </c>
      <c r="AI9" s="1">
        <f>IF(AI7=INPUTS!$E$13,1,0)</f>
        <v>0</v>
      </c>
      <c r="AJ9" s="1">
        <f>IF(AJ7=INPUTS!$E$13,1,0)</f>
        <v>0</v>
      </c>
      <c r="AK9" s="1">
        <f>IF(AK7=INPUTS!$E$13,1,0)</f>
        <v>0</v>
      </c>
      <c r="AL9" s="1">
        <f>IF(AL7=INPUTS!$E$13,1,0)</f>
        <v>0</v>
      </c>
      <c r="AM9" s="1">
        <f>IF(AM7=INPUTS!$E$13,1,0)</f>
        <v>0</v>
      </c>
      <c r="AN9" s="1">
        <f>IF(AN7=INPUTS!$E$13,1,0)</f>
        <v>0</v>
      </c>
      <c r="AO9" s="1">
        <f>IF(AO7=INPUTS!$E$13,1,0)</f>
        <v>0</v>
      </c>
      <c r="AP9" s="1">
        <f>IF(AP7=INPUTS!$E$13,1,0)</f>
        <v>0</v>
      </c>
      <c r="AQ9" s="1">
        <f>IF(AQ7=INPUTS!$E$13,1,0)</f>
        <v>0</v>
      </c>
      <c r="AR9" s="1">
        <f>IF(AR7=INPUTS!$E$13,1,0)</f>
        <v>0</v>
      </c>
    </row>
    <row r="10" spans="1:44" x14ac:dyDescent="0.2">
      <c r="B10" s="1" t="s">
        <v>228</v>
      </c>
      <c r="C10" s="21" t="s">
        <v>57</v>
      </c>
      <c r="F10" s="1">
        <f t="shared" ref="F10:H10" si="4">F7-$I$7+1</f>
        <v>-2</v>
      </c>
      <c r="G10" s="1">
        <f t="shared" si="4"/>
        <v>-1</v>
      </c>
      <c r="H10" s="1">
        <f t="shared" si="4"/>
        <v>0</v>
      </c>
      <c r="I10" s="1">
        <f>I7-$I$7+1</f>
        <v>1</v>
      </c>
      <c r="J10" s="1">
        <f t="shared" ref="J10:AR10" si="5">J7-$I$7+1</f>
        <v>2</v>
      </c>
      <c r="K10" s="1">
        <f t="shared" si="5"/>
        <v>3</v>
      </c>
      <c r="L10" s="1">
        <f t="shared" si="5"/>
        <v>4</v>
      </c>
      <c r="M10" s="1">
        <f t="shared" si="5"/>
        <v>5</v>
      </c>
      <c r="N10" s="1">
        <f t="shared" si="5"/>
        <v>6</v>
      </c>
      <c r="O10" s="1">
        <f t="shared" si="5"/>
        <v>7</v>
      </c>
      <c r="P10" s="1">
        <f t="shared" si="5"/>
        <v>8</v>
      </c>
      <c r="Q10" s="1">
        <f t="shared" si="5"/>
        <v>9</v>
      </c>
      <c r="R10" s="1">
        <f t="shared" si="5"/>
        <v>10</v>
      </c>
      <c r="S10" s="1">
        <f t="shared" si="5"/>
        <v>11</v>
      </c>
      <c r="T10" s="1">
        <f t="shared" si="5"/>
        <v>12</v>
      </c>
      <c r="U10" s="1">
        <f t="shared" si="5"/>
        <v>13</v>
      </c>
      <c r="V10" s="1">
        <f t="shared" si="5"/>
        <v>14</v>
      </c>
      <c r="W10" s="1">
        <f t="shared" si="5"/>
        <v>15</v>
      </c>
      <c r="X10" s="1">
        <f t="shared" si="5"/>
        <v>16</v>
      </c>
      <c r="Y10" s="1">
        <f t="shared" si="5"/>
        <v>17</v>
      </c>
      <c r="Z10" s="1">
        <f t="shared" si="5"/>
        <v>18</v>
      </c>
      <c r="AA10" s="1">
        <f t="shared" si="5"/>
        <v>19</v>
      </c>
      <c r="AB10" s="1">
        <f t="shared" si="5"/>
        <v>20</v>
      </c>
      <c r="AC10" s="1">
        <f t="shared" si="5"/>
        <v>21</v>
      </c>
      <c r="AD10" s="1">
        <f t="shared" si="5"/>
        <v>22</v>
      </c>
      <c r="AE10" s="1">
        <f t="shared" si="5"/>
        <v>23</v>
      </c>
      <c r="AF10" s="1">
        <f t="shared" si="5"/>
        <v>24</v>
      </c>
      <c r="AG10" s="1">
        <f t="shared" si="5"/>
        <v>25</v>
      </c>
      <c r="AH10" s="1">
        <f t="shared" si="5"/>
        <v>26</v>
      </c>
      <c r="AI10" s="1">
        <f t="shared" si="5"/>
        <v>27</v>
      </c>
      <c r="AJ10" s="1">
        <f t="shared" si="5"/>
        <v>28</v>
      </c>
      <c r="AK10" s="1">
        <f t="shared" si="5"/>
        <v>29</v>
      </c>
      <c r="AL10" s="1">
        <f t="shared" si="5"/>
        <v>30</v>
      </c>
      <c r="AM10" s="1">
        <f t="shared" si="5"/>
        <v>31</v>
      </c>
      <c r="AN10" s="1">
        <f t="shared" si="5"/>
        <v>32</v>
      </c>
      <c r="AO10" s="1">
        <f t="shared" si="5"/>
        <v>33</v>
      </c>
      <c r="AP10" s="1">
        <f t="shared" si="5"/>
        <v>34</v>
      </c>
      <c r="AQ10" s="1">
        <f t="shared" si="5"/>
        <v>35</v>
      </c>
      <c r="AR10" s="1">
        <f t="shared" si="5"/>
        <v>36</v>
      </c>
    </row>
    <row r="11" spans="1:44" x14ac:dyDescent="0.2">
      <c r="B11" s="1" t="s">
        <v>229</v>
      </c>
      <c r="C11" s="21" t="s">
        <v>227</v>
      </c>
      <c r="F11" s="1">
        <f>IF(AND(F7&gt;=INPUTS!$E$17,F7&lt;INPUTS!$E$21),1,0)</f>
        <v>0</v>
      </c>
      <c r="G11" s="1">
        <f>IF(AND(G7&gt;=INPUTS!$E$17,G7&lt;INPUTS!$E$21),1,0)</f>
        <v>0</v>
      </c>
      <c r="H11" s="1">
        <f>IF(AND(H7&gt;=INPUTS!$E$17,H7&lt;INPUTS!$E$21),1,0)</f>
        <v>0</v>
      </c>
      <c r="I11" s="1">
        <f>IF(AND(I7&gt;=INPUTS!$E$17,I7&lt;INPUTS!$E$21),1,0)</f>
        <v>0</v>
      </c>
      <c r="J11" s="1">
        <f>IF(AND(J7&gt;=INPUTS!$E$17,J7&lt;INPUTS!$E$21),1,0)</f>
        <v>0</v>
      </c>
      <c r="K11" s="1">
        <f>IF(AND(K7&gt;=INPUTS!$E$17,K7&lt;INPUTS!$E$21),1,0)</f>
        <v>0</v>
      </c>
      <c r="L11" s="1">
        <f>IF(AND(L7&gt;=INPUTS!$E$17,L7&lt;INPUTS!$E$21),1,0)</f>
        <v>0</v>
      </c>
      <c r="M11" s="1">
        <f>IF(AND(M7&gt;=INPUTS!$E$17,M7&lt;INPUTS!$E$21),1,0)</f>
        <v>0</v>
      </c>
      <c r="N11" s="1">
        <f>IF(AND(N7&gt;=INPUTS!$E$17,N7&lt;INPUTS!$E$21),1,0)</f>
        <v>0</v>
      </c>
      <c r="O11" s="1">
        <f>IF(AND(O7&gt;=INPUTS!$E$17,O7&lt;INPUTS!$E$21),1,0)</f>
        <v>0</v>
      </c>
      <c r="P11" s="1">
        <f>IF(AND(P7&gt;=INPUTS!$E$17,P7&lt;INPUTS!$E$21),1,0)</f>
        <v>1</v>
      </c>
      <c r="Q11" s="1">
        <f>IF(AND(Q7&gt;=INPUTS!$E$17,Q7&lt;INPUTS!$E$21),1,0)</f>
        <v>1</v>
      </c>
      <c r="R11" s="1">
        <f>IF(AND(R7&gt;=INPUTS!$E$17,R7&lt;INPUTS!$E$21),1,0)</f>
        <v>1</v>
      </c>
      <c r="S11" s="1">
        <f>IF(AND(S7&gt;=INPUTS!$E$17,S7&lt;INPUTS!$E$21),1,0)</f>
        <v>1</v>
      </c>
      <c r="T11" s="1">
        <f>IF(AND(T7&gt;=INPUTS!$E$17,T7&lt;INPUTS!$E$21),1,0)</f>
        <v>1</v>
      </c>
      <c r="U11" s="1">
        <f>IF(AND(U7&gt;=INPUTS!$E$17,U7&lt;INPUTS!$E$21),1,0)</f>
        <v>1</v>
      </c>
      <c r="V11" s="1">
        <f>IF(AND(V7&gt;=INPUTS!$E$17,V7&lt;INPUTS!$E$21),1,0)</f>
        <v>1</v>
      </c>
      <c r="W11" s="1">
        <f>IF(AND(W7&gt;=INPUTS!$E$17,W7&lt;INPUTS!$E$21),1,0)</f>
        <v>1</v>
      </c>
      <c r="X11" s="1">
        <f>IF(AND(X7&gt;=INPUTS!$E$17,X7&lt;INPUTS!$E$21),1,0)</f>
        <v>1</v>
      </c>
      <c r="Y11" s="1">
        <f>IF(AND(Y7&gt;=INPUTS!$E$17,Y7&lt;INPUTS!$E$21),1,0)</f>
        <v>1</v>
      </c>
      <c r="Z11" s="1">
        <f>IF(AND(Z7&gt;=INPUTS!$E$17,Z7&lt;INPUTS!$E$21),1,0)</f>
        <v>1</v>
      </c>
      <c r="AA11" s="1">
        <f>IF(AND(AA7&gt;=INPUTS!$E$17,AA7&lt;INPUTS!$E$21),1,0)</f>
        <v>1</v>
      </c>
      <c r="AB11" s="1">
        <f>IF(AND(AB7&gt;=INPUTS!$E$17,AB7&lt;INPUTS!$E$21),1,0)</f>
        <v>1</v>
      </c>
      <c r="AC11" s="1">
        <f>IF(AND(AC7&gt;=INPUTS!$E$17,AC7&lt;INPUTS!$E$21),1,0)</f>
        <v>1</v>
      </c>
      <c r="AD11" s="1">
        <f>IF(AND(AD7&gt;=INPUTS!$E$17,AD7&lt;INPUTS!$E$21),1,0)</f>
        <v>1</v>
      </c>
      <c r="AE11" s="1">
        <f>IF(AND(AE7&gt;=INPUTS!$E$17,AE7&lt;INPUTS!$E$21),1,0)</f>
        <v>1</v>
      </c>
      <c r="AF11" s="1">
        <f>IF(AND(AF7&gt;=INPUTS!$E$17,AF7&lt;INPUTS!$E$21),1,0)</f>
        <v>1</v>
      </c>
      <c r="AG11" s="1">
        <f>IF(AND(AG7&gt;=INPUTS!$E$17,AG7&lt;INPUTS!$E$21),1,0)</f>
        <v>1</v>
      </c>
      <c r="AH11" s="1">
        <f>IF(AND(AH7&gt;=INPUTS!$E$17,AH7&lt;INPUTS!$E$21),1,0)</f>
        <v>1</v>
      </c>
      <c r="AI11" s="1">
        <f>IF(AND(AI7&gt;=INPUTS!$E$17,AI7&lt;INPUTS!$E$21),1,0)</f>
        <v>1</v>
      </c>
      <c r="AJ11" s="1">
        <f>IF(AND(AJ7&gt;=INPUTS!$E$17,AJ7&lt;INPUTS!$E$21),1,0)</f>
        <v>0</v>
      </c>
      <c r="AK11" s="1">
        <f>IF(AND(AK7&gt;=INPUTS!$E$17,AK7&lt;INPUTS!$E$21),1,0)</f>
        <v>0</v>
      </c>
      <c r="AL11" s="1">
        <f>IF(AND(AL7&gt;=INPUTS!$E$17,AL7&lt;INPUTS!$E$21),1,0)</f>
        <v>0</v>
      </c>
      <c r="AM11" s="1">
        <f>IF(AND(AM7&gt;=INPUTS!$E$17,AM7&lt;INPUTS!$E$21),1,0)</f>
        <v>0</v>
      </c>
      <c r="AN11" s="1">
        <f>IF(AND(AN7&gt;=INPUTS!$E$17,AN7&lt;INPUTS!$E$21),1,0)</f>
        <v>0</v>
      </c>
      <c r="AO11" s="1">
        <f>IF(AND(AO7&gt;=INPUTS!$E$17,AO7&lt;INPUTS!$E$21),1,0)</f>
        <v>0</v>
      </c>
      <c r="AP11" s="1">
        <f>IF(AND(AP7&gt;=INPUTS!$E$17,AP7&lt;INPUTS!$E$21),1,0)</f>
        <v>0</v>
      </c>
      <c r="AQ11" s="1">
        <f>IF(AND(AQ7&gt;=INPUTS!$E$17,AQ7&lt;INPUTS!$E$21),1,0)</f>
        <v>0</v>
      </c>
      <c r="AR11" s="1">
        <f>IF(AND(AR7&gt;=INPUTS!$E$17,AR7&lt;INPUTS!$E$21),1,0)</f>
        <v>0</v>
      </c>
    </row>
    <row r="12" spans="1:44" ht="15" x14ac:dyDescent="0.25">
      <c r="A12" s="2" t="s">
        <v>230</v>
      </c>
      <c r="C12" s="21"/>
    </row>
    <row r="13" spans="1:44" x14ac:dyDescent="0.2">
      <c r="B13" s="1" t="s">
        <v>231</v>
      </c>
      <c r="C13" s="21" t="s">
        <v>50</v>
      </c>
      <c r="F13" s="1">
        <f>(F11+D13)*F11</f>
        <v>0</v>
      </c>
      <c r="G13" s="1">
        <f t="shared" ref="G13:AG13" si="6">(G11+F13)*G11</f>
        <v>0</v>
      </c>
      <c r="H13" s="1">
        <f t="shared" si="6"/>
        <v>0</v>
      </c>
      <c r="I13" s="1">
        <f t="shared" si="6"/>
        <v>0</v>
      </c>
      <c r="J13" s="1">
        <f t="shared" si="6"/>
        <v>0</v>
      </c>
      <c r="K13" s="1">
        <f t="shared" si="6"/>
        <v>0</v>
      </c>
      <c r="L13" s="1">
        <f t="shared" si="6"/>
        <v>0</v>
      </c>
      <c r="M13" s="1">
        <f t="shared" si="6"/>
        <v>0</v>
      </c>
      <c r="N13" s="1">
        <f t="shared" si="6"/>
        <v>0</v>
      </c>
      <c r="O13" s="1">
        <f t="shared" si="6"/>
        <v>0</v>
      </c>
      <c r="P13" s="1">
        <f t="shared" si="6"/>
        <v>1</v>
      </c>
      <c r="Q13" s="1">
        <f t="shared" si="6"/>
        <v>2</v>
      </c>
      <c r="R13" s="1">
        <f t="shared" si="6"/>
        <v>3</v>
      </c>
      <c r="S13" s="1">
        <f t="shared" si="6"/>
        <v>4</v>
      </c>
      <c r="T13" s="1">
        <f t="shared" si="6"/>
        <v>5</v>
      </c>
      <c r="U13" s="1">
        <f t="shared" si="6"/>
        <v>6</v>
      </c>
      <c r="V13" s="1">
        <f t="shared" si="6"/>
        <v>7</v>
      </c>
      <c r="W13" s="1">
        <f t="shared" si="6"/>
        <v>8</v>
      </c>
      <c r="X13" s="1">
        <f t="shared" si="6"/>
        <v>9</v>
      </c>
      <c r="Y13" s="1">
        <f t="shared" si="6"/>
        <v>10</v>
      </c>
      <c r="Z13" s="1">
        <f t="shared" si="6"/>
        <v>11</v>
      </c>
      <c r="AA13" s="1">
        <f t="shared" si="6"/>
        <v>12</v>
      </c>
      <c r="AB13" s="1">
        <f t="shared" si="6"/>
        <v>13</v>
      </c>
      <c r="AC13" s="1">
        <f t="shared" si="6"/>
        <v>14</v>
      </c>
      <c r="AD13" s="1">
        <f t="shared" si="6"/>
        <v>15</v>
      </c>
      <c r="AE13" s="1">
        <f t="shared" si="6"/>
        <v>16</v>
      </c>
      <c r="AF13" s="1">
        <f t="shared" si="6"/>
        <v>17</v>
      </c>
      <c r="AG13" s="1">
        <f t="shared" si="6"/>
        <v>18</v>
      </c>
      <c r="AH13" s="1">
        <f>(AH11+AG13)*AH11</f>
        <v>19</v>
      </c>
      <c r="AI13" s="1">
        <f t="shared" ref="AI13:AR13" si="7">(AI11+AH13)*AI11</f>
        <v>20</v>
      </c>
      <c r="AJ13" s="1">
        <f t="shared" si="7"/>
        <v>0</v>
      </c>
      <c r="AK13" s="1">
        <f t="shared" si="7"/>
        <v>0</v>
      </c>
      <c r="AL13" s="1">
        <f t="shared" si="7"/>
        <v>0</v>
      </c>
      <c r="AM13" s="1">
        <f t="shared" si="7"/>
        <v>0</v>
      </c>
      <c r="AN13" s="1">
        <f t="shared" si="7"/>
        <v>0</v>
      </c>
      <c r="AO13" s="1">
        <f t="shared" si="7"/>
        <v>0</v>
      </c>
      <c r="AP13" s="1">
        <f t="shared" si="7"/>
        <v>0</v>
      </c>
      <c r="AQ13" s="1">
        <f t="shared" si="7"/>
        <v>0</v>
      </c>
      <c r="AR13" s="1">
        <f t="shared" si="7"/>
        <v>0</v>
      </c>
    </row>
    <row r="14" spans="1:44" ht="15" x14ac:dyDescent="0.25">
      <c r="A14" s="2" t="s">
        <v>8</v>
      </c>
      <c r="C14" s="21"/>
    </row>
    <row r="15" spans="1:44" x14ac:dyDescent="0.2">
      <c r="B15" s="1" t="s">
        <v>67</v>
      </c>
      <c r="C15" s="21" t="s">
        <v>50</v>
      </c>
      <c r="D15" s="69">
        <f>INPUTS!E24</f>
        <v>0</v>
      </c>
      <c r="E15" s="69"/>
      <c r="F15" s="3">
        <f>1/(1+$D15)^(F$10-1)</f>
        <v>1</v>
      </c>
      <c r="G15" s="3">
        <f t="shared" ref="G15:AR15" si="8">1/(1+$D15)^(G$10-1)</f>
        <v>1</v>
      </c>
      <c r="H15" s="3">
        <f t="shared" si="8"/>
        <v>1</v>
      </c>
      <c r="I15" s="3">
        <f t="shared" si="8"/>
        <v>1</v>
      </c>
      <c r="J15" s="3">
        <f t="shared" si="8"/>
        <v>1</v>
      </c>
      <c r="K15" s="3">
        <f t="shared" si="8"/>
        <v>1</v>
      </c>
      <c r="L15" s="3">
        <f t="shared" si="8"/>
        <v>1</v>
      </c>
      <c r="M15" s="3">
        <f t="shared" si="8"/>
        <v>1</v>
      </c>
      <c r="N15" s="3">
        <f t="shared" si="8"/>
        <v>1</v>
      </c>
      <c r="O15" s="3">
        <f t="shared" si="8"/>
        <v>1</v>
      </c>
      <c r="P15" s="3">
        <f t="shared" si="8"/>
        <v>1</v>
      </c>
      <c r="Q15" s="3">
        <f t="shared" si="8"/>
        <v>1</v>
      </c>
      <c r="R15" s="3">
        <f t="shared" si="8"/>
        <v>1</v>
      </c>
      <c r="S15" s="3">
        <f t="shared" si="8"/>
        <v>1</v>
      </c>
      <c r="T15" s="3">
        <f t="shared" si="8"/>
        <v>1</v>
      </c>
      <c r="U15" s="3">
        <f t="shared" si="8"/>
        <v>1</v>
      </c>
      <c r="V15" s="3">
        <f t="shared" si="8"/>
        <v>1</v>
      </c>
      <c r="W15" s="3">
        <f t="shared" si="8"/>
        <v>1</v>
      </c>
      <c r="X15" s="3">
        <f t="shared" si="8"/>
        <v>1</v>
      </c>
      <c r="Y15" s="3">
        <f t="shared" si="8"/>
        <v>1</v>
      </c>
      <c r="Z15" s="3">
        <f t="shared" si="8"/>
        <v>1</v>
      </c>
      <c r="AA15" s="3">
        <f t="shared" si="8"/>
        <v>1</v>
      </c>
      <c r="AB15" s="3">
        <f t="shared" si="8"/>
        <v>1</v>
      </c>
      <c r="AC15" s="3">
        <f t="shared" si="8"/>
        <v>1</v>
      </c>
      <c r="AD15" s="3">
        <f t="shared" si="8"/>
        <v>1</v>
      </c>
      <c r="AE15" s="3">
        <f t="shared" si="8"/>
        <v>1</v>
      </c>
      <c r="AF15" s="3">
        <f t="shared" si="8"/>
        <v>1</v>
      </c>
      <c r="AG15" s="3">
        <f t="shared" si="8"/>
        <v>1</v>
      </c>
      <c r="AH15" s="3">
        <f t="shared" si="8"/>
        <v>1</v>
      </c>
      <c r="AI15" s="3">
        <f t="shared" si="8"/>
        <v>1</v>
      </c>
      <c r="AJ15" s="3">
        <f t="shared" si="8"/>
        <v>1</v>
      </c>
      <c r="AK15" s="3">
        <f t="shared" si="8"/>
        <v>1</v>
      </c>
      <c r="AL15" s="3">
        <f t="shared" si="8"/>
        <v>1</v>
      </c>
      <c r="AM15" s="3">
        <f t="shared" si="8"/>
        <v>1</v>
      </c>
      <c r="AN15" s="3">
        <f t="shared" si="8"/>
        <v>1</v>
      </c>
      <c r="AO15" s="3">
        <f t="shared" si="8"/>
        <v>1</v>
      </c>
      <c r="AP15" s="3">
        <f t="shared" si="8"/>
        <v>1</v>
      </c>
      <c r="AQ15" s="3">
        <f t="shared" si="8"/>
        <v>1</v>
      </c>
      <c r="AR15" s="3">
        <f t="shared" si="8"/>
        <v>1</v>
      </c>
    </row>
    <row r="16" spans="1:44" x14ac:dyDescent="0.2">
      <c r="B16" s="1" t="s">
        <v>69</v>
      </c>
      <c r="C16" s="21" t="s">
        <v>50</v>
      </c>
      <c r="D16" s="69">
        <f>INPUTS!E25</f>
        <v>0.03</v>
      </c>
      <c r="E16" s="69"/>
      <c r="F16" s="3">
        <f t="shared" ref="F16:G16" si="9">MIN(1,IF(F10=0,1,1/(1+$D16)^(F$10-1)))</f>
        <v>1</v>
      </c>
      <c r="G16" s="3">
        <f t="shared" si="9"/>
        <v>1</v>
      </c>
      <c r="H16" s="3">
        <f>MIN(1,IF(H10=0,1,1/(1+$D16)^(H$10-1)))</f>
        <v>1</v>
      </c>
      <c r="I16" s="3">
        <f t="shared" ref="I16:AR16" si="10">MIN(1,IF(I10=0,1,1/(1+$D16)^(I$10-1)))</f>
        <v>1</v>
      </c>
      <c r="J16" s="3">
        <f t="shared" si="10"/>
        <v>0.970873786407767</v>
      </c>
      <c r="K16" s="3">
        <f t="shared" si="10"/>
        <v>0.94259590913375435</v>
      </c>
      <c r="L16" s="3">
        <f t="shared" si="10"/>
        <v>0.91514165935315961</v>
      </c>
      <c r="M16" s="3">
        <f t="shared" si="10"/>
        <v>0.888487047915689</v>
      </c>
      <c r="N16" s="3">
        <f t="shared" si="10"/>
        <v>0.86260878438416411</v>
      </c>
      <c r="O16" s="3">
        <f t="shared" si="10"/>
        <v>0.83748425668365445</v>
      </c>
      <c r="P16" s="3">
        <f t="shared" si="10"/>
        <v>0.81309151134335378</v>
      </c>
      <c r="Q16" s="3">
        <f t="shared" si="10"/>
        <v>0.78940923431393573</v>
      </c>
      <c r="R16" s="3">
        <f t="shared" si="10"/>
        <v>0.76641673234362695</v>
      </c>
      <c r="S16" s="3">
        <f t="shared" si="10"/>
        <v>0.74409391489672516</v>
      </c>
      <c r="T16" s="3">
        <f t="shared" si="10"/>
        <v>0.72242127659876232</v>
      </c>
      <c r="U16" s="3">
        <f t="shared" si="10"/>
        <v>0.70137988019297326</v>
      </c>
      <c r="V16" s="3">
        <f t="shared" si="10"/>
        <v>0.68095133999317792</v>
      </c>
      <c r="W16" s="3">
        <f t="shared" si="10"/>
        <v>0.66111780581861923</v>
      </c>
      <c r="X16" s="3">
        <f t="shared" si="10"/>
        <v>0.64186194739671765</v>
      </c>
      <c r="Y16" s="3">
        <f t="shared" si="10"/>
        <v>0.62316693922011435</v>
      </c>
      <c r="Z16" s="3">
        <f t="shared" si="10"/>
        <v>0.60501644584477121</v>
      </c>
      <c r="AA16" s="3">
        <f t="shared" si="10"/>
        <v>0.5873946076162827</v>
      </c>
      <c r="AB16" s="3">
        <f t="shared" si="10"/>
        <v>0.57028602681192497</v>
      </c>
      <c r="AC16" s="3">
        <f t="shared" si="10"/>
        <v>0.55367575418633497</v>
      </c>
      <c r="AD16" s="3">
        <f t="shared" si="10"/>
        <v>0.5375492759090631</v>
      </c>
      <c r="AE16" s="3">
        <f t="shared" si="10"/>
        <v>0.52189250088258554</v>
      </c>
      <c r="AF16" s="3">
        <f t="shared" si="10"/>
        <v>0.50669174842969467</v>
      </c>
      <c r="AG16" s="3">
        <f t="shared" si="10"/>
        <v>0.49193373633950943</v>
      </c>
      <c r="AH16" s="3">
        <f t="shared" si="10"/>
        <v>0.47760556926165965</v>
      </c>
      <c r="AI16" s="3">
        <f t="shared" si="10"/>
        <v>0.46369472743850448</v>
      </c>
      <c r="AJ16" s="3">
        <f t="shared" si="10"/>
        <v>0.45018905576553836</v>
      </c>
      <c r="AK16" s="3">
        <f t="shared" si="10"/>
        <v>0.4370767531704256</v>
      </c>
      <c r="AL16" s="3">
        <f t="shared" si="10"/>
        <v>0.42434636230138412</v>
      </c>
      <c r="AM16" s="3">
        <f t="shared" si="10"/>
        <v>0.41198675951590691</v>
      </c>
      <c r="AN16" s="3">
        <f t="shared" si="10"/>
        <v>0.39998714516107459</v>
      </c>
      <c r="AO16" s="3">
        <f t="shared" si="10"/>
        <v>0.38833703413696569</v>
      </c>
      <c r="AP16" s="3">
        <f t="shared" si="10"/>
        <v>0.37702624673491814</v>
      </c>
      <c r="AQ16" s="3">
        <f t="shared" si="10"/>
        <v>0.36604489974263904</v>
      </c>
      <c r="AR16" s="3">
        <f t="shared" si="10"/>
        <v>0.35538339780838735</v>
      </c>
    </row>
    <row r="17" spans="1:44" x14ac:dyDescent="0.2">
      <c r="B17" s="1" t="s">
        <v>70</v>
      </c>
      <c r="C17" s="21" t="s">
        <v>50</v>
      </c>
      <c r="D17" s="69">
        <f>INPUTS!E26</f>
        <v>7.0000000000000007E-2</v>
      </c>
      <c r="E17" s="69"/>
      <c r="F17" s="3">
        <f t="shared" ref="F17:G17" si="11">MIN(1,IF(F10=0,1,1/(1+$D17)^(F$10-1)))</f>
        <v>1</v>
      </c>
      <c r="G17" s="3">
        <f t="shared" si="11"/>
        <v>1</v>
      </c>
      <c r="H17" s="3">
        <f>MIN(1,IF(H10=0,1,1/(1+$D17)^(H$10-1)))</f>
        <v>1</v>
      </c>
      <c r="I17" s="3">
        <f t="shared" ref="I17:AR17" si="12">MIN(1,IF(I10=0,1,1/(1+$D17)^(I$10-1)))</f>
        <v>1</v>
      </c>
      <c r="J17" s="3">
        <f t="shared" si="12"/>
        <v>0.93457943925233644</v>
      </c>
      <c r="K17" s="3">
        <f t="shared" si="12"/>
        <v>0.87343872827321156</v>
      </c>
      <c r="L17" s="3">
        <f t="shared" si="12"/>
        <v>0.81629787689085187</v>
      </c>
      <c r="M17" s="3">
        <f t="shared" si="12"/>
        <v>0.7628952120475252</v>
      </c>
      <c r="N17" s="3">
        <f t="shared" si="12"/>
        <v>0.71298617948366838</v>
      </c>
      <c r="O17" s="3">
        <f t="shared" si="12"/>
        <v>0.66634222381651254</v>
      </c>
      <c r="P17" s="3">
        <f t="shared" si="12"/>
        <v>0.62274974188459109</v>
      </c>
      <c r="Q17" s="3">
        <f t="shared" si="12"/>
        <v>0.5820091045650384</v>
      </c>
      <c r="R17" s="3">
        <f t="shared" si="12"/>
        <v>0.54393374258414806</v>
      </c>
      <c r="S17" s="3">
        <f t="shared" si="12"/>
        <v>0.5083492921347178</v>
      </c>
      <c r="T17" s="3">
        <f t="shared" si="12"/>
        <v>0.47509279638758667</v>
      </c>
      <c r="U17" s="3">
        <f t="shared" si="12"/>
        <v>0.44401195924073528</v>
      </c>
      <c r="V17" s="3">
        <f t="shared" si="12"/>
        <v>0.41496444788853759</v>
      </c>
      <c r="W17" s="3">
        <f t="shared" si="12"/>
        <v>0.3878172410173249</v>
      </c>
      <c r="X17" s="3">
        <f t="shared" si="12"/>
        <v>0.36244601964235967</v>
      </c>
      <c r="Y17" s="3">
        <f t="shared" si="12"/>
        <v>0.33873459779659787</v>
      </c>
      <c r="Z17" s="3">
        <f t="shared" si="12"/>
        <v>0.31657439046411018</v>
      </c>
      <c r="AA17" s="3">
        <f t="shared" si="12"/>
        <v>0.29586391632159825</v>
      </c>
      <c r="AB17" s="3">
        <f t="shared" si="12"/>
        <v>0.27650833301083949</v>
      </c>
      <c r="AC17" s="3">
        <f t="shared" si="12"/>
        <v>0.2584190028138687</v>
      </c>
      <c r="AD17" s="3">
        <f t="shared" si="12"/>
        <v>0.24151308674193336</v>
      </c>
      <c r="AE17" s="3">
        <f t="shared" si="12"/>
        <v>0.22571316517937698</v>
      </c>
      <c r="AF17" s="3">
        <f t="shared" si="12"/>
        <v>0.21094688334521211</v>
      </c>
      <c r="AG17" s="3">
        <f t="shared" si="12"/>
        <v>0.19714661994879637</v>
      </c>
      <c r="AH17" s="3">
        <f t="shared" si="12"/>
        <v>0.18424917752223957</v>
      </c>
      <c r="AI17" s="3">
        <f t="shared" si="12"/>
        <v>0.17219549301143888</v>
      </c>
      <c r="AJ17" s="3">
        <f t="shared" si="12"/>
        <v>0.16093036730041013</v>
      </c>
      <c r="AK17" s="3">
        <f t="shared" si="12"/>
        <v>0.15040221243028987</v>
      </c>
      <c r="AL17" s="3">
        <f t="shared" si="12"/>
        <v>0.1405628153554111</v>
      </c>
      <c r="AM17" s="3">
        <f t="shared" si="12"/>
        <v>0.13136711715458982</v>
      </c>
      <c r="AN17" s="3">
        <f t="shared" si="12"/>
        <v>0.1227730066865325</v>
      </c>
      <c r="AO17" s="3">
        <f t="shared" si="12"/>
        <v>0.11474112774442291</v>
      </c>
      <c r="AP17" s="3">
        <f t="shared" si="12"/>
        <v>0.10723469882656347</v>
      </c>
      <c r="AQ17" s="3">
        <f t="shared" si="12"/>
        <v>0.10021934469772288</v>
      </c>
      <c r="AR17" s="3">
        <f t="shared" si="12"/>
        <v>9.366293896983445E-2</v>
      </c>
    </row>
    <row r="19" spans="1:44" x14ac:dyDescent="0.2">
      <c r="B19" s="1" t="s">
        <v>232</v>
      </c>
      <c r="C19" s="1" t="s">
        <v>44</v>
      </c>
      <c r="D19" s="1" t="s">
        <v>45</v>
      </c>
    </row>
    <row r="20" spans="1:44" s="8" customFormat="1" x14ac:dyDescent="0.2">
      <c r="A20" s="7" t="s">
        <v>233</v>
      </c>
    </row>
    <row r="21" spans="1:44" ht="15" x14ac:dyDescent="0.25">
      <c r="A21" s="2" t="s">
        <v>250</v>
      </c>
      <c r="C21" s="20"/>
    </row>
    <row r="22" spans="1:44" x14ac:dyDescent="0.2">
      <c r="C22" s="225"/>
      <c r="D22" s="70"/>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row>
    <row r="23" spans="1:44" ht="15" x14ac:dyDescent="0.25">
      <c r="B23" s="2" t="s">
        <v>278</v>
      </c>
      <c r="C23" s="225"/>
      <c r="D23" s="70"/>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row>
    <row r="24" spans="1:44" x14ac:dyDescent="0.2">
      <c r="B24" s="1" t="s">
        <v>154</v>
      </c>
      <c r="C24" s="225" t="s">
        <v>155</v>
      </c>
      <c r="D24" s="83">
        <f>INPUTS!$E$96</f>
        <v>11.2</v>
      </c>
      <c r="F24" s="86">
        <f t="shared" ref="F24:AR24" si="13">IF(F7=$D$25,$D$24,0)</f>
        <v>0</v>
      </c>
      <c r="G24" s="86">
        <f t="shared" si="13"/>
        <v>0</v>
      </c>
      <c r="H24" s="86">
        <f t="shared" si="13"/>
        <v>0</v>
      </c>
      <c r="I24" s="86">
        <f t="shared" si="13"/>
        <v>11.2</v>
      </c>
      <c r="J24" s="86">
        <f t="shared" si="13"/>
        <v>0</v>
      </c>
      <c r="K24" s="86">
        <f t="shared" si="13"/>
        <v>0</v>
      </c>
      <c r="L24" s="86">
        <f t="shared" si="13"/>
        <v>0</v>
      </c>
      <c r="M24" s="86">
        <f t="shared" si="13"/>
        <v>0</v>
      </c>
      <c r="N24" s="86">
        <f t="shared" si="13"/>
        <v>0</v>
      </c>
      <c r="O24" s="86">
        <f t="shared" si="13"/>
        <v>0</v>
      </c>
      <c r="P24" s="86">
        <f t="shared" si="13"/>
        <v>0</v>
      </c>
      <c r="Q24" s="86">
        <f t="shared" si="13"/>
        <v>0</v>
      </c>
      <c r="R24" s="86">
        <f t="shared" si="13"/>
        <v>0</v>
      </c>
      <c r="S24" s="86">
        <f t="shared" si="13"/>
        <v>0</v>
      </c>
      <c r="T24" s="86">
        <f t="shared" si="13"/>
        <v>0</v>
      </c>
      <c r="U24" s="86">
        <f t="shared" si="13"/>
        <v>0</v>
      </c>
      <c r="V24" s="86">
        <f t="shared" si="13"/>
        <v>0</v>
      </c>
      <c r="W24" s="86">
        <f t="shared" si="13"/>
        <v>0</v>
      </c>
      <c r="X24" s="86">
        <f t="shared" si="13"/>
        <v>0</v>
      </c>
      <c r="Y24" s="86">
        <f t="shared" si="13"/>
        <v>0</v>
      </c>
      <c r="Z24" s="86">
        <f t="shared" si="13"/>
        <v>0</v>
      </c>
      <c r="AA24" s="86">
        <f t="shared" si="13"/>
        <v>0</v>
      </c>
      <c r="AB24" s="86">
        <f t="shared" si="13"/>
        <v>0</v>
      </c>
      <c r="AC24" s="86">
        <f t="shared" si="13"/>
        <v>0</v>
      </c>
      <c r="AD24" s="86">
        <f t="shared" si="13"/>
        <v>0</v>
      </c>
      <c r="AE24" s="86">
        <f t="shared" si="13"/>
        <v>0</v>
      </c>
      <c r="AF24" s="86">
        <f t="shared" si="13"/>
        <v>0</v>
      </c>
      <c r="AG24" s="86">
        <f t="shared" si="13"/>
        <v>0</v>
      </c>
      <c r="AH24" s="86">
        <f t="shared" si="13"/>
        <v>0</v>
      </c>
      <c r="AI24" s="86">
        <f t="shared" si="13"/>
        <v>0</v>
      </c>
      <c r="AJ24" s="86">
        <f t="shared" si="13"/>
        <v>0</v>
      </c>
      <c r="AK24" s="86">
        <f t="shared" si="13"/>
        <v>0</v>
      </c>
      <c r="AL24" s="86">
        <f t="shared" si="13"/>
        <v>0</v>
      </c>
      <c r="AM24" s="86">
        <f t="shared" si="13"/>
        <v>0</v>
      </c>
      <c r="AN24" s="86">
        <f t="shared" si="13"/>
        <v>0</v>
      </c>
      <c r="AO24" s="86">
        <f t="shared" si="13"/>
        <v>0</v>
      </c>
      <c r="AP24" s="86">
        <f t="shared" si="13"/>
        <v>0</v>
      </c>
      <c r="AQ24" s="86">
        <f t="shared" si="13"/>
        <v>0</v>
      </c>
      <c r="AR24" s="86">
        <f t="shared" si="13"/>
        <v>0</v>
      </c>
    </row>
    <row r="25" spans="1:44" x14ac:dyDescent="0.2">
      <c r="B25" s="1" t="s">
        <v>122</v>
      </c>
      <c r="C25" s="225" t="s">
        <v>123</v>
      </c>
      <c r="D25" s="22">
        <f>INPUTS!$E$97</f>
        <v>2021</v>
      </c>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row>
    <row r="26" spans="1:44" x14ac:dyDescent="0.2">
      <c r="B26" s="1" t="s">
        <v>157</v>
      </c>
      <c r="C26" s="225" t="s">
        <v>155</v>
      </c>
      <c r="D26" s="83">
        <f>INPUTS!$E$98</f>
        <v>231.4</v>
      </c>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row>
    <row r="27" spans="1:44" x14ac:dyDescent="0.2">
      <c r="B27" s="1" t="s">
        <v>159</v>
      </c>
      <c r="C27" s="225" t="s">
        <v>123</v>
      </c>
      <c r="D27" s="22">
        <f>INPUTS!$E$100</f>
        <v>2050</v>
      </c>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row>
    <row r="28" spans="1:44" x14ac:dyDescent="0.2">
      <c r="B28" s="1" t="s">
        <v>279</v>
      </c>
      <c r="C28" s="225" t="s">
        <v>155</v>
      </c>
      <c r="D28" s="17">
        <f>(D26-D24)/(D27-D25)</f>
        <v>7.5931034482758628</v>
      </c>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row>
    <row r="29" spans="1:44" x14ac:dyDescent="0.2">
      <c r="B29" s="1" t="s">
        <v>280</v>
      </c>
      <c r="C29" s="225" t="s">
        <v>281</v>
      </c>
      <c r="D29" s="19"/>
      <c r="F29" s="18">
        <f t="shared" ref="F29:AR29" si="14">IF(F7&gt;$D$25,1,0)</f>
        <v>0</v>
      </c>
      <c r="G29" s="18">
        <f t="shared" si="14"/>
        <v>0</v>
      </c>
      <c r="H29" s="18">
        <f t="shared" si="14"/>
        <v>0</v>
      </c>
      <c r="I29" s="18">
        <f t="shared" si="14"/>
        <v>0</v>
      </c>
      <c r="J29" s="18">
        <f t="shared" si="14"/>
        <v>1</v>
      </c>
      <c r="K29" s="18">
        <f t="shared" si="14"/>
        <v>1</v>
      </c>
      <c r="L29" s="18">
        <f t="shared" si="14"/>
        <v>1</v>
      </c>
      <c r="M29" s="18">
        <f t="shared" si="14"/>
        <v>1</v>
      </c>
      <c r="N29" s="18">
        <f t="shared" si="14"/>
        <v>1</v>
      </c>
      <c r="O29" s="18">
        <f t="shared" si="14"/>
        <v>1</v>
      </c>
      <c r="P29" s="18">
        <f t="shared" si="14"/>
        <v>1</v>
      </c>
      <c r="Q29" s="18">
        <f t="shared" si="14"/>
        <v>1</v>
      </c>
      <c r="R29" s="18">
        <f t="shared" si="14"/>
        <v>1</v>
      </c>
      <c r="S29" s="18">
        <f t="shared" si="14"/>
        <v>1</v>
      </c>
      <c r="T29" s="18">
        <f t="shared" si="14"/>
        <v>1</v>
      </c>
      <c r="U29" s="18">
        <f t="shared" si="14"/>
        <v>1</v>
      </c>
      <c r="V29" s="18">
        <f t="shared" si="14"/>
        <v>1</v>
      </c>
      <c r="W29" s="18">
        <f t="shared" si="14"/>
        <v>1</v>
      </c>
      <c r="X29" s="18">
        <f t="shared" si="14"/>
        <v>1</v>
      </c>
      <c r="Y29" s="18">
        <f t="shared" si="14"/>
        <v>1</v>
      </c>
      <c r="Z29" s="18">
        <f t="shared" si="14"/>
        <v>1</v>
      </c>
      <c r="AA29" s="18">
        <f t="shared" si="14"/>
        <v>1</v>
      </c>
      <c r="AB29" s="18">
        <f t="shared" si="14"/>
        <v>1</v>
      </c>
      <c r="AC29" s="18">
        <f t="shared" si="14"/>
        <v>1</v>
      </c>
      <c r="AD29" s="18">
        <f t="shared" si="14"/>
        <v>1</v>
      </c>
      <c r="AE29" s="18">
        <f t="shared" si="14"/>
        <v>1</v>
      </c>
      <c r="AF29" s="18">
        <f t="shared" si="14"/>
        <v>1</v>
      </c>
      <c r="AG29" s="18">
        <f t="shared" si="14"/>
        <v>1</v>
      </c>
      <c r="AH29" s="18">
        <f t="shared" si="14"/>
        <v>1</v>
      </c>
      <c r="AI29" s="18">
        <f t="shared" si="14"/>
        <v>1</v>
      </c>
      <c r="AJ29" s="18">
        <f t="shared" si="14"/>
        <v>1</v>
      </c>
      <c r="AK29" s="18">
        <f t="shared" si="14"/>
        <v>1</v>
      </c>
      <c r="AL29" s="18">
        <f t="shared" si="14"/>
        <v>1</v>
      </c>
      <c r="AM29" s="18">
        <f t="shared" si="14"/>
        <v>1</v>
      </c>
      <c r="AN29" s="18">
        <f t="shared" si="14"/>
        <v>1</v>
      </c>
      <c r="AO29" s="18">
        <f t="shared" si="14"/>
        <v>1</v>
      </c>
      <c r="AP29" s="18">
        <f t="shared" si="14"/>
        <v>1</v>
      </c>
      <c r="AQ29" s="18">
        <f t="shared" si="14"/>
        <v>1</v>
      </c>
      <c r="AR29" s="18">
        <f t="shared" si="14"/>
        <v>1</v>
      </c>
    </row>
    <row r="30" spans="1:44" ht="15" x14ac:dyDescent="0.25">
      <c r="A30" s="2"/>
      <c r="B30" s="1" t="s">
        <v>282</v>
      </c>
      <c r="C30" s="225" t="s">
        <v>155</v>
      </c>
      <c r="D30" s="83">
        <f>SUM(F30:AR30)</f>
        <v>5186.8551724137942</v>
      </c>
      <c r="F30" s="83">
        <f t="shared" ref="F30:AR30" si="15">E30+F24+F29*$D$28</f>
        <v>0</v>
      </c>
      <c r="G30" s="83">
        <f t="shared" si="15"/>
        <v>0</v>
      </c>
      <c r="H30" s="83">
        <f t="shared" si="15"/>
        <v>0</v>
      </c>
      <c r="I30" s="83">
        <f t="shared" si="15"/>
        <v>11.2</v>
      </c>
      <c r="J30" s="83">
        <f t="shared" si="15"/>
        <v>18.793103448275861</v>
      </c>
      <c r="K30" s="83">
        <f t="shared" si="15"/>
        <v>26.386206896551723</v>
      </c>
      <c r="L30" s="83">
        <f t="shared" si="15"/>
        <v>33.979310344827589</v>
      </c>
      <c r="M30" s="83">
        <f t="shared" si="15"/>
        <v>41.572413793103451</v>
      </c>
      <c r="N30" s="83">
        <f t="shared" si="15"/>
        <v>49.165517241379312</v>
      </c>
      <c r="O30" s="83">
        <f t="shared" si="15"/>
        <v>56.758620689655174</v>
      </c>
      <c r="P30" s="83">
        <f t="shared" si="15"/>
        <v>64.351724137931043</v>
      </c>
      <c r="Q30" s="83">
        <f t="shared" si="15"/>
        <v>71.944827586206912</v>
      </c>
      <c r="R30" s="83">
        <f t="shared" si="15"/>
        <v>79.537931034482781</v>
      </c>
      <c r="S30" s="83">
        <f t="shared" si="15"/>
        <v>87.13103448275865</v>
      </c>
      <c r="T30" s="83">
        <f t="shared" si="15"/>
        <v>94.72413793103452</v>
      </c>
      <c r="U30" s="83">
        <f t="shared" si="15"/>
        <v>102.31724137931039</v>
      </c>
      <c r="V30" s="83">
        <f t="shared" si="15"/>
        <v>109.91034482758626</v>
      </c>
      <c r="W30" s="83">
        <f t="shared" si="15"/>
        <v>117.50344827586213</v>
      </c>
      <c r="X30" s="83">
        <f t="shared" si="15"/>
        <v>125.096551724138</v>
      </c>
      <c r="Y30" s="83">
        <f t="shared" si="15"/>
        <v>132.68965517241386</v>
      </c>
      <c r="Z30" s="83">
        <f t="shared" si="15"/>
        <v>140.28275862068972</v>
      </c>
      <c r="AA30" s="83">
        <f t="shared" si="15"/>
        <v>147.87586206896557</v>
      </c>
      <c r="AB30" s="83">
        <f t="shared" si="15"/>
        <v>155.46896551724143</v>
      </c>
      <c r="AC30" s="83">
        <f t="shared" si="15"/>
        <v>163.06206896551728</v>
      </c>
      <c r="AD30" s="83">
        <f t="shared" si="15"/>
        <v>170.65517241379314</v>
      </c>
      <c r="AE30" s="83">
        <f t="shared" si="15"/>
        <v>178.24827586206899</v>
      </c>
      <c r="AF30" s="83">
        <f t="shared" si="15"/>
        <v>185.84137931034485</v>
      </c>
      <c r="AG30" s="83">
        <f t="shared" si="15"/>
        <v>193.4344827586207</v>
      </c>
      <c r="AH30" s="83">
        <f t="shared" si="15"/>
        <v>201.02758620689656</v>
      </c>
      <c r="AI30" s="83">
        <f t="shared" si="15"/>
        <v>208.62068965517241</v>
      </c>
      <c r="AJ30" s="83">
        <f t="shared" si="15"/>
        <v>216.21379310344827</v>
      </c>
      <c r="AK30" s="83">
        <f t="shared" si="15"/>
        <v>223.80689655172412</v>
      </c>
      <c r="AL30" s="83">
        <f t="shared" si="15"/>
        <v>231.39999999999998</v>
      </c>
      <c r="AM30" s="83">
        <f t="shared" si="15"/>
        <v>238.99310344827583</v>
      </c>
      <c r="AN30" s="83">
        <f t="shared" si="15"/>
        <v>246.58620689655169</v>
      </c>
      <c r="AO30" s="83">
        <f t="shared" si="15"/>
        <v>254.17931034482754</v>
      </c>
      <c r="AP30" s="83">
        <f t="shared" si="15"/>
        <v>261.7724137931034</v>
      </c>
      <c r="AQ30" s="83">
        <f t="shared" si="15"/>
        <v>269.36551724137928</v>
      </c>
      <c r="AR30" s="83">
        <f t="shared" si="15"/>
        <v>276.95862068965516</v>
      </c>
    </row>
    <row r="31" spans="1:44" x14ac:dyDescent="0.2">
      <c r="C31" s="225"/>
      <c r="D31" s="83"/>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row>
    <row r="32" spans="1:44" ht="15" x14ac:dyDescent="0.25">
      <c r="B32" s="2" t="s">
        <v>283</v>
      </c>
      <c r="C32" s="225"/>
      <c r="D32" s="4"/>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row>
    <row r="33" spans="1:44" ht="15" x14ac:dyDescent="0.25">
      <c r="A33" s="2"/>
      <c r="B33" s="2" t="s">
        <v>256</v>
      </c>
      <c r="C33" s="225"/>
      <c r="D33" s="4"/>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row>
    <row r="34" spans="1:44" x14ac:dyDescent="0.2">
      <c r="B34" s="1" t="s">
        <v>284</v>
      </c>
      <c r="C34" s="225" t="s">
        <v>135</v>
      </c>
      <c r="D34" s="87">
        <f>INPUTS!$E$83</f>
        <v>18.8</v>
      </c>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row>
    <row r="35" spans="1:44" ht="15" x14ac:dyDescent="0.25">
      <c r="A35" s="2"/>
      <c r="B35" s="1" t="s">
        <v>285</v>
      </c>
      <c r="C35" s="21" t="s">
        <v>146</v>
      </c>
      <c r="D35" s="17">
        <f>INPUTS!$E$93</f>
        <v>1.67</v>
      </c>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row>
    <row r="36" spans="1:44" ht="15" x14ac:dyDescent="0.25">
      <c r="A36" s="2"/>
      <c r="B36" s="1" t="s">
        <v>286</v>
      </c>
      <c r="C36" s="21" t="s">
        <v>68</v>
      </c>
      <c r="D36" s="241">
        <f>1-INPUTS!$E$54</f>
        <v>0.91</v>
      </c>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row>
    <row r="37" spans="1:44" ht="15" x14ac:dyDescent="0.25">
      <c r="A37" s="2"/>
      <c r="B37" s="1" t="s">
        <v>287</v>
      </c>
      <c r="C37" s="21" t="s">
        <v>77</v>
      </c>
      <c r="D37" s="18">
        <f>SUM(F37:AR37)</f>
        <v>148190.31954372418</v>
      </c>
      <c r="F37" s="18">
        <f>F$30*$D$34*$D$35*$D$36</f>
        <v>0</v>
      </c>
      <c r="G37" s="18">
        <f t="shared" ref="G37:AR37" si="16">G$30*$D$34*$D$35*$D$36</f>
        <v>0</v>
      </c>
      <c r="H37" s="18">
        <f t="shared" si="16"/>
        <v>0</v>
      </c>
      <c r="I37" s="18">
        <f t="shared" si="16"/>
        <v>319.98803200000003</v>
      </c>
      <c r="J37" s="18">
        <f t="shared" si="16"/>
        <v>536.92573103448285</v>
      </c>
      <c r="K37" s="18">
        <f t="shared" si="16"/>
        <v>753.8634300689655</v>
      </c>
      <c r="L37" s="18">
        <f t="shared" si="16"/>
        <v>970.80112910344849</v>
      </c>
      <c r="M37" s="18">
        <f t="shared" si="16"/>
        <v>1187.738828137931</v>
      </c>
      <c r="N37" s="18">
        <f t="shared" si="16"/>
        <v>1404.6765271724139</v>
      </c>
      <c r="O37" s="18">
        <f t="shared" si="16"/>
        <v>1621.6142262068965</v>
      </c>
      <c r="P37" s="18">
        <f t="shared" si="16"/>
        <v>1838.5519252413794</v>
      </c>
      <c r="Q37" s="18">
        <f t="shared" si="16"/>
        <v>2055.4896242758623</v>
      </c>
      <c r="R37" s="18">
        <f t="shared" si="16"/>
        <v>2272.4273233103454</v>
      </c>
      <c r="S37" s="18">
        <f t="shared" si="16"/>
        <v>2489.365022344828</v>
      </c>
      <c r="T37" s="18">
        <f t="shared" si="16"/>
        <v>2706.3027213793116</v>
      </c>
      <c r="U37" s="18">
        <f t="shared" si="16"/>
        <v>2923.2404204137947</v>
      </c>
      <c r="V37" s="18">
        <f t="shared" si="16"/>
        <v>3140.1781194482774</v>
      </c>
      <c r="W37" s="18">
        <f t="shared" si="16"/>
        <v>3357.1158184827605</v>
      </c>
      <c r="X37" s="18">
        <f t="shared" si="16"/>
        <v>3574.0535175172431</v>
      </c>
      <c r="Y37" s="18">
        <f t="shared" si="16"/>
        <v>3790.9912165517262</v>
      </c>
      <c r="Z37" s="18">
        <f t="shared" si="16"/>
        <v>4007.9289155862089</v>
      </c>
      <c r="AA37" s="18">
        <f t="shared" si="16"/>
        <v>4224.8666146206915</v>
      </c>
      <c r="AB37" s="18">
        <f t="shared" si="16"/>
        <v>4441.8043136551742</v>
      </c>
      <c r="AC37" s="18">
        <f t="shared" si="16"/>
        <v>4658.7420126896568</v>
      </c>
      <c r="AD37" s="18">
        <f t="shared" si="16"/>
        <v>4875.6797117241395</v>
      </c>
      <c r="AE37" s="18">
        <f t="shared" si="16"/>
        <v>5092.6174107586221</v>
      </c>
      <c r="AF37" s="18">
        <f t="shared" si="16"/>
        <v>5309.5551097931038</v>
      </c>
      <c r="AG37" s="18">
        <f t="shared" si="16"/>
        <v>5526.4928088275865</v>
      </c>
      <c r="AH37" s="18">
        <f t="shared" si="16"/>
        <v>5743.4305078620691</v>
      </c>
      <c r="AI37" s="18">
        <f t="shared" si="16"/>
        <v>5960.3682068965518</v>
      </c>
      <c r="AJ37" s="18">
        <f t="shared" si="16"/>
        <v>6177.3059059310344</v>
      </c>
      <c r="AK37" s="18">
        <f t="shared" si="16"/>
        <v>6394.243604965518</v>
      </c>
      <c r="AL37" s="18">
        <f t="shared" si="16"/>
        <v>6611.1813039999997</v>
      </c>
      <c r="AM37" s="18">
        <f t="shared" si="16"/>
        <v>6828.1190030344806</v>
      </c>
      <c r="AN37" s="18">
        <f t="shared" si="16"/>
        <v>7045.056702068965</v>
      </c>
      <c r="AO37" s="18">
        <f t="shared" si="16"/>
        <v>7261.9944011034468</v>
      </c>
      <c r="AP37" s="18">
        <f t="shared" si="16"/>
        <v>7478.9321001379303</v>
      </c>
      <c r="AQ37" s="18">
        <f t="shared" si="16"/>
        <v>7695.8697991724121</v>
      </c>
      <c r="AR37" s="18">
        <f t="shared" si="16"/>
        <v>7912.8074982068956</v>
      </c>
    </row>
    <row r="38" spans="1:44" ht="15" x14ac:dyDescent="0.25">
      <c r="A38" s="2"/>
      <c r="C38" s="21"/>
      <c r="D38" s="241"/>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row>
    <row r="39" spans="1:44" ht="15" x14ac:dyDescent="0.25">
      <c r="A39" s="2"/>
      <c r="B39" s="2" t="s">
        <v>257</v>
      </c>
      <c r="C39" s="225"/>
      <c r="D39" s="4"/>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row>
    <row r="40" spans="1:44" ht="15" x14ac:dyDescent="0.25">
      <c r="A40" s="2"/>
      <c r="B40" s="1" t="s">
        <v>284</v>
      </c>
      <c r="C40" s="225" t="s">
        <v>135</v>
      </c>
      <c r="D40" s="87">
        <f>INPUTS!$E$85</f>
        <v>32.4</v>
      </c>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row>
    <row r="41" spans="1:44" ht="15" x14ac:dyDescent="0.25">
      <c r="A41" s="2"/>
      <c r="B41" s="1" t="s">
        <v>285</v>
      </c>
      <c r="C41" s="21" t="s">
        <v>146</v>
      </c>
      <c r="D41" s="17">
        <f>INPUTS!$E$94</f>
        <v>1</v>
      </c>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row>
    <row r="42" spans="1:44" ht="15" x14ac:dyDescent="0.25">
      <c r="A42" s="2"/>
      <c r="B42" s="1" t="s">
        <v>103</v>
      </c>
      <c r="C42" s="21" t="s">
        <v>68</v>
      </c>
      <c r="D42" s="241">
        <f>INPUTS!$E$54</f>
        <v>0.09</v>
      </c>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row>
    <row r="43" spans="1:44" ht="15" x14ac:dyDescent="0.25">
      <c r="A43" s="2"/>
      <c r="B43" s="1" t="s">
        <v>287</v>
      </c>
      <c r="C43" s="21" t="s">
        <v>77</v>
      </c>
      <c r="D43" s="18">
        <f>SUM(F43:AR43)</f>
        <v>15124.869682758619</v>
      </c>
      <c r="F43" s="18">
        <f t="shared" ref="F43:AR43" si="17">F$30*$D$40*$D$41*$D$42</f>
        <v>0</v>
      </c>
      <c r="G43" s="18">
        <f t="shared" si="17"/>
        <v>0</v>
      </c>
      <c r="H43" s="18">
        <f t="shared" si="17"/>
        <v>0</v>
      </c>
      <c r="I43" s="18">
        <f t="shared" si="17"/>
        <v>32.659199999999991</v>
      </c>
      <c r="J43" s="18">
        <f t="shared" si="17"/>
        <v>54.800689655172413</v>
      </c>
      <c r="K43" s="18">
        <f t="shared" si="17"/>
        <v>76.942179310344827</v>
      </c>
      <c r="L43" s="18">
        <f t="shared" si="17"/>
        <v>99.083668965517234</v>
      </c>
      <c r="M43" s="18">
        <f t="shared" si="17"/>
        <v>121.22515862068965</v>
      </c>
      <c r="N43" s="18">
        <f t="shared" si="17"/>
        <v>143.36664827586205</v>
      </c>
      <c r="O43" s="18">
        <f t="shared" si="17"/>
        <v>165.50813793103447</v>
      </c>
      <c r="P43" s="18">
        <f t="shared" si="17"/>
        <v>187.64962758620692</v>
      </c>
      <c r="Q43" s="18">
        <f t="shared" si="17"/>
        <v>209.79111724137934</v>
      </c>
      <c r="R43" s="18">
        <f t="shared" si="17"/>
        <v>231.93260689655176</v>
      </c>
      <c r="S43" s="18">
        <f t="shared" si="17"/>
        <v>254.07409655172421</v>
      </c>
      <c r="T43" s="18">
        <f t="shared" si="17"/>
        <v>276.21558620689666</v>
      </c>
      <c r="U43" s="18">
        <f t="shared" si="17"/>
        <v>298.35707586206905</v>
      </c>
      <c r="V43" s="18">
        <f t="shared" si="17"/>
        <v>320.4985655172415</v>
      </c>
      <c r="W43" s="18">
        <f t="shared" si="17"/>
        <v>342.64005517241395</v>
      </c>
      <c r="X43" s="18">
        <f t="shared" si="17"/>
        <v>364.78154482758634</v>
      </c>
      <c r="Y43" s="18">
        <f t="shared" si="17"/>
        <v>386.92303448275885</v>
      </c>
      <c r="Z43" s="18">
        <f t="shared" si="17"/>
        <v>409.06452413793119</v>
      </c>
      <c r="AA43" s="18">
        <f t="shared" si="17"/>
        <v>431.20601379310358</v>
      </c>
      <c r="AB43" s="18">
        <f t="shared" si="17"/>
        <v>453.34750344827597</v>
      </c>
      <c r="AC43" s="18">
        <f t="shared" si="17"/>
        <v>475.48899310344837</v>
      </c>
      <c r="AD43" s="18">
        <f t="shared" si="17"/>
        <v>497.63048275862076</v>
      </c>
      <c r="AE43" s="18">
        <f t="shared" si="17"/>
        <v>519.77197241379315</v>
      </c>
      <c r="AF43" s="18">
        <f t="shared" si="17"/>
        <v>541.91346206896549</v>
      </c>
      <c r="AG43" s="18">
        <f t="shared" si="17"/>
        <v>564.05495172413794</v>
      </c>
      <c r="AH43" s="18">
        <f t="shared" si="17"/>
        <v>586.19644137931039</v>
      </c>
      <c r="AI43" s="18">
        <f t="shared" si="17"/>
        <v>608.33793103448272</v>
      </c>
      <c r="AJ43" s="18">
        <f t="shared" si="17"/>
        <v>630.47942068965506</v>
      </c>
      <c r="AK43" s="18">
        <f t="shared" si="17"/>
        <v>652.62091034482751</v>
      </c>
      <c r="AL43" s="18">
        <f t="shared" si="17"/>
        <v>674.76239999999984</v>
      </c>
      <c r="AM43" s="18">
        <f t="shared" si="17"/>
        <v>696.90388965517229</v>
      </c>
      <c r="AN43" s="18">
        <f t="shared" si="17"/>
        <v>719.04537931034463</v>
      </c>
      <c r="AO43" s="18">
        <f t="shared" si="17"/>
        <v>741.18686896551708</v>
      </c>
      <c r="AP43" s="18">
        <f t="shared" si="17"/>
        <v>763.32835862068941</v>
      </c>
      <c r="AQ43" s="18">
        <f t="shared" si="17"/>
        <v>785.46984827586186</v>
      </c>
      <c r="AR43" s="18">
        <f t="shared" si="17"/>
        <v>807.61133793103431</v>
      </c>
    </row>
    <row r="44" spans="1:44" ht="15" x14ac:dyDescent="0.25">
      <c r="A44" s="2"/>
      <c r="C44" s="21"/>
      <c r="D44" s="17"/>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row>
    <row r="45" spans="1:44" ht="15" x14ac:dyDescent="0.25">
      <c r="B45" s="2" t="s">
        <v>287</v>
      </c>
      <c r="C45" s="225"/>
      <c r="D45" s="70"/>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row>
    <row r="46" spans="1:44" ht="15" x14ac:dyDescent="0.25">
      <c r="A46" s="2"/>
      <c r="B46" s="1" t="s">
        <v>287</v>
      </c>
      <c r="C46" s="225" t="s">
        <v>288</v>
      </c>
      <c r="D46" s="70">
        <f>SUM(F46:AR46)</f>
        <v>163315.18922648276</v>
      </c>
      <c r="F46" s="18">
        <f>F37+F43</f>
        <v>0</v>
      </c>
      <c r="G46" s="18">
        <f t="shared" ref="G46:AR46" si="18">G37+G43</f>
        <v>0</v>
      </c>
      <c r="H46" s="18">
        <f t="shared" si="18"/>
        <v>0</v>
      </c>
      <c r="I46" s="18">
        <f t="shared" si="18"/>
        <v>352.64723200000003</v>
      </c>
      <c r="J46" s="18">
        <f t="shared" si="18"/>
        <v>591.72642068965524</v>
      </c>
      <c r="K46" s="18">
        <f t="shared" si="18"/>
        <v>830.80560937931034</v>
      </c>
      <c r="L46" s="18">
        <f t="shared" si="18"/>
        <v>1069.8847980689657</v>
      </c>
      <c r="M46" s="18">
        <f t="shared" si="18"/>
        <v>1308.9639867586206</v>
      </c>
      <c r="N46" s="18">
        <f t="shared" si="18"/>
        <v>1548.0431754482759</v>
      </c>
      <c r="O46" s="18">
        <f t="shared" si="18"/>
        <v>1787.1223641379311</v>
      </c>
      <c r="P46" s="18">
        <f t="shared" si="18"/>
        <v>2026.2015528275863</v>
      </c>
      <c r="Q46" s="18">
        <f t="shared" si="18"/>
        <v>2265.2807415172415</v>
      </c>
      <c r="R46" s="18">
        <f t="shared" si="18"/>
        <v>2504.3599302068969</v>
      </c>
      <c r="S46" s="18">
        <f t="shared" si="18"/>
        <v>2743.4391188965524</v>
      </c>
      <c r="T46" s="18">
        <f t="shared" si="18"/>
        <v>2982.5183075862083</v>
      </c>
      <c r="U46" s="18">
        <f t="shared" si="18"/>
        <v>3221.5974962758637</v>
      </c>
      <c r="V46" s="18">
        <f t="shared" si="18"/>
        <v>3460.6766849655187</v>
      </c>
      <c r="W46" s="18">
        <f t="shared" si="18"/>
        <v>3699.7558736551746</v>
      </c>
      <c r="X46" s="18">
        <f t="shared" si="18"/>
        <v>3938.8350623448296</v>
      </c>
      <c r="Y46" s="18">
        <f t="shared" si="18"/>
        <v>4177.9142510344855</v>
      </c>
      <c r="Z46" s="18">
        <f t="shared" si="18"/>
        <v>4416.9934397241404</v>
      </c>
      <c r="AA46" s="18">
        <f t="shared" si="18"/>
        <v>4656.0726284137954</v>
      </c>
      <c r="AB46" s="18">
        <f t="shared" si="18"/>
        <v>4895.1518171034504</v>
      </c>
      <c r="AC46" s="18">
        <f t="shared" si="18"/>
        <v>5134.2310057931054</v>
      </c>
      <c r="AD46" s="18">
        <f t="shared" si="18"/>
        <v>5373.3101944827604</v>
      </c>
      <c r="AE46" s="18">
        <f t="shared" si="18"/>
        <v>5612.3893831724154</v>
      </c>
      <c r="AF46" s="18">
        <f t="shared" si="18"/>
        <v>5851.4685718620694</v>
      </c>
      <c r="AG46" s="18">
        <f t="shared" si="18"/>
        <v>6090.5477605517244</v>
      </c>
      <c r="AH46" s="18">
        <f t="shared" si="18"/>
        <v>6329.6269492413794</v>
      </c>
      <c r="AI46" s="18">
        <f t="shared" si="18"/>
        <v>6568.7061379310344</v>
      </c>
      <c r="AJ46" s="18">
        <f t="shared" si="18"/>
        <v>6807.7853266206894</v>
      </c>
      <c r="AK46" s="18">
        <f t="shared" si="18"/>
        <v>7046.8645153103453</v>
      </c>
      <c r="AL46" s="18">
        <f t="shared" si="18"/>
        <v>7285.9437039999993</v>
      </c>
      <c r="AM46" s="18">
        <f t="shared" si="18"/>
        <v>7525.0228926896525</v>
      </c>
      <c r="AN46" s="18">
        <f t="shared" si="18"/>
        <v>7764.1020813793093</v>
      </c>
      <c r="AO46" s="18">
        <f t="shared" si="18"/>
        <v>8003.1812700689643</v>
      </c>
      <c r="AP46" s="18">
        <f t="shared" si="18"/>
        <v>8242.2604587586193</v>
      </c>
      <c r="AQ46" s="18">
        <f t="shared" si="18"/>
        <v>8481.3396474482743</v>
      </c>
      <c r="AR46" s="18">
        <f t="shared" si="18"/>
        <v>8720.4188361379292</v>
      </c>
    </row>
    <row r="47" spans="1:44" ht="15" x14ac:dyDescent="0.25">
      <c r="A47" s="2"/>
      <c r="B47" s="1" t="s">
        <v>71</v>
      </c>
      <c r="C47" s="225" t="s">
        <v>72</v>
      </c>
      <c r="D47" s="70">
        <f>INPUTS!$E$27</f>
        <v>365</v>
      </c>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row>
    <row r="48" spans="1:44" x14ac:dyDescent="0.2">
      <c r="B48" s="1" t="s">
        <v>282</v>
      </c>
      <c r="C48" s="225" t="s">
        <v>289</v>
      </c>
      <c r="D48" s="70">
        <f>SUM(F48:AR48)</f>
        <v>59610044.06766621</v>
      </c>
      <c r="F48" s="18">
        <f>F46*$D$47</f>
        <v>0</v>
      </c>
      <c r="G48" s="18">
        <f t="shared" ref="G48:AR48" si="19">G46*$D$47</f>
        <v>0</v>
      </c>
      <c r="H48" s="18">
        <f t="shared" si="19"/>
        <v>0</v>
      </c>
      <c r="I48" s="18">
        <f t="shared" si="19"/>
        <v>128716.23968000001</v>
      </c>
      <c r="J48" s="18">
        <f t="shared" si="19"/>
        <v>215980.14355172418</v>
      </c>
      <c r="K48" s="18">
        <f t="shared" si="19"/>
        <v>303244.0474234483</v>
      </c>
      <c r="L48" s="18">
        <f t="shared" si="19"/>
        <v>390507.95129517245</v>
      </c>
      <c r="M48" s="18">
        <f t="shared" si="19"/>
        <v>477771.85516689654</v>
      </c>
      <c r="N48" s="18">
        <f t="shared" si="19"/>
        <v>565035.75903862074</v>
      </c>
      <c r="O48" s="18">
        <f t="shared" si="19"/>
        <v>652299.66291034489</v>
      </c>
      <c r="P48" s="18">
        <f t="shared" si="19"/>
        <v>739563.56678206904</v>
      </c>
      <c r="Q48" s="18">
        <f t="shared" si="19"/>
        <v>826827.47065379319</v>
      </c>
      <c r="R48" s="18">
        <f t="shared" si="19"/>
        <v>914091.37452551734</v>
      </c>
      <c r="S48" s="18">
        <f t="shared" si="19"/>
        <v>1001355.2783972416</v>
      </c>
      <c r="T48" s="18">
        <f t="shared" si="19"/>
        <v>1088619.182268966</v>
      </c>
      <c r="U48" s="18">
        <f t="shared" si="19"/>
        <v>1175883.0861406901</v>
      </c>
      <c r="V48" s="18">
        <f t="shared" si="19"/>
        <v>1263146.9900124143</v>
      </c>
      <c r="W48" s="18">
        <f t="shared" si="19"/>
        <v>1350410.8938841387</v>
      </c>
      <c r="X48" s="18">
        <f t="shared" si="19"/>
        <v>1437674.7977558628</v>
      </c>
      <c r="Y48" s="18">
        <f t="shared" si="19"/>
        <v>1524938.7016275872</v>
      </c>
      <c r="Z48" s="18">
        <f t="shared" si="19"/>
        <v>1612202.6054993114</v>
      </c>
      <c r="AA48" s="18">
        <f t="shared" si="19"/>
        <v>1699466.5093710353</v>
      </c>
      <c r="AB48" s="18">
        <f t="shared" si="19"/>
        <v>1786730.4132427594</v>
      </c>
      <c r="AC48" s="18">
        <f t="shared" si="19"/>
        <v>1873994.3171144836</v>
      </c>
      <c r="AD48" s="18">
        <f t="shared" si="19"/>
        <v>1961258.2209862075</v>
      </c>
      <c r="AE48" s="18">
        <f t="shared" si="19"/>
        <v>2048522.1248579316</v>
      </c>
      <c r="AF48" s="18">
        <f t="shared" si="19"/>
        <v>2135786.0287296553</v>
      </c>
      <c r="AG48" s="18">
        <f t="shared" si="19"/>
        <v>2223049.9326013792</v>
      </c>
      <c r="AH48" s="18">
        <f t="shared" si="19"/>
        <v>2310313.8364731036</v>
      </c>
      <c r="AI48" s="18">
        <f t="shared" si="19"/>
        <v>2397577.7403448275</v>
      </c>
      <c r="AJ48" s="18">
        <f t="shared" si="19"/>
        <v>2484841.6442165514</v>
      </c>
      <c r="AK48" s="18">
        <f t="shared" si="19"/>
        <v>2572105.5480882758</v>
      </c>
      <c r="AL48" s="18">
        <f t="shared" si="19"/>
        <v>2659369.4519599997</v>
      </c>
      <c r="AM48" s="18">
        <f t="shared" si="19"/>
        <v>2746633.3558317232</v>
      </c>
      <c r="AN48" s="18">
        <f t="shared" si="19"/>
        <v>2833897.259703448</v>
      </c>
      <c r="AO48" s="18">
        <f t="shared" si="19"/>
        <v>2921161.163575172</v>
      </c>
      <c r="AP48" s="18">
        <f t="shared" si="19"/>
        <v>3008425.0674468959</v>
      </c>
      <c r="AQ48" s="18">
        <f t="shared" si="19"/>
        <v>3095688.9713186203</v>
      </c>
      <c r="AR48" s="18">
        <f t="shared" si="19"/>
        <v>3182952.8751903442</v>
      </c>
    </row>
    <row r="49" spans="1:44" x14ac:dyDescent="0.2">
      <c r="C49" s="225"/>
      <c r="D49" s="70"/>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row>
    <row r="50" spans="1:44" ht="15" x14ac:dyDescent="0.25">
      <c r="A50" s="2" t="s">
        <v>258</v>
      </c>
      <c r="C50" s="21"/>
      <c r="D50" s="17"/>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row>
    <row r="51" spans="1:44" ht="15" x14ac:dyDescent="0.25">
      <c r="A51" s="2"/>
      <c r="B51" s="1" t="str">
        <f>'CALCS Traffic'!$B$37</f>
        <v>Pedestrian Forecast</v>
      </c>
      <c r="C51" s="21" t="s">
        <v>187</v>
      </c>
      <c r="D51" s="17"/>
      <c r="F51" s="18">
        <f>'CALCS Traffic'!F$37</f>
        <v>0</v>
      </c>
      <c r="G51" s="18">
        <f>'CALCS Traffic'!G$37</f>
        <v>0</v>
      </c>
      <c r="H51" s="18">
        <f>'CALCS Traffic'!H$37</f>
        <v>0</v>
      </c>
      <c r="I51" s="18">
        <f>'CALCS Traffic'!I$37</f>
        <v>0</v>
      </c>
      <c r="J51" s="18">
        <f>'CALCS Traffic'!J$37</f>
        <v>0</v>
      </c>
      <c r="K51" s="18">
        <f>'CALCS Traffic'!K$37</f>
        <v>0</v>
      </c>
      <c r="L51" s="18">
        <f>'CALCS Traffic'!L$37</f>
        <v>0</v>
      </c>
      <c r="M51" s="18">
        <f>'CALCS Traffic'!M$37</f>
        <v>0</v>
      </c>
      <c r="N51" s="18">
        <f>'CALCS Traffic'!N$37</f>
        <v>0</v>
      </c>
      <c r="O51" s="18">
        <f>'CALCS Traffic'!O$37</f>
        <v>0</v>
      </c>
      <c r="P51" s="18">
        <f>'CALCS Traffic'!P$37</f>
        <v>0</v>
      </c>
      <c r="Q51" s="18">
        <f>'CALCS Traffic'!Q$37</f>
        <v>0</v>
      </c>
      <c r="R51" s="18">
        <f>'CALCS Traffic'!R$37</f>
        <v>0</v>
      </c>
      <c r="S51" s="18">
        <f>'CALCS Traffic'!S$37</f>
        <v>0</v>
      </c>
      <c r="T51" s="18">
        <f>'CALCS Traffic'!T$37</f>
        <v>0</v>
      </c>
      <c r="U51" s="18">
        <f>'CALCS Traffic'!U$37</f>
        <v>0</v>
      </c>
      <c r="V51" s="18">
        <f>'CALCS Traffic'!V$37</f>
        <v>0</v>
      </c>
      <c r="W51" s="18">
        <f>'CALCS Traffic'!W$37</f>
        <v>0</v>
      </c>
      <c r="X51" s="18">
        <f>'CALCS Traffic'!X$37</f>
        <v>0</v>
      </c>
      <c r="Y51" s="18">
        <f>'CALCS Traffic'!Y$37</f>
        <v>0</v>
      </c>
      <c r="Z51" s="18">
        <f>'CALCS Traffic'!Z$37</f>
        <v>0</v>
      </c>
      <c r="AA51" s="18">
        <f>'CALCS Traffic'!AA$37</f>
        <v>0</v>
      </c>
      <c r="AB51" s="18">
        <f>'CALCS Traffic'!AB$37</f>
        <v>0</v>
      </c>
      <c r="AC51" s="18">
        <f>'CALCS Traffic'!AC$37</f>
        <v>0</v>
      </c>
      <c r="AD51" s="18">
        <f>'CALCS Traffic'!AD$37</f>
        <v>0</v>
      </c>
      <c r="AE51" s="18">
        <f>'CALCS Traffic'!AE$37</f>
        <v>0</v>
      </c>
      <c r="AF51" s="18">
        <f>'CALCS Traffic'!AF$37</f>
        <v>0</v>
      </c>
      <c r="AG51" s="18">
        <f>'CALCS Traffic'!AG$37</f>
        <v>0</v>
      </c>
      <c r="AH51" s="18">
        <f>'CALCS Traffic'!AH$37</f>
        <v>0</v>
      </c>
      <c r="AI51" s="18">
        <f>'CALCS Traffic'!AI$37</f>
        <v>0</v>
      </c>
      <c r="AJ51" s="18">
        <f>'CALCS Traffic'!AJ$37</f>
        <v>0</v>
      </c>
      <c r="AK51" s="18">
        <f>'CALCS Traffic'!AK$37</f>
        <v>0</v>
      </c>
      <c r="AL51" s="18">
        <f>'CALCS Traffic'!AL$37</f>
        <v>0</v>
      </c>
      <c r="AM51" s="18">
        <f>'CALCS Traffic'!AM$37</f>
        <v>0</v>
      </c>
      <c r="AN51" s="18">
        <f>'CALCS Traffic'!AN$37</f>
        <v>0</v>
      </c>
      <c r="AO51" s="18">
        <f>'CALCS Traffic'!AO$37</f>
        <v>0</v>
      </c>
      <c r="AP51" s="18">
        <f>'CALCS Traffic'!AP$37</f>
        <v>0</v>
      </c>
      <c r="AQ51" s="18">
        <f>'CALCS Traffic'!AQ$37</f>
        <v>0</v>
      </c>
      <c r="AR51" s="18">
        <f>'CALCS Traffic'!AR$37</f>
        <v>0</v>
      </c>
    </row>
    <row r="52" spans="1:44" ht="15" x14ac:dyDescent="0.25">
      <c r="A52" s="2"/>
      <c r="B52" s="1" t="s">
        <v>290</v>
      </c>
      <c r="C52" s="21" t="s">
        <v>101</v>
      </c>
      <c r="D52" s="17">
        <f>INPUTS!$E$77</f>
        <v>0</v>
      </c>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row>
    <row r="53" spans="1:44" ht="15" x14ac:dyDescent="0.25">
      <c r="A53" s="2"/>
      <c r="B53" s="1" t="s">
        <v>291</v>
      </c>
      <c r="C53" s="21" t="s">
        <v>131</v>
      </c>
      <c r="D53" s="17">
        <f>INPUTS!$E$79</f>
        <v>3.2</v>
      </c>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row>
    <row r="54" spans="1:44" ht="15" x14ac:dyDescent="0.25">
      <c r="A54" s="2"/>
      <c r="B54" s="1" t="s">
        <v>292</v>
      </c>
      <c r="C54" s="21" t="s">
        <v>293</v>
      </c>
      <c r="D54" s="17">
        <f>D52/D53</f>
        <v>0</v>
      </c>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row>
    <row r="55" spans="1:44" ht="15" x14ac:dyDescent="0.25">
      <c r="A55" s="2"/>
      <c r="B55" s="1" t="s">
        <v>294</v>
      </c>
      <c r="C55" s="21" t="s">
        <v>295</v>
      </c>
      <c r="D55" s="17"/>
      <c r="F55" s="18">
        <f>F51*$D$54</f>
        <v>0</v>
      </c>
      <c r="G55" s="18">
        <f t="shared" ref="G55:AR55" si="20">G51*$D$54</f>
        <v>0</v>
      </c>
      <c r="H55" s="18">
        <f t="shared" si="20"/>
        <v>0</v>
      </c>
      <c r="I55" s="18">
        <f t="shared" si="20"/>
        <v>0</v>
      </c>
      <c r="J55" s="18">
        <f t="shared" si="20"/>
        <v>0</v>
      </c>
      <c r="K55" s="18">
        <f t="shared" si="20"/>
        <v>0</v>
      </c>
      <c r="L55" s="18">
        <f t="shared" si="20"/>
        <v>0</v>
      </c>
      <c r="M55" s="18">
        <f t="shared" si="20"/>
        <v>0</v>
      </c>
      <c r="N55" s="18">
        <f t="shared" si="20"/>
        <v>0</v>
      </c>
      <c r="O55" s="18">
        <f t="shared" si="20"/>
        <v>0</v>
      </c>
      <c r="P55" s="18">
        <f t="shared" si="20"/>
        <v>0</v>
      </c>
      <c r="Q55" s="18">
        <f t="shared" si="20"/>
        <v>0</v>
      </c>
      <c r="R55" s="18">
        <f t="shared" si="20"/>
        <v>0</v>
      </c>
      <c r="S55" s="18">
        <f t="shared" si="20"/>
        <v>0</v>
      </c>
      <c r="T55" s="18">
        <f t="shared" si="20"/>
        <v>0</v>
      </c>
      <c r="U55" s="18">
        <f t="shared" si="20"/>
        <v>0</v>
      </c>
      <c r="V55" s="18">
        <f t="shared" si="20"/>
        <v>0</v>
      </c>
      <c r="W55" s="18">
        <f t="shared" si="20"/>
        <v>0</v>
      </c>
      <c r="X55" s="18">
        <f t="shared" si="20"/>
        <v>0</v>
      </c>
      <c r="Y55" s="18">
        <f t="shared" si="20"/>
        <v>0</v>
      </c>
      <c r="Z55" s="18">
        <f t="shared" si="20"/>
        <v>0</v>
      </c>
      <c r="AA55" s="18">
        <f t="shared" si="20"/>
        <v>0</v>
      </c>
      <c r="AB55" s="18">
        <f t="shared" si="20"/>
        <v>0</v>
      </c>
      <c r="AC55" s="18">
        <f t="shared" si="20"/>
        <v>0</v>
      </c>
      <c r="AD55" s="18">
        <f t="shared" si="20"/>
        <v>0</v>
      </c>
      <c r="AE55" s="18">
        <f t="shared" si="20"/>
        <v>0</v>
      </c>
      <c r="AF55" s="18">
        <f t="shared" si="20"/>
        <v>0</v>
      </c>
      <c r="AG55" s="18">
        <f t="shared" si="20"/>
        <v>0</v>
      </c>
      <c r="AH55" s="18">
        <f t="shared" si="20"/>
        <v>0</v>
      </c>
      <c r="AI55" s="18">
        <f t="shared" si="20"/>
        <v>0</v>
      </c>
      <c r="AJ55" s="18">
        <f t="shared" si="20"/>
        <v>0</v>
      </c>
      <c r="AK55" s="18">
        <f t="shared" si="20"/>
        <v>0</v>
      </c>
      <c r="AL55" s="18">
        <f t="shared" si="20"/>
        <v>0</v>
      </c>
      <c r="AM55" s="18">
        <f t="shared" si="20"/>
        <v>0</v>
      </c>
      <c r="AN55" s="18">
        <f t="shared" si="20"/>
        <v>0</v>
      </c>
      <c r="AO55" s="18">
        <f t="shared" si="20"/>
        <v>0</v>
      </c>
      <c r="AP55" s="18">
        <f t="shared" si="20"/>
        <v>0</v>
      </c>
      <c r="AQ55" s="18">
        <f t="shared" si="20"/>
        <v>0</v>
      </c>
      <c r="AR55" s="18">
        <f t="shared" si="20"/>
        <v>0</v>
      </c>
    </row>
    <row r="56" spans="1:44" ht="15" x14ac:dyDescent="0.25">
      <c r="A56" s="2"/>
      <c r="C56" s="21"/>
      <c r="D56" s="17"/>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row>
    <row r="57" spans="1:44" ht="15" x14ac:dyDescent="0.25">
      <c r="A57" s="2"/>
      <c r="B57" s="2" t="s">
        <v>283</v>
      </c>
      <c r="C57" s="21"/>
      <c r="D57" s="17"/>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row>
    <row r="58" spans="1:44" ht="15" x14ac:dyDescent="0.25">
      <c r="A58" s="2"/>
      <c r="B58" s="1" t="str">
        <f>INPUTS!C84</f>
        <v>Walking, Cycling, Waiting, Standing, and Transfer Time</v>
      </c>
      <c r="C58" s="21" t="s">
        <v>135</v>
      </c>
      <c r="D58" s="88">
        <f>INPUTS!E84</f>
        <v>34</v>
      </c>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row>
    <row r="59" spans="1:44" x14ac:dyDescent="0.2">
      <c r="B59" s="1" t="s">
        <v>296</v>
      </c>
      <c r="C59" s="21" t="s">
        <v>297</v>
      </c>
      <c r="D59" s="70">
        <f>SUM(F59:AR59)</f>
        <v>0</v>
      </c>
      <c r="F59" s="18">
        <f>F55*$D$58</f>
        <v>0</v>
      </c>
      <c r="G59" s="18">
        <f t="shared" ref="G59:AR59" si="21">G55*$D$58</f>
        <v>0</v>
      </c>
      <c r="H59" s="18">
        <f t="shared" si="21"/>
        <v>0</v>
      </c>
      <c r="I59" s="18">
        <f t="shared" si="21"/>
        <v>0</v>
      </c>
      <c r="J59" s="18">
        <f t="shared" si="21"/>
        <v>0</v>
      </c>
      <c r="K59" s="18">
        <f t="shared" si="21"/>
        <v>0</v>
      </c>
      <c r="L59" s="18">
        <f t="shared" si="21"/>
        <v>0</v>
      </c>
      <c r="M59" s="18">
        <f t="shared" si="21"/>
        <v>0</v>
      </c>
      <c r="N59" s="18">
        <f t="shared" si="21"/>
        <v>0</v>
      </c>
      <c r="O59" s="18">
        <f t="shared" si="21"/>
        <v>0</v>
      </c>
      <c r="P59" s="18">
        <f t="shared" si="21"/>
        <v>0</v>
      </c>
      <c r="Q59" s="18">
        <f t="shared" si="21"/>
        <v>0</v>
      </c>
      <c r="R59" s="18">
        <f t="shared" si="21"/>
        <v>0</v>
      </c>
      <c r="S59" s="18">
        <f t="shared" si="21"/>
        <v>0</v>
      </c>
      <c r="T59" s="18">
        <f t="shared" si="21"/>
        <v>0</v>
      </c>
      <c r="U59" s="18">
        <f t="shared" si="21"/>
        <v>0</v>
      </c>
      <c r="V59" s="18">
        <f t="shared" si="21"/>
        <v>0</v>
      </c>
      <c r="W59" s="18">
        <f t="shared" si="21"/>
        <v>0</v>
      </c>
      <c r="X59" s="18">
        <f t="shared" si="21"/>
        <v>0</v>
      </c>
      <c r="Y59" s="18">
        <f t="shared" si="21"/>
        <v>0</v>
      </c>
      <c r="Z59" s="18">
        <f t="shared" si="21"/>
        <v>0</v>
      </c>
      <c r="AA59" s="18">
        <f t="shared" si="21"/>
        <v>0</v>
      </c>
      <c r="AB59" s="18">
        <f t="shared" si="21"/>
        <v>0</v>
      </c>
      <c r="AC59" s="18">
        <f t="shared" si="21"/>
        <v>0</v>
      </c>
      <c r="AD59" s="18">
        <f t="shared" si="21"/>
        <v>0</v>
      </c>
      <c r="AE59" s="18">
        <f t="shared" si="21"/>
        <v>0</v>
      </c>
      <c r="AF59" s="18">
        <f t="shared" si="21"/>
        <v>0</v>
      </c>
      <c r="AG59" s="18">
        <f t="shared" si="21"/>
        <v>0</v>
      </c>
      <c r="AH59" s="18">
        <f t="shared" si="21"/>
        <v>0</v>
      </c>
      <c r="AI59" s="18">
        <f t="shared" si="21"/>
        <v>0</v>
      </c>
      <c r="AJ59" s="18">
        <f t="shared" si="21"/>
        <v>0</v>
      </c>
      <c r="AK59" s="18">
        <f t="shared" si="21"/>
        <v>0</v>
      </c>
      <c r="AL59" s="18">
        <f t="shared" si="21"/>
        <v>0</v>
      </c>
      <c r="AM59" s="18">
        <f t="shared" si="21"/>
        <v>0</v>
      </c>
      <c r="AN59" s="18">
        <f t="shared" si="21"/>
        <v>0</v>
      </c>
      <c r="AO59" s="18">
        <f t="shared" si="21"/>
        <v>0</v>
      </c>
      <c r="AP59" s="18">
        <f t="shared" si="21"/>
        <v>0</v>
      </c>
      <c r="AQ59" s="18">
        <f t="shared" si="21"/>
        <v>0</v>
      </c>
      <c r="AR59" s="18">
        <f t="shared" si="21"/>
        <v>0</v>
      </c>
    </row>
    <row r="60" spans="1:44" x14ac:dyDescent="0.2">
      <c r="B60" s="1" t="s">
        <v>71</v>
      </c>
      <c r="C60" s="225" t="s">
        <v>72</v>
      </c>
      <c r="D60" s="70">
        <f>INPUTS!$E$27</f>
        <v>365</v>
      </c>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row>
    <row r="61" spans="1:44" x14ac:dyDescent="0.2">
      <c r="B61" s="1" t="s">
        <v>296</v>
      </c>
      <c r="C61" s="21" t="s">
        <v>289</v>
      </c>
      <c r="D61" s="70">
        <f>SUM(F61:AR61)</f>
        <v>0</v>
      </c>
      <c r="F61" s="18">
        <f>F59*$D$60</f>
        <v>0</v>
      </c>
      <c r="G61" s="18">
        <f t="shared" ref="G61:AR61" si="22">G59*$D$60</f>
        <v>0</v>
      </c>
      <c r="H61" s="18">
        <f t="shared" si="22"/>
        <v>0</v>
      </c>
      <c r="I61" s="18">
        <f t="shared" si="22"/>
        <v>0</v>
      </c>
      <c r="J61" s="18">
        <f t="shared" si="22"/>
        <v>0</v>
      </c>
      <c r="K61" s="18">
        <f t="shared" si="22"/>
        <v>0</v>
      </c>
      <c r="L61" s="18">
        <f t="shared" si="22"/>
        <v>0</v>
      </c>
      <c r="M61" s="18">
        <f t="shared" si="22"/>
        <v>0</v>
      </c>
      <c r="N61" s="18">
        <f t="shared" si="22"/>
        <v>0</v>
      </c>
      <c r="O61" s="18">
        <f t="shared" si="22"/>
        <v>0</v>
      </c>
      <c r="P61" s="18">
        <f t="shared" si="22"/>
        <v>0</v>
      </c>
      <c r="Q61" s="18">
        <f t="shared" si="22"/>
        <v>0</v>
      </c>
      <c r="R61" s="18">
        <f t="shared" si="22"/>
        <v>0</v>
      </c>
      <c r="S61" s="18">
        <f t="shared" si="22"/>
        <v>0</v>
      </c>
      <c r="T61" s="18">
        <f t="shared" si="22"/>
        <v>0</v>
      </c>
      <c r="U61" s="18">
        <f t="shared" si="22"/>
        <v>0</v>
      </c>
      <c r="V61" s="18">
        <f t="shared" si="22"/>
        <v>0</v>
      </c>
      <c r="W61" s="18">
        <f t="shared" si="22"/>
        <v>0</v>
      </c>
      <c r="X61" s="18">
        <f t="shared" si="22"/>
        <v>0</v>
      </c>
      <c r="Y61" s="18">
        <f t="shared" si="22"/>
        <v>0</v>
      </c>
      <c r="Z61" s="18">
        <f t="shared" si="22"/>
        <v>0</v>
      </c>
      <c r="AA61" s="18">
        <f t="shared" si="22"/>
        <v>0</v>
      </c>
      <c r="AB61" s="18">
        <f t="shared" si="22"/>
        <v>0</v>
      </c>
      <c r="AC61" s="18">
        <f t="shared" si="22"/>
        <v>0</v>
      </c>
      <c r="AD61" s="18">
        <f t="shared" si="22"/>
        <v>0</v>
      </c>
      <c r="AE61" s="18">
        <f t="shared" si="22"/>
        <v>0</v>
      </c>
      <c r="AF61" s="18">
        <f t="shared" si="22"/>
        <v>0</v>
      </c>
      <c r="AG61" s="18">
        <f t="shared" si="22"/>
        <v>0</v>
      </c>
      <c r="AH61" s="18">
        <f t="shared" si="22"/>
        <v>0</v>
      </c>
      <c r="AI61" s="18">
        <f t="shared" si="22"/>
        <v>0</v>
      </c>
      <c r="AJ61" s="18">
        <f t="shared" si="22"/>
        <v>0</v>
      </c>
      <c r="AK61" s="18">
        <f t="shared" si="22"/>
        <v>0</v>
      </c>
      <c r="AL61" s="18">
        <f t="shared" si="22"/>
        <v>0</v>
      </c>
      <c r="AM61" s="18">
        <f t="shared" si="22"/>
        <v>0</v>
      </c>
      <c r="AN61" s="18">
        <f t="shared" si="22"/>
        <v>0</v>
      </c>
      <c r="AO61" s="18">
        <f t="shared" si="22"/>
        <v>0</v>
      </c>
      <c r="AP61" s="18">
        <f t="shared" si="22"/>
        <v>0</v>
      </c>
      <c r="AQ61" s="18">
        <f t="shared" si="22"/>
        <v>0</v>
      </c>
      <c r="AR61" s="18">
        <f t="shared" si="22"/>
        <v>0</v>
      </c>
    </row>
    <row r="62" spans="1:44" x14ac:dyDescent="0.2">
      <c r="C62" s="20"/>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row>
    <row r="63" spans="1:44" ht="15" x14ac:dyDescent="0.25">
      <c r="A63" s="2" t="s">
        <v>272</v>
      </c>
      <c r="C63" s="225"/>
      <c r="D63" s="70"/>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row>
    <row r="64" spans="1:44" x14ac:dyDescent="0.2">
      <c r="B64" s="1" t="s">
        <v>298</v>
      </c>
      <c r="C64" s="21" t="s">
        <v>289</v>
      </c>
      <c r="D64" s="70">
        <f>SUM(F64:AR64)</f>
        <v>59610044.06766621</v>
      </c>
      <c r="F64" s="18">
        <f>F48+F61</f>
        <v>0</v>
      </c>
      <c r="G64" s="18">
        <f t="shared" ref="G64:AR64" si="23">G48+G61</f>
        <v>0</v>
      </c>
      <c r="H64" s="18">
        <f t="shared" si="23"/>
        <v>0</v>
      </c>
      <c r="I64" s="18">
        <f t="shared" si="23"/>
        <v>128716.23968000001</v>
      </c>
      <c r="J64" s="18">
        <f t="shared" si="23"/>
        <v>215980.14355172418</v>
      </c>
      <c r="K64" s="18">
        <f t="shared" si="23"/>
        <v>303244.0474234483</v>
      </c>
      <c r="L64" s="18">
        <f t="shared" si="23"/>
        <v>390507.95129517245</v>
      </c>
      <c r="M64" s="18">
        <f t="shared" si="23"/>
        <v>477771.85516689654</v>
      </c>
      <c r="N64" s="18">
        <f t="shared" si="23"/>
        <v>565035.75903862074</v>
      </c>
      <c r="O64" s="18">
        <f t="shared" si="23"/>
        <v>652299.66291034489</v>
      </c>
      <c r="P64" s="18">
        <f t="shared" si="23"/>
        <v>739563.56678206904</v>
      </c>
      <c r="Q64" s="18">
        <f t="shared" si="23"/>
        <v>826827.47065379319</v>
      </c>
      <c r="R64" s="18">
        <f t="shared" si="23"/>
        <v>914091.37452551734</v>
      </c>
      <c r="S64" s="18">
        <f t="shared" si="23"/>
        <v>1001355.2783972416</v>
      </c>
      <c r="T64" s="18">
        <f t="shared" si="23"/>
        <v>1088619.182268966</v>
      </c>
      <c r="U64" s="18">
        <f t="shared" si="23"/>
        <v>1175883.0861406901</v>
      </c>
      <c r="V64" s="18">
        <f t="shared" si="23"/>
        <v>1263146.9900124143</v>
      </c>
      <c r="W64" s="18">
        <f t="shared" si="23"/>
        <v>1350410.8938841387</v>
      </c>
      <c r="X64" s="18">
        <f t="shared" si="23"/>
        <v>1437674.7977558628</v>
      </c>
      <c r="Y64" s="18">
        <f t="shared" si="23"/>
        <v>1524938.7016275872</v>
      </c>
      <c r="Z64" s="18">
        <f t="shared" si="23"/>
        <v>1612202.6054993114</v>
      </c>
      <c r="AA64" s="18">
        <f t="shared" si="23"/>
        <v>1699466.5093710353</v>
      </c>
      <c r="AB64" s="18">
        <f t="shared" si="23"/>
        <v>1786730.4132427594</v>
      </c>
      <c r="AC64" s="18">
        <f t="shared" si="23"/>
        <v>1873994.3171144836</v>
      </c>
      <c r="AD64" s="18">
        <f t="shared" si="23"/>
        <v>1961258.2209862075</v>
      </c>
      <c r="AE64" s="18">
        <f t="shared" si="23"/>
        <v>2048522.1248579316</v>
      </c>
      <c r="AF64" s="18">
        <f t="shared" si="23"/>
        <v>2135786.0287296553</v>
      </c>
      <c r="AG64" s="18">
        <f t="shared" si="23"/>
        <v>2223049.9326013792</v>
      </c>
      <c r="AH64" s="18">
        <f t="shared" si="23"/>
        <v>2310313.8364731036</v>
      </c>
      <c r="AI64" s="18">
        <f t="shared" si="23"/>
        <v>2397577.7403448275</v>
      </c>
      <c r="AJ64" s="18">
        <f t="shared" si="23"/>
        <v>2484841.6442165514</v>
      </c>
      <c r="AK64" s="18">
        <f t="shared" si="23"/>
        <v>2572105.5480882758</v>
      </c>
      <c r="AL64" s="18">
        <f t="shared" si="23"/>
        <v>2659369.4519599997</v>
      </c>
      <c r="AM64" s="18">
        <f t="shared" si="23"/>
        <v>2746633.3558317232</v>
      </c>
      <c r="AN64" s="18">
        <f t="shared" si="23"/>
        <v>2833897.259703448</v>
      </c>
      <c r="AO64" s="18">
        <f t="shared" si="23"/>
        <v>2921161.163575172</v>
      </c>
      <c r="AP64" s="18">
        <f t="shared" si="23"/>
        <v>3008425.0674468959</v>
      </c>
      <c r="AQ64" s="18">
        <f t="shared" si="23"/>
        <v>3095688.9713186203</v>
      </c>
      <c r="AR64" s="18">
        <f t="shared" si="23"/>
        <v>3182952.8751903442</v>
      </c>
    </row>
    <row r="65" spans="1:44" x14ac:dyDescent="0.2">
      <c r="C65" s="2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row>
    <row r="66" spans="1:44" s="8" customFormat="1" x14ac:dyDescent="0.2">
      <c r="A66" s="7" t="s">
        <v>245</v>
      </c>
      <c r="B66" s="12"/>
      <c r="C66" s="226"/>
    </row>
    <row r="67" spans="1:44" ht="15" x14ac:dyDescent="0.25">
      <c r="A67" s="2" t="s">
        <v>264</v>
      </c>
      <c r="C67" s="20"/>
    </row>
    <row r="68" spans="1:44" x14ac:dyDescent="0.2">
      <c r="B68" s="1" t="s">
        <v>250</v>
      </c>
      <c r="C68" s="225" t="s">
        <v>107</v>
      </c>
      <c r="D68" s="70">
        <f t="shared" ref="D68" si="24">SUM(F68:AR68)</f>
        <v>254585244.2823793</v>
      </c>
      <c r="F68" s="18">
        <f>'CALCS Traffic'!F41</f>
        <v>2757288.1655106023</v>
      </c>
      <c r="G68" s="18">
        <f>'CALCS Traffic'!G41</f>
        <v>2870112.5273427041</v>
      </c>
      <c r="H68" s="18">
        <f>'CALCS Traffic'!H41</f>
        <v>2987553.5037100744</v>
      </c>
      <c r="I68" s="18">
        <f>'CALCS Traffic'!I41</f>
        <v>3109800</v>
      </c>
      <c r="J68" s="18">
        <f>'CALCS Traffic'!J41</f>
        <v>3237048.6513430839</v>
      </c>
      <c r="K68" s="18">
        <f>'CALCS Traffic'!K41</f>
        <v>3369504.1389034917</v>
      </c>
      <c r="L68" s="18">
        <f>'CALCS Traffic'!L41</f>
        <v>3507379.5191113534</v>
      </c>
      <c r="M68" s="18">
        <f>'CALCS Traffic'!M41</f>
        <v>3650896.5663668918</v>
      </c>
      <c r="N68" s="18">
        <f>'CALCS Traffic'!N41</f>
        <v>3800286.1297675227</v>
      </c>
      <c r="O68" s="18">
        <f>'CALCS Traffic'!O41</f>
        <v>3955788.5044317278</v>
      </c>
      <c r="P68" s="18">
        <f>'CALCS Traffic'!P41</f>
        <v>4117653.818016978</v>
      </c>
      <c r="Q68" s="18">
        <f>'CALCS Traffic'!Q41</f>
        <v>4286142.4330534302</v>
      </c>
      <c r="R68" s="18">
        <f>'CALCS Traffic'!R41</f>
        <v>4461525.3657405525</v>
      </c>
      <c r="S68" s="18">
        <f>'CALCS Traffic'!S41</f>
        <v>4644084.7218803186</v>
      </c>
      <c r="T68" s="18">
        <f>'CALCS Traffic'!T41</f>
        <v>4834114.1506481785</v>
      </c>
      <c r="U68" s="18">
        <f>'CALCS Traffic'!U41</f>
        <v>5031919.3169317003</v>
      </c>
      <c r="V68" s="18">
        <f>'CALCS Traffic'!V41</f>
        <v>5237818.3929966465</v>
      </c>
      <c r="W68" s="18">
        <f>'CALCS Traffic'!W41</f>
        <v>5452142.5702713337</v>
      </c>
      <c r="X68" s="18">
        <f>'CALCS Traffic'!X41</f>
        <v>5675236.5920724915</v>
      </c>
      <c r="Y68" s="18">
        <f>'CALCS Traffic'!Y41</f>
        <v>5907459.3081295183</v>
      </c>
      <c r="Z68" s="18">
        <f>'CALCS Traffic'!Z41</f>
        <v>6149184.251799088</v>
      </c>
      <c r="AA68" s="18">
        <f>'CALCS Traffic'!AA41</f>
        <v>6400800.2408985682</v>
      </c>
      <c r="AB68" s="18">
        <f>'CALCS Traffic'!AB41</f>
        <v>6662712.0031247009</v>
      </c>
      <c r="AC68" s="18">
        <f>'CALCS Traffic'!AC41</f>
        <v>6935340.8270635372</v>
      </c>
      <c r="AD68" s="18">
        <f>'CALCS Traffic'!AD41</f>
        <v>7219125.2398387836</v>
      </c>
      <c r="AE68" s="18">
        <f>'CALCS Traffic'!AE41</f>
        <v>7514521.7124885684</v>
      </c>
      <c r="AF68" s="18">
        <f>'CALCS Traffic'!AF41</f>
        <v>7822005.3942052349</v>
      </c>
      <c r="AG68" s="18">
        <f>'CALCS Traffic'!AG41</f>
        <v>8142070.8766191984</v>
      </c>
      <c r="AH68" s="18">
        <f>'CALCS Traffic'!AH41</f>
        <v>8475232.9893562216</v>
      </c>
      <c r="AI68" s="18">
        <f>'CALCS Traffic'!AI41</f>
        <v>8822027.6281477809</v>
      </c>
      <c r="AJ68" s="18">
        <f>'CALCS Traffic'!AJ41</f>
        <v>9183012.6168265473</v>
      </c>
      <c r="AK68" s="18">
        <f>'CALCS Traffic'!AK41</f>
        <v>9558768.6045935098</v>
      </c>
      <c r="AL68" s="18">
        <f>'CALCS Traffic'!AL41</f>
        <v>9949900.0000000093</v>
      </c>
      <c r="AM68" s="18">
        <f>'CALCS Traffic'!AM41</f>
        <v>10357035.943147013</v>
      </c>
      <c r="AN68" s="18">
        <f>'CALCS Traffic'!AN41</f>
        <v>10780831.317665407</v>
      </c>
      <c r="AO68" s="18">
        <f>'CALCS Traffic'!AO41</f>
        <v>11221967.804105116</v>
      </c>
      <c r="AP68" s="18">
        <f>'CALCS Traffic'!AP41</f>
        <v>11681154.976427414</v>
      </c>
      <c r="AQ68" s="18">
        <f>'CALCS Traffic'!AQ41</f>
        <v>12159131.443364175</v>
      </c>
      <c r="AR68" s="18">
        <f>'CALCS Traffic'!AR41</f>
        <v>12656666.036479929</v>
      </c>
    </row>
    <row r="69" spans="1:44" x14ac:dyDescent="0.2">
      <c r="C69" s="225"/>
      <c r="D69" s="70"/>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row>
    <row r="70" spans="1:44" ht="15" x14ac:dyDescent="0.25">
      <c r="B70" s="2" t="s">
        <v>278</v>
      </c>
      <c r="C70" s="225"/>
      <c r="D70" s="70"/>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row>
    <row r="71" spans="1:44" x14ac:dyDescent="0.2">
      <c r="B71" s="1" t="s">
        <v>154</v>
      </c>
      <c r="C71" s="225" t="s">
        <v>155</v>
      </c>
      <c r="D71" s="83">
        <f>INPUTS!$E$102</f>
        <v>7</v>
      </c>
      <c r="F71" s="86">
        <f t="shared" ref="F71:AR71" si="25">IF(F7=$D$72,$D$71,0)</f>
        <v>0</v>
      </c>
      <c r="G71" s="86">
        <f t="shared" si="25"/>
        <v>0</v>
      </c>
      <c r="H71" s="86">
        <f t="shared" si="25"/>
        <v>0</v>
      </c>
      <c r="I71" s="86">
        <f t="shared" si="25"/>
        <v>7</v>
      </c>
      <c r="J71" s="86">
        <f t="shared" si="25"/>
        <v>0</v>
      </c>
      <c r="K71" s="86">
        <f t="shared" si="25"/>
        <v>0</v>
      </c>
      <c r="L71" s="86">
        <f t="shared" si="25"/>
        <v>0</v>
      </c>
      <c r="M71" s="86">
        <f t="shared" si="25"/>
        <v>0</v>
      </c>
      <c r="N71" s="86">
        <f t="shared" si="25"/>
        <v>0</v>
      </c>
      <c r="O71" s="86">
        <f t="shared" si="25"/>
        <v>0</v>
      </c>
      <c r="P71" s="86">
        <f t="shared" si="25"/>
        <v>0</v>
      </c>
      <c r="Q71" s="86">
        <f t="shared" si="25"/>
        <v>0</v>
      </c>
      <c r="R71" s="86">
        <f t="shared" si="25"/>
        <v>0</v>
      </c>
      <c r="S71" s="86">
        <f t="shared" si="25"/>
        <v>0</v>
      </c>
      <c r="T71" s="86">
        <f t="shared" si="25"/>
        <v>0</v>
      </c>
      <c r="U71" s="86">
        <f t="shared" si="25"/>
        <v>0</v>
      </c>
      <c r="V71" s="86">
        <f t="shared" si="25"/>
        <v>0</v>
      </c>
      <c r="W71" s="86">
        <f t="shared" si="25"/>
        <v>0</v>
      </c>
      <c r="X71" s="86">
        <f t="shared" si="25"/>
        <v>0</v>
      </c>
      <c r="Y71" s="86">
        <f t="shared" si="25"/>
        <v>0</v>
      </c>
      <c r="Z71" s="86">
        <f t="shared" si="25"/>
        <v>0</v>
      </c>
      <c r="AA71" s="86">
        <f t="shared" si="25"/>
        <v>0</v>
      </c>
      <c r="AB71" s="86">
        <f t="shared" si="25"/>
        <v>0</v>
      </c>
      <c r="AC71" s="86">
        <f t="shared" si="25"/>
        <v>0</v>
      </c>
      <c r="AD71" s="86">
        <f t="shared" si="25"/>
        <v>0</v>
      </c>
      <c r="AE71" s="86">
        <f t="shared" si="25"/>
        <v>0</v>
      </c>
      <c r="AF71" s="86">
        <f t="shared" si="25"/>
        <v>0</v>
      </c>
      <c r="AG71" s="86">
        <f t="shared" si="25"/>
        <v>0</v>
      </c>
      <c r="AH71" s="86">
        <f t="shared" si="25"/>
        <v>0</v>
      </c>
      <c r="AI71" s="86">
        <f t="shared" si="25"/>
        <v>0</v>
      </c>
      <c r="AJ71" s="86">
        <f t="shared" si="25"/>
        <v>0</v>
      </c>
      <c r="AK71" s="86">
        <f t="shared" si="25"/>
        <v>0</v>
      </c>
      <c r="AL71" s="86">
        <f t="shared" si="25"/>
        <v>0</v>
      </c>
      <c r="AM71" s="86">
        <f t="shared" si="25"/>
        <v>0</v>
      </c>
      <c r="AN71" s="86">
        <f t="shared" si="25"/>
        <v>0</v>
      </c>
      <c r="AO71" s="86">
        <f t="shared" si="25"/>
        <v>0</v>
      </c>
      <c r="AP71" s="86">
        <f t="shared" si="25"/>
        <v>0</v>
      </c>
      <c r="AQ71" s="86">
        <f t="shared" si="25"/>
        <v>0</v>
      </c>
      <c r="AR71" s="86">
        <f t="shared" si="25"/>
        <v>0</v>
      </c>
    </row>
    <row r="72" spans="1:44" x14ac:dyDescent="0.2">
      <c r="B72" s="1" t="s">
        <v>122</v>
      </c>
      <c r="C72" s="225" t="s">
        <v>123</v>
      </c>
      <c r="D72" s="22">
        <f>INPUTS!$E$103</f>
        <v>2021</v>
      </c>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row>
    <row r="73" spans="1:44" x14ac:dyDescent="0.2">
      <c r="B73" s="1" t="s">
        <v>157</v>
      </c>
      <c r="C73" s="225" t="s">
        <v>155</v>
      </c>
      <c r="D73" s="83">
        <f>INPUTS!$E$104</f>
        <v>170.5</v>
      </c>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row>
    <row r="74" spans="1:44" x14ac:dyDescent="0.2">
      <c r="B74" s="1" t="s">
        <v>159</v>
      </c>
      <c r="C74" s="225" t="s">
        <v>123</v>
      </c>
      <c r="D74" s="22">
        <f>INPUTS!$E$106</f>
        <v>2050</v>
      </c>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row>
    <row r="75" spans="1:44" x14ac:dyDescent="0.2">
      <c r="B75" s="1" t="s">
        <v>279</v>
      </c>
      <c r="C75" s="225" t="s">
        <v>155</v>
      </c>
      <c r="D75" s="17">
        <f>(D73-D71)/(D74-D72)</f>
        <v>5.6379310344827589</v>
      </c>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row>
    <row r="76" spans="1:44" x14ac:dyDescent="0.2">
      <c r="B76" s="1" t="s">
        <v>280</v>
      </c>
      <c r="C76" s="225" t="s">
        <v>281</v>
      </c>
      <c r="D76" s="19"/>
      <c r="F76" s="18">
        <f t="shared" ref="F76:AR76" si="26">IF(F7&gt;$D$72,1,0)</f>
        <v>0</v>
      </c>
      <c r="G76" s="18">
        <f t="shared" si="26"/>
        <v>0</v>
      </c>
      <c r="H76" s="18">
        <f t="shared" si="26"/>
        <v>0</v>
      </c>
      <c r="I76" s="18">
        <f t="shared" si="26"/>
        <v>0</v>
      </c>
      <c r="J76" s="18">
        <f t="shared" si="26"/>
        <v>1</v>
      </c>
      <c r="K76" s="18">
        <f t="shared" si="26"/>
        <v>1</v>
      </c>
      <c r="L76" s="18">
        <f t="shared" si="26"/>
        <v>1</v>
      </c>
      <c r="M76" s="18">
        <f t="shared" si="26"/>
        <v>1</v>
      </c>
      <c r="N76" s="18">
        <f t="shared" si="26"/>
        <v>1</v>
      </c>
      <c r="O76" s="18">
        <f t="shared" si="26"/>
        <v>1</v>
      </c>
      <c r="P76" s="18">
        <f t="shared" si="26"/>
        <v>1</v>
      </c>
      <c r="Q76" s="18">
        <f t="shared" si="26"/>
        <v>1</v>
      </c>
      <c r="R76" s="18">
        <f t="shared" si="26"/>
        <v>1</v>
      </c>
      <c r="S76" s="18">
        <f t="shared" si="26"/>
        <v>1</v>
      </c>
      <c r="T76" s="18">
        <f t="shared" si="26"/>
        <v>1</v>
      </c>
      <c r="U76" s="18">
        <f t="shared" si="26"/>
        <v>1</v>
      </c>
      <c r="V76" s="18">
        <f t="shared" si="26"/>
        <v>1</v>
      </c>
      <c r="W76" s="18">
        <f t="shared" si="26"/>
        <v>1</v>
      </c>
      <c r="X76" s="18">
        <f t="shared" si="26"/>
        <v>1</v>
      </c>
      <c r="Y76" s="18">
        <f t="shared" si="26"/>
        <v>1</v>
      </c>
      <c r="Z76" s="18">
        <f t="shared" si="26"/>
        <v>1</v>
      </c>
      <c r="AA76" s="18">
        <f t="shared" si="26"/>
        <v>1</v>
      </c>
      <c r="AB76" s="18">
        <f t="shared" si="26"/>
        <v>1</v>
      </c>
      <c r="AC76" s="18">
        <f t="shared" si="26"/>
        <v>1</v>
      </c>
      <c r="AD76" s="18">
        <f t="shared" si="26"/>
        <v>1</v>
      </c>
      <c r="AE76" s="18">
        <f t="shared" si="26"/>
        <v>1</v>
      </c>
      <c r="AF76" s="18">
        <f t="shared" si="26"/>
        <v>1</v>
      </c>
      <c r="AG76" s="18">
        <f t="shared" si="26"/>
        <v>1</v>
      </c>
      <c r="AH76" s="18">
        <f t="shared" si="26"/>
        <v>1</v>
      </c>
      <c r="AI76" s="18">
        <f t="shared" si="26"/>
        <v>1</v>
      </c>
      <c r="AJ76" s="18">
        <f t="shared" si="26"/>
        <v>1</v>
      </c>
      <c r="AK76" s="18">
        <f t="shared" si="26"/>
        <v>1</v>
      </c>
      <c r="AL76" s="18">
        <f t="shared" si="26"/>
        <v>1</v>
      </c>
      <c r="AM76" s="18">
        <f t="shared" si="26"/>
        <v>1</v>
      </c>
      <c r="AN76" s="18">
        <f t="shared" si="26"/>
        <v>1</v>
      </c>
      <c r="AO76" s="18">
        <f t="shared" si="26"/>
        <v>1</v>
      </c>
      <c r="AP76" s="18">
        <f t="shared" si="26"/>
        <v>1</v>
      </c>
      <c r="AQ76" s="18">
        <f t="shared" si="26"/>
        <v>1</v>
      </c>
      <c r="AR76" s="18">
        <f t="shared" si="26"/>
        <v>1</v>
      </c>
    </row>
    <row r="77" spans="1:44" ht="15" x14ac:dyDescent="0.25">
      <c r="A77" s="2"/>
      <c r="B77" s="1" t="s">
        <v>282</v>
      </c>
      <c r="C77" s="225" t="s">
        <v>155</v>
      </c>
      <c r="D77" s="83">
        <f>SUM(F77:AR77)</f>
        <v>3803.896551724139</v>
      </c>
      <c r="F77" s="83">
        <f t="shared" ref="F77:J77" si="27">E77+F71+F76*$D$75</f>
        <v>0</v>
      </c>
      <c r="G77" s="83">
        <f t="shared" si="27"/>
        <v>0</v>
      </c>
      <c r="H77" s="83">
        <f t="shared" si="27"/>
        <v>0</v>
      </c>
      <c r="I77" s="83">
        <f t="shared" si="27"/>
        <v>7</v>
      </c>
      <c r="J77" s="83">
        <f t="shared" si="27"/>
        <v>12.637931034482758</v>
      </c>
      <c r="K77" s="83">
        <f>J77+K71+K76*$D$75</f>
        <v>18.275862068965516</v>
      </c>
      <c r="L77" s="83">
        <f t="shared" ref="L77:AR77" si="28">K77+L71+L76*$D$75</f>
        <v>23.913793103448274</v>
      </c>
      <c r="M77" s="83">
        <f t="shared" si="28"/>
        <v>29.551724137931032</v>
      </c>
      <c r="N77" s="83">
        <f t="shared" si="28"/>
        <v>35.189655172413794</v>
      </c>
      <c r="O77" s="83">
        <f t="shared" si="28"/>
        <v>40.827586206896555</v>
      </c>
      <c r="P77" s="83">
        <f t="shared" si="28"/>
        <v>46.465517241379317</v>
      </c>
      <c r="Q77" s="83">
        <f t="shared" si="28"/>
        <v>52.103448275862078</v>
      </c>
      <c r="R77" s="83">
        <f t="shared" si="28"/>
        <v>57.74137931034484</v>
      </c>
      <c r="S77" s="83">
        <f t="shared" si="28"/>
        <v>63.379310344827601</v>
      </c>
      <c r="T77" s="83">
        <f t="shared" si="28"/>
        <v>69.017241379310363</v>
      </c>
      <c r="U77" s="83">
        <f t="shared" si="28"/>
        <v>74.655172413793125</v>
      </c>
      <c r="V77" s="83">
        <f t="shared" si="28"/>
        <v>80.293103448275886</v>
      </c>
      <c r="W77" s="83">
        <f t="shared" si="28"/>
        <v>85.931034482758648</v>
      </c>
      <c r="X77" s="83">
        <f t="shared" si="28"/>
        <v>91.568965517241409</v>
      </c>
      <c r="Y77" s="83">
        <f t="shared" si="28"/>
        <v>97.206896551724171</v>
      </c>
      <c r="Z77" s="83">
        <f t="shared" si="28"/>
        <v>102.84482758620693</v>
      </c>
      <c r="AA77" s="83">
        <f t="shared" si="28"/>
        <v>108.48275862068969</v>
      </c>
      <c r="AB77" s="83">
        <f t="shared" si="28"/>
        <v>114.12068965517246</v>
      </c>
      <c r="AC77" s="83">
        <f t="shared" si="28"/>
        <v>119.75862068965522</v>
      </c>
      <c r="AD77" s="83">
        <f t="shared" si="28"/>
        <v>125.39655172413798</v>
      </c>
      <c r="AE77" s="83">
        <f t="shared" si="28"/>
        <v>131.03448275862073</v>
      </c>
      <c r="AF77" s="83">
        <f t="shared" si="28"/>
        <v>136.67241379310349</v>
      </c>
      <c r="AG77" s="83">
        <f t="shared" si="28"/>
        <v>142.31034482758625</v>
      </c>
      <c r="AH77" s="83">
        <f t="shared" si="28"/>
        <v>147.94827586206901</v>
      </c>
      <c r="AI77" s="83">
        <f t="shared" si="28"/>
        <v>153.58620689655177</v>
      </c>
      <c r="AJ77" s="83">
        <f t="shared" si="28"/>
        <v>159.22413793103453</v>
      </c>
      <c r="AK77" s="83">
        <f t="shared" si="28"/>
        <v>164.8620689655173</v>
      </c>
      <c r="AL77" s="83">
        <f t="shared" si="28"/>
        <v>170.50000000000006</v>
      </c>
      <c r="AM77" s="83">
        <f t="shared" si="28"/>
        <v>176.13793103448282</v>
      </c>
      <c r="AN77" s="83">
        <f t="shared" si="28"/>
        <v>181.77586206896558</v>
      </c>
      <c r="AO77" s="83">
        <f t="shared" si="28"/>
        <v>187.41379310344834</v>
      </c>
      <c r="AP77" s="83">
        <f t="shared" si="28"/>
        <v>193.0517241379311</v>
      </c>
      <c r="AQ77" s="83">
        <f t="shared" si="28"/>
        <v>198.68965517241386</v>
      </c>
      <c r="AR77" s="83">
        <f t="shared" si="28"/>
        <v>204.32758620689663</v>
      </c>
    </row>
    <row r="78" spans="1:44" x14ac:dyDescent="0.2">
      <c r="C78" s="225"/>
      <c r="D78" s="83"/>
      <c r="F78" s="18"/>
      <c r="G78" s="18"/>
      <c r="H78" s="18"/>
      <c r="I78" s="18"/>
      <c r="J78" s="18"/>
      <c r="K78" s="18"/>
      <c r="L78" s="18"/>
      <c r="M78" s="18"/>
      <c r="N78" s="18"/>
      <c r="O78" s="18">
        <f>O77/2*365</f>
        <v>7451.0344827586214</v>
      </c>
      <c r="P78" s="18">
        <f t="shared" ref="P78:AH78" si="29">P77/2</f>
        <v>23.232758620689658</v>
      </c>
      <c r="Q78" s="18">
        <f t="shared" si="29"/>
        <v>26.051724137931039</v>
      </c>
      <c r="R78" s="18">
        <f t="shared" si="29"/>
        <v>28.87068965517242</v>
      </c>
      <c r="S78" s="18">
        <f t="shared" si="29"/>
        <v>31.689655172413801</v>
      </c>
      <c r="T78" s="18">
        <f t="shared" si="29"/>
        <v>34.508620689655181</v>
      </c>
      <c r="U78" s="18">
        <f t="shared" si="29"/>
        <v>37.327586206896562</v>
      </c>
      <c r="V78" s="18">
        <f t="shared" si="29"/>
        <v>40.146551724137943</v>
      </c>
      <c r="W78" s="18">
        <f t="shared" si="29"/>
        <v>42.965517241379324</v>
      </c>
      <c r="X78" s="18">
        <f t="shared" si="29"/>
        <v>45.784482758620705</v>
      </c>
      <c r="Y78" s="18">
        <f t="shared" si="29"/>
        <v>48.603448275862085</v>
      </c>
      <c r="Z78" s="18">
        <f t="shared" si="29"/>
        <v>51.422413793103466</v>
      </c>
      <c r="AA78" s="18">
        <f t="shared" si="29"/>
        <v>54.241379310344847</v>
      </c>
      <c r="AB78" s="18">
        <f t="shared" si="29"/>
        <v>57.060344827586228</v>
      </c>
      <c r="AC78" s="18">
        <f t="shared" si="29"/>
        <v>59.879310344827609</v>
      </c>
      <c r="AD78" s="18">
        <f t="shared" si="29"/>
        <v>62.698275862068989</v>
      </c>
      <c r="AE78" s="18">
        <f t="shared" si="29"/>
        <v>65.517241379310363</v>
      </c>
      <c r="AF78" s="18">
        <f t="shared" si="29"/>
        <v>68.336206896551744</v>
      </c>
      <c r="AG78" s="18">
        <f t="shared" si="29"/>
        <v>71.155172413793125</v>
      </c>
      <c r="AH78" s="18">
        <f t="shared" si="29"/>
        <v>73.974137931034505</v>
      </c>
      <c r="AI78" s="18"/>
      <c r="AJ78" s="18"/>
      <c r="AK78" s="18"/>
      <c r="AL78" s="18"/>
      <c r="AM78" s="18"/>
      <c r="AN78" s="18"/>
      <c r="AO78" s="18"/>
      <c r="AP78" s="18"/>
      <c r="AQ78" s="18"/>
      <c r="AR78" s="18"/>
    </row>
    <row r="79" spans="1:44" ht="15" x14ac:dyDescent="0.25">
      <c r="B79" s="2" t="s">
        <v>283</v>
      </c>
      <c r="C79" s="225"/>
      <c r="D79" s="4"/>
      <c r="F79" s="18"/>
      <c r="G79" s="18"/>
      <c r="H79" s="18"/>
      <c r="I79" s="18"/>
      <c r="J79" s="18"/>
      <c r="K79" s="18"/>
      <c r="L79" s="18"/>
      <c r="M79" s="18"/>
      <c r="N79" s="18"/>
      <c r="O79" s="18">
        <f>O78*8.887*10^-3*O80</f>
        <v>4039.2579503448278</v>
      </c>
      <c r="P79" s="18">
        <f t="shared" ref="P79:AH79" si="30">P78*8.887*10^-3*P80</f>
        <v>12.82134461698276</v>
      </c>
      <c r="Q79" s="18">
        <f t="shared" si="30"/>
        <v>14.63581940419566</v>
      </c>
      <c r="R79" s="18">
        <f t="shared" si="30"/>
        <v>16.511461168092321</v>
      </c>
      <c r="S79" s="18">
        <f t="shared" si="30"/>
        <v>18.449884030002298</v>
      </c>
      <c r="T79" s="18">
        <f t="shared" si="30"/>
        <v>20.452740401522576</v>
      </c>
      <c r="U79" s="18">
        <f t="shared" si="30"/>
        <v>22.521721839991862</v>
      </c>
      <c r="V79" s="18">
        <f t="shared" si="30"/>
        <v>24.658559922355952</v>
      </c>
      <c r="W79" s="18">
        <f t="shared" si="30"/>
        <v>26.865027137808983</v>
      </c>
      <c r="X79" s="18">
        <f t="shared" si="30"/>
        <v>29.142937799603491</v>
      </c>
      <c r="Y79" s="18">
        <f t="shared" si="30"/>
        <v>31.494148976429948</v>
      </c>
      <c r="Z79" s="18">
        <f t="shared" si="30"/>
        <v>33.920561443775085</v>
      </c>
      <c r="AA79" s="18">
        <f t="shared" si="30"/>
        <v>36.424120655676283</v>
      </c>
      <c r="AB79" s="18">
        <f t="shared" si="30"/>
        <v>39.006817737298149</v>
      </c>
      <c r="AC79" s="18">
        <f t="shared" si="30"/>
        <v>41.67069049876595</v>
      </c>
      <c r="AD79" s="18">
        <f t="shared" si="30"/>
        <v>44.417824470699713</v>
      </c>
      <c r="AE79" s="18">
        <f t="shared" si="30"/>
        <v>47.250353961901482</v>
      </c>
      <c r="AF79" s="18">
        <f t="shared" si="30"/>
        <v>50.170463139658011</v>
      </c>
      <c r="AG79" s="18">
        <f t="shared" si="30"/>
        <v>53.180387133130118</v>
      </c>
      <c r="AH79" s="18">
        <f t="shared" si="30"/>
        <v>56.282413160309979</v>
      </c>
      <c r="AI79" s="18"/>
      <c r="AJ79" s="18"/>
      <c r="AK79" s="18"/>
      <c r="AL79" s="18"/>
      <c r="AM79" s="18"/>
      <c r="AN79" s="18"/>
      <c r="AO79" s="18"/>
      <c r="AP79" s="18"/>
      <c r="AQ79" s="18"/>
      <c r="AR79" s="18"/>
    </row>
    <row r="80" spans="1:44" x14ac:dyDescent="0.2">
      <c r="B80" s="1" t="s">
        <v>284</v>
      </c>
      <c r="C80" s="225" t="s">
        <v>135</v>
      </c>
      <c r="D80" s="87">
        <f>INPUTS!$E$83</f>
        <v>18.8</v>
      </c>
      <c r="F80" s="18"/>
      <c r="G80" s="18"/>
      <c r="H80" s="18"/>
      <c r="I80" s="18"/>
      <c r="J80" s="18"/>
      <c r="K80" s="18"/>
      <c r="L80" s="18"/>
      <c r="M80" s="18"/>
      <c r="N80" s="90">
        <v>1.7999999999999999E-2</v>
      </c>
      <c r="O80" s="18">
        <v>61</v>
      </c>
      <c r="P80" s="18">
        <f t="shared" ref="P80:AH80" si="31">O80*(1+$N$80)</f>
        <v>62.097999999999999</v>
      </c>
      <c r="Q80" s="18">
        <f t="shared" si="31"/>
        <v>63.215764</v>
      </c>
      <c r="R80" s="18">
        <f t="shared" si="31"/>
        <v>64.353647752000001</v>
      </c>
      <c r="S80" s="18">
        <f t="shared" si="31"/>
        <v>65.512013411536003</v>
      </c>
      <c r="T80" s="18">
        <f t="shared" si="31"/>
        <v>66.691229652943647</v>
      </c>
      <c r="U80" s="18">
        <f t="shared" si="31"/>
        <v>67.891671786696634</v>
      </c>
      <c r="V80" s="18">
        <f t="shared" si="31"/>
        <v>69.113721878857177</v>
      </c>
      <c r="W80" s="18">
        <f t="shared" si="31"/>
        <v>70.357768872676601</v>
      </c>
      <c r="X80" s="18">
        <f t="shared" si="31"/>
        <v>71.624208712384785</v>
      </c>
      <c r="Y80" s="18">
        <f t="shared" si="31"/>
        <v>72.913444469207718</v>
      </c>
      <c r="Z80" s="18">
        <f t="shared" si="31"/>
        <v>74.22588646965346</v>
      </c>
      <c r="AA80" s="18">
        <f t="shared" si="31"/>
        <v>75.561952426107226</v>
      </c>
      <c r="AB80" s="18">
        <f t="shared" si="31"/>
        <v>76.922067569777155</v>
      </c>
      <c r="AC80" s="18">
        <f t="shared" si="31"/>
        <v>78.306664786033139</v>
      </c>
      <c r="AD80" s="18">
        <f t="shared" si="31"/>
        <v>79.716184752181732</v>
      </c>
      <c r="AE80" s="18">
        <f t="shared" si="31"/>
        <v>81.151076077721001</v>
      </c>
      <c r="AF80" s="18">
        <f t="shared" si="31"/>
        <v>82.611795447119974</v>
      </c>
      <c r="AG80" s="18">
        <f t="shared" si="31"/>
        <v>84.098807765168132</v>
      </c>
      <c r="AH80" s="18">
        <f t="shared" si="31"/>
        <v>85.612586304941161</v>
      </c>
      <c r="AI80" s="18"/>
      <c r="AJ80" s="18"/>
      <c r="AK80" s="18"/>
      <c r="AL80" s="18"/>
      <c r="AM80" s="18"/>
      <c r="AN80" s="18"/>
      <c r="AO80" s="18"/>
      <c r="AP80" s="18"/>
      <c r="AQ80" s="18"/>
      <c r="AR80" s="18"/>
    </row>
    <row r="81" spans="1:44" ht="15" x14ac:dyDescent="0.25">
      <c r="A81" s="2"/>
      <c r="B81" s="1" t="s">
        <v>285</v>
      </c>
      <c r="C81" s="21" t="s">
        <v>146</v>
      </c>
      <c r="D81" s="17">
        <f>INPUTS!$E$93</f>
        <v>1.67</v>
      </c>
      <c r="F81" s="18"/>
      <c r="G81" s="18"/>
      <c r="H81" s="18"/>
      <c r="I81" s="18"/>
      <c r="J81" s="18"/>
      <c r="K81" s="18"/>
      <c r="L81" s="18"/>
      <c r="M81" s="18"/>
      <c r="N81" s="18"/>
      <c r="O81" s="18">
        <f t="shared" ref="O81:AH81" si="32">O80*O16</f>
        <v>51.086539657702922</v>
      </c>
      <c r="P81" s="18">
        <f t="shared" si="32"/>
        <v>50.491356671399579</v>
      </c>
      <c r="Q81" s="18">
        <f t="shared" si="32"/>
        <v>49.903107855810461</v>
      </c>
      <c r="R81" s="18">
        <f t="shared" si="32"/>
        <v>49.321712424480637</v>
      </c>
      <c r="S81" s="18">
        <f t="shared" si="32"/>
        <v>48.747090532156591</v>
      </c>
      <c r="T81" s="18">
        <f t="shared" si="32"/>
        <v>48.179163263820783</v>
      </c>
      <c r="U81" s="18">
        <f t="shared" si="32"/>
        <v>47.617852623853949</v>
      </c>
      <c r="V81" s="18">
        <f t="shared" si="32"/>
        <v>47.063081525323611</v>
      </c>
      <c r="W81" s="18">
        <f t="shared" si="32"/>
        <v>46.514773779397501</v>
      </c>
      <c r="X81" s="18">
        <f t="shared" si="32"/>
        <v>45.972854084880247</v>
      </c>
      <c r="Y81" s="18">
        <f t="shared" si="32"/>
        <v>45.437248017871951</v>
      </c>
      <c r="Z81" s="18">
        <f t="shared" si="32"/>
        <v>44.907882021547231</v>
      </c>
      <c r="AA81" s="18">
        <f t="shared" si="32"/>
        <v>44.384683396053475</v>
      </c>
      <c r="AB81" s="18">
        <f t="shared" si="32"/>
        <v>43.867580288526639</v>
      </c>
      <c r="AC81" s="18">
        <f t="shared" si="32"/>
        <v>43.356501683223414</v>
      </c>
      <c r="AD81" s="18">
        <f t="shared" si="32"/>
        <v>42.851377391768388</v>
      </c>
      <c r="AE81" s="18">
        <f t="shared" si="32"/>
        <v>42.352138043514771</v>
      </c>
      <c r="AF81" s="18">
        <f t="shared" si="32"/>
        <v>41.858715076017511</v>
      </c>
      <c r="AG81" s="18">
        <f t="shared" si="32"/>
        <v>41.371040725617306</v>
      </c>
      <c r="AH81" s="18">
        <f t="shared" si="32"/>
        <v>40.889048018134389</v>
      </c>
      <c r="AI81" s="18"/>
      <c r="AJ81" s="18"/>
      <c r="AK81" s="18"/>
      <c r="AL81" s="18"/>
      <c r="AM81" s="18"/>
      <c r="AN81" s="18"/>
      <c r="AO81" s="18"/>
      <c r="AP81" s="18"/>
      <c r="AQ81" s="18"/>
      <c r="AR81" s="18"/>
    </row>
    <row r="82" spans="1:44" ht="15" x14ac:dyDescent="0.25">
      <c r="A82" s="2"/>
      <c r="C82" s="21"/>
      <c r="D82" s="17"/>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row>
    <row r="83" spans="1:44" ht="15" x14ac:dyDescent="0.25">
      <c r="B83" s="2" t="s">
        <v>287</v>
      </c>
      <c r="C83" s="225"/>
      <c r="D83" s="70"/>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row>
    <row r="84" spans="1:44" ht="15" x14ac:dyDescent="0.25">
      <c r="A84" s="2"/>
      <c r="B84" s="1" t="s">
        <v>287</v>
      </c>
      <c r="C84" s="225" t="s">
        <v>288</v>
      </c>
      <c r="D84" s="70">
        <f>SUM(F84:AR84)</f>
        <v>119427.13613793107</v>
      </c>
      <c r="F84" s="18">
        <f t="shared" ref="F84:J84" si="33">F77*$D$80*$D$81</f>
        <v>0</v>
      </c>
      <c r="G84" s="18">
        <f t="shared" si="33"/>
        <v>0</v>
      </c>
      <c r="H84" s="18">
        <f t="shared" si="33"/>
        <v>0</v>
      </c>
      <c r="I84" s="18">
        <f t="shared" si="33"/>
        <v>219.77199999999999</v>
      </c>
      <c r="J84" s="18">
        <f t="shared" si="33"/>
        <v>396.78048275862068</v>
      </c>
      <c r="K84" s="18">
        <f>K77*$D$80*$D$81</f>
        <v>573.78896551724131</v>
      </c>
      <c r="L84" s="18">
        <f t="shared" ref="L84:AR84" si="34">L77*$D$80*$D$81</f>
        <v>750.79744827586194</v>
      </c>
      <c r="M84" s="18">
        <f t="shared" si="34"/>
        <v>927.8059310344828</v>
      </c>
      <c r="N84" s="18">
        <f t="shared" si="34"/>
        <v>1104.8144137931033</v>
      </c>
      <c r="O84" s="18">
        <f t="shared" si="34"/>
        <v>1281.8228965517244</v>
      </c>
      <c r="P84" s="18">
        <f t="shared" si="34"/>
        <v>1458.831379310345</v>
      </c>
      <c r="Q84" s="18">
        <f t="shared" si="34"/>
        <v>1635.8398620689659</v>
      </c>
      <c r="R84" s="18">
        <f t="shared" si="34"/>
        <v>1812.8483448275867</v>
      </c>
      <c r="S84" s="18">
        <f t="shared" si="34"/>
        <v>1989.8568275862074</v>
      </c>
      <c r="T84" s="18">
        <f t="shared" si="34"/>
        <v>2166.8653103448282</v>
      </c>
      <c r="U84" s="18">
        <f t="shared" si="34"/>
        <v>2343.8737931034489</v>
      </c>
      <c r="V84" s="18">
        <f t="shared" si="34"/>
        <v>2520.8822758620699</v>
      </c>
      <c r="W84" s="18">
        <f t="shared" si="34"/>
        <v>2697.8907586206906</v>
      </c>
      <c r="X84" s="18">
        <f t="shared" si="34"/>
        <v>2874.8992413793112</v>
      </c>
      <c r="Y84" s="18">
        <f t="shared" si="34"/>
        <v>3051.9077241379323</v>
      </c>
      <c r="Z84" s="18">
        <f t="shared" si="34"/>
        <v>3228.9162068965529</v>
      </c>
      <c r="AA84" s="18">
        <f t="shared" si="34"/>
        <v>3405.9246896551736</v>
      </c>
      <c r="AB84" s="18">
        <f t="shared" si="34"/>
        <v>3582.9331724137946</v>
      </c>
      <c r="AC84" s="18">
        <f t="shared" si="34"/>
        <v>3759.9416551724148</v>
      </c>
      <c r="AD84" s="18">
        <f t="shared" si="34"/>
        <v>3936.9501379310359</v>
      </c>
      <c r="AE84" s="18">
        <f t="shared" si="34"/>
        <v>4113.9586206896565</v>
      </c>
      <c r="AF84" s="18">
        <f t="shared" si="34"/>
        <v>4290.9671034482772</v>
      </c>
      <c r="AG84" s="18">
        <f t="shared" si="34"/>
        <v>4467.9755862068978</v>
      </c>
      <c r="AH84" s="18">
        <f t="shared" si="34"/>
        <v>4644.9840689655184</v>
      </c>
      <c r="AI84" s="18">
        <f t="shared" si="34"/>
        <v>4821.99255172414</v>
      </c>
      <c r="AJ84" s="18">
        <f t="shared" si="34"/>
        <v>4999.0010344827597</v>
      </c>
      <c r="AK84" s="18">
        <f t="shared" si="34"/>
        <v>5176.0095172413812</v>
      </c>
      <c r="AL84" s="18">
        <f t="shared" si="34"/>
        <v>5353.0180000000018</v>
      </c>
      <c r="AM84" s="18">
        <f t="shared" si="34"/>
        <v>5530.0264827586225</v>
      </c>
      <c r="AN84" s="18">
        <f t="shared" si="34"/>
        <v>5707.0349655172431</v>
      </c>
      <c r="AO84" s="18">
        <f t="shared" si="34"/>
        <v>5884.0434482758637</v>
      </c>
      <c r="AP84" s="18">
        <f t="shared" si="34"/>
        <v>6061.0519310344853</v>
      </c>
      <c r="AQ84" s="18">
        <f t="shared" si="34"/>
        <v>6238.0604137931059</v>
      </c>
      <c r="AR84" s="18">
        <f t="shared" si="34"/>
        <v>6415.0688965517265</v>
      </c>
    </row>
    <row r="85" spans="1:44" ht="15" x14ac:dyDescent="0.25">
      <c r="A85" s="2"/>
      <c r="B85" s="1" t="s">
        <v>71</v>
      </c>
      <c r="C85" s="225" t="s">
        <v>72</v>
      </c>
      <c r="D85" s="70">
        <f>INPUTS!$E$27</f>
        <v>365</v>
      </c>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row>
    <row r="86" spans="1:44" x14ac:dyDescent="0.2">
      <c r="B86" s="1" t="s">
        <v>282</v>
      </c>
      <c r="C86" s="225" t="s">
        <v>289</v>
      </c>
      <c r="D86" s="70">
        <f>SUM(F86:AR86)</f>
        <v>43590904.690344825</v>
      </c>
      <c r="F86" s="18">
        <f t="shared" ref="F86:J86" si="35">F84*$D$85</f>
        <v>0</v>
      </c>
      <c r="G86" s="18">
        <f t="shared" si="35"/>
        <v>0</v>
      </c>
      <c r="H86" s="18">
        <f t="shared" si="35"/>
        <v>0</v>
      </c>
      <c r="I86" s="18">
        <f t="shared" si="35"/>
        <v>80216.78</v>
      </c>
      <c r="J86" s="18">
        <f t="shared" si="35"/>
        <v>144824.87620689656</v>
      </c>
      <c r="K86" s="18">
        <f>K84*$D$85</f>
        <v>209432.97241379309</v>
      </c>
      <c r="L86" s="18">
        <f t="shared" ref="L86:AR86" si="36">L84*$D$85</f>
        <v>274041.06862068962</v>
      </c>
      <c r="M86" s="18">
        <f t="shared" si="36"/>
        <v>338649.16482758621</v>
      </c>
      <c r="N86" s="18">
        <f t="shared" si="36"/>
        <v>403257.26103448268</v>
      </c>
      <c r="O86" s="18">
        <f t="shared" si="36"/>
        <v>467865.35724137939</v>
      </c>
      <c r="P86" s="18">
        <f t="shared" si="36"/>
        <v>532473.45344827592</v>
      </c>
      <c r="Q86" s="18">
        <f t="shared" si="36"/>
        <v>597081.54965517251</v>
      </c>
      <c r="R86" s="18">
        <f t="shared" si="36"/>
        <v>661689.64586206921</v>
      </c>
      <c r="S86" s="18">
        <f t="shared" si="36"/>
        <v>726297.74206896569</v>
      </c>
      <c r="T86" s="18">
        <f t="shared" si="36"/>
        <v>790905.83827586228</v>
      </c>
      <c r="U86" s="18">
        <f t="shared" si="36"/>
        <v>855513.93448275886</v>
      </c>
      <c r="V86" s="18">
        <f t="shared" si="36"/>
        <v>920122.03068965557</v>
      </c>
      <c r="W86" s="18">
        <f t="shared" si="36"/>
        <v>984730.12689655204</v>
      </c>
      <c r="X86" s="18">
        <f t="shared" si="36"/>
        <v>1049338.2231034485</v>
      </c>
      <c r="Y86" s="18">
        <f t="shared" si="36"/>
        <v>1113946.3193103452</v>
      </c>
      <c r="Z86" s="18">
        <f t="shared" si="36"/>
        <v>1178554.4155172419</v>
      </c>
      <c r="AA86" s="18">
        <f t="shared" si="36"/>
        <v>1243162.5117241384</v>
      </c>
      <c r="AB86" s="18">
        <f t="shared" si="36"/>
        <v>1307770.6079310351</v>
      </c>
      <c r="AC86" s="18">
        <f t="shared" si="36"/>
        <v>1372378.7041379313</v>
      </c>
      <c r="AD86" s="18">
        <f t="shared" si="36"/>
        <v>1436986.8003448281</v>
      </c>
      <c r="AE86" s="18">
        <f t="shared" si="36"/>
        <v>1501594.8965517245</v>
      </c>
      <c r="AF86" s="18">
        <f t="shared" si="36"/>
        <v>1566202.9927586212</v>
      </c>
      <c r="AG86" s="18">
        <f t="shared" si="36"/>
        <v>1630811.0889655177</v>
      </c>
      <c r="AH86" s="18">
        <f t="shared" si="36"/>
        <v>1695419.1851724142</v>
      </c>
      <c r="AI86" s="18">
        <f t="shared" si="36"/>
        <v>1760027.2813793111</v>
      </c>
      <c r="AJ86" s="18">
        <f t="shared" si="36"/>
        <v>1824635.3775862074</v>
      </c>
      <c r="AK86" s="18">
        <f t="shared" si="36"/>
        <v>1889243.4737931041</v>
      </c>
      <c r="AL86" s="18">
        <f t="shared" si="36"/>
        <v>1953851.5700000008</v>
      </c>
      <c r="AM86" s="18">
        <f t="shared" si="36"/>
        <v>2018459.6662068972</v>
      </c>
      <c r="AN86" s="18">
        <f t="shared" si="36"/>
        <v>2083067.7624137937</v>
      </c>
      <c r="AO86" s="18">
        <f t="shared" si="36"/>
        <v>2147675.8586206902</v>
      </c>
      <c r="AP86" s="18">
        <f t="shared" si="36"/>
        <v>2212283.9548275871</v>
      </c>
      <c r="AQ86" s="18">
        <f t="shared" si="36"/>
        <v>2276892.0510344836</v>
      </c>
      <c r="AR86" s="18">
        <f t="shared" si="36"/>
        <v>2341500.1472413801</v>
      </c>
    </row>
    <row r="87" spans="1:44" x14ac:dyDescent="0.2">
      <c r="C87" s="225"/>
      <c r="D87" s="70"/>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row>
    <row r="88" spans="1:44" ht="15" x14ac:dyDescent="0.25">
      <c r="A88" s="2" t="s">
        <v>258</v>
      </c>
      <c r="C88" s="21"/>
      <c r="D88" s="17"/>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row>
    <row r="89" spans="1:44" ht="15" x14ac:dyDescent="0.25">
      <c r="A89" s="2"/>
      <c r="B89" s="1" t="str">
        <f>'CALCS Traffic'!$B$37</f>
        <v>Pedestrian Forecast</v>
      </c>
      <c r="C89" s="21" t="s">
        <v>187</v>
      </c>
      <c r="D89" s="17"/>
      <c r="F89" s="18">
        <f>'CALCS Traffic'!F$37</f>
        <v>0</v>
      </c>
      <c r="G89" s="18">
        <f>'CALCS Traffic'!G$37</f>
        <v>0</v>
      </c>
      <c r="H89" s="18">
        <f>'CALCS Traffic'!H$37</f>
        <v>0</v>
      </c>
      <c r="I89" s="18">
        <f>'CALCS Traffic'!I$37</f>
        <v>0</v>
      </c>
      <c r="J89" s="18">
        <f>'CALCS Traffic'!J$37</f>
        <v>0</v>
      </c>
      <c r="K89" s="18">
        <f>'CALCS Traffic'!K$37</f>
        <v>0</v>
      </c>
      <c r="L89" s="18">
        <f>'CALCS Traffic'!L$37</f>
        <v>0</v>
      </c>
      <c r="M89" s="18">
        <f>'CALCS Traffic'!M$37</f>
        <v>0</v>
      </c>
      <c r="N89" s="18">
        <f>'CALCS Traffic'!N$37</f>
        <v>0</v>
      </c>
      <c r="O89" s="18">
        <f>'CALCS Traffic'!O$37</f>
        <v>0</v>
      </c>
      <c r="P89" s="18">
        <f>'CALCS Traffic'!P$37</f>
        <v>0</v>
      </c>
      <c r="Q89" s="18">
        <f>'CALCS Traffic'!Q$37</f>
        <v>0</v>
      </c>
      <c r="R89" s="18">
        <f>'CALCS Traffic'!R$37</f>
        <v>0</v>
      </c>
      <c r="S89" s="18">
        <f>'CALCS Traffic'!S$37</f>
        <v>0</v>
      </c>
      <c r="T89" s="18">
        <f>'CALCS Traffic'!T$37</f>
        <v>0</v>
      </c>
      <c r="U89" s="18">
        <f>'CALCS Traffic'!U$37</f>
        <v>0</v>
      </c>
      <c r="V89" s="18">
        <f>'CALCS Traffic'!V$37</f>
        <v>0</v>
      </c>
      <c r="W89" s="18">
        <f>'CALCS Traffic'!W$37</f>
        <v>0</v>
      </c>
      <c r="X89" s="18">
        <f>'CALCS Traffic'!X$37</f>
        <v>0</v>
      </c>
      <c r="Y89" s="18">
        <f>'CALCS Traffic'!Y$37</f>
        <v>0</v>
      </c>
      <c r="Z89" s="18">
        <f>'CALCS Traffic'!Z$37</f>
        <v>0</v>
      </c>
      <c r="AA89" s="18">
        <f>'CALCS Traffic'!AA$37</f>
        <v>0</v>
      </c>
      <c r="AB89" s="18">
        <f>'CALCS Traffic'!AB$37</f>
        <v>0</v>
      </c>
      <c r="AC89" s="18">
        <f>'CALCS Traffic'!AC$37</f>
        <v>0</v>
      </c>
      <c r="AD89" s="18">
        <f>'CALCS Traffic'!AD$37</f>
        <v>0</v>
      </c>
      <c r="AE89" s="18">
        <f>'CALCS Traffic'!AE$37</f>
        <v>0</v>
      </c>
      <c r="AF89" s="18">
        <f>'CALCS Traffic'!AF$37</f>
        <v>0</v>
      </c>
      <c r="AG89" s="18">
        <f>'CALCS Traffic'!AG$37</f>
        <v>0</v>
      </c>
      <c r="AH89" s="18">
        <f>'CALCS Traffic'!AH$37</f>
        <v>0</v>
      </c>
      <c r="AI89" s="18">
        <f>'CALCS Traffic'!AI$37</f>
        <v>0</v>
      </c>
      <c r="AJ89" s="18">
        <f>'CALCS Traffic'!AJ$37</f>
        <v>0</v>
      </c>
      <c r="AK89" s="18">
        <f>'CALCS Traffic'!AK$37</f>
        <v>0</v>
      </c>
      <c r="AL89" s="18">
        <f>'CALCS Traffic'!AL$37</f>
        <v>0</v>
      </c>
      <c r="AM89" s="18">
        <f>'CALCS Traffic'!AM$37</f>
        <v>0</v>
      </c>
      <c r="AN89" s="18">
        <f>'CALCS Traffic'!AN$37</f>
        <v>0</v>
      </c>
      <c r="AO89" s="18">
        <f>'CALCS Traffic'!AO$37</f>
        <v>0</v>
      </c>
      <c r="AP89" s="18">
        <f>'CALCS Traffic'!AP$37</f>
        <v>0</v>
      </c>
      <c r="AQ89" s="18">
        <f>'CALCS Traffic'!AQ$37</f>
        <v>0</v>
      </c>
      <c r="AR89" s="18">
        <f>'CALCS Traffic'!AR$37</f>
        <v>0</v>
      </c>
    </row>
    <row r="90" spans="1:44" ht="15" x14ac:dyDescent="0.25">
      <c r="A90" s="2"/>
      <c r="B90" s="1" t="s">
        <v>299</v>
      </c>
      <c r="C90" s="21" t="s">
        <v>101</v>
      </c>
      <c r="D90" s="17">
        <f>INPUTS!E78</f>
        <v>0</v>
      </c>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row>
    <row r="91" spans="1:44" ht="15" x14ac:dyDescent="0.25">
      <c r="A91" s="2"/>
      <c r="B91" s="1" t="s">
        <v>291</v>
      </c>
      <c r="C91" s="21" t="s">
        <v>131</v>
      </c>
      <c r="D91" s="17">
        <f>INPUTS!$E$79</f>
        <v>3.2</v>
      </c>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row>
    <row r="92" spans="1:44" ht="15" x14ac:dyDescent="0.25">
      <c r="A92" s="2"/>
      <c r="B92" s="1" t="s">
        <v>292</v>
      </c>
      <c r="C92" s="21" t="s">
        <v>293</v>
      </c>
      <c r="D92" s="17">
        <f>D90/D91</f>
        <v>0</v>
      </c>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row>
    <row r="93" spans="1:44" ht="15" x14ac:dyDescent="0.25">
      <c r="A93" s="2"/>
      <c r="B93" s="1" t="s">
        <v>294</v>
      </c>
      <c r="C93" s="21" t="s">
        <v>295</v>
      </c>
      <c r="D93" s="17"/>
      <c r="F93" s="18">
        <f>F89*$D$92</f>
        <v>0</v>
      </c>
      <c r="G93" s="18">
        <f t="shared" ref="G93:AR93" si="37">G89*$D$92</f>
        <v>0</v>
      </c>
      <c r="H93" s="18">
        <f t="shared" si="37"/>
        <v>0</v>
      </c>
      <c r="I93" s="18">
        <f t="shared" si="37"/>
        <v>0</v>
      </c>
      <c r="J93" s="18">
        <f t="shared" si="37"/>
        <v>0</v>
      </c>
      <c r="K93" s="18">
        <f t="shared" si="37"/>
        <v>0</v>
      </c>
      <c r="L93" s="18">
        <f t="shared" si="37"/>
        <v>0</v>
      </c>
      <c r="M93" s="18">
        <f t="shared" si="37"/>
        <v>0</v>
      </c>
      <c r="N93" s="18">
        <f t="shared" si="37"/>
        <v>0</v>
      </c>
      <c r="O93" s="18">
        <f t="shared" si="37"/>
        <v>0</v>
      </c>
      <c r="P93" s="18">
        <f t="shared" si="37"/>
        <v>0</v>
      </c>
      <c r="Q93" s="18">
        <f t="shared" si="37"/>
        <v>0</v>
      </c>
      <c r="R93" s="18">
        <f t="shared" si="37"/>
        <v>0</v>
      </c>
      <c r="S93" s="18">
        <f t="shared" si="37"/>
        <v>0</v>
      </c>
      <c r="T93" s="18">
        <f t="shared" si="37"/>
        <v>0</v>
      </c>
      <c r="U93" s="18">
        <f t="shared" si="37"/>
        <v>0</v>
      </c>
      <c r="V93" s="18">
        <f t="shared" si="37"/>
        <v>0</v>
      </c>
      <c r="W93" s="18">
        <f t="shared" si="37"/>
        <v>0</v>
      </c>
      <c r="X93" s="18">
        <f t="shared" si="37"/>
        <v>0</v>
      </c>
      <c r="Y93" s="18">
        <f t="shared" si="37"/>
        <v>0</v>
      </c>
      <c r="Z93" s="18">
        <f t="shared" si="37"/>
        <v>0</v>
      </c>
      <c r="AA93" s="18">
        <f t="shared" si="37"/>
        <v>0</v>
      </c>
      <c r="AB93" s="18">
        <f t="shared" si="37"/>
        <v>0</v>
      </c>
      <c r="AC93" s="18">
        <f t="shared" si="37"/>
        <v>0</v>
      </c>
      <c r="AD93" s="18">
        <f t="shared" si="37"/>
        <v>0</v>
      </c>
      <c r="AE93" s="18">
        <f t="shared" si="37"/>
        <v>0</v>
      </c>
      <c r="AF93" s="18">
        <f t="shared" si="37"/>
        <v>0</v>
      </c>
      <c r="AG93" s="18">
        <f t="shared" si="37"/>
        <v>0</v>
      </c>
      <c r="AH93" s="18">
        <f t="shared" si="37"/>
        <v>0</v>
      </c>
      <c r="AI93" s="18">
        <f t="shared" si="37"/>
        <v>0</v>
      </c>
      <c r="AJ93" s="18">
        <f t="shared" si="37"/>
        <v>0</v>
      </c>
      <c r="AK93" s="18">
        <f t="shared" si="37"/>
        <v>0</v>
      </c>
      <c r="AL93" s="18">
        <f t="shared" si="37"/>
        <v>0</v>
      </c>
      <c r="AM93" s="18">
        <f t="shared" si="37"/>
        <v>0</v>
      </c>
      <c r="AN93" s="18">
        <f t="shared" si="37"/>
        <v>0</v>
      </c>
      <c r="AO93" s="18">
        <f t="shared" si="37"/>
        <v>0</v>
      </c>
      <c r="AP93" s="18">
        <f t="shared" si="37"/>
        <v>0</v>
      </c>
      <c r="AQ93" s="18">
        <f t="shared" si="37"/>
        <v>0</v>
      </c>
      <c r="AR93" s="18">
        <f t="shared" si="37"/>
        <v>0</v>
      </c>
    </row>
    <row r="94" spans="1:44" ht="15" x14ac:dyDescent="0.25">
      <c r="A94" s="2"/>
      <c r="B94" s="2" t="s">
        <v>283</v>
      </c>
      <c r="C94" s="21"/>
      <c r="D94" s="17"/>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row>
    <row r="95" spans="1:44" ht="15" x14ac:dyDescent="0.25">
      <c r="A95" s="2"/>
      <c r="B95" s="1" t="str">
        <f>INPUTS!C84</f>
        <v>Walking, Cycling, Waiting, Standing, and Transfer Time</v>
      </c>
      <c r="C95" s="21" t="s">
        <v>135</v>
      </c>
      <c r="D95" s="88">
        <f>INPUTS!E84</f>
        <v>34</v>
      </c>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row>
    <row r="96" spans="1:44" x14ac:dyDescent="0.2">
      <c r="B96" s="1" t="s">
        <v>296</v>
      </c>
      <c r="C96" s="21" t="s">
        <v>297</v>
      </c>
      <c r="D96" s="70">
        <f>SUM(F96:AR96)</f>
        <v>0</v>
      </c>
      <c r="F96" s="18">
        <f>F93*$D$95</f>
        <v>0</v>
      </c>
      <c r="G96" s="18">
        <f t="shared" ref="G96:AR96" si="38">G93*$D$95</f>
        <v>0</v>
      </c>
      <c r="H96" s="18">
        <f t="shared" si="38"/>
        <v>0</v>
      </c>
      <c r="I96" s="18">
        <f t="shared" si="38"/>
        <v>0</v>
      </c>
      <c r="J96" s="18">
        <f t="shared" si="38"/>
        <v>0</v>
      </c>
      <c r="K96" s="18">
        <f t="shared" si="38"/>
        <v>0</v>
      </c>
      <c r="L96" s="18">
        <f t="shared" si="38"/>
        <v>0</v>
      </c>
      <c r="M96" s="18">
        <f t="shared" si="38"/>
        <v>0</v>
      </c>
      <c r="N96" s="18">
        <f t="shared" si="38"/>
        <v>0</v>
      </c>
      <c r="O96" s="18">
        <f t="shared" si="38"/>
        <v>0</v>
      </c>
      <c r="P96" s="18">
        <f t="shared" si="38"/>
        <v>0</v>
      </c>
      <c r="Q96" s="18">
        <f t="shared" si="38"/>
        <v>0</v>
      </c>
      <c r="R96" s="18">
        <f t="shared" si="38"/>
        <v>0</v>
      </c>
      <c r="S96" s="18">
        <f t="shared" si="38"/>
        <v>0</v>
      </c>
      <c r="T96" s="18">
        <f t="shared" si="38"/>
        <v>0</v>
      </c>
      <c r="U96" s="18">
        <f t="shared" si="38"/>
        <v>0</v>
      </c>
      <c r="V96" s="18">
        <f t="shared" si="38"/>
        <v>0</v>
      </c>
      <c r="W96" s="18">
        <f t="shared" si="38"/>
        <v>0</v>
      </c>
      <c r="X96" s="18">
        <f t="shared" si="38"/>
        <v>0</v>
      </c>
      <c r="Y96" s="18">
        <f t="shared" si="38"/>
        <v>0</v>
      </c>
      <c r="Z96" s="18">
        <f t="shared" si="38"/>
        <v>0</v>
      </c>
      <c r="AA96" s="18">
        <f t="shared" si="38"/>
        <v>0</v>
      </c>
      <c r="AB96" s="18">
        <f t="shared" si="38"/>
        <v>0</v>
      </c>
      <c r="AC96" s="18">
        <f t="shared" si="38"/>
        <v>0</v>
      </c>
      <c r="AD96" s="18">
        <f t="shared" si="38"/>
        <v>0</v>
      </c>
      <c r="AE96" s="18">
        <f t="shared" si="38"/>
        <v>0</v>
      </c>
      <c r="AF96" s="18">
        <f t="shared" si="38"/>
        <v>0</v>
      </c>
      <c r="AG96" s="18">
        <f t="shared" si="38"/>
        <v>0</v>
      </c>
      <c r="AH96" s="18">
        <f t="shared" si="38"/>
        <v>0</v>
      </c>
      <c r="AI96" s="18">
        <f t="shared" si="38"/>
        <v>0</v>
      </c>
      <c r="AJ96" s="18">
        <f t="shared" si="38"/>
        <v>0</v>
      </c>
      <c r="AK96" s="18">
        <f t="shared" si="38"/>
        <v>0</v>
      </c>
      <c r="AL96" s="18">
        <f t="shared" si="38"/>
        <v>0</v>
      </c>
      <c r="AM96" s="18">
        <f t="shared" si="38"/>
        <v>0</v>
      </c>
      <c r="AN96" s="18">
        <f t="shared" si="38"/>
        <v>0</v>
      </c>
      <c r="AO96" s="18">
        <f t="shared" si="38"/>
        <v>0</v>
      </c>
      <c r="AP96" s="18">
        <f t="shared" si="38"/>
        <v>0</v>
      </c>
      <c r="AQ96" s="18">
        <f t="shared" si="38"/>
        <v>0</v>
      </c>
      <c r="AR96" s="18">
        <f t="shared" si="38"/>
        <v>0</v>
      </c>
    </row>
    <row r="97" spans="1:44" x14ac:dyDescent="0.2">
      <c r="B97" s="1" t="s">
        <v>71</v>
      </c>
      <c r="C97" s="225" t="s">
        <v>72</v>
      </c>
      <c r="D97" s="70">
        <f>INPUTS!$E$27</f>
        <v>365</v>
      </c>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row>
    <row r="98" spans="1:44" x14ac:dyDescent="0.2">
      <c r="B98" s="1" t="s">
        <v>296</v>
      </c>
      <c r="C98" s="21" t="s">
        <v>289</v>
      </c>
      <c r="D98" s="70">
        <f>SUM(F98:AR98)</f>
        <v>0</v>
      </c>
      <c r="F98" s="18">
        <f>F96*$D$60</f>
        <v>0</v>
      </c>
      <c r="G98" s="18">
        <f t="shared" ref="G98:AR98" si="39">G96*$D$60</f>
        <v>0</v>
      </c>
      <c r="H98" s="18">
        <f t="shared" si="39"/>
        <v>0</v>
      </c>
      <c r="I98" s="18">
        <f t="shared" si="39"/>
        <v>0</v>
      </c>
      <c r="J98" s="18">
        <f t="shared" si="39"/>
        <v>0</v>
      </c>
      <c r="K98" s="18">
        <f t="shared" si="39"/>
        <v>0</v>
      </c>
      <c r="L98" s="18">
        <f t="shared" si="39"/>
        <v>0</v>
      </c>
      <c r="M98" s="18">
        <f t="shared" si="39"/>
        <v>0</v>
      </c>
      <c r="N98" s="18">
        <f t="shared" si="39"/>
        <v>0</v>
      </c>
      <c r="O98" s="18">
        <f t="shared" si="39"/>
        <v>0</v>
      </c>
      <c r="P98" s="18">
        <f t="shared" si="39"/>
        <v>0</v>
      </c>
      <c r="Q98" s="18">
        <f t="shared" si="39"/>
        <v>0</v>
      </c>
      <c r="R98" s="18">
        <f t="shared" si="39"/>
        <v>0</v>
      </c>
      <c r="S98" s="18">
        <f t="shared" si="39"/>
        <v>0</v>
      </c>
      <c r="T98" s="18">
        <f t="shared" si="39"/>
        <v>0</v>
      </c>
      <c r="U98" s="18">
        <f t="shared" si="39"/>
        <v>0</v>
      </c>
      <c r="V98" s="18">
        <f t="shared" si="39"/>
        <v>0</v>
      </c>
      <c r="W98" s="18">
        <f t="shared" si="39"/>
        <v>0</v>
      </c>
      <c r="X98" s="18">
        <f t="shared" si="39"/>
        <v>0</v>
      </c>
      <c r="Y98" s="18">
        <f t="shared" si="39"/>
        <v>0</v>
      </c>
      <c r="Z98" s="18">
        <f t="shared" si="39"/>
        <v>0</v>
      </c>
      <c r="AA98" s="18">
        <f t="shared" si="39"/>
        <v>0</v>
      </c>
      <c r="AB98" s="18">
        <f t="shared" si="39"/>
        <v>0</v>
      </c>
      <c r="AC98" s="18">
        <f t="shared" si="39"/>
        <v>0</v>
      </c>
      <c r="AD98" s="18">
        <f t="shared" si="39"/>
        <v>0</v>
      </c>
      <c r="AE98" s="18">
        <f t="shared" si="39"/>
        <v>0</v>
      </c>
      <c r="AF98" s="18">
        <f t="shared" si="39"/>
        <v>0</v>
      </c>
      <c r="AG98" s="18">
        <f t="shared" si="39"/>
        <v>0</v>
      </c>
      <c r="AH98" s="18">
        <f t="shared" si="39"/>
        <v>0</v>
      </c>
      <c r="AI98" s="18">
        <f t="shared" si="39"/>
        <v>0</v>
      </c>
      <c r="AJ98" s="18">
        <f t="shared" si="39"/>
        <v>0</v>
      </c>
      <c r="AK98" s="18">
        <f t="shared" si="39"/>
        <v>0</v>
      </c>
      <c r="AL98" s="18">
        <f t="shared" si="39"/>
        <v>0</v>
      </c>
      <c r="AM98" s="18">
        <f t="shared" si="39"/>
        <v>0</v>
      </c>
      <c r="AN98" s="18">
        <f t="shared" si="39"/>
        <v>0</v>
      </c>
      <c r="AO98" s="18">
        <f t="shared" si="39"/>
        <v>0</v>
      </c>
      <c r="AP98" s="18">
        <f t="shared" si="39"/>
        <v>0</v>
      </c>
      <c r="AQ98" s="18">
        <f t="shared" si="39"/>
        <v>0</v>
      </c>
      <c r="AR98" s="18">
        <f t="shared" si="39"/>
        <v>0</v>
      </c>
    </row>
    <row r="99" spans="1:44" x14ac:dyDescent="0.2">
      <c r="C99" s="225"/>
      <c r="D99" s="70"/>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row>
    <row r="100" spans="1:44" ht="15" x14ac:dyDescent="0.25">
      <c r="A100" s="2" t="s">
        <v>272</v>
      </c>
      <c r="C100" s="225"/>
      <c r="D100" s="70"/>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row>
    <row r="101" spans="1:44" x14ac:dyDescent="0.2">
      <c r="B101" s="1" t="s">
        <v>298</v>
      </c>
      <c r="C101" s="21" t="s">
        <v>289</v>
      </c>
      <c r="D101" s="70">
        <f>SUM(F101:AR101)</f>
        <v>43590904.690344825</v>
      </c>
      <c r="F101" s="18">
        <f>F86+F98</f>
        <v>0</v>
      </c>
      <c r="G101" s="18">
        <f t="shared" ref="G101:AR101" si="40">G86+G98</f>
        <v>0</v>
      </c>
      <c r="H101" s="18">
        <f t="shared" si="40"/>
        <v>0</v>
      </c>
      <c r="I101" s="18">
        <f t="shared" si="40"/>
        <v>80216.78</v>
      </c>
      <c r="J101" s="18">
        <f t="shared" si="40"/>
        <v>144824.87620689656</v>
      </c>
      <c r="K101" s="18">
        <f t="shared" si="40"/>
        <v>209432.97241379309</v>
      </c>
      <c r="L101" s="18">
        <f t="shared" si="40"/>
        <v>274041.06862068962</v>
      </c>
      <c r="M101" s="18">
        <f t="shared" si="40"/>
        <v>338649.16482758621</v>
      </c>
      <c r="N101" s="18">
        <f t="shared" si="40"/>
        <v>403257.26103448268</v>
      </c>
      <c r="O101" s="18">
        <f t="shared" si="40"/>
        <v>467865.35724137939</v>
      </c>
      <c r="P101" s="18">
        <f t="shared" si="40"/>
        <v>532473.45344827592</v>
      </c>
      <c r="Q101" s="18">
        <f t="shared" si="40"/>
        <v>597081.54965517251</v>
      </c>
      <c r="R101" s="18">
        <f t="shared" si="40"/>
        <v>661689.64586206921</v>
      </c>
      <c r="S101" s="18">
        <f t="shared" si="40"/>
        <v>726297.74206896569</v>
      </c>
      <c r="T101" s="18">
        <f t="shared" si="40"/>
        <v>790905.83827586228</v>
      </c>
      <c r="U101" s="18">
        <f t="shared" si="40"/>
        <v>855513.93448275886</v>
      </c>
      <c r="V101" s="18">
        <f t="shared" si="40"/>
        <v>920122.03068965557</v>
      </c>
      <c r="W101" s="18">
        <f t="shared" si="40"/>
        <v>984730.12689655204</v>
      </c>
      <c r="X101" s="18">
        <f t="shared" si="40"/>
        <v>1049338.2231034485</v>
      </c>
      <c r="Y101" s="18">
        <f t="shared" si="40"/>
        <v>1113946.3193103452</v>
      </c>
      <c r="Z101" s="18">
        <f t="shared" si="40"/>
        <v>1178554.4155172419</v>
      </c>
      <c r="AA101" s="18">
        <f t="shared" si="40"/>
        <v>1243162.5117241384</v>
      </c>
      <c r="AB101" s="18">
        <f t="shared" si="40"/>
        <v>1307770.6079310351</v>
      </c>
      <c r="AC101" s="18">
        <f t="shared" si="40"/>
        <v>1372378.7041379313</v>
      </c>
      <c r="AD101" s="18">
        <f t="shared" si="40"/>
        <v>1436986.8003448281</v>
      </c>
      <c r="AE101" s="18">
        <f t="shared" si="40"/>
        <v>1501594.8965517245</v>
      </c>
      <c r="AF101" s="18">
        <f t="shared" si="40"/>
        <v>1566202.9927586212</v>
      </c>
      <c r="AG101" s="18">
        <f t="shared" si="40"/>
        <v>1630811.0889655177</v>
      </c>
      <c r="AH101" s="18">
        <f t="shared" si="40"/>
        <v>1695419.1851724142</v>
      </c>
      <c r="AI101" s="18">
        <f t="shared" si="40"/>
        <v>1760027.2813793111</v>
      </c>
      <c r="AJ101" s="18">
        <f t="shared" si="40"/>
        <v>1824635.3775862074</v>
      </c>
      <c r="AK101" s="18">
        <f t="shared" si="40"/>
        <v>1889243.4737931041</v>
      </c>
      <c r="AL101" s="18">
        <f t="shared" si="40"/>
        <v>1953851.5700000008</v>
      </c>
      <c r="AM101" s="18">
        <f t="shared" si="40"/>
        <v>2018459.6662068972</v>
      </c>
      <c r="AN101" s="18">
        <f t="shared" si="40"/>
        <v>2083067.7624137937</v>
      </c>
      <c r="AO101" s="18">
        <f t="shared" si="40"/>
        <v>2147675.8586206902</v>
      </c>
      <c r="AP101" s="18">
        <f t="shared" si="40"/>
        <v>2212283.9548275871</v>
      </c>
      <c r="AQ101" s="18">
        <f t="shared" si="40"/>
        <v>2276892.0510344836</v>
      </c>
      <c r="AR101" s="18">
        <f t="shared" si="40"/>
        <v>2341500.1472413801</v>
      </c>
    </row>
    <row r="102" spans="1:44" x14ac:dyDescent="0.2">
      <c r="C102" s="225"/>
      <c r="D102" s="70"/>
    </row>
    <row r="103" spans="1:44" s="8" customFormat="1" x14ac:dyDescent="0.2">
      <c r="A103" s="7" t="s">
        <v>275</v>
      </c>
      <c r="B103" s="7"/>
      <c r="C103" s="226"/>
    </row>
    <row r="104" spans="1:44" ht="15" x14ac:dyDescent="0.25">
      <c r="A104" s="2" t="s">
        <v>276</v>
      </c>
      <c r="C104" s="20"/>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row>
    <row r="105" spans="1:44" x14ac:dyDescent="0.2">
      <c r="B105" s="1" t="s">
        <v>241</v>
      </c>
      <c r="C105" s="225" t="s">
        <v>77</v>
      </c>
      <c r="D105" s="70">
        <f>SUM(F105:AR105)</f>
        <v>8446405.7229931056</v>
      </c>
      <c r="F105" s="18">
        <f t="shared" ref="F105:AR105" si="41">(F$64-F$101)*F$11*F15</f>
        <v>0</v>
      </c>
      <c r="G105" s="18">
        <f t="shared" si="41"/>
        <v>0</v>
      </c>
      <c r="H105" s="18">
        <f t="shared" si="41"/>
        <v>0</v>
      </c>
      <c r="I105" s="18">
        <f t="shared" si="41"/>
        <v>0</v>
      </c>
      <c r="J105" s="18">
        <f t="shared" si="41"/>
        <v>0</v>
      </c>
      <c r="K105" s="18">
        <f t="shared" si="41"/>
        <v>0</v>
      </c>
      <c r="L105" s="18">
        <f t="shared" si="41"/>
        <v>0</v>
      </c>
      <c r="M105" s="18">
        <f t="shared" si="41"/>
        <v>0</v>
      </c>
      <c r="N105" s="18">
        <f t="shared" si="41"/>
        <v>0</v>
      </c>
      <c r="O105" s="18">
        <f t="shared" si="41"/>
        <v>0</v>
      </c>
      <c r="P105" s="18">
        <f t="shared" si="41"/>
        <v>207090.11333379312</v>
      </c>
      <c r="Q105" s="18">
        <f t="shared" si="41"/>
        <v>229745.92099862068</v>
      </c>
      <c r="R105" s="18">
        <f t="shared" si="41"/>
        <v>252401.72866344813</v>
      </c>
      <c r="S105" s="18">
        <f t="shared" si="41"/>
        <v>275057.53632827592</v>
      </c>
      <c r="T105" s="18">
        <f t="shared" si="41"/>
        <v>297713.34399310371</v>
      </c>
      <c r="U105" s="18">
        <f t="shared" si="41"/>
        <v>320369.15165793127</v>
      </c>
      <c r="V105" s="18">
        <f t="shared" si="41"/>
        <v>343024.95932275872</v>
      </c>
      <c r="W105" s="18">
        <f t="shared" si="41"/>
        <v>365680.76698758663</v>
      </c>
      <c r="X105" s="18">
        <f t="shared" si="41"/>
        <v>388336.5746524143</v>
      </c>
      <c r="Y105" s="18">
        <f t="shared" si="41"/>
        <v>410992.38231724198</v>
      </c>
      <c r="Z105" s="18">
        <f t="shared" si="41"/>
        <v>433648.18998206942</v>
      </c>
      <c r="AA105" s="18">
        <f t="shared" si="41"/>
        <v>456303.99764689687</v>
      </c>
      <c r="AB105" s="18">
        <f t="shared" si="41"/>
        <v>478959.80531172431</v>
      </c>
      <c r="AC105" s="18">
        <f t="shared" si="41"/>
        <v>501615.61297655222</v>
      </c>
      <c r="AD105" s="18">
        <f t="shared" si="41"/>
        <v>524271.42064137943</v>
      </c>
      <c r="AE105" s="18">
        <f t="shared" si="41"/>
        <v>546927.22830620711</v>
      </c>
      <c r="AF105" s="18">
        <f t="shared" si="41"/>
        <v>569583.03597103409</v>
      </c>
      <c r="AG105" s="18">
        <f t="shared" si="41"/>
        <v>592238.84363586153</v>
      </c>
      <c r="AH105" s="18">
        <f t="shared" si="41"/>
        <v>614894.65130068944</v>
      </c>
      <c r="AI105" s="18">
        <f t="shared" si="41"/>
        <v>637550.45896551642</v>
      </c>
      <c r="AJ105" s="18">
        <f t="shared" si="41"/>
        <v>0</v>
      </c>
      <c r="AK105" s="18">
        <f t="shared" si="41"/>
        <v>0</v>
      </c>
      <c r="AL105" s="18">
        <f t="shared" si="41"/>
        <v>0</v>
      </c>
      <c r="AM105" s="18">
        <f t="shared" si="41"/>
        <v>0</v>
      </c>
      <c r="AN105" s="18">
        <f t="shared" si="41"/>
        <v>0</v>
      </c>
      <c r="AO105" s="18">
        <f t="shared" si="41"/>
        <v>0</v>
      </c>
      <c r="AP105" s="18">
        <f t="shared" si="41"/>
        <v>0</v>
      </c>
      <c r="AQ105" s="18">
        <f t="shared" si="41"/>
        <v>0</v>
      </c>
      <c r="AR105" s="18">
        <f t="shared" si="41"/>
        <v>0</v>
      </c>
    </row>
    <row r="106" spans="1:44" x14ac:dyDescent="0.2">
      <c r="B106" s="1" t="s">
        <v>242</v>
      </c>
      <c r="C106" s="225" t="s">
        <v>77</v>
      </c>
      <c r="D106" s="70">
        <f>SUM(F106:AR106)</f>
        <v>4986133.3610118032</v>
      </c>
      <c r="F106" s="18">
        <f t="shared" ref="F106:AR106" si="42">(F$64-F$101)*F$11*F16</f>
        <v>0</v>
      </c>
      <c r="G106" s="18">
        <f t="shared" si="42"/>
        <v>0</v>
      </c>
      <c r="H106" s="18">
        <f t="shared" si="42"/>
        <v>0</v>
      </c>
      <c r="I106" s="18">
        <f t="shared" si="42"/>
        <v>0</v>
      </c>
      <c r="J106" s="18">
        <f t="shared" si="42"/>
        <v>0</v>
      </c>
      <c r="K106" s="18">
        <f t="shared" si="42"/>
        <v>0</v>
      </c>
      <c r="L106" s="18">
        <f t="shared" si="42"/>
        <v>0</v>
      </c>
      <c r="M106" s="18">
        <f t="shared" si="42"/>
        <v>0</v>
      </c>
      <c r="N106" s="18">
        <f t="shared" si="42"/>
        <v>0</v>
      </c>
      <c r="O106" s="18">
        <f t="shared" si="42"/>
        <v>0</v>
      </c>
      <c r="P106" s="18">
        <f t="shared" si="42"/>
        <v>168383.21323484028</v>
      </c>
      <c r="Q106" s="18">
        <f t="shared" si="42"/>
        <v>181363.55158227112</v>
      </c>
      <c r="R106" s="18">
        <f t="shared" si="42"/>
        <v>193444.90812012268</v>
      </c>
      <c r="S106" s="18">
        <f t="shared" si="42"/>
        <v>204668.63902835504</v>
      </c>
      <c r="T106" s="18">
        <f t="shared" si="42"/>
        <v>215074.45402798447</v>
      </c>
      <c r="U106" s="18">
        <f t="shared" si="42"/>
        <v>224700.47720736431</v>
      </c>
      <c r="V106" s="18">
        <f t="shared" si="42"/>
        <v>233583.3057019379</v>
      </c>
      <c r="W106" s="18">
        <f t="shared" si="42"/>
        <v>241758.06630090304</v>
      </c>
      <c r="X106" s="18">
        <f t="shared" si="42"/>
        <v>249258.47005176946</v>
      </c>
      <c r="Y106" s="18">
        <f t="shared" si="42"/>
        <v>256116.86493141874</v>
      </c>
      <c r="Z106" s="18">
        <f t="shared" si="42"/>
        <v>262364.28664996976</v>
      </c>
      <c r="AA106" s="18">
        <f t="shared" si="42"/>
        <v>268030.50765154016</v>
      </c>
      <c r="AB106" s="18">
        <f t="shared" si="42"/>
        <v>273144.08437383635</v>
      </c>
      <c r="AC106" s="18">
        <f t="shared" si="42"/>
        <v>277732.40282643324</v>
      </c>
      <c r="AD106" s="18">
        <f t="shared" si="42"/>
        <v>281821.72254558932</v>
      </c>
      <c r="AE106" s="18">
        <f t="shared" si="42"/>
        <v>285437.21898150723</v>
      </c>
      <c r="AF106" s="18">
        <f t="shared" si="42"/>
        <v>288603.02437205694</v>
      </c>
      <c r="AG106" s="18">
        <f t="shared" si="42"/>
        <v>291342.26715517987</v>
      </c>
      <c r="AH106" s="18">
        <f t="shared" si="42"/>
        <v>293677.10997041548</v>
      </c>
      <c r="AI106" s="18">
        <f t="shared" si="42"/>
        <v>295628.78629830858</v>
      </c>
      <c r="AJ106" s="18">
        <f t="shared" si="42"/>
        <v>0</v>
      </c>
      <c r="AK106" s="18">
        <f t="shared" si="42"/>
        <v>0</v>
      </c>
      <c r="AL106" s="18">
        <f t="shared" si="42"/>
        <v>0</v>
      </c>
      <c r="AM106" s="18">
        <f t="shared" si="42"/>
        <v>0</v>
      </c>
      <c r="AN106" s="18">
        <f t="shared" si="42"/>
        <v>0</v>
      </c>
      <c r="AO106" s="18">
        <f t="shared" si="42"/>
        <v>0</v>
      </c>
      <c r="AP106" s="18">
        <f t="shared" si="42"/>
        <v>0</v>
      </c>
      <c r="AQ106" s="18">
        <f t="shared" si="42"/>
        <v>0</v>
      </c>
      <c r="AR106" s="18">
        <f t="shared" si="42"/>
        <v>0</v>
      </c>
    </row>
    <row r="107" spans="1:44" x14ac:dyDescent="0.2">
      <c r="B107" s="1" t="s">
        <v>243</v>
      </c>
      <c r="C107" s="225" t="s">
        <v>77</v>
      </c>
      <c r="D107" s="70">
        <f>SUM(F107:AR107)</f>
        <v>2632015.7768887868</v>
      </c>
      <c r="F107" s="18">
        <f t="shared" ref="F107:AR107" si="43">(F$64-F$101)*F$11*F17</f>
        <v>0</v>
      </c>
      <c r="G107" s="18">
        <f t="shared" si="43"/>
        <v>0</v>
      </c>
      <c r="H107" s="18">
        <f t="shared" si="43"/>
        <v>0</v>
      </c>
      <c r="I107" s="18">
        <f t="shared" si="43"/>
        <v>0</v>
      </c>
      <c r="J107" s="18">
        <f t="shared" si="43"/>
        <v>0</v>
      </c>
      <c r="K107" s="18">
        <f t="shared" si="43"/>
        <v>0</v>
      </c>
      <c r="L107" s="18">
        <f t="shared" si="43"/>
        <v>0</v>
      </c>
      <c r="M107" s="18">
        <f t="shared" si="43"/>
        <v>0</v>
      </c>
      <c r="N107" s="18">
        <f t="shared" si="43"/>
        <v>0</v>
      </c>
      <c r="O107" s="18">
        <f t="shared" si="43"/>
        <v>0</v>
      </c>
      <c r="P107" s="18">
        <f t="shared" si="43"/>
        <v>128965.31462547039</v>
      </c>
      <c r="Q107" s="18">
        <f t="shared" si="43"/>
        <v>133714.21775787728</v>
      </c>
      <c r="R107" s="18">
        <f t="shared" si="43"/>
        <v>137289.81690661798</v>
      </c>
      <c r="S107" s="18">
        <f t="shared" si="43"/>
        <v>139825.30388879849</v>
      </c>
      <c r="T107" s="18">
        <f t="shared" si="43"/>
        <v>141441.46511958318</v>
      </c>
      <c r="U107" s="18">
        <f t="shared" si="43"/>
        <v>142247.73470793033</v>
      </c>
      <c r="V107" s="18">
        <f t="shared" si="43"/>
        <v>142343.16285735663</v>
      </c>
      <c r="W107" s="18">
        <f t="shared" si="43"/>
        <v>141817.30614622511</v>
      </c>
      <c r="X107" s="18">
        <f t="shared" si="43"/>
        <v>140751.04576431564</v>
      </c>
      <c r="Y107" s="18">
        <f t="shared" si="43"/>
        <v>139217.33932169655</v>
      </c>
      <c r="Z107" s="18">
        <f t="shared" si="43"/>
        <v>137281.91141943829</v>
      </c>
      <c r="AA107" s="18">
        <f t="shared" si="43"/>
        <v>135003.88777701225</v>
      </c>
      <c r="AB107" s="18">
        <f t="shared" si="43"/>
        <v>132436.37734594112</v>
      </c>
      <c r="AC107" s="18">
        <f t="shared" si="43"/>
        <v>129627.00650126813</v>
      </c>
      <c r="AD107" s="18">
        <f t="shared" si="43"/>
        <v>126618.4090896781</v>
      </c>
      <c r="AE107" s="18">
        <f t="shared" si="43"/>
        <v>123448.67582377775</v>
      </c>
      <c r="AF107" s="18">
        <f t="shared" si="43"/>
        <v>120151.76624439348</v>
      </c>
      <c r="AG107" s="18">
        <f t="shared" si="43"/>
        <v>116757.88622519383</v>
      </c>
      <c r="AH107" s="18">
        <f t="shared" si="43"/>
        <v>113293.83376497633</v>
      </c>
      <c r="AI107" s="18">
        <f t="shared" si="43"/>
        <v>109783.31560123623</v>
      </c>
      <c r="AJ107" s="18">
        <f t="shared" si="43"/>
        <v>0</v>
      </c>
      <c r="AK107" s="18">
        <f t="shared" si="43"/>
        <v>0</v>
      </c>
      <c r="AL107" s="18">
        <f t="shared" si="43"/>
        <v>0</v>
      </c>
      <c r="AM107" s="18">
        <f t="shared" si="43"/>
        <v>0</v>
      </c>
      <c r="AN107" s="18">
        <f t="shared" si="43"/>
        <v>0</v>
      </c>
      <c r="AO107" s="18">
        <f t="shared" si="43"/>
        <v>0</v>
      </c>
      <c r="AP107" s="18">
        <f t="shared" si="43"/>
        <v>0</v>
      </c>
      <c r="AQ107" s="18">
        <f t="shared" si="43"/>
        <v>0</v>
      </c>
      <c r="AR107" s="18">
        <f t="shared" si="43"/>
        <v>0</v>
      </c>
    </row>
    <row r="108" spans="1:44" x14ac:dyDescent="0.2">
      <c r="C108" s="71"/>
      <c r="D108" s="70"/>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row>
    <row r="109" spans="1:44" ht="15" x14ac:dyDescent="0.25">
      <c r="A109" s="2" t="s">
        <v>300</v>
      </c>
      <c r="C109" s="20"/>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row>
    <row r="110" spans="1:44" x14ac:dyDescent="0.2">
      <c r="B110" s="1" t="s">
        <v>241</v>
      </c>
      <c r="C110" s="225" t="s">
        <v>77</v>
      </c>
      <c r="D110" s="70">
        <f>SUM(F110:AR110)</f>
        <v>0</v>
      </c>
      <c r="F110" s="18">
        <f t="shared" ref="F110:AR110" si="44">(F$61-F$98)*F$11*F15</f>
        <v>0</v>
      </c>
      <c r="G110" s="18">
        <f t="shared" si="44"/>
        <v>0</v>
      </c>
      <c r="H110" s="18">
        <f t="shared" si="44"/>
        <v>0</v>
      </c>
      <c r="I110" s="18">
        <f t="shared" si="44"/>
        <v>0</v>
      </c>
      <c r="J110" s="18">
        <f t="shared" si="44"/>
        <v>0</v>
      </c>
      <c r="K110" s="18">
        <f t="shared" si="44"/>
        <v>0</v>
      </c>
      <c r="L110" s="18">
        <f t="shared" si="44"/>
        <v>0</v>
      </c>
      <c r="M110" s="18">
        <f t="shared" si="44"/>
        <v>0</v>
      </c>
      <c r="N110" s="18">
        <f t="shared" si="44"/>
        <v>0</v>
      </c>
      <c r="O110" s="18">
        <f t="shared" si="44"/>
        <v>0</v>
      </c>
      <c r="P110" s="18">
        <f t="shared" si="44"/>
        <v>0</v>
      </c>
      <c r="Q110" s="18">
        <f t="shared" si="44"/>
        <v>0</v>
      </c>
      <c r="R110" s="18">
        <f t="shared" si="44"/>
        <v>0</v>
      </c>
      <c r="S110" s="18">
        <f t="shared" si="44"/>
        <v>0</v>
      </c>
      <c r="T110" s="18">
        <f t="shared" si="44"/>
        <v>0</v>
      </c>
      <c r="U110" s="18">
        <f t="shared" si="44"/>
        <v>0</v>
      </c>
      <c r="V110" s="18">
        <f t="shared" si="44"/>
        <v>0</v>
      </c>
      <c r="W110" s="18">
        <f t="shared" si="44"/>
        <v>0</v>
      </c>
      <c r="X110" s="18">
        <f t="shared" si="44"/>
        <v>0</v>
      </c>
      <c r="Y110" s="18">
        <f t="shared" si="44"/>
        <v>0</v>
      </c>
      <c r="Z110" s="18">
        <f t="shared" si="44"/>
        <v>0</v>
      </c>
      <c r="AA110" s="18">
        <f t="shared" si="44"/>
        <v>0</v>
      </c>
      <c r="AB110" s="18">
        <f t="shared" si="44"/>
        <v>0</v>
      </c>
      <c r="AC110" s="18">
        <f t="shared" si="44"/>
        <v>0</v>
      </c>
      <c r="AD110" s="18">
        <f t="shared" si="44"/>
        <v>0</v>
      </c>
      <c r="AE110" s="18">
        <f t="shared" si="44"/>
        <v>0</v>
      </c>
      <c r="AF110" s="18">
        <f t="shared" si="44"/>
        <v>0</v>
      </c>
      <c r="AG110" s="18">
        <f t="shared" si="44"/>
        <v>0</v>
      </c>
      <c r="AH110" s="18">
        <f t="shared" si="44"/>
        <v>0</v>
      </c>
      <c r="AI110" s="18">
        <f t="shared" si="44"/>
        <v>0</v>
      </c>
      <c r="AJ110" s="18">
        <f t="shared" si="44"/>
        <v>0</v>
      </c>
      <c r="AK110" s="18">
        <f t="shared" si="44"/>
        <v>0</v>
      </c>
      <c r="AL110" s="18">
        <f t="shared" si="44"/>
        <v>0</v>
      </c>
      <c r="AM110" s="18">
        <f t="shared" si="44"/>
        <v>0</v>
      </c>
      <c r="AN110" s="18">
        <f t="shared" si="44"/>
        <v>0</v>
      </c>
      <c r="AO110" s="18">
        <f t="shared" si="44"/>
        <v>0</v>
      </c>
      <c r="AP110" s="18">
        <f t="shared" si="44"/>
        <v>0</v>
      </c>
      <c r="AQ110" s="18">
        <f t="shared" si="44"/>
        <v>0</v>
      </c>
      <c r="AR110" s="18">
        <f t="shared" si="44"/>
        <v>0</v>
      </c>
    </row>
    <row r="111" spans="1:44" x14ac:dyDescent="0.2">
      <c r="B111" s="1" t="s">
        <v>242</v>
      </c>
      <c r="C111" s="225" t="s">
        <v>77</v>
      </c>
      <c r="D111" s="70">
        <f>SUM(F111:AR111)</f>
        <v>0</v>
      </c>
      <c r="F111" s="18">
        <f t="shared" ref="F111:AR111" si="45">(F$61-F$98)*F$11*F16</f>
        <v>0</v>
      </c>
      <c r="G111" s="18">
        <f t="shared" si="45"/>
        <v>0</v>
      </c>
      <c r="H111" s="18">
        <f t="shared" si="45"/>
        <v>0</v>
      </c>
      <c r="I111" s="18">
        <f t="shared" si="45"/>
        <v>0</v>
      </c>
      <c r="J111" s="18">
        <f t="shared" si="45"/>
        <v>0</v>
      </c>
      <c r="K111" s="18">
        <f t="shared" si="45"/>
        <v>0</v>
      </c>
      <c r="L111" s="18">
        <f t="shared" si="45"/>
        <v>0</v>
      </c>
      <c r="M111" s="18">
        <f t="shared" si="45"/>
        <v>0</v>
      </c>
      <c r="N111" s="18">
        <f t="shared" si="45"/>
        <v>0</v>
      </c>
      <c r="O111" s="18">
        <f t="shared" si="45"/>
        <v>0</v>
      </c>
      <c r="P111" s="18">
        <f t="shared" si="45"/>
        <v>0</v>
      </c>
      <c r="Q111" s="18">
        <f t="shared" si="45"/>
        <v>0</v>
      </c>
      <c r="R111" s="18">
        <f t="shared" si="45"/>
        <v>0</v>
      </c>
      <c r="S111" s="18">
        <f t="shared" si="45"/>
        <v>0</v>
      </c>
      <c r="T111" s="18">
        <f t="shared" si="45"/>
        <v>0</v>
      </c>
      <c r="U111" s="18">
        <f t="shared" si="45"/>
        <v>0</v>
      </c>
      <c r="V111" s="18">
        <f t="shared" si="45"/>
        <v>0</v>
      </c>
      <c r="W111" s="18">
        <f t="shared" si="45"/>
        <v>0</v>
      </c>
      <c r="X111" s="18">
        <f t="shared" si="45"/>
        <v>0</v>
      </c>
      <c r="Y111" s="18">
        <f t="shared" si="45"/>
        <v>0</v>
      </c>
      <c r="Z111" s="18">
        <f t="shared" si="45"/>
        <v>0</v>
      </c>
      <c r="AA111" s="18">
        <f t="shared" si="45"/>
        <v>0</v>
      </c>
      <c r="AB111" s="18">
        <f t="shared" si="45"/>
        <v>0</v>
      </c>
      <c r="AC111" s="18">
        <f t="shared" si="45"/>
        <v>0</v>
      </c>
      <c r="AD111" s="18">
        <f t="shared" si="45"/>
        <v>0</v>
      </c>
      <c r="AE111" s="18">
        <f t="shared" si="45"/>
        <v>0</v>
      </c>
      <c r="AF111" s="18">
        <f t="shared" si="45"/>
        <v>0</v>
      </c>
      <c r="AG111" s="18">
        <f t="shared" si="45"/>
        <v>0</v>
      </c>
      <c r="AH111" s="18">
        <f t="shared" si="45"/>
        <v>0</v>
      </c>
      <c r="AI111" s="18">
        <f t="shared" si="45"/>
        <v>0</v>
      </c>
      <c r="AJ111" s="18">
        <f t="shared" si="45"/>
        <v>0</v>
      </c>
      <c r="AK111" s="18">
        <f t="shared" si="45"/>
        <v>0</v>
      </c>
      <c r="AL111" s="18">
        <f t="shared" si="45"/>
        <v>0</v>
      </c>
      <c r="AM111" s="18">
        <f t="shared" si="45"/>
        <v>0</v>
      </c>
      <c r="AN111" s="18">
        <f t="shared" si="45"/>
        <v>0</v>
      </c>
      <c r="AO111" s="18">
        <f t="shared" si="45"/>
        <v>0</v>
      </c>
      <c r="AP111" s="18">
        <f t="shared" si="45"/>
        <v>0</v>
      </c>
      <c r="AQ111" s="18">
        <f t="shared" si="45"/>
        <v>0</v>
      </c>
      <c r="AR111" s="18">
        <f t="shared" si="45"/>
        <v>0</v>
      </c>
    </row>
    <row r="112" spans="1:44" x14ac:dyDescent="0.2">
      <c r="B112" s="1" t="s">
        <v>243</v>
      </c>
      <c r="C112" s="225" t="s">
        <v>77</v>
      </c>
      <c r="D112" s="70">
        <f>SUM(F112:AR112)</f>
        <v>0</v>
      </c>
      <c r="F112" s="18">
        <f t="shared" ref="F112:AR112" si="46">(F$61-F$98)*F$11*F17</f>
        <v>0</v>
      </c>
      <c r="G112" s="18">
        <f t="shared" si="46"/>
        <v>0</v>
      </c>
      <c r="H112" s="18">
        <f t="shared" si="46"/>
        <v>0</v>
      </c>
      <c r="I112" s="18">
        <f t="shared" si="46"/>
        <v>0</v>
      </c>
      <c r="J112" s="18">
        <f t="shared" si="46"/>
        <v>0</v>
      </c>
      <c r="K112" s="18">
        <f t="shared" si="46"/>
        <v>0</v>
      </c>
      <c r="L112" s="18">
        <f t="shared" si="46"/>
        <v>0</v>
      </c>
      <c r="M112" s="18">
        <f t="shared" si="46"/>
        <v>0</v>
      </c>
      <c r="N112" s="18">
        <f t="shared" si="46"/>
        <v>0</v>
      </c>
      <c r="O112" s="18">
        <f t="shared" si="46"/>
        <v>0</v>
      </c>
      <c r="P112" s="18">
        <f t="shared" si="46"/>
        <v>0</v>
      </c>
      <c r="Q112" s="18">
        <f t="shared" si="46"/>
        <v>0</v>
      </c>
      <c r="R112" s="18">
        <f t="shared" si="46"/>
        <v>0</v>
      </c>
      <c r="S112" s="18">
        <f t="shared" si="46"/>
        <v>0</v>
      </c>
      <c r="T112" s="18">
        <f t="shared" si="46"/>
        <v>0</v>
      </c>
      <c r="U112" s="18">
        <f t="shared" si="46"/>
        <v>0</v>
      </c>
      <c r="V112" s="18">
        <f t="shared" si="46"/>
        <v>0</v>
      </c>
      <c r="W112" s="18">
        <f t="shared" si="46"/>
        <v>0</v>
      </c>
      <c r="X112" s="18">
        <f t="shared" si="46"/>
        <v>0</v>
      </c>
      <c r="Y112" s="18">
        <f t="shared" si="46"/>
        <v>0</v>
      </c>
      <c r="Z112" s="18">
        <f t="shared" si="46"/>
        <v>0</v>
      </c>
      <c r="AA112" s="18">
        <f t="shared" si="46"/>
        <v>0</v>
      </c>
      <c r="AB112" s="18">
        <f t="shared" si="46"/>
        <v>0</v>
      </c>
      <c r="AC112" s="18">
        <f t="shared" si="46"/>
        <v>0</v>
      </c>
      <c r="AD112" s="18">
        <f t="shared" si="46"/>
        <v>0</v>
      </c>
      <c r="AE112" s="18">
        <f t="shared" si="46"/>
        <v>0</v>
      </c>
      <c r="AF112" s="18">
        <f t="shared" si="46"/>
        <v>0</v>
      </c>
      <c r="AG112" s="18">
        <f t="shared" si="46"/>
        <v>0</v>
      </c>
      <c r="AH112" s="18">
        <f t="shared" si="46"/>
        <v>0</v>
      </c>
      <c r="AI112" s="18">
        <f t="shared" si="46"/>
        <v>0</v>
      </c>
      <c r="AJ112" s="18">
        <f t="shared" si="46"/>
        <v>0</v>
      </c>
      <c r="AK112" s="18">
        <f t="shared" si="46"/>
        <v>0</v>
      </c>
      <c r="AL112" s="18">
        <f t="shared" si="46"/>
        <v>0</v>
      </c>
      <c r="AM112" s="18">
        <f t="shared" si="46"/>
        <v>0</v>
      </c>
      <c r="AN112" s="18">
        <f t="shared" si="46"/>
        <v>0</v>
      </c>
      <c r="AO112" s="18">
        <f t="shared" si="46"/>
        <v>0</v>
      </c>
      <c r="AP112" s="18">
        <f t="shared" si="46"/>
        <v>0</v>
      </c>
      <c r="AQ112" s="18">
        <f t="shared" si="46"/>
        <v>0</v>
      </c>
      <c r="AR112" s="18">
        <f t="shared" si="46"/>
        <v>0</v>
      </c>
    </row>
    <row r="114" spans="1:44" ht="15" x14ac:dyDescent="0.25">
      <c r="A114" s="2" t="s">
        <v>301</v>
      </c>
      <c r="C114" s="20"/>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row>
    <row r="115" spans="1:44" x14ac:dyDescent="0.2">
      <c r="B115" s="1" t="s">
        <v>241</v>
      </c>
      <c r="C115" s="225" t="s">
        <v>77</v>
      </c>
      <c r="D115" s="70">
        <f>SUM(F115:AR115)</f>
        <v>8446405.7229931056</v>
      </c>
      <c r="F115" s="18">
        <f>F105-F110</f>
        <v>0</v>
      </c>
      <c r="G115" s="18">
        <f t="shared" ref="G115:AR115" si="47">G105-G110</f>
        <v>0</v>
      </c>
      <c r="H115" s="18">
        <f t="shared" si="47"/>
        <v>0</v>
      </c>
      <c r="I115" s="18">
        <f t="shared" si="47"/>
        <v>0</v>
      </c>
      <c r="J115" s="18">
        <f t="shared" si="47"/>
        <v>0</v>
      </c>
      <c r="K115" s="18">
        <f t="shared" si="47"/>
        <v>0</v>
      </c>
      <c r="L115" s="18">
        <f t="shared" si="47"/>
        <v>0</v>
      </c>
      <c r="M115" s="18">
        <f t="shared" si="47"/>
        <v>0</v>
      </c>
      <c r="N115" s="18">
        <f t="shared" si="47"/>
        <v>0</v>
      </c>
      <c r="O115" s="18">
        <f t="shared" si="47"/>
        <v>0</v>
      </c>
      <c r="P115" s="18">
        <f t="shared" si="47"/>
        <v>207090.11333379312</v>
      </c>
      <c r="Q115" s="18">
        <f t="shared" si="47"/>
        <v>229745.92099862068</v>
      </c>
      <c r="R115" s="18">
        <f t="shared" si="47"/>
        <v>252401.72866344813</v>
      </c>
      <c r="S115" s="18">
        <f t="shared" si="47"/>
        <v>275057.53632827592</v>
      </c>
      <c r="T115" s="18">
        <f t="shared" si="47"/>
        <v>297713.34399310371</v>
      </c>
      <c r="U115" s="18">
        <f t="shared" si="47"/>
        <v>320369.15165793127</v>
      </c>
      <c r="V115" s="18">
        <f t="shared" si="47"/>
        <v>343024.95932275872</v>
      </c>
      <c r="W115" s="18">
        <f t="shared" si="47"/>
        <v>365680.76698758663</v>
      </c>
      <c r="X115" s="18">
        <f t="shared" si="47"/>
        <v>388336.5746524143</v>
      </c>
      <c r="Y115" s="18">
        <f t="shared" si="47"/>
        <v>410992.38231724198</v>
      </c>
      <c r="Z115" s="18">
        <f t="shared" si="47"/>
        <v>433648.18998206942</v>
      </c>
      <c r="AA115" s="18">
        <f t="shared" si="47"/>
        <v>456303.99764689687</v>
      </c>
      <c r="AB115" s="18">
        <f t="shared" si="47"/>
        <v>478959.80531172431</v>
      </c>
      <c r="AC115" s="18">
        <f t="shared" si="47"/>
        <v>501615.61297655222</v>
      </c>
      <c r="AD115" s="18">
        <f t="shared" si="47"/>
        <v>524271.42064137943</v>
      </c>
      <c r="AE115" s="18">
        <f t="shared" si="47"/>
        <v>546927.22830620711</v>
      </c>
      <c r="AF115" s="18">
        <f t="shared" si="47"/>
        <v>569583.03597103409</v>
      </c>
      <c r="AG115" s="18">
        <f t="shared" si="47"/>
        <v>592238.84363586153</v>
      </c>
      <c r="AH115" s="18">
        <f t="shared" si="47"/>
        <v>614894.65130068944</v>
      </c>
      <c r="AI115" s="18">
        <f t="shared" si="47"/>
        <v>637550.45896551642</v>
      </c>
      <c r="AJ115" s="18">
        <f t="shared" si="47"/>
        <v>0</v>
      </c>
      <c r="AK115" s="18">
        <f t="shared" si="47"/>
        <v>0</v>
      </c>
      <c r="AL115" s="18">
        <f t="shared" si="47"/>
        <v>0</v>
      </c>
      <c r="AM115" s="18">
        <f t="shared" si="47"/>
        <v>0</v>
      </c>
      <c r="AN115" s="18">
        <f t="shared" si="47"/>
        <v>0</v>
      </c>
      <c r="AO115" s="18">
        <f t="shared" si="47"/>
        <v>0</v>
      </c>
      <c r="AP115" s="18">
        <f t="shared" si="47"/>
        <v>0</v>
      </c>
      <c r="AQ115" s="18">
        <f t="shared" si="47"/>
        <v>0</v>
      </c>
      <c r="AR115" s="18">
        <f t="shared" si="47"/>
        <v>0</v>
      </c>
    </row>
    <row r="116" spans="1:44" x14ac:dyDescent="0.2">
      <c r="B116" s="1" t="s">
        <v>242</v>
      </c>
      <c r="C116" s="225" t="s">
        <v>77</v>
      </c>
      <c r="D116" s="70">
        <f>SUM(F116:AR116)</f>
        <v>4986133.3610118032</v>
      </c>
      <c r="F116" s="18">
        <f t="shared" ref="F116:AR116" si="48">F106-F111</f>
        <v>0</v>
      </c>
      <c r="G116" s="18">
        <f t="shared" si="48"/>
        <v>0</v>
      </c>
      <c r="H116" s="18">
        <f t="shared" si="48"/>
        <v>0</v>
      </c>
      <c r="I116" s="18">
        <f t="shared" si="48"/>
        <v>0</v>
      </c>
      <c r="J116" s="18">
        <f t="shared" si="48"/>
        <v>0</v>
      </c>
      <c r="K116" s="18">
        <f t="shared" si="48"/>
        <v>0</v>
      </c>
      <c r="L116" s="18">
        <f t="shared" si="48"/>
        <v>0</v>
      </c>
      <c r="M116" s="18">
        <f t="shared" si="48"/>
        <v>0</v>
      </c>
      <c r="N116" s="18">
        <f t="shared" si="48"/>
        <v>0</v>
      </c>
      <c r="O116" s="18">
        <f t="shared" si="48"/>
        <v>0</v>
      </c>
      <c r="P116" s="18">
        <f t="shared" si="48"/>
        <v>168383.21323484028</v>
      </c>
      <c r="Q116" s="18">
        <f t="shared" si="48"/>
        <v>181363.55158227112</v>
      </c>
      <c r="R116" s="18">
        <f t="shared" si="48"/>
        <v>193444.90812012268</v>
      </c>
      <c r="S116" s="18">
        <f t="shared" si="48"/>
        <v>204668.63902835504</v>
      </c>
      <c r="T116" s="18">
        <f t="shared" si="48"/>
        <v>215074.45402798447</v>
      </c>
      <c r="U116" s="18">
        <f t="shared" si="48"/>
        <v>224700.47720736431</v>
      </c>
      <c r="V116" s="18">
        <f t="shared" si="48"/>
        <v>233583.3057019379</v>
      </c>
      <c r="W116" s="18">
        <f t="shared" si="48"/>
        <v>241758.06630090304</v>
      </c>
      <c r="X116" s="18">
        <f t="shared" si="48"/>
        <v>249258.47005176946</v>
      </c>
      <c r="Y116" s="18">
        <f t="shared" si="48"/>
        <v>256116.86493141874</v>
      </c>
      <c r="Z116" s="18">
        <f t="shared" si="48"/>
        <v>262364.28664996976</v>
      </c>
      <c r="AA116" s="18">
        <f t="shared" si="48"/>
        <v>268030.50765154016</v>
      </c>
      <c r="AB116" s="18">
        <f t="shared" si="48"/>
        <v>273144.08437383635</v>
      </c>
      <c r="AC116" s="18">
        <f t="shared" si="48"/>
        <v>277732.40282643324</v>
      </c>
      <c r="AD116" s="18">
        <f t="shared" si="48"/>
        <v>281821.72254558932</v>
      </c>
      <c r="AE116" s="18">
        <f t="shared" si="48"/>
        <v>285437.21898150723</v>
      </c>
      <c r="AF116" s="18">
        <f t="shared" si="48"/>
        <v>288603.02437205694</v>
      </c>
      <c r="AG116" s="18">
        <f t="shared" si="48"/>
        <v>291342.26715517987</v>
      </c>
      <c r="AH116" s="18">
        <f t="shared" si="48"/>
        <v>293677.10997041548</v>
      </c>
      <c r="AI116" s="18">
        <f t="shared" si="48"/>
        <v>295628.78629830858</v>
      </c>
      <c r="AJ116" s="18">
        <f t="shared" si="48"/>
        <v>0</v>
      </c>
      <c r="AK116" s="18">
        <f t="shared" si="48"/>
        <v>0</v>
      </c>
      <c r="AL116" s="18">
        <f t="shared" si="48"/>
        <v>0</v>
      </c>
      <c r="AM116" s="18">
        <f t="shared" si="48"/>
        <v>0</v>
      </c>
      <c r="AN116" s="18">
        <f t="shared" si="48"/>
        <v>0</v>
      </c>
      <c r="AO116" s="18">
        <f t="shared" si="48"/>
        <v>0</v>
      </c>
      <c r="AP116" s="18">
        <f t="shared" si="48"/>
        <v>0</v>
      </c>
      <c r="AQ116" s="18">
        <f t="shared" si="48"/>
        <v>0</v>
      </c>
      <c r="AR116" s="18">
        <f t="shared" si="48"/>
        <v>0</v>
      </c>
    </row>
    <row r="117" spans="1:44" x14ac:dyDescent="0.2">
      <c r="B117" s="1" t="s">
        <v>243</v>
      </c>
      <c r="C117" s="225" t="s">
        <v>77</v>
      </c>
      <c r="D117" s="70">
        <f>SUM(F117:AR117)</f>
        <v>2632015.7768887868</v>
      </c>
      <c r="F117" s="18">
        <f t="shared" ref="F117:AR117" si="49">F107-F112</f>
        <v>0</v>
      </c>
      <c r="G117" s="18">
        <f t="shared" si="49"/>
        <v>0</v>
      </c>
      <c r="H117" s="18">
        <f t="shared" si="49"/>
        <v>0</v>
      </c>
      <c r="I117" s="18">
        <f t="shared" si="49"/>
        <v>0</v>
      </c>
      <c r="J117" s="18">
        <f t="shared" si="49"/>
        <v>0</v>
      </c>
      <c r="K117" s="18">
        <f t="shared" si="49"/>
        <v>0</v>
      </c>
      <c r="L117" s="18">
        <f t="shared" si="49"/>
        <v>0</v>
      </c>
      <c r="M117" s="18">
        <f t="shared" si="49"/>
        <v>0</v>
      </c>
      <c r="N117" s="18">
        <f t="shared" si="49"/>
        <v>0</v>
      </c>
      <c r="O117" s="18">
        <f t="shared" si="49"/>
        <v>0</v>
      </c>
      <c r="P117" s="18">
        <f t="shared" si="49"/>
        <v>128965.31462547039</v>
      </c>
      <c r="Q117" s="18">
        <f t="shared" si="49"/>
        <v>133714.21775787728</v>
      </c>
      <c r="R117" s="18">
        <f t="shared" si="49"/>
        <v>137289.81690661798</v>
      </c>
      <c r="S117" s="18">
        <f t="shared" si="49"/>
        <v>139825.30388879849</v>
      </c>
      <c r="T117" s="18">
        <f t="shared" si="49"/>
        <v>141441.46511958318</v>
      </c>
      <c r="U117" s="18">
        <f t="shared" si="49"/>
        <v>142247.73470793033</v>
      </c>
      <c r="V117" s="18">
        <f t="shared" si="49"/>
        <v>142343.16285735663</v>
      </c>
      <c r="W117" s="18">
        <f t="shared" si="49"/>
        <v>141817.30614622511</v>
      </c>
      <c r="X117" s="18">
        <f t="shared" si="49"/>
        <v>140751.04576431564</v>
      </c>
      <c r="Y117" s="18">
        <f t="shared" si="49"/>
        <v>139217.33932169655</v>
      </c>
      <c r="Z117" s="18">
        <f t="shared" si="49"/>
        <v>137281.91141943829</v>
      </c>
      <c r="AA117" s="18">
        <f t="shared" si="49"/>
        <v>135003.88777701225</v>
      </c>
      <c r="AB117" s="18">
        <f t="shared" si="49"/>
        <v>132436.37734594112</v>
      </c>
      <c r="AC117" s="18">
        <f t="shared" si="49"/>
        <v>129627.00650126813</v>
      </c>
      <c r="AD117" s="18">
        <f t="shared" si="49"/>
        <v>126618.4090896781</v>
      </c>
      <c r="AE117" s="18">
        <f t="shared" si="49"/>
        <v>123448.67582377775</v>
      </c>
      <c r="AF117" s="18">
        <f t="shared" si="49"/>
        <v>120151.76624439348</v>
      </c>
      <c r="AG117" s="18">
        <f t="shared" si="49"/>
        <v>116757.88622519383</v>
      </c>
      <c r="AH117" s="18">
        <f t="shared" si="49"/>
        <v>113293.83376497633</v>
      </c>
      <c r="AI117" s="18">
        <f t="shared" si="49"/>
        <v>109783.31560123623</v>
      </c>
      <c r="AJ117" s="18">
        <f t="shared" si="49"/>
        <v>0</v>
      </c>
      <c r="AK117" s="18">
        <f t="shared" si="49"/>
        <v>0</v>
      </c>
      <c r="AL117" s="18">
        <f t="shared" si="49"/>
        <v>0</v>
      </c>
      <c r="AM117" s="18">
        <f t="shared" si="49"/>
        <v>0</v>
      </c>
      <c r="AN117" s="18">
        <f t="shared" si="49"/>
        <v>0</v>
      </c>
      <c r="AO117" s="18">
        <f t="shared" si="49"/>
        <v>0</v>
      </c>
      <c r="AP117" s="18">
        <f t="shared" si="49"/>
        <v>0</v>
      </c>
      <c r="AQ117" s="18">
        <f t="shared" si="49"/>
        <v>0</v>
      </c>
      <c r="AR117" s="18">
        <f t="shared" si="49"/>
        <v>0</v>
      </c>
    </row>
  </sheetData>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BF42E-ADCC-4A1F-BD9D-262CFA48CCE9}">
  <sheetPr>
    <tabColor theme="9"/>
  </sheetPr>
  <dimension ref="A1:AS101"/>
  <sheetViews>
    <sheetView workbookViewId="0">
      <pane xSplit="4" ySplit="7" topLeftCell="E90" activePane="bottomRight" state="frozen"/>
      <selection pane="topRight" activeCell="E1" sqref="E1"/>
      <selection pane="bottomLeft" activeCell="A8" sqref="A8"/>
      <selection pane="bottomRight" activeCell="B11" sqref="B11"/>
    </sheetView>
  </sheetViews>
  <sheetFormatPr defaultColWidth="0" defaultRowHeight="14.25" x14ac:dyDescent="0.2"/>
  <cols>
    <col min="1" max="1" width="10" style="1" customWidth="1"/>
    <col min="2" max="2" width="32.5703125" style="1" bestFit="1" customWidth="1"/>
    <col min="3" max="3" width="22.28515625" style="1" bestFit="1" customWidth="1"/>
    <col min="4" max="4" width="15" style="1" bestFit="1" customWidth="1"/>
    <col min="5" max="5" width="1.5703125" style="1" customWidth="1"/>
    <col min="6" max="44" width="14.42578125" style="1" customWidth="1"/>
    <col min="45" max="45" width="9.140625" style="1" customWidth="1"/>
    <col min="46" max="16384" width="9.140625" style="1" hidden="1"/>
  </cols>
  <sheetData>
    <row r="1" spans="1:44" ht="19.5" x14ac:dyDescent="0.3">
      <c r="A1" s="6" t="str">
        <f>'OUTPUT Summary'!$A$1</f>
        <v>ODOT Roosevelt Memorial Bridge US-70</v>
      </c>
    </row>
    <row r="2" spans="1:44" ht="19.5" x14ac:dyDescent="0.3">
      <c r="A2" s="6" t="s">
        <v>302</v>
      </c>
      <c r="C2" s="11"/>
    </row>
    <row r="3" spans="1:44" x14ac:dyDescent="0.2">
      <c r="A3" s="51">
        <f ca="1">'OUTPUT Summary'!A3</f>
        <v>45156</v>
      </c>
      <c r="C3" s="11"/>
    </row>
    <row r="4" spans="1:44" x14ac:dyDescent="0.2">
      <c r="A4" s="52" t="str">
        <f>'OUTPUT Summary'!A4</f>
        <v>All $ values 2021, unless otherwise noted</v>
      </c>
      <c r="C4" s="11"/>
    </row>
    <row r="5" spans="1:44" x14ac:dyDescent="0.2">
      <c r="B5" s="66"/>
      <c r="C5" s="11"/>
    </row>
    <row r="6" spans="1:44" x14ac:dyDescent="0.2">
      <c r="C6" s="1" t="s">
        <v>44</v>
      </c>
      <c r="D6" s="1" t="s">
        <v>45</v>
      </c>
    </row>
    <row r="7" spans="1:44" s="8" customFormat="1" x14ac:dyDescent="0.2">
      <c r="A7" s="8" t="s">
        <v>224</v>
      </c>
      <c r="C7" s="12" t="s">
        <v>224</v>
      </c>
      <c r="F7" s="8">
        <f>INPUTS!$E$12</f>
        <v>2018</v>
      </c>
      <c r="G7" s="8">
        <f>F7+1</f>
        <v>2019</v>
      </c>
      <c r="H7" s="8">
        <f t="shared" ref="H7:W8" si="0">G7+1</f>
        <v>2020</v>
      </c>
      <c r="I7" s="8">
        <f t="shared" si="0"/>
        <v>2021</v>
      </c>
      <c r="J7" s="8">
        <f t="shared" si="0"/>
        <v>2022</v>
      </c>
      <c r="K7" s="8">
        <f t="shared" si="0"/>
        <v>2023</v>
      </c>
      <c r="L7" s="8">
        <f t="shared" si="0"/>
        <v>2024</v>
      </c>
      <c r="M7" s="8">
        <f t="shared" si="0"/>
        <v>2025</v>
      </c>
      <c r="N7" s="8">
        <f t="shared" si="0"/>
        <v>2026</v>
      </c>
      <c r="O7" s="8">
        <f t="shared" si="0"/>
        <v>2027</v>
      </c>
      <c r="P7" s="8">
        <f t="shared" si="0"/>
        <v>2028</v>
      </c>
      <c r="Q7" s="8">
        <f t="shared" si="0"/>
        <v>2029</v>
      </c>
      <c r="R7" s="8">
        <f t="shared" si="0"/>
        <v>2030</v>
      </c>
      <c r="S7" s="8">
        <f t="shared" si="0"/>
        <v>2031</v>
      </c>
      <c r="T7" s="8">
        <f t="shared" si="0"/>
        <v>2032</v>
      </c>
      <c r="U7" s="8">
        <f t="shared" si="0"/>
        <v>2033</v>
      </c>
      <c r="V7" s="8">
        <f t="shared" si="0"/>
        <v>2034</v>
      </c>
      <c r="W7" s="8">
        <f t="shared" si="0"/>
        <v>2035</v>
      </c>
      <c r="X7" s="8">
        <f t="shared" ref="X7:AM8" si="1">W7+1</f>
        <v>2036</v>
      </c>
      <c r="Y7" s="8">
        <f t="shared" si="1"/>
        <v>2037</v>
      </c>
      <c r="Z7" s="8">
        <f t="shared" si="1"/>
        <v>2038</v>
      </c>
      <c r="AA7" s="8">
        <f t="shared" si="1"/>
        <v>2039</v>
      </c>
      <c r="AB7" s="8">
        <f t="shared" si="1"/>
        <v>2040</v>
      </c>
      <c r="AC7" s="8">
        <f t="shared" si="1"/>
        <v>2041</v>
      </c>
      <c r="AD7" s="8">
        <f t="shared" si="1"/>
        <v>2042</v>
      </c>
      <c r="AE7" s="8">
        <f t="shared" si="1"/>
        <v>2043</v>
      </c>
      <c r="AF7" s="8">
        <f t="shared" si="1"/>
        <v>2044</v>
      </c>
      <c r="AG7" s="8">
        <f t="shared" si="1"/>
        <v>2045</v>
      </c>
      <c r="AH7" s="8">
        <f t="shared" si="1"/>
        <v>2046</v>
      </c>
      <c r="AI7" s="8">
        <f t="shared" si="1"/>
        <v>2047</v>
      </c>
      <c r="AJ7" s="8">
        <f t="shared" si="1"/>
        <v>2048</v>
      </c>
      <c r="AK7" s="8">
        <f t="shared" si="1"/>
        <v>2049</v>
      </c>
      <c r="AL7" s="8">
        <f t="shared" si="1"/>
        <v>2050</v>
      </c>
      <c r="AM7" s="8">
        <f t="shared" si="1"/>
        <v>2051</v>
      </c>
      <c r="AN7" s="8">
        <f t="shared" ref="AN7:AR8" si="2">AM7+1</f>
        <v>2052</v>
      </c>
      <c r="AO7" s="8">
        <f t="shared" si="2"/>
        <v>2053</v>
      </c>
      <c r="AP7" s="8">
        <f t="shared" si="2"/>
        <v>2054</v>
      </c>
      <c r="AQ7" s="8">
        <f t="shared" si="2"/>
        <v>2055</v>
      </c>
      <c r="AR7" s="8">
        <f t="shared" si="2"/>
        <v>2056</v>
      </c>
    </row>
    <row r="8" spans="1:44" x14ac:dyDescent="0.2">
      <c r="B8" s="1" t="s">
        <v>225</v>
      </c>
      <c r="C8" s="11" t="s">
        <v>50</v>
      </c>
      <c r="F8" s="1">
        <f>D8+1</f>
        <v>1</v>
      </c>
      <c r="G8" s="1">
        <f t="shared" ref="G8" si="3">F8+1</f>
        <v>2</v>
      </c>
      <c r="H8" s="1">
        <f t="shared" si="0"/>
        <v>3</v>
      </c>
      <c r="I8" s="1">
        <f t="shared" si="0"/>
        <v>4</v>
      </c>
      <c r="J8" s="1">
        <f t="shared" si="0"/>
        <v>5</v>
      </c>
      <c r="K8" s="1">
        <f t="shared" si="0"/>
        <v>6</v>
      </c>
      <c r="L8" s="1">
        <f t="shared" si="0"/>
        <v>7</v>
      </c>
      <c r="M8" s="1">
        <f t="shared" si="0"/>
        <v>8</v>
      </c>
      <c r="N8" s="1">
        <f t="shared" si="0"/>
        <v>9</v>
      </c>
      <c r="O8" s="1">
        <f t="shared" si="0"/>
        <v>10</v>
      </c>
      <c r="P8" s="1">
        <f t="shared" si="0"/>
        <v>11</v>
      </c>
      <c r="Q8" s="1">
        <f t="shared" si="0"/>
        <v>12</v>
      </c>
      <c r="R8" s="1">
        <f t="shared" si="0"/>
        <v>13</v>
      </c>
      <c r="S8" s="1">
        <f t="shared" si="0"/>
        <v>14</v>
      </c>
      <c r="T8" s="1">
        <f t="shared" si="0"/>
        <v>15</v>
      </c>
      <c r="U8" s="1">
        <f t="shared" si="0"/>
        <v>16</v>
      </c>
      <c r="V8" s="1">
        <f t="shared" si="0"/>
        <v>17</v>
      </c>
      <c r="W8" s="1">
        <f t="shared" si="0"/>
        <v>18</v>
      </c>
      <c r="X8" s="1">
        <f t="shared" si="1"/>
        <v>19</v>
      </c>
      <c r="Y8" s="1">
        <f t="shared" si="1"/>
        <v>20</v>
      </c>
      <c r="Z8" s="1">
        <f t="shared" si="1"/>
        <v>21</v>
      </c>
      <c r="AA8" s="1">
        <f t="shared" si="1"/>
        <v>22</v>
      </c>
      <c r="AB8" s="1">
        <f t="shared" si="1"/>
        <v>23</v>
      </c>
      <c r="AC8" s="1">
        <f t="shared" si="1"/>
        <v>24</v>
      </c>
      <c r="AD8" s="1">
        <f t="shared" si="1"/>
        <v>25</v>
      </c>
      <c r="AE8" s="1">
        <f t="shared" si="1"/>
        <v>26</v>
      </c>
      <c r="AF8" s="1">
        <f t="shared" si="1"/>
        <v>27</v>
      </c>
      <c r="AG8" s="1">
        <f t="shared" si="1"/>
        <v>28</v>
      </c>
      <c r="AH8" s="1">
        <f t="shared" si="1"/>
        <v>29</v>
      </c>
      <c r="AI8" s="1">
        <f t="shared" si="1"/>
        <v>30</v>
      </c>
      <c r="AJ8" s="1">
        <f t="shared" si="1"/>
        <v>31</v>
      </c>
      <c r="AK8" s="1">
        <f t="shared" si="1"/>
        <v>32</v>
      </c>
      <c r="AL8" s="1">
        <f t="shared" si="1"/>
        <v>33</v>
      </c>
      <c r="AM8" s="1">
        <f t="shared" si="1"/>
        <v>34</v>
      </c>
      <c r="AN8" s="1">
        <f t="shared" si="2"/>
        <v>35</v>
      </c>
      <c r="AO8" s="1">
        <f t="shared" si="2"/>
        <v>36</v>
      </c>
      <c r="AP8" s="1">
        <f t="shared" si="2"/>
        <v>37</v>
      </c>
      <c r="AQ8" s="1">
        <f t="shared" si="2"/>
        <v>38</v>
      </c>
      <c r="AR8" s="1">
        <f t="shared" si="2"/>
        <v>39</v>
      </c>
    </row>
    <row r="9" spans="1:44" x14ac:dyDescent="0.2">
      <c r="B9" s="1" t="s">
        <v>226</v>
      </c>
      <c r="C9" s="11" t="s">
        <v>227</v>
      </c>
      <c r="F9" s="1">
        <f>IF(F7=INPUTS!$E$13,1,0)</f>
        <v>0</v>
      </c>
      <c r="G9" s="1">
        <f>IF(G7=INPUTS!$E$13,1,0)</f>
        <v>0</v>
      </c>
      <c r="H9" s="1">
        <f>IF(H7=INPUTS!$E$13,1,0)</f>
        <v>0</v>
      </c>
      <c r="I9" s="1">
        <f>IF(I7=INPUTS!$E$13,1,0)</f>
        <v>1</v>
      </c>
      <c r="J9" s="1">
        <f>IF(J7=INPUTS!$E$13,1,0)</f>
        <v>0</v>
      </c>
      <c r="K9" s="1">
        <f>IF(K7=INPUTS!$E$13,1,0)</f>
        <v>0</v>
      </c>
      <c r="L9" s="1">
        <f>IF(L7=INPUTS!$E$13,1,0)</f>
        <v>0</v>
      </c>
      <c r="M9" s="1">
        <f>IF(M7=INPUTS!$E$13,1,0)</f>
        <v>0</v>
      </c>
      <c r="N9" s="1">
        <f>IF(N7=INPUTS!$E$13,1,0)</f>
        <v>0</v>
      </c>
      <c r="O9" s="1">
        <f>IF(O7=INPUTS!$E$13,1,0)</f>
        <v>0</v>
      </c>
      <c r="P9" s="1">
        <f>IF(P7=INPUTS!$E$13,1,0)</f>
        <v>0</v>
      </c>
      <c r="Q9" s="1">
        <f>IF(Q7=INPUTS!$E$13,1,0)</f>
        <v>0</v>
      </c>
      <c r="R9" s="1">
        <f>IF(R7=INPUTS!$E$13,1,0)</f>
        <v>0</v>
      </c>
      <c r="S9" s="1">
        <f>IF(S7=INPUTS!$E$13,1,0)</f>
        <v>0</v>
      </c>
      <c r="T9" s="1">
        <f>IF(T7=INPUTS!$E$13,1,0)</f>
        <v>0</v>
      </c>
      <c r="U9" s="1">
        <f>IF(U7=INPUTS!$E$13,1,0)</f>
        <v>0</v>
      </c>
      <c r="V9" s="1">
        <f>IF(V7=INPUTS!$E$13,1,0)</f>
        <v>0</v>
      </c>
      <c r="W9" s="1">
        <f>IF(W7=INPUTS!$E$13,1,0)</f>
        <v>0</v>
      </c>
      <c r="X9" s="1">
        <f>IF(X7=INPUTS!$E$13,1,0)</f>
        <v>0</v>
      </c>
      <c r="Y9" s="1">
        <f>IF(Y7=INPUTS!$E$13,1,0)</f>
        <v>0</v>
      </c>
      <c r="Z9" s="1">
        <f>IF(Z7=INPUTS!$E$13,1,0)</f>
        <v>0</v>
      </c>
      <c r="AA9" s="1">
        <f>IF(AA7=INPUTS!$E$13,1,0)</f>
        <v>0</v>
      </c>
      <c r="AB9" s="1">
        <f>IF(AB7=INPUTS!$E$13,1,0)</f>
        <v>0</v>
      </c>
      <c r="AC9" s="1">
        <f>IF(AC7=INPUTS!$E$13,1,0)</f>
        <v>0</v>
      </c>
      <c r="AD9" s="1">
        <f>IF(AD7=INPUTS!$E$13,1,0)</f>
        <v>0</v>
      </c>
      <c r="AE9" s="1">
        <f>IF(AE7=INPUTS!$E$13,1,0)</f>
        <v>0</v>
      </c>
      <c r="AF9" s="1">
        <f>IF(AF7=INPUTS!$E$13,1,0)</f>
        <v>0</v>
      </c>
      <c r="AG9" s="1">
        <f>IF(AG7=INPUTS!$E$13,1,0)</f>
        <v>0</v>
      </c>
      <c r="AH9" s="1">
        <f>IF(AH7=INPUTS!$E$13,1,0)</f>
        <v>0</v>
      </c>
      <c r="AI9" s="1">
        <f>IF(AI7=INPUTS!$E$13,1,0)</f>
        <v>0</v>
      </c>
      <c r="AJ9" s="1">
        <f>IF(AJ7=INPUTS!$E$13,1,0)</f>
        <v>0</v>
      </c>
      <c r="AK9" s="1">
        <f>IF(AK7=INPUTS!$E$13,1,0)</f>
        <v>0</v>
      </c>
      <c r="AL9" s="1">
        <f>IF(AL7=INPUTS!$E$13,1,0)</f>
        <v>0</v>
      </c>
      <c r="AM9" s="1">
        <f>IF(AM7=INPUTS!$E$13,1,0)</f>
        <v>0</v>
      </c>
      <c r="AN9" s="1">
        <f>IF(AN7=INPUTS!$E$13,1,0)</f>
        <v>0</v>
      </c>
      <c r="AO9" s="1">
        <f>IF(AO7=INPUTS!$E$13,1,0)</f>
        <v>0</v>
      </c>
      <c r="AP9" s="1">
        <f>IF(AP7=INPUTS!$E$13,1,0)</f>
        <v>0</v>
      </c>
      <c r="AQ9" s="1">
        <f>IF(AQ7=INPUTS!$E$13,1,0)</f>
        <v>0</v>
      </c>
      <c r="AR9" s="1">
        <f>IF(AR7=INPUTS!$E$13,1,0)</f>
        <v>0</v>
      </c>
    </row>
    <row r="10" spans="1:44" x14ac:dyDescent="0.2">
      <c r="B10" s="1" t="s">
        <v>228</v>
      </c>
      <c r="C10" s="11" t="s">
        <v>57</v>
      </c>
      <c r="F10" s="1">
        <f t="shared" ref="F10:H10" si="4">F7-$I$7+1</f>
        <v>-2</v>
      </c>
      <c r="G10" s="1">
        <f t="shared" si="4"/>
        <v>-1</v>
      </c>
      <c r="H10" s="1">
        <f t="shared" si="4"/>
        <v>0</v>
      </c>
      <c r="I10" s="1">
        <f>I7-$I$7+1</f>
        <v>1</v>
      </c>
      <c r="J10" s="1">
        <f t="shared" ref="J10:AR10" si="5">J7-$I$7+1</f>
        <v>2</v>
      </c>
      <c r="K10" s="1">
        <f t="shared" si="5"/>
        <v>3</v>
      </c>
      <c r="L10" s="1">
        <f t="shared" si="5"/>
        <v>4</v>
      </c>
      <c r="M10" s="1">
        <f t="shared" si="5"/>
        <v>5</v>
      </c>
      <c r="N10" s="1">
        <f t="shared" si="5"/>
        <v>6</v>
      </c>
      <c r="O10" s="1">
        <f t="shared" si="5"/>
        <v>7</v>
      </c>
      <c r="P10" s="1">
        <f t="shared" si="5"/>
        <v>8</v>
      </c>
      <c r="Q10" s="1">
        <f t="shared" si="5"/>
        <v>9</v>
      </c>
      <c r="R10" s="1">
        <f t="shared" si="5"/>
        <v>10</v>
      </c>
      <c r="S10" s="1">
        <f t="shared" si="5"/>
        <v>11</v>
      </c>
      <c r="T10" s="1">
        <f t="shared" si="5"/>
        <v>12</v>
      </c>
      <c r="U10" s="1">
        <f t="shared" si="5"/>
        <v>13</v>
      </c>
      <c r="V10" s="1">
        <f t="shared" si="5"/>
        <v>14</v>
      </c>
      <c r="W10" s="1">
        <f t="shared" si="5"/>
        <v>15</v>
      </c>
      <c r="X10" s="1">
        <f t="shared" si="5"/>
        <v>16</v>
      </c>
      <c r="Y10" s="1">
        <f t="shared" si="5"/>
        <v>17</v>
      </c>
      <c r="Z10" s="1">
        <f t="shared" si="5"/>
        <v>18</v>
      </c>
      <c r="AA10" s="1">
        <f t="shared" si="5"/>
        <v>19</v>
      </c>
      <c r="AB10" s="1">
        <f t="shared" si="5"/>
        <v>20</v>
      </c>
      <c r="AC10" s="1">
        <f t="shared" si="5"/>
        <v>21</v>
      </c>
      <c r="AD10" s="1">
        <f t="shared" si="5"/>
        <v>22</v>
      </c>
      <c r="AE10" s="1">
        <f t="shared" si="5"/>
        <v>23</v>
      </c>
      <c r="AF10" s="1">
        <f t="shared" si="5"/>
        <v>24</v>
      </c>
      <c r="AG10" s="1">
        <f t="shared" si="5"/>
        <v>25</v>
      </c>
      <c r="AH10" s="1">
        <f t="shared" si="5"/>
        <v>26</v>
      </c>
      <c r="AI10" s="1">
        <f t="shared" si="5"/>
        <v>27</v>
      </c>
      <c r="AJ10" s="1">
        <f t="shared" si="5"/>
        <v>28</v>
      </c>
      <c r="AK10" s="1">
        <f t="shared" si="5"/>
        <v>29</v>
      </c>
      <c r="AL10" s="1">
        <f t="shared" si="5"/>
        <v>30</v>
      </c>
      <c r="AM10" s="1">
        <f t="shared" si="5"/>
        <v>31</v>
      </c>
      <c r="AN10" s="1">
        <f t="shared" si="5"/>
        <v>32</v>
      </c>
      <c r="AO10" s="1">
        <f t="shared" si="5"/>
        <v>33</v>
      </c>
      <c r="AP10" s="1">
        <f t="shared" si="5"/>
        <v>34</v>
      </c>
      <c r="AQ10" s="1">
        <f t="shared" si="5"/>
        <v>35</v>
      </c>
      <c r="AR10" s="1">
        <f t="shared" si="5"/>
        <v>36</v>
      </c>
    </row>
    <row r="11" spans="1:44" x14ac:dyDescent="0.2">
      <c r="B11" s="1" t="s">
        <v>229</v>
      </c>
      <c r="C11" s="11" t="s">
        <v>227</v>
      </c>
      <c r="F11" s="1">
        <f>IF(AND(F7&gt;=INPUTS!$E$17,F7&lt;INPUTS!$E$21),1,0)</f>
        <v>0</v>
      </c>
      <c r="G11" s="1">
        <f>IF(AND(G7&gt;=INPUTS!$E$17,G7&lt;INPUTS!$E$21),1,0)</f>
        <v>0</v>
      </c>
      <c r="H11" s="1">
        <f>IF(AND(H7&gt;=INPUTS!$E$17,H7&lt;INPUTS!$E$21),1,0)</f>
        <v>0</v>
      </c>
      <c r="I11" s="1">
        <f>IF(AND(I7&gt;=INPUTS!$E$17,I7&lt;INPUTS!$E$21),1,0)</f>
        <v>0</v>
      </c>
      <c r="J11" s="1">
        <f>IF(AND(J7&gt;=INPUTS!$E$17,J7&lt;INPUTS!$E$21),1,0)</f>
        <v>0</v>
      </c>
      <c r="K11" s="1">
        <f>IF(AND(K7&gt;=INPUTS!$E$17,K7&lt;INPUTS!$E$21),1,0)</f>
        <v>0</v>
      </c>
      <c r="L11" s="1">
        <f>IF(AND(L7&gt;=INPUTS!$E$17,L7&lt;INPUTS!$E$21),1,0)</f>
        <v>0</v>
      </c>
      <c r="M11" s="1">
        <f>IF(AND(M7&gt;=INPUTS!$E$17,M7&lt;INPUTS!$E$21),1,0)</f>
        <v>0</v>
      </c>
      <c r="N11" s="1">
        <f>IF(AND(N7&gt;=INPUTS!$E$17,N7&lt;INPUTS!$E$21),1,0)</f>
        <v>0</v>
      </c>
      <c r="O11" s="1">
        <f>IF(AND(O7&gt;=INPUTS!$E$17,O7&lt;INPUTS!$E$21),1,0)</f>
        <v>0</v>
      </c>
      <c r="P11" s="1">
        <f>IF(AND(P7&gt;=INPUTS!$E$17,P7&lt;INPUTS!$E$21),1,0)</f>
        <v>1</v>
      </c>
      <c r="Q11" s="1">
        <f>IF(AND(Q7&gt;=INPUTS!$E$17,Q7&lt;INPUTS!$E$21),1,0)</f>
        <v>1</v>
      </c>
      <c r="R11" s="1">
        <f>IF(AND(R7&gt;=INPUTS!$E$17,R7&lt;INPUTS!$E$21),1,0)</f>
        <v>1</v>
      </c>
      <c r="S11" s="1">
        <f>IF(AND(S7&gt;=INPUTS!$E$17,S7&lt;INPUTS!$E$21),1,0)</f>
        <v>1</v>
      </c>
      <c r="T11" s="1">
        <f>IF(AND(T7&gt;=INPUTS!$E$17,T7&lt;INPUTS!$E$21),1,0)</f>
        <v>1</v>
      </c>
      <c r="U11" s="1">
        <f>IF(AND(U7&gt;=INPUTS!$E$17,U7&lt;INPUTS!$E$21),1,0)</f>
        <v>1</v>
      </c>
      <c r="V11" s="1">
        <f>IF(AND(V7&gt;=INPUTS!$E$17,V7&lt;INPUTS!$E$21),1,0)</f>
        <v>1</v>
      </c>
      <c r="W11" s="1">
        <f>IF(AND(W7&gt;=INPUTS!$E$17,W7&lt;INPUTS!$E$21),1,0)</f>
        <v>1</v>
      </c>
      <c r="X11" s="1">
        <f>IF(AND(X7&gt;=INPUTS!$E$17,X7&lt;INPUTS!$E$21),1,0)</f>
        <v>1</v>
      </c>
      <c r="Y11" s="1">
        <f>IF(AND(Y7&gt;=INPUTS!$E$17,Y7&lt;INPUTS!$E$21),1,0)</f>
        <v>1</v>
      </c>
      <c r="Z11" s="1">
        <f>IF(AND(Z7&gt;=INPUTS!$E$17,Z7&lt;INPUTS!$E$21),1,0)</f>
        <v>1</v>
      </c>
      <c r="AA11" s="1">
        <f>IF(AND(AA7&gt;=INPUTS!$E$17,AA7&lt;INPUTS!$E$21),1,0)</f>
        <v>1</v>
      </c>
      <c r="AB11" s="1">
        <f>IF(AND(AB7&gt;=INPUTS!$E$17,AB7&lt;INPUTS!$E$21),1,0)</f>
        <v>1</v>
      </c>
      <c r="AC11" s="1">
        <f>IF(AND(AC7&gt;=INPUTS!$E$17,AC7&lt;INPUTS!$E$21),1,0)</f>
        <v>1</v>
      </c>
      <c r="AD11" s="1">
        <f>IF(AND(AD7&gt;=INPUTS!$E$17,AD7&lt;INPUTS!$E$21),1,0)</f>
        <v>1</v>
      </c>
      <c r="AE11" s="1">
        <f>IF(AND(AE7&gt;=INPUTS!$E$17,AE7&lt;INPUTS!$E$21),1,0)</f>
        <v>1</v>
      </c>
      <c r="AF11" s="1">
        <f>IF(AND(AF7&gt;=INPUTS!$E$17,AF7&lt;INPUTS!$E$21),1,0)</f>
        <v>1</v>
      </c>
      <c r="AG11" s="1">
        <f>IF(AND(AG7&gt;=INPUTS!$E$17,AG7&lt;INPUTS!$E$21),1,0)</f>
        <v>1</v>
      </c>
      <c r="AH11" s="1">
        <f>IF(AND(AH7&gt;=INPUTS!$E$17,AH7&lt;INPUTS!$E$21),1,0)</f>
        <v>1</v>
      </c>
      <c r="AI11" s="1">
        <f>IF(AND(AI7&gt;=INPUTS!$E$17,AI7&lt;INPUTS!$E$21),1,0)</f>
        <v>1</v>
      </c>
      <c r="AJ11" s="1">
        <f>IF(AND(AJ7&gt;=INPUTS!$E$17,AJ7&lt;INPUTS!$E$21),1,0)</f>
        <v>0</v>
      </c>
      <c r="AK11" s="1">
        <f>IF(AND(AK7&gt;=INPUTS!$E$17,AK7&lt;INPUTS!$E$21),1,0)</f>
        <v>0</v>
      </c>
      <c r="AL11" s="1">
        <f>IF(AND(AL7&gt;=INPUTS!$E$17,AL7&lt;INPUTS!$E$21),1,0)</f>
        <v>0</v>
      </c>
      <c r="AM11" s="1">
        <f>IF(AND(AM7&gt;=INPUTS!$E$17,AM7&lt;INPUTS!$E$21),1,0)</f>
        <v>0</v>
      </c>
      <c r="AN11" s="1">
        <f>IF(AND(AN7&gt;=INPUTS!$E$17,AN7&lt;INPUTS!$E$21),1,0)</f>
        <v>0</v>
      </c>
      <c r="AO11" s="1">
        <f>IF(AND(AO7&gt;=INPUTS!$E$17,AO7&lt;INPUTS!$E$21),1,0)</f>
        <v>0</v>
      </c>
      <c r="AP11" s="1">
        <f>IF(AND(AP7&gt;=INPUTS!$E$17,AP7&lt;INPUTS!$E$21),1,0)</f>
        <v>0</v>
      </c>
      <c r="AQ11" s="1">
        <f>IF(AND(AQ7&gt;=INPUTS!$E$17,AQ7&lt;INPUTS!$E$21),1,0)</f>
        <v>0</v>
      </c>
      <c r="AR11" s="1">
        <f>IF(AND(AR7&gt;=INPUTS!$E$17,AR7&lt;INPUTS!$E$21),1,0)</f>
        <v>0</v>
      </c>
    </row>
    <row r="12" spans="1:44" ht="15" x14ac:dyDescent="0.25">
      <c r="A12" s="2" t="s">
        <v>230</v>
      </c>
      <c r="C12" s="11"/>
    </row>
    <row r="13" spans="1:44" x14ac:dyDescent="0.2">
      <c r="B13" s="1" t="s">
        <v>231</v>
      </c>
      <c r="C13" s="11" t="s">
        <v>50</v>
      </c>
      <c r="F13" s="1">
        <f>(F11+D13)*F11</f>
        <v>0</v>
      </c>
      <c r="G13" s="1">
        <f t="shared" ref="G13:AG13" si="6">(G11+F13)*G11</f>
        <v>0</v>
      </c>
      <c r="H13" s="1">
        <f t="shared" si="6"/>
        <v>0</v>
      </c>
      <c r="I13" s="1">
        <f t="shared" si="6"/>
        <v>0</v>
      </c>
      <c r="J13" s="1">
        <f t="shared" si="6"/>
        <v>0</v>
      </c>
      <c r="K13" s="1">
        <f t="shared" si="6"/>
        <v>0</v>
      </c>
      <c r="L13" s="1">
        <f t="shared" si="6"/>
        <v>0</v>
      </c>
      <c r="M13" s="1">
        <f t="shared" si="6"/>
        <v>0</v>
      </c>
      <c r="N13" s="1">
        <f t="shared" si="6"/>
        <v>0</v>
      </c>
      <c r="O13" s="1">
        <f t="shared" si="6"/>
        <v>0</v>
      </c>
      <c r="P13" s="1">
        <f t="shared" si="6"/>
        <v>1</v>
      </c>
      <c r="Q13" s="1">
        <f t="shared" si="6"/>
        <v>2</v>
      </c>
      <c r="R13" s="1">
        <f t="shared" si="6"/>
        <v>3</v>
      </c>
      <c r="S13" s="1">
        <f t="shared" si="6"/>
        <v>4</v>
      </c>
      <c r="T13" s="1">
        <f t="shared" si="6"/>
        <v>5</v>
      </c>
      <c r="U13" s="1">
        <f t="shared" si="6"/>
        <v>6</v>
      </c>
      <c r="V13" s="1">
        <f t="shared" si="6"/>
        <v>7</v>
      </c>
      <c r="W13" s="1">
        <f t="shared" si="6"/>
        <v>8</v>
      </c>
      <c r="X13" s="1">
        <f t="shared" si="6"/>
        <v>9</v>
      </c>
      <c r="Y13" s="1">
        <f t="shared" si="6"/>
        <v>10</v>
      </c>
      <c r="Z13" s="1">
        <f t="shared" si="6"/>
        <v>11</v>
      </c>
      <c r="AA13" s="1">
        <f t="shared" si="6"/>
        <v>12</v>
      </c>
      <c r="AB13" s="1">
        <f t="shared" si="6"/>
        <v>13</v>
      </c>
      <c r="AC13" s="1">
        <f t="shared" si="6"/>
        <v>14</v>
      </c>
      <c r="AD13" s="1">
        <f t="shared" si="6"/>
        <v>15</v>
      </c>
      <c r="AE13" s="1">
        <f t="shared" si="6"/>
        <v>16</v>
      </c>
      <c r="AF13" s="1">
        <f t="shared" si="6"/>
        <v>17</v>
      </c>
      <c r="AG13" s="1">
        <f t="shared" si="6"/>
        <v>18</v>
      </c>
      <c r="AH13" s="1">
        <f>(AH11+AG13)*AH11</f>
        <v>19</v>
      </c>
      <c r="AI13" s="1">
        <f t="shared" ref="AI13:AR13" si="7">(AI11+AH13)*AI11</f>
        <v>20</v>
      </c>
      <c r="AJ13" s="1">
        <f t="shared" si="7"/>
        <v>0</v>
      </c>
      <c r="AK13" s="1">
        <f t="shared" si="7"/>
        <v>0</v>
      </c>
      <c r="AL13" s="1">
        <f t="shared" si="7"/>
        <v>0</v>
      </c>
      <c r="AM13" s="1">
        <f t="shared" si="7"/>
        <v>0</v>
      </c>
      <c r="AN13" s="1">
        <f t="shared" si="7"/>
        <v>0</v>
      </c>
      <c r="AO13" s="1">
        <f t="shared" si="7"/>
        <v>0</v>
      </c>
      <c r="AP13" s="1">
        <f t="shared" si="7"/>
        <v>0</v>
      </c>
      <c r="AQ13" s="1">
        <f t="shared" si="7"/>
        <v>0</v>
      </c>
      <c r="AR13" s="1">
        <f t="shared" si="7"/>
        <v>0</v>
      </c>
    </row>
    <row r="14" spans="1:44" ht="15" x14ac:dyDescent="0.25">
      <c r="A14" s="2" t="s">
        <v>8</v>
      </c>
      <c r="C14" s="11"/>
    </row>
    <row r="15" spans="1:44" x14ac:dyDescent="0.2">
      <c r="B15" s="1" t="s">
        <v>67</v>
      </c>
      <c r="C15" s="11" t="s">
        <v>50</v>
      </c>
      <c r="D15" s="69">
        <f>INPUTS!E24</f>
        <v>0</v>
      </c>
      <c r="E15" s="69"/>
      <c r="F15" s="3">
        <f>1/(1+$D15)^(F$10-1)</f>
        <v>1</v>
      </c>
      <c r="G15" s="3">
        <f t="shared" ref="G15:AR15" si="8">1/(1+$D15)^(G$10-1)</f>
        <v>1</v>
      </c>
      <c r="H15" s="3">
        <f t="shared" si="8"/>
        <v>1</v>
      </c>
      <c r="I15" s="3">
        <f t="shared" si="8"/>
        <v>1</v>
      </c>
      <c r="J15" s="3">
        <f t="shared" si="8"/>
        <v>1</v>
      </c>
      <c r="K15" s="3">
        <f t="shared" si="8"/>
        <v>1</v>
      </c>
      <c r="L15" s="3">
        <f t="shared" si="8"/>
        <v>1</v>
      </c>
      <c r="M15" s="3">
        <f t="shared" si="8"/>
        <v>1</v>
      </c>
      <c r="N15" s="3">
        <f t="shared" si="8"/>
        <v>1</v>
      </c>
      <c r="O15" s="3">
        <f t="shared" si="8"/>
        <v>1</v>
      </c>
      <c r="P15" s="3">
        <f t="shared" si="8"/>
        <v>1</v>
      </c>
      <c r="Q15" s="3">
        <f t="shared" si="8"/>
        <v>1</v>
      </c>
      <c r="R15" s="3">
        <f t="shared" si="8"/>
        <v>1</v>
      </c>
      <c r="S15" s="3">
        <f t="shared" si="8"/>
        <v>1</v>
      </c>
      <c r="T15" s="3">
        <f t="shared" si="8"/>
        <v>1</v>
      </c>
      <c r="U15" s="3">
        <f t="shared" si="8"/>
        <v>1</v>
      </c>
      <c r="V15" s="3">
        <f t="shared" si="8"/>
        <v>1</v>
      </c>
      <c r="W15" s="3">
        <f t="shared" si="8"/>
        <v>1</v>
      </c>
      <c r="X15" s="3">
        <f t="shared" si="8"/>
        <v>1</v>
      </c>
      <c r="Y15" s="3">
        <f t="shared" si="8"/>
        <v>1</v>
      </c>
      <c r="Z15" s="3">
        <f t="shared" si="8"/>
        <v>1</v>
      </c>
      <c r="AA15" s="3">
        <f t="shared" si="8"/>
        <v>1</v>
      </c>
      <c r="AB15" s="3">
        <f t="shared" si="8"/>
        <v>1</v>
      </c>
      <c r="AC15" s="3">
        <f t="shared" si="8"/>
        <v>1</v>
      </c>
      <c r="AD15" s="3">
        <f t="shared" si="8"/>
        <v>1</v>
      </c>
      <c r="AE15" s="3">
        <f t="shared" si="8"/>
        <v>1</v>
      </c>
      <c r="AF15" s="3">
        <f t="shared" si="8"/>
        <v>1</v>
      </c>
      <c r="AG15" s="3">
        <f t="shared" si="8"/>
        <v>1</v>
      </c>
      <c r="AH15" s="3">
        <f t="shared" si="8"/>
        <v>1</v>
      </c>
      <c r="AI15" s="3">
        <f t="shared" si="8"/>
        <v>1</v>
      </c>
      <c r="AJ15" s="3">
        <f t="shared" si="8"/>
        <v>1</v>
      </c>
      <c r="AK15" s="3">
        <f t="shared" si="8"/>
        <v>1</v>
      </c>
      <c r="AL15" s="3">
        <f t="shared" si="8"/>
        <v>1</v>
      </c>
      <c r="AM15" s="3">
        <f t="shared" si="8"/>
        <v>1</v>
      </c>
      <c r="AN15" s="3">
        <f t="shared" si="8"/>
        <v>1</v>
      </c>
      <c r="AO15" s="3">
        <f t="shared" si="8"/>
        <v>1</v>
      </c>
      <c r="AP15" s="3">
        <f t="shared" si="8"/>
        <v>1</v>
      </c>
      <c r="AQ15" s="3">
        <f t="shared" si="8"/>
        <v>1</v>
      </c>
      <c r="AR15" s="3">
        <f t="shared" si="8"/>
        <v>1</v>
      </c>
    </row>
    <row r="16" spans="1:44" x14ac:dyDescent="0.2">
      <c r="B16" s="1" t="s">
        <v>69</v>
      </c>
      <c r="C16" s="11" t="s">
        <v>50</v>
      </c>
      <c r="D16" s="69">
        <f>INPUTS!E25</f>
        <v>0.03</v>
      </c>
      <c r="E16" s="69"/>
      <c r="F16" s="3">
        <f t="shared" ref="F16:G16" si="9">MIN(1,IF(F10=0,1,1/(1+$D16)^(F$10-1)))</f>
        <v>1</v>
      </c>
      <c r="G16" s="3">
        <f t="shared" si="9"/>
        <v>1</v>
      </c>
      <c r="H16" s="3">
        <f>MIN(1,IF(H10=0,1,1/(1+$D16)^(H$10-1)))</f>
        <v>1</v>
      </c>
      <c r="I16" s="3">
        <f t="shared" ref="I16:AR16" si="10">MIN(1,IF(I10=0,1,1/(1+$D16)^(I$10-1)))</f>
        <v>1</v>
      </c>
      <c r="J16" s="3">
        <f t="shared" si="10"/>
        <v>0.970873786407767</v>
      </c>
      <c r="K16" s="3">
        <f t="shared" si="10"/>
        <v>0.94259590913375435</v>
      </c>
      <c r="L16" s="3">
        <f t="shared" si="10"/>
        <v>0.91514165935315961</v>
      </c>
      <c r="M16" s="3">
        <f t="shared" si="10"/>
        <v>0.888487047915689</v>
      </c>
      <c r="N16" s="3">
        <f t="shared" si="10"/>
        <v>0.86260878438416411</v>
      </c>
      <c r="O16" s="3">
        <f t="shared" si="10"/>
        <v>0.83748425668365445</v>
      </c>
      <c r="P16" s="3">
        <f t="shared" si="10"/>
        <v>0.81309151134335378</v>
      </c>
      <c r="Q16" s="3">
        <f t="shared" si="10"/>
        <v>0.78940923431393573</v>
      </c>
      <c r="R16" s="3">
        <f t="shared" si="10"/>
        <v>0.76641673234362695</v>
      </c>
      <c r="S16" s="3">
        <f t="shared" si="10"/>
        <v>0.74409391489672516</v>
      </c>
      <c r="T16" s="3">
        <f t="shared" si="10"/>
        <v>0.72242127659876232</v>
      </c>
      <c r="U16" s="3">
        <f t="shared" si="10"/>
        <v>0.70137988019297326</v>
      </c>
      <c r="V16" s="3">
        <f t="shared" si="10"/>
        <v>0.68095133999317792</v>
      </c>
      <c r="W16" s="3">
        <f t="shared" si="10"/>
        <v>0.66111780581861923</v>
      </c>
      <c r="X16" s="3">
        <f t="shared" si="10"/>
        <v>0.64186194739671765</v>
      </c>
      <c r="Y16" s="3">
        <f t="shared" si="10"/>
        <v>0.62316693922011435</v>
      </c>
      <c r="Z16" s="3">
        <f t="shared" si="10"/>
        <v>0.60501644584477121</v>
      </c>
      <c r="AA16" s="3">
        <f t="shared" si="10"/>
        <v>0.5873946076162827</v>
      </c>
      <c r="AB16" s="3">
        <f t="shared" si="10"/>
        <v>0.57028602681192497</v>
      </c>
      <c r="AC16" s="3">
        <f t="shared" si="10"/>
        <v>0.55367575418633497</v>
      </c>
      <c r="AD16" s="3">
        <f t="shared" si="10"/>
        <v>0.5375492759090631</v>
      </c>
      <c r="AE16" s="3">
        <f t="shared" si="10"/>
        <v>0.52189250088258554</v>
      </c>
      <c r="AF16" s="3">
        <f t="shared" si="10"/>
        <v>0.50669174842969467</v>
      </c>
      <c r="AG16" s="3">
        <f t="shared" si="10"/>
        <v>0.49193373633950943</v>
      </c>
      <c r="AH16" s="3">
        <f t="shared" si="10"/>
        <v>0.47760556926165965</v>
      </c>
      <c r="AI16" s="3">
        <f t="shared" si="10"/>
        <v>0.46369472743850448</v>
      </c>
      <c r="AJ16" s="3">
        <f t="shared" si="10"/>
        <v>0.45018905576553836</v>
      </c>
      <c r="AK16" s="3">
        <f t="shared" si="10"/>
        <v>0.4370767531704256</v>
      </c>
      <c r="AL16" s="3">
        <f t="shared" si="10"/>
        <v>0.42434636230138412</v>
      </c>
      <c r="AM16" s="3">
        <f t="shared" si="10"/>
        <v>0.41198675951590691</v>
      </c>
      <c r="AN16" s="3">
        <f t="shared" si="10"/>
        <v>0.39998714516107459</v>
      </c>
      <c r="AO16" s="3">
        <f t="shared" si="10"/>
        <v>0.38833703413696569</v>
      </c>
      <c r="AP16" s="3">
        <f t="shared" si="10"/>
        <v>0.37702624673491814</v>
      </c>
      <c r="AQ16" s="3">
        <f t="shared" si="10"/>
        <v>0.36604489974263904</v>
      </c>
      <c r="AR16" s="3">
        <f t="shared" si="10"/>
        <v>0.35538339780838735</v>
      </c>
    </row>
    <row r="17" spans="1:44" x14ac:dyDescent="0.2">
      <c r="B17" s="1" t="s">
        <v>70</v>
      </c>
      <c r="C17" s="11" t="s">
        <v>50</v>
      </c>
      <c r="D17" s="69">
        <f>INPUTS!E26</f>
        <v>7.0000000000000007E-2</v>
      </c>
      <c r="E17" s="69"/>
      <c r="F17" s="3">
        <f t="shared" ref="F17:G17" si="11">MIN(1,IF(F10=0,1,1/(1+$D17)^(F$10-1)))</f>
        <v>1</v>
      </c>
      <c r="G17" s="3">
        <f t="shared" si="11"/>
        <v>1</v>
      </c>
      <c r="H17" s="3">
        <f>MIN(1,IF(H10=0,1,1/(1+$D17)^(H$10-1)))</f>
        <v>1</v>
      </c>
      <c r="I17" s="3">
        <f t="shared" ref="I17:AR17" si="12">MIN(1,IF(I10=0,1,1/(1+$D17)^(I$10-1)))</f>
        <v>1</v>
      </c>
      <c r="J17" s="3">
        <f t="shared" si="12"/>
        <v>0.93457943925233644</v>
      </c>
      <c r="K17" s="3">
        <f t="shared" si="12"/>
        <v>0.87343872827321156</v>
      </c>
      <c r="L17" s="3">
        <f t="shared" si="12"/>
        <v>0.81629787689085187</v>
      </c>
      <c r="M17" s="3">
        <f t="shared" si="12"/>
        <v>0.7628952120475252</v>
      </c>
      <c r="N17" s="3">
        <f t="shared" si="12"/>
        <v>0.71298617948366838</v>
      </c>
      <c r="O17" s="3">
        <f t="shared" si="12"/>
        <v>0.66634222381651254</v>
      </c>
      <c r="P17" s="3">
        <f t="shared" si="12"/>
        <v>0.62274974188459109</v>
      </c>
      <c r="Q17" s="3">
        <f t="shared" si="12"/>
        <v>0.5820091045650384</v>
      </c>
      <c r="R17" s="3">
        <f t="shared" si="12"/>
        <v>0.54393374258414806</v>
      </c>
      <c r="S17" s="3">
        <f t="shared" si="12"/>
        <v>0.5083492921347178</v>
      </c>
      <c r="T17" s="3">
        <f t="shared" si="12"/>
        <v>0.47509279638758667</v>
      </c>
      <c r="U17" s="3">
        <f t="shared" si="12"/>
        <v>0.44401195924073528</v>
      </c>
      <c r="V17" s="3">
        <f t="shared" si="12"/>
        <v>0.41496444788853759</v>
      </c>
      <c r="W17" s="3">
        <f t="shared" si="12"/>
        <v>0.3878172410173249</v>
      </c>
      <c r="X17" s="3">
        <f t="shared" si="12"/>
        <v>0.36244601964235967</v>
      </c>
      <c r="Y17" s="3">
        <f t="shared" si="12"/>
        <v>0.33873459779659787</v>
      </c>
      <c r="Z17" s="3">
        <f t="shared" si="12"/>
        <v>0.31657439046411018</v>
      </c>
      <c r="AA17" s="3">
        <f t="shared" si="12"/>
        <v>0.29586391632159825</v>
      </c>
      <c r="AB17" s="3">
        <f t="shared" si="12"/>
        <v>0.27650833301083949</v>
      </c>
      <c r="AC17" s="3">
        <f t="shared" si="12"/>
        <v>0.2584190028138687</v>
      </c>
      <c r="AD17" s="3">
        <f t="shared" si="12"/>
        <v>0.24151308674193336</v>
      </c>
      <c r="AE17" s="3">
        <f t="shared" si="12"/>
        <v>0.22571316517937698</v>
      </c>
      <c r="AF17" s="3">
        <f t="shared" si="12"/>
        <v>0.21094688334521211</v>
      </c>
      <c r="AG17" s="3">
        <f t="shared" si="12"/>
        <v>0.19714661994879637</v>
      </c>
      <c r="AH17" s="3">
        <f t="shared" si="12"/>
        <v>0.18424917752223957</v>
      </c>
      <c r="AI17" s="3">
        <f t="shared" si="12"/>
        <v>0.17219549301143888</v>
      </c>
      <c r="AJ17" s="3">
        <f t="shared" si="12"/>
        <v>0.16093036730041013</v>
      </c>
      <c r="AK17" s="3">
        <f t="shared" si="12"/>
        <v>0.15040221243028987</v>
      </c>
      <c r="AL17" s="3">
        <f t="shared" si="12"/>
        <v>0.1405628153554111</v>
      </c>
      <c r="AM17" s="3">
        <f t="shared" si="12"/>
        <v>0.13136711715458982</v>
      </c>
      <c r="AN17" s="3">
        <f t="shared" si="12"/>
        <v>0.1227730066865325</v>
      </c>
      <c r="AO17" s="3">
        <f t="shared" si="12"/>
        <v>0.11474112774442291</v>
      </c>
      <c r="AP17" s="3">
        <f t="shared" si="12"/>
        <v>0.10723469882656347</v>
      </c>
      <c r="AQ17" s="3">
        <f t="shared" si="12"/>
        <v>0.10021934469772288</v>
      </c>
      <c r="AR17" s="3">
        <f t="shared" si="12"/>
        <v>9.366293896983445E-2</v>
      </c>
    </row>
    <row r="19" spans="1:44" x14ac:dyDescent="0.2">
      <c r="B19" s="1" t="s">
        <v>232</v>
      </c>
      <c r="C19" s="1" t="s">
        <v>44</v>
      </c>
      <c r="D19" s="1" t="s">
        <v>45</v>
      </c>
    </row>
    <row r="20" spans="1:44" s="8" customFormat="1" x14ac:dyDescent="0.2">
      <c r="A20" s="7" t="s">
        <v>233</v>
      </c>
    </row>
    <row r="21" spans="1:44" ht="15" x14ac:dyDescent="0.25">
      <c r="A21" s="2" t="s">
        <v>162</v>
      </c>
    </row>
    <row r="22" spans="1:44" ht="15" x14ac:dyDescent="0.25">
      <c r="B22" s="2" t="s">
        <v>161</v>
      </c>
      <c r="C22" s="71"/>
      <c r="D22" s="70"/>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row>
    <row r="23" spans="1:44" x14ac:dyDescent="0.2">
      <c r="B23" s="1" t="s">
        <v>163</v>
      </c>
      <c r="C23" s="71" t="s">
        <v>164</v>
      </c>
      <c r="D23" s="83">
        <f>INPUTS!E110</f>
        <v>18.009999999999998</v>
      </c>
      <c r="F23" s="86">
        <f t="shared" ref="F23:AR23" si="13">IF(F$7=$D$24,$D$23,0)</f>
        <v>0</v>
      </c>
      <c r="G23" s="86">
        <f t="shared" si="13"/>
        <v>0</v>
      </c>
      <c r="H23" s="86">
        <f t="shared" si="13"/>
        <v>0</v>
      </c>
      <c r="I23" s="86">
        <f t="shared" si="13"/>
        <v>18.009999999999998</v>
      </c>
      <c r="J23" s="86">
        <f t="shared" si="13"/>
        <v>0</v>
      </c>
      <c r="K23" s="86">
        <f t="shared" si="13"/>
        <v>0</v>
      </c>
      <c r="L23" s="86">
        <f t="shared" si="13"/>
        <v>0</v>
      </c>
      <c r="M23" s="86">
        <f t="shared" si="13"/>
        <v>0</v>
      </c>
      <c r="N23" s="86">
        <f t="shared" si="13"/>
        <v>0</v>
      </c>
      <c r="O23" s="86">
        <f t="shared" si="13"/>
        <v>0</v>
      </c>
      <c r="P23" s="86">
        <f t="shared" si="13"/>
        <v>0</v>
      </c>
      <c r="Q23" s="86">
        <f t="shared" si="13"/>
        <v>0</v>
      </c>
      <c r="R23" s="86">
        <f t="shared" si="13"/>
        <v>0</v>
      </c>
      <c r="S23" s="86">
        <f t="shared" si="13"/>
        <v>0</v>
      </c>
      <c r="T23" s="86">
        <f t="shared" si="13"/>
        <v>0</v>
      </c>
      <c r="U23" s="86">
        <f t="shared" si="13"/>
        <v>0</v>
      </c>
      <c r="V23" s="86">
        <f t="shared" si="13"/>
        <v>0</v>
      </c>
      <c r="W23" s="86">
        <f t="shared" si="13"/>
        <v>0</v>
      </c>
      <c r="X23" s="86">
        <f t="shared" si="13"/>
        <v>0</v>
      </c>
      <c r="Y23" s="86">
        <f t="shared" si="13"/>
        <v>0</v>
      </c>
      <c r="Z23" s="86">
        <f t="shared" si="13"/>
        <v>0</v>
      </c>
      <c r="AA23" s="86">
        <f t="shared" si="13"/>
        <v>0</v>
      </c>
      <c r="AB23" s="86">
        <f t="shared" si="13"/>
        <v>0</v>
      </c>
      <c r="AC23" s="86">
        <f t="shared" si="13"/>
        <v>0</v>
      </c>
      <c r="AD23" s="86">
        <f t="shared" si="13"/>
        <v>0</v>
      </c>
      <c r="AE23" s="86">
        <f t="shared" si="13"/>
        <v>0</v>
      </c>
      <c r="AF23" s="86">
        <f t="shared" si="13"/>
        <v>0</v>
      </c>
      <c r="AG23" s="86">
        <f t="shared" si="13"/>
        <v>0</v>
      </c>
      <c r="AH23" s="86">
        <f t="shared" si="13"/>
        <v>0</v>
      </c>
      <c r="AI23" s="86">
        <f t="shared" si="13"/>
        <v>0</v>
      </c>
      <c r="AJ23" s="86">
        <f t="shared" si="13"/>
        <v>0</v>
      </c>
      <c r="AK23" s="86">
        <f t="shared" si="13"/>
        <v>0</v>
      </c>
      <c r="AL23" s="86">
        <f t="shared" si="13"/>
        <v>0</v>
      </c>
      <c r="AM23" s="86">
        <f t="shared" si="13"/>
        <v>0</v>
      </c>
      <c r="AN23" s="86">
        <f t="shared" si="13"/>
        <v>0</v>
      </c>
      <c r="AO23" s="86">
        <f t="shared" si="13"/>
        <v>0</v>
      </c>
      <c r="AP23" s="86">
        <f t="shared" si="13"/>
        <v>0</v>
      </c>
      <c r="AQ23" s="86">
        <f t="shared" si="13"/>
        <v>0</v>
      </c>
      <c r="AR23" s="86">
        <f t="shared" si="13"/>
        <v>0</v>
      </c>
    </row>
    <row r="24" spans="1:44" x14ac:dyDescent="0.2">
      <c r="B24" s="1" t="s">
        <v>163</v>
      </c>
      <c r="C24" s="71" t="s">
        <v>123</v>
      </c>
      <c r="D24" s="22">
        <f>INPUTS!E111</f>
        <v>2021</v>
      </c>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row>
    <row r="25" spans="1:44" x14ac:dyDescent="0.2">
      <c r="B25" s="1" t="s">
        <v>165</v>
      </c>
      <c r="C25" s="71" t="s">
        <v>164</v>
      </c>
      <c r="D25" s="83">
        <f>INPUTS!E112</f>
        <v>67</v>
      </c>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row>
    <row r="26" spans="1:44" x14ac:dyDescent="0.2">
      <c r="B26" s="1" t="s">
        <v>165</v>
      </c>
      <c r="C26" s="71" t="s">
        <v>123</v>
      </c>
      <c r="D26" s="22">
        <f>INPUTS!E118</f>
        <v>2050</v>
      </c>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row>
    <row r="27" spans="1:44" x14ac:dyDescent="0.2">
      <c r="B27" s="1" t="s">
        <v>279</v>
      </c>
      <c r="C27" s="71" t="s">
        <v>164</v>
      </c>
      <c r="D27" s="17">
        <f>(D25-D23)/(D26-D24)</f>
        <v>1.6893103448275864</v>
      </c>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row>
    <row r="28" spans="1:44" x14ac:dyDescent="0.2">
      <c r="B28" s="1" t="s">
        <v>280</v>
      </c>
      <c r="C28" s="71" t="s">
        <v>281</v>
      </c>
      <c r="D28" s="19"/>
      <c r="F28" s="18">
        <f t="shared" ref="F28:AR28" si="14">IF(F7&gt;$D$24,1,0)</f>
        <v>0</v>
      </c>
      <c r="G28" s="18">
        <f t="shared" si="14"/>
        <v>0</v>
      </c>
      <c r="H28" s="18">
        <f t="shared" si="14"/>
        <v>0</v>
      </c>
      <c r="I28" s="18">
        <f t="shared" si="14"/>
        <v>0</v>
      </c>
      <c r="J28" s="18">
        <f t="shared" si="14"/>
        <v>1</v>
      </c>
      <c r="K28" s="18">
        <f t="shared" si="14"/>
        <v>1</v>
      </c>
      <c r="L28" s="18">
        <f t="shared" si="14"/>
        <v>1</v>
      </c>
      <c r="M28" s="18">
        <f t="shared" si="14"/>
        <v>1</v>
      </c>
      <c r="N28" s="18">
        <f t="shared" si="14"/>
        <v>1</v>
      </c>
      <c r="O28" s="18">
        <f t="shared" si="14"/>
        <v>1</v>
      </c>
      <c r="P28" s="18">
        <f t="shared" si="14"/>
        <v>1</v>
      </c>
      <c r="Q28" s="18">
        <f t="shared" si="14"/>
        <v>1</v>
      </c>
      <c r="R28" s="18">
        <f t="shared" si="14"/>
        <v>1</v>
      </c>
      <c r="S28" s="18">
        <f t="shared" si="14"/>
        <v>1</v>
      </c>
      <c r="T28" s="18">
        <f t="shared" si="14"/>
        <v>1</v>
      </c>
      <c r="U28" s="18">
        <f t="shared" si="14"/>
        <v>1</v>
      </c>
      <c r="V28" s="18">
        <f t="shared" si="14"/>
        <v>1</v>
      </c>
      <c r="W28" s="18">
        <f t="shared" si="14"/>
        <v>1</v>
      </c>
      <c r="X28" s="18">
        <f t="shared" si="14"/>
        <v>1</v>
      </c>
      <c r="Y28" s="18">
        <f t="shared" si="14"/>
        <v>1</v>
      </c>
      <c r="Z28" s="18">
        <f t="shared" si="14"/>
        <v>1</v>
      </c>
      <c r="AA28" s="18">
        <f t="shared" si="14"/>
        <v>1</v>
      </c>
      <c r="AB28" s="18">
        <f t="shared" si="14"/>
        <v>1</v>
      </c>
      <c r="AC28" s="18">
        <f t="shared" si="14"/>
        <v>1</v>
      </c>
      <c r="AD28" s="18">
        <f t="shared" si="14"/>
        <v>1</v>
      </c>
      <c r="AE28" s="18">
        <f t="shared" si="14"/>
        <v>1</v>
      </c>
      <c r="AF28" s="18">
        <f t="shared" si="14"/>
        <v>1</v>
      </c>
      <c r="AG28" s="18">
        <f t="shared" si="14"/>
        <v>1</v>
      </c>
      <c r="AH28" s="18">
        <f t="shared" si="14"/>
        <v>1</v>
      </c>
      <c r="AI28" s="18">
        <f t="shared" si="14"/>
        <v>1</v>
      </c>
      <c r="AJ28" s="18">
        <f t="shared" si="14"/>
        <v>1</v>
      </c>
      <c r="AK28" s="18">
        <f t="shared" si="14"/>
        <v>1</v>
      </c>
      <c r="AL28" s="18">
        <f t="shared" si="14"/>
        <v>1</v>
      </c>
      <c r="AM28" s="18">
        <f t="shared" si="14"/>
        <v>1</v>
      </c>
      <c r="AN28" s="18">
        <f t="shared" si="14"/>
        <v>1</v>
      </c>
      <c r="AO28" s="18">
        <f t="shared" si="14"/>
        <v>1</v>
      </c>
      <c r="AP28" s="18">
        <f t="shared" si="14"/>
        <v>1</v>
      </c>
      <c r="AQ28" s="18">
        <f t="shared" si="14"/>
        <v>1</v>
      </c>
      <c r="AR28" s="18">
        <f t="shared" si="14"/>
        <v>1</v>
      </c>
    </row>
    <row r="29" spans="1:44" ht="15" x14ac:dyDescent="0.25">
      <c r="A29" s="2"/>
      <c r="B29" s="1" t="s">
        <v>303</v>
      </c>
      <c r="C29" s="71" t="s">
        <v>164</v>
      </c>
      <c r="D29" s="83">
        <f>SUM(F29:AR29)</f>
        <v>1712.6255172413807</v>
      </c>
      <c r="F29" s="83">
        <f t="shared" ref="F29:AR29" si="15">E29+F23+F28*$D$27</f>
        <v>0</v>
      </c>
      <c r="G29" s="83">
        <f t="shared" si="15"/>
        <v>0</v>
      </c>
      <c r="H29" s="83">
        <f t="shared" si="15"/>
        <v>0</v>
      </c>
      <c r="I29" s="83">
        <f t="shared" si="15"/>
        <v>18.009999999999998</v>
      </c>
      <c r="J29" s="83">
        <f t="shared" si="15"/>
        <v>19.699310344827584</v>
      </c>
      <c r="K29" s="83">
        <f t="shared" si="15"/>
        <v>21.38862068965517</v>
      </c>
      <c r="L29" s="83">
        <f t="shared" si="15"/>
        <v>23.077931034482756</v>
      </c>
      <c r="M29" s="83">
        <f t="shared" si="15"/>
        <v>24.767241379310342</v>
      </c>
      <c r="N29" s="83">
        <f t="shared" si="15"/>
        <v>26.456551724137928</v>
      </c>
      <c r="O29" s="83">
        <f t="shared" si="15"/>
        <v>28.145862068965513</v>
      </c>
      <c r="P29" s="83">
        <f t="shared" si="15"/>
        <v>29.835172413793099</v>
      </c>
      <c r="Q29" s="83">
        <f t="shared" si="15"/>
        <v>31.524482758620685</v>
      </c>
      <c r="R29" s="83">
        <f t="shared" si="15"/>
        <v>33.213793103448275</v>
      </c>
      <c r="S29" s="83">
        <f t="shared" si="15"/>
        <v>34.903103448275864</v>
      </c>
      <c r="T29" s="83">
        <f t="shared" si="15"/>
        <v>36.592413793103454</v>
      </c>
      <c r="U29" s="83">
        <f t="shared" si="15"/>
        <v>38.281724137931043</v>
      </c>
      <c r="V29" s="83">
        <f t="shared" si="15"/>
        <v>39.971034482758633</v>
      </c>
      <c r="W29" s="83">
        <f t="shared" si="15"/>
        <v>41.660344827586222</v>
      </c>
      <c r="X29" s="83">
        <f t="shared" si="15"/>
        <v>43.349655172413811</v>
      </c>
      <c r="Y29" s="83">
        <f t="shared" si="15"/>
        <v>45.038965517241401</v>
      </c>
      <c r="Z29" s="83">
        <f t="shared" si="15"/>
        <v>46.72827586206899</v>
      </c>
      <c r="AA29" s="83">
        <f t="shared" si="15"/>
        <v>48.41758620689658</v>
      </c>
      <c r="AB29" s="83">
        <f t="shared" si="15"/>
        <v>50.106896551724169</v>
      </c>
      <c r="AC29" s="83">
        <f t="shared" si="15"/>
        <v>51.796206896551759</v>
      </c>
      <c r="AD29" s="83">
        <f t="shared" si="15"/>
        <v>53.485517241379348</v>
      </c>
      <c r="AE29" s="83">
        <f t="shared" si="15"/>
        <v>55.174827586206938</v>
      </c>
      <c r="AF29" s="83">
        <f t="shared" si="15"/>
        <v>56.864137931034527</v>
      </c>
      <c r="AG29" s="83">
        <f t="shared" si="15"/>
        <v>58.553448275862117</v>
      </c>
      <c r="AH29" s="83">
        <f t="shared" si="15"/>
        <v>60.242758620689706</v>
      </c>
      <c r="AI29" s="83">
        <f t="shared" si="15"/>
        <v>61.932068965517296</v>
      </c>
      <c r="AJ29" s="83">
        <f t="shared" si="15"/>
        <v>63.621379310344885</v>
      </c>
      <c r="AK29" s="83">
        <f t="shared" si="15"/>
        <v>65.310689655172467</v>
      </c>
      <c r="AL29" s="83">
        <f t="shared" si="15"/>
        <v>67.000000000000057</v>
      </c>
      <c r="AM29" s="83">
        <f t="shared" si="15"/>
        <v>68.689310344827646</v>
      </c>
      <c r="AN29" s="83">
        <f t="shared" si="15"/>
        <v>70.378620689655236</v>
      </c>
      <c r="AO29" s="83">
        <f t="shared" si="15"/>
        <v>72.067931034482825</v>
      </c>
      <c r="AP29" s="83">
        <f t="shared" si="15"/>
        <v>73.757241379310415</v>
      </c>
      <c r="AQ29" s="83">
        <f t="shared" si="15"/>
        <v>75.446551724138004</v>
      </c>
      <c r="AR29" s="83">
        <f t="shared" si="15"/>
        <v>77.135862068965594</v>
      </c>
    </row>
    <row r="30" spans="1:44" ht="15" x14ac:dyDescent="0.25">
      <c r="A30" s="2"/>
      <c r="B30" s="1" t="s">
        <v>304</v>
      </c>
      <c r="C30" s="71" t="s">
        <v>305</v>
      </c>
      <c r="D30" s="83">
        <f>INPUTS!$E$28</f>
        <v>1000</v>
      </c>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row>
    <row r="31" spans="1:44" ht="15" x14ac:dyDescent="0.25">
      <c r="A31" s="2"/>
      <c r="B31" s="1" t="s">
        <v>306</v>
      </c>
      <c r="C31" s="71" t="s">
        <v>307</v>
      </c>
      <c r="D31" s="83">
        <f>INPUTS!$E$27</f>
        <v>365</v>
      </c>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row>
    <row r="32" spans="1:44" ht="15" x14ac:dyDescent="0.25">
      <c r="A32" s="2"/>
      <c r="B32" s="1" t="s">
        <v>303</v>
      </c>
      <c r="C32" s="71" t="s">
        <v>308</v>
      </c>
      <c r="D32" s="83">
        <f>SUM(F32:AR32)</f>
        <v>625.10831379310378</v>
      </c>
      <c r="F32" s="83">
        <f>F29*$D$31/$D$30</f>
        <v>0</v>
      </c>
      <c r="G32" s="83">
        <f t="shared" ref="G32:AR32" si="16">G29*$D$31/$D$30</f>
        <v>0</v>
      </c>
      <c r="H32" s="83">
        <f t="shared" si="16"/>
        <v>0</v>
      </c>
      <c r="I32" s="83">
        <f t="shared" si="16"/>
        <v>6.5736499999999998</v>
      </c>
      <c r="J32" s="83">
        <f t="shared" si="16"/>
        <v>7.1902482758620678</v>
      </c>
      <c r="K32" s="83">
        <f t="shared" si="16"/>
        <v>7.8068465517241368</v>
      </c>
      <c r="L32" s="83">
        <f t="shared" si="16"/>
        <v>8.4234448275862057</v>
      </c>
      <c r="M32" s="83">
        <f t="shared" si="16"/>
        <v>9.0400431034482747</v>
      </c>
      <c r="N32" s="83">
        <f t="shared" si="16"/>
        <v>9.6566413793103436</v>
      </c>
      <c r="O32" s="83">
        <f t="shared" si="16"/>
        <v>10.273239655172413</v>
      </c>
      <c r="P32" s="83">
        <f t="shared" si="16"/>
        <v>10.889837931034481</v>
      </c>
      <c r="Q32" s="83">
        <f t="shared" si="16"/>
        <v>11.506436206896549</v>
      </c>
      <c r="R32" s="83">
        <f t="shared" si="16"/>
        <v>12.123034482758619</v>
      </c>
      <c r="S32" s="83">
        <f t="shared" si="16"/>
        <v>12.73963275862069</v>
      </c>
      <c r="T32" s="83">
        <f t="shared" si="16"/>
        <v>13.356231034482761</v>
      </c>
      <c r="U32" s="83">
        <f t="shared" si="16"/>
        <v>13.97282931034483</v>
      </c>
      <c r="V32" s="83">
        <f t="shared" si="16"/>
        <v>14.589427586206901</v>
      </c>
      <c r="W32" s="83">
        <f t="shared" si="16"/>
        <v>15.206025862068971</v>
      </c>
      <c r="X32" s="83">
        <f t="shared" si="16"/>
        <v>15.822624137931042</v>
      </c>
      <c r="Y32" s="83">
        <f t="shared" si="16"/>
        <v>16.439222413793111</v>
      </c>
      <c r="Z32" s="83">
        <f t="shared" si="16"/>
        <v>17.055820689655182</v>
      </c>
      <c r="AA32" s="83">
        <f t="shared" si="16"/>
        <v>17.672418965517252</v>
      </c>
      <c r="AB32" s="83">
        <f t="shared" si="16"/>
        <v>18.289017241379323</v>
      </c>
      <c r="AC32" s="83">
        <f t="shared" si="16"/>
        <v>18.905615517241394</v>
      </c>
      <c r="AD32" s="83">
        <f t="shared" si="16"/>
        <v>19.522213793103464</v>
      </c>
      <c r="AE32" s="83">
        <f t="shared" si="16"/>
        <v>20.138812068965532</v>
      </c>
      <c r="AF32" s="83">
        <f t="shared" si="16"/>
        <v>20.755410344827602</v>
      </c>
      <c r="AG32" s="83">
        <f t="shared" si="16"/>
        <v>21.372008620689673</v>
      </c>
      <c r="AH32" s="83">
        <f t="shared" si="16"/>
        <v>21.988606896551744</v>
      </c>
      <c r="AI32" s="83">
        <f t="shared" si="16"/>
        <v>22.605205172413815</v>
      </c>
      <c r="AJ32" s="83">
        <f t="shared" si="16"/>
        <v>23.221803448275882</v>
      </c>
      <c r="AK32" s="83">
        <f t="shared" si="16"/>
        <v>23.838401724137952</v>
      </c>
      <c r="AL32" s="83">
        <f t="shared" si="16"/>
        <v>24.455000000000023</v>
      </c>
      <c r="AM32" s="83">
        <f t="shared" si="16"/>
        <v>25.071598275862094</v>
      </c>
      <c r="AN32" s="83">
        <f t="shared" si="16"/>
        <v>25.688196551724161</v>
      </c>
      <c r="AO32" s="83">
        <f t="shared" si="16"/>
        <v>26.304794827586232</v>
      </c>
      <c r="AP32" s="83">
        <f t="shared" si="16"/>
        <v>26.921393103448302</v>
      </c>
      <c r="AQ32" s="83">
        <f t="shared" si="16"/>
        <v>27.537991379310373</v>
      </c>
      <c r="AR32" s="83">
        <f t="shared" si="16"/>
        <v>28.15458965517244</v>
      </c>
    </row>
    <row r="33" spans="1:44" ht="15" x14ac:dyDescent="0.25">
      <c r="A33" s="2"/>
      <c r="C33" s="71"/>
      <c r="D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row>
    <row r="34" spans="1:44" ht="15" x14ac:dyDescent="0.25">
      <c r="B34" s="2" t="s">
        <v>309</v>
      </c>
      <c r="C34" s="71"/>
      <c r="D34" s="83"/>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row>
    <row r="35" spans="1:44" x14ac:dyDescent="0.2">
      <c r="B35" s="1" t="s">
        <v>310</v>
      </c>
      <c r="C35" s="71" t="s">
        <v>173</v>
      </c>
      <c r="D35" s="87"/>
      <c r="F35" s="18">
        <f>IFERROR(HLOOKUP(F$7,INPUTS!$H$131:$AJ$135,5),0)</f>
        <v>0</v>
      </c>
      <c r="G35" s="18">
        <f>IFERROR(HLOOKUP(G$7,INPUTS!$H$131:$AJ$135,5),0)</f>
        <v>0</v>
      </c>
      <c r="H35" s="18">
        <f>IFERROR(HLOOKUP(H$7,INPUTS!$H$131:$AJ$135,5),0)</f>
        <v>0</v>
      </c>
      <c r="I35" s="18">
        <f>IFERROR(HLOOKUP(I$7,INPUTS!$H$131:$AJ$135,5),0)</f>
        <v>0</v>
      </c>
      <c r="J35" s="18">
        <f>IFERROR(HLOOKUP(J$7,INPUTS!$H$131:$AJ$135,5),0)</f>
        <v>56</v>
      </c>
      <c r="K35" s="18">
        <f>IFERROR(HLOOKUP(K$7,INPUTS!$H$131:$AJ$135,5),0)</f>
        <v>57</v>
      </c>
      <c r="L35" s="18">
        <f>IFERROR(HLOOKUP(L$7,INPUTS!$H$131:$AJ$135,5),0)</f>
        <v>58</v>
      </c>
      <c r="M35" s="18">
        <f>IFERROR(HLOOKUP(M$7,INPUTS!$H$131:$AJ$135,5),0)</f>
        <v>59</v>
      </c>
      <c r="N35" s="18">
        <f>IFERROR(HLOOKUP(N$7,INPUTS!$H$131:$AJ$135,5),0)</f>
        <v>60</v>
      </c>
      <c r="O35" s="18">
        <f>IFERROR(HLOOKUP(O$7,INPUTS!$H$131:$AJ$135,5),0)</f>
        <v>61</v>
      </c>
      <c r="P35" s="18">
        <f>IFERROR(HLOOKUP(P$7,INPUTS!$H$131:$AJ$135,5),0)</f>
        <v>62</v>
      </c>
      <c r="Q35" s="18">
        <f>IFERROR(HLOOKUP(Q$7,INPUTS!$H$131:$AJ$135,5),0)</f>
        <v>63</v>
      </c>
      <c r="R35" s="18">
        <f>IFERROR(HLOOKUP(R$7,INPUTS!$H$131:$AJ$135,5),0)</f>
        <v>65</v>
      </c>
      <c r="S35" s="18">
        <f>IFERROR(HLOOKUP(S$7,INPUTS!$H$131:$AJ$135,5),0)</f>
        <v>66</v>
      </c>
      <c r="T35" s="18">
        <f>IFERROR(HLOOKUP(T$7,INPUTS!$H$131:$AJ$135,5),0)</f>
        <v>67</v>
      </c>
      <c r="U35" s="18">
        <f>IFERROR(HLOOKUP(U$7,INPUTS!$H$131:$AJ$135,5),0)</f>
        <v>68</v>
      </c>
      <c r="V35" s="18">
        <f>IFERROR(HLOOKUP(V$7,INPUTS!$H$131:$AJ$135,5),0)</f>
        <v>69</v>
      </c>
      <c r="W35" s="18">
        <f>IFERROR(HLOOKUP(W$7,INPUTS!$H$131:$AJ$135,5),0)</f>
        <v>70</v>
      </c>
      <c r="X35" s="18">
        <f>IFERROR(HLOOKUP(X$7,INPUTS!$H$131:$AJ$135,5),0)</f>
        <v>72</v>
      </c>
      <c r="Y35" s="18">
        <f>IFERROR(HLOOKUP(Y$7,INPUTS!$H$131:$AJ$135,5),0)</f>
        <v>73</v>
      </c>
      <c r="Z35" s="18">
        <f>IFERROR(HLOOKUP(Z$7,INPUTS!$H$131:$AJ$135,5),0)</f>
        <v>74</v>
      </c>
      <c r="AA35" s="18">
        <f>IFERROR(HLOOKUP(AA$7,INPUTS!$H$131:$AJ$135,5),0)</f>
        <v>75</v>
      </c>
      <c r="AB35" s="18">
        <f>IFERROR(HLOOKUP(AB$7,INPUTS!$H$131:$AJ$135,5),0)</f>
        <v>76</v>
      </c>
      <c r="AC35" s="18">
        <f>IFERROR(HLOOKUP(AC$7,INPUTS!$H$131:$AJ$135,5),0)</f>
        <v>78</v>
      </c>
      <c r="AD35" s="18">
        <f>IFERROR(HLOOKUP(AD$7,INPUTS!$H$131:$AJ$135,5),0)</f>
        <v>79</v>
      </c>
      <c r="AE35" s="18">
        <f>IFERROR(HLOOKUP(AE$7,INPUTS!$H$131:$AJ$135,5),0)</f>
        <v>80</v>
      </c>
      <c r="AF35" s="18">
        <f>IFERROR(HLOOKUP(AF$7,INPUTS!$H$131:$AJ$135,5),0)</f>
        <v>81</v>
      </c>
      <c r="AG35" s="18">
        <f>IFERROR(HLOOKUP(AG$7,INPUTS!$H$131:$AJ$135,5),0)</f>
        <v>82</v>
      </c>
      <c r="AH35" s="18">
        <f>IFERROR(HLOOKUP(AH$7,INPUTS!$H$131:$AJ$135,5),0)</f>
        <v>84</v>
      </c>
      <c r="AI35" s="18">
        <f>IFERROR(HLOOKUP(AI$7,INPUTS!$H$131:$AJ$135,5),0)</f>
        <v>85</v>
      </c>
      <c r="AJ35" s="18">
        <f>IFERROR(HLOOKUP(AJ$7,INPUTS!$H$131:$AJ$135,5),0)</f>
        <v>86</v>
      </c>
      <c r="AK35" s="18">
        <f>IFERROR(HLOOKUP(AK$7,INPUTS!$H$131:$AJ$135,5),0)</f>
        <v>87</v>
      </c>
      <c r="AL35" s="18">
        <f>IFERROR(HLOOKUP(AL$7,INPUTS!$H$131:$AJ$135,5),0)</f>
        <v>88</v>
      </c>
      <c r="AM35" s="18">
        <f>IFERROR(HLOOKUP(AM$7,INPUTS!$H$131:$AJ$135,5),0)</f>
        <v>88</v>
      </c>
      <c r="AN35" s="18">
        <f>IFERROR(HLOOKUP(AN$7,INPUTS!$H$131:$AJ$135,5),0)</f>
        <v>88</v>
      </c>
      <c r="AO35" s="18">
        <f>IFERROR(HLOOKUP(AO$7,INPUTS!$H$131:$AJ$135,5),0)</f>
        <v>88</v>
      </c>
      <c r="AP35" s="18">
        <f>IFERROR(HLOOKUP(AP$7,INPUTS!$H$131:$AJ$135,5),0)</f>
        <v>88</v>
      </c>
      <c r="AQ35" s="18">
        <f>IFERROR(HLOOKUP(AQ$7,INPUTS!$H$131:$AJ$135,5),0)</f>
        <v>88</v>
      </c>
      <c r="AR35" s="18">
        <f>IFERROR(HLOOKUP(AR$7,INPUTS!$H$131:$AJ$135,5),0)</f>
        <v>88</v>
      </c>
    </row>
    <row r="36" spans="1:44" ht="15" x14ac:dyDescent="0.25">
      <c r="A36" s="2"/>
      <c r="B36" s="1" t="s">
        <v>309</v>
      </c>
      <c r="C36" s="21" t="s">
        <v>311</v>
      </c>
      <c r="D36" s="18">
        <f>SUM(F36:AR36)</f>
        <v>48442.398751724169</v>
      </c>
      <c r="F36" s="18">
        <f t="shared" ref="F36:J36" si="17">F32*F35</f>
        <v>0</v>
      </c>
      <c r="G36" s="18">
        <f t="shared" si="17"/>
        <v>0</v>
      </c>
      <c r="H36" s="18">
        <f t="shared" si="17"/>
        <v>0</v>
      </c>
      <c r="I36" s="18">
        <f t="shared" si="17"/>
        <v>0</v>
      </c>
      <c r="J36" s="18">
        <f t="shared" si="17"/>
        <v>402.6539034482758</v>
      </c>
      <c r="K36" s="18">
        <f>K32*K35</f>
        <v>444.99025344827578</v>
      </c>
      <c r="L36" s="18">
        <f t="shared" ref="L36:AR36" si="18">L32*L35</f>
        <v>488.55979999999994</v>
      </c>
      <c r="M36" s="18">
        <f t="shared" si="18"/>
        <v>533.36254310344816</v>
      </c>
      <c r="N36" s="18">
        <f t="shared" si="18"/>
        <v>579.39848275862062</v>
      </c>
      <c r="O36" s="18">
        <f t="shared" si="18"/>
        <v>626.66761896551714</v>
      </c>
      <c r="P36" s="18">
        <f t="shared" si="18"/>
        <v>675.16995172413783</v>
      </c>
      <c r="Q36" s="18">
        <f t="shared" si="18"/>
        <v>724.90548103448259</v>
      </c>
      <c r="R36" s="18">
        <f t="shared" si="18"/>
        <v>787.99724137931025</v>
      </c>
      <c r="S36" s="18">
        <f t="shared" si="18"/>
        <v>840.81576206896557</v>
      </c>
      <c r="T36" s="18">
        <f t="shared" si="18"/>
        <v>894.86747931034495</v>
      </c>
      <c r="U36" s="18">
        <f t="shared" si="18"/>
        <v>950.15239310344839</v>
      </c>
      <c r="V36" s="18">
        <f t="shared" si="18"/>
        <v>1006.6705034482761</v>
      </c>
      <c r="W36" s="18">
        <f t="shared" si="18"/>
        <v>1064.4218103448279</v>
      </c>
      <c r="X36" s="18">
        <f t="shared" si="18"/>
        <v>1139.228937931035</v>
      </c>
      <c r="Y36" s="18">
        <f t="shared" si="18"/>
        <v>1200.063236206897</v>
      </c>
      <c r="Z36" s="18">
        <f t="shared" si="18"/>
        <v>1262.1307310344835</v>
      </c>
      <c r="AA36" s="18">
        <f t="shared" si="18"/>
        <v>1325.4314224137938</v>
      </c>
      <c r="AB36" s="18">
        <f t="shared" si="18"/>
        <v>1389.9653103448286</v>
      </c>
      <c r="AC36" s="18">
        <f t="shared" si="18"/>
        <v>1474.6380103448287</v>
      </c>
      <c r="AD36" s="18">
        <f t="shared" si="18"/>
        <v>1542.2548896551737</v>
      </c>
      <c r="AE36" s="18">
        <f t="shared" si="18"/>
        <v>1611.1049655172426</v>
      </c>
      <c r="AF36" s="18">
        <f t="shared" si="18"/>
        <v>1681.1882379310357</v>
      </c>
      <c r="AG36" s="18">
        <f t="shared" si="18"/>
        <v>1752.5047068965532</v>
      </c>
      <c r="AH36" s="18">
        <f t="shared" si="18"/>
        <v>1847.0429793103465</v>
      </c>
      <c r="AI36" s="18">
        <f t="shared" si="18"/>
        <v>1921.4424396551742</v>
      </c>
      <c r="AJ36" s="18">
        <f t="shared" si="18"/>
        <v>1997.0750965517259</v>
      </c>
      <c r="AK36" s="18">
        <f t="shared" si="18"/>
        <v>2073.940950000002</v>
      </c>
      <c r="AL36" s="18">
        <f t="shared" si="18"/>
        <v>2152.0400000000022</v>
      </c>
      <c r="AM36" s="18">
        <f t="shared" si="18"/>
        <v>2206.3006482758642</v>
      </c>
      <c r="AN36" s="18">
        <f t="shared" si="18"/>
        <v>2260.5612965517262</v>
      </c>
      <c r="AO36" s="18">
        <f t="shared" si="18"/>
        <v>2314.8219448275886</v>
      </c>
      <c r="AP36" s="18">
        <f t="shared" si="18"/>
        <v>2369.0825931034506</v>
      </c>
      <c r="AQ36" s="18">
        <f t="shared" si="18"/>
        <v>2423.343241379313</v>
      </c>
      <c r="AR36" s="18">
        <f t="shared" si="18"/>
        <v>2477.603889655175</v>
      </c>
    </row>
    <row r="37" spans="1:44" ht="15" x14ac:dyDescent="0.25">
      <c r="A37" s="2"/>
      <c r="C37" s="21"/>
      <c r="D37" s="17"/>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row>
    <row r="38" spans="1:44" ht="15" x14ac:dyDescent="0.25">
      <c r="A38" s="2" t="s">
        <v>166</v>
      </c>
      <c r="C38" s="21"/>
      <c r="D38" s="17"/>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row>
    <row r="39" spans="1:44" ht="15" x14ac:dyDescent="0.25">
      <c r="B39" s="2" t="s">
        <v>161</v>
      </c>
      <c r="C39" s="71"/>
      <c r="D39" s="70"/>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row>
    <row r="40" spans="1:44" x14ac:dyDescent="0.2">
      <c r="B40" s="1" t="s">
        <v>167</v>
      </c>
      <c r="C40" s="71" t="s">
        <v>164</v>
      </c>
      <c r="D40" s="83">
        <f>INPUTS!E115</f>
        <v>3.5</v>
      </c>
      <c r="F40" s="86">
        <f t="shared" ref="F40:AR40" si="19">IF(F$7=$D$41,$D$40,0)</f>
        <v>0</v>
      </c>
      <c r="G40" s="86">
        <f t="shared" si="19"/>
        <v>0</v>
      </c>
      <c r="H40" s="86">
        <f t="shared" si="19"/>
        <v>0</v>
      </c>
      <c r="I40" s="86">
        <f t="shared" si="19"/>
        <v>3.5</v>
      </c>
      <c r="J40" s="86">
        <f t="shared" si="19"/>
        <v>0</v>
      </c>
      <c r="K40" s="86">
        <f t="shared" si="19"/>
        <v>0</v>
      </c>
      <c r="L40" s="86">
        <f t="shared" si="19"/>
        <v>0</v>
      </c>
      <c r="M40" s="86">
        <f t="shared" si="19"/>
        <v>0</v>
      </c>
      <c r="N40" s="86">
        <f t="shared" si="19"/>
        <v>0</v>
      </c>
      <c r="O40" s="86">
        <f t="shared" si="19"/>
        <v>0</v>
      </c>
      <c r="P40" s="86">
        <f t="shared" si="19"/>
        <v>0</v>
      </c>
      <c r="Q40" s="86">
        <f t="shared" si="19"/>
        <v>0</v>
      </c>
      <c r="R40" s="86">
        <f t="shared" si="19"/>
        <v>0</v>
      </c>
      <c r="S40" s="86">
        <f t="shared" si="19"/>
        <v>0</v>
      </c>
      <c r="T40" s="86">
        <f t="shared" si="19"/>
        <v>0</v>
      </c>
      <c r="U40" s="86">
        <f t="shared" si="19"/>
        <v>0</v>
      </c>
      <c r="V40" s="86">
        <f t="shared" si="19"/>
        <v>0</v>
      </c>
      <c r="W40" s="86">
        <f t="shared" si="19"/>
        <v>0</v>
      </c>
      <c r="X40" s="86">
        <f t="shared" si="19"/>
        <v>0</v>
      </c>
      <c r="Y40" s="86">
        <f t="shared" si="19"/>
        <v>0</v>
      </c>
      <c r="Z40" s="86">
        <f t="shared" si="19"/>
        <v>0</v>
      </c>
      <c r="AA40" s="86">
        <f t="shared" si="19"/>
        <v>0</v>
      </c>
      <c r="AB40" s="86">
        <f t="shared" si="19"/>
        <v>0</v>
      </c>
      <c r="AC40" s="86">
        <f t="shared" si="19"/>
        <v>0</v>
      </c>
      <c r="AD40" s="86">
        <f t="shared" si="19"/>
        <v>0</v>
      </c>
      <c r="AE40" s="86">
        <f t="shared" si="19"/>
        <v>0</v>
      </c>
      <c r="AF40" s="86">
        <f t="shared" si="19"/>
        <v>0</v>
      </c>
      <c r="AG40" s="86">
        <f t="shared" si="19"/>
        <v>0</v>
      </c>
      <c r="AH40" s="86">
        <f t="shared" si="19"/>
        <v>0</v>
      </c>
      <c r="AI40" s="86">
        <f t="shared" si="19"/>
        <v>0</v>
      </c>
      <c r="AJ40" s="86">
        <f t="shared" si="19"/>
        <v>0</v>
      </c>
      <c r="AK40" s="86">
        <f t="shared" si="19"/>
        <v>0</v>
      </c>
      <c r="AL40" s="86">
        <f t="shared" si="19"/>
        <v>0</v>
      </c>
      <c r="AM40" s="86">
        <f t="shared" si="19"/>
        <v>0</v>
      </c>
      <c r="AN40" s="86">
        <f t="shared" si="19"/>
        <v>0</v>
      </c>
      <c r="AO40" s="86">
        <f t="shared" si="19"/>
        <v>0</v>
      </c>
      <c r="AP40" s="86">
        <f t="shared" si="19"/>
        <v>0</v>
      </c>
      <c r="AQ40" s="86">
        <f t="shared" si="19"/>
        <v>0</v>
      </c>
      <c r="AR40" s="86">
        <f t="shared" si="19"/>
        <v>0</v>
      </c>
    </row>
    <row r="41" spans="1:44" x14ac:dyDescent="0.2">
      <c r="B41" s="1" t="s">
        <v>163</v>
      </c>
      <c r="C41" s="71" t="s">
        <v>123</v>
      </c>
      <c r="D41" s="22">
        <f>INPUTS!E116</f>
        <v>2021</v>
      </c>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row>
    <row r="42" spans="1:44" x14ac:dyDescent="0.2">
      <c r="B42" s="1" t="s">
        <v>165</v>
      </c>
      <c r="C42" s="71" t="s">
        <v>164</v>
      </c>
      <c r="D42" s="83">
        <f>INPUTS!E117</f>
        <v>13</v>
      </c>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row>
    <row r="43" spans="1:44" x14ac:dyDescent="0.2">
      <c r="B43" s="1" t="s">
        <v>165</v>
      </c>
      <c r="C43" s="71" t="s">
        <v>123</v>
      </c>
      <c r="D43" s="22">
        <f>INPUTS!E118</f>
        <v>2050</v>
      </c>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row>
    <row r="44" spans="1:44" x14ac:dyDescent="0.2">
      <c r="B44" s="1" t="s">
        <v>279</v>
      </c>
      <c r="C44" s="71" t="s">
        <v>164</v>
      </c>
      <c r="D44" s="17">
        <f>(D42-D40)/(D43-D41)</f>
        <v>0.32758620689655171</v>
      </c>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row>
    <row r="45" spans="1:44" x14ac:dyDescent="0.2">
      <c r="B45" s="1" t="s">
        <v>280</v>
      </c>
      <c r="C45" s="71" t="s">
        <v>281</v>
      </c>
      <c r="D45" s="19"/>
      <c r="F45" s="18">
        <f t="shared" ref="F45:AR45" si="20">IF(F$7&gt;$D$41,1,0)</f>
        <v>0</v>
      </c>
      <c r="G45" s="18">
        <f t="shared" si="20"/>
        <v>0</v>
      </c>
      <c r="H45" s="18">
        <f t="shared" si="20"/>
        <v>0</v>
      </c>
      <c r="I45" s="18">
        <f t="shared" si="20"/>
        <v>0</v>
      </c>
      <c r="J45" s="18">
        <f t="shared" si="20"/>
        <v>1</v>
      </c>
      <c r="K45" s="18">
        <f t="shared" si="20"/>
        <v>1</v>
      </c>
      <c r="L45" s="18">
        <f t="shared" si="20"/>
        <v>1</v>
      </c>
      <c r="M45" s="18">
        <f t="shared" si="20"/>
        <v>1</v>
      </c>
      <c r="N45" s="18">
        <f t="shared" si="20"/>
        <v>1</v>
      </c>
      <c r="O45" s="18">
        <f t="shared" si="20"/>
        <v>1</v>
      </c>
      <c r="P45" s="18">
        <f t="shared" si="20"/>
        <v>1</v>
      </c>
      <c r="Q45" s="18">
        <f t="shared" si="20"/>
        <v>1</v>
      </c>
      <c r="R45" s="18">
        <f t="shared" si="20"/>
        <v>1</v>
      </c>
      <c r="S45" s="18">
        <f t="shared" si="20"/>
        <v>1</v>
      </c>
      <c r="T45" s="18">
        <f t="shared" si="20"/>
        <v>1</v>
      </c>
      <c r="U45" s="18">
        <f t="shared" si="20"/>
        <v>1</v>
      </c>
      <c r="V45" s="18">
        <f t="shared" si="20"/>
        <v>1</v>
      </c>
      <c r="W45" s="18">
        <f t="shared" si="20"/>
        <v>1</v>
      </c>
      <c r="X45" s="18">
        <f t="shared" si="20"/>
        <v>1</v>
      </c>
      <c r="Y45" s="18">
        <f t="shared" si="20"/>
        <v>1</v>
      </c>
      <c r="Z45" s="18">
        <f t="shared" si="20"/>
        <v>1</v>
      </c>
      <c r="AA45" s="18">
        <f t="shared" si="20"/>
        <v>1</v>
      </c>
      <c r="AB45" s="18">
        <f t="shared" si="20"/>
        <v>1</v>
      </c>
      <c r="AC45" s="18">
        <f t="shared" si="20"/>
        <v>1</v>
      </c>
      <c r="AD45" s="18">
        <f t="shared" si="20"/>
        <v>1</v>
      </c>
      <c r="AE45" s="18">
        <f t="shared" si="20"/>
        <v>1</v>
      </c>
      <c r="AF45" s="18">
        <f t="shared" si="20"/>
        <v>1</v>
      </c>
      <c r="AG45" s="18">
        <f t="shared" si="20"/>
        <v>1</v>
      </c>
      <c r="AH45" s="18">
        <f t="shared" si="20"/>
        <v>1</v>
      </c>
      <c r="AI45" s="18">
        <f t="shared" si="20"/>
        <v>1</v>
      </c>
      <c r="AJ45" s="18">
        <f t="shared" si="20"/>
        <v>1</v>
      </c>
      <c r="AK45" s="18">
        <f t="shared" si="20"/>
        <v>1</v>
      </c>
      <c r="AL45" s="18">
        <f t="shared" si="20"/>
        <v>1</v>
      </c>
      <c r="AM45" s="18">
        <f t="shared" si="20"/>
        <v>1</v>
      </c>
      <c r="AN45" s="18">
        <f t="shared" si="20"/>
        <v>1</v>
      </c>
      <c r="AO45" s="18">
        <f t="shared" si="20"/>
        <v>1</v>
      </c>
      <c r="AP45" s="18">
        <f t="shared" si="20"/>
        <v>1</v>
      </c>
      <c r="AQ45" s="18">
        <f t="shared" si="20"/>
        <v>1</v>
      </c>
      <c r="AR45" s="18">
        <f t="shared" si="20"/>
        <v>1</v>
      </c>
    </row>
    <row r="46" spans="1:44" ht="15" x14ac:dyDescent="0.25">
      <c r="A46" s="2"/>
      <c r="B46" s="1" t="s">
        <v>303</v>
      </c>
      <c r="C46" s="71" t="s">
        <v>164</v>
      </c>
      <c r="D46" s="83">
        <f>SUM(F46:AR46)</f>
        <v>332.37931034482756</v>
      </c>
      <c r="F46" s="83">
        <f t="shared" ref="F46:J46" si="21">E46+F40+F45*$D$44</f>
        <v>0</v>
      </c>
      <c r="G46" s="83">
        <f t="shared" si="21"/>
        <v>0</v>
      </c>
      <c r="H46" s="83">
        <f t="shared" si="21"/>
        <v>0</v>
      </c>
      <c r="I46" s="83">
        <f t="shared" si="21"/>
        <v>3.5</v>
      </c>
      <c r="J46" s="83">
        <f t="shared" si="21"/>
        <v>3.8275862068965516</v>
      </c>
      <c r="K46" s="83">
        <f>J46+K40+K45*$D$44</f>
        <v>4.1551724137931032</v>
      </c>
      <c r="L46" s="83">
        <f t="shared" ref="L46:AR46" si="22">K46+L40+L45*$D$44</f>
        <v>4.4827586206896548</v>
      </c>
      <c r="M46" s="83">
        <f t="shared" si="22"/>
        <v>4.8103448275862064</v>
      </c>
      <c r="N46" s="83">
        <f t="shared" si="22"/>
        <v>5.137931034482758</v>
      </c>
      <c r="O46" s="83">
        <f t="shared" si="22"/>
        <v>5.4655172413793096</v>
      </c>
      <c r="P46" s="83">
        <f t="shared" si="22"/>
        <v>5.7931034482758612</v>
      </c>
      <c r="Q46" s="83">
        <f t="shared" si="22"/>
        <v>6.1206896551724128</v>
      </c>
      <c r="R46" s="83">
        <f t="shared" si="22"/>
        <v>6.4482758620689644</v>
      </c>
      <c r="S46" s="83">
        <f t="shared" si="22"/>
        <v>6.775862068965516</v>
      </c>
      <c r="T46" s="83">
        <f t="shared" si="22"/>
        <v>7.1034482758620676</v>
      </c>
      <c r="U46" s="83">
        <f t="shared" si="22"/>
        <v>7.4310344827586192</v>
      </c>
      <c r="V46" s="83">
        <f t="shared" si="22"/>
        <v>7.7586206896551708</v>
      </c>
      <c r="W46" s="83">
        <f t="shared" si="22"/>
        <v>8.0862068965517224</v>
      </c>
      <c r="X46" s="83">
        <f t="shared" si="22"/>
        <v>8.413793103448274</v>
      </c>
      <c r="Y46" s="83">
        <f t="shared" si="22"/>
        <v>8.7413793103448256</v>
      </c>
      <c r="Z46" s="83">
        <f t="shared" si="22"/>
        <v>9.0689655172413772</v>
      </c>
      <c r="AA46" s="83">
        <f t="shared" si="22"/>
        <v>9.3965517241379288</v>
      </c>
      <c r="AB46" s="83">
        <f t="shared" si="22"/>
        <v>9.7241379310344804</v>
      </c>
      <c r="AC46" s="83">
        <f t="shared" si="22"/>
        <v>10.051724137931032</v>
      </c>
      <c r="AD46" s="83">
        <f t="shared" si="22"/>
        <v>10.379310344827584</v>
      </c>
      <c r="AE46" s="83">
        <f t="shared" si="22"/>
        <v>10.706896551724135</v>
      </c>
      <c r="AF46" s="83">
        <f t="shared" si="22"/>
        <v>11.034482758620687</v>
      </c>
      <c r="AG46" s="83">
        <f t="shared" si="22"/>
        <v>11.362068965517238</v>
      </c>
      <c r="AH46" s="83">
        <f t="shared" si="22"/>
        <v>11.68965517241379</v>
      </c>
      <c r="AI46" s="83">
        <f t="shared" si="22"/>
        <v>12.017241379310342</v>
      </c>
      <c r="AJ46" s="83">
        <f t="shared" si="22"/>
        <v>12.344827586206893</v>
      </c>
      <c r="AK46" s="83">
        <f t="shared" si="22"/>
        <v>12.672413793103445</v>
      </c>
      <c r="AL46" s="83">
        <f t="shared" si="22"/>
        <v>12.999999999999996</v>
      </c>
      <c r="AM46" s="83">
        <f t="shared" si="22"/>
        <v>13.327586206896548</v>
      </c>
      <c r="AN46" s="83">
        <f t="shared" si="22"/>
        <v>13.6551724137931</v>
      </c>
      <c r="AO46" s="83">
        <f t="shared" si="22"/>
        <v>13.982758620689651</v>
      </c>
      <c r="AP46" s="83">
        <f t="shared" si="22"/>
        <v>14.310344827586203</v>
      </c>
      <c r="AQ46" s="83">
        <f t="shared" si="22"/>
        <v>14.637931034482754</v>
      </c>
      <c r="AR46" s="83">
        <f t="shared" si="22"/>
        <v>14.965517241379306</v>
      </c>
    </row>
    <row r="47" spans="1:44" ht="15" x14ac:dyDescent="0.25">
      <c r="A47" s="2"/>
      <c r="B47" s="1" t="s">
        <v>304</v>
      </c>
      <c r="C47" s="71" t="s">
        <v>305</v>
      </c>
      <c r="D47" s="83">
        <f>INPUTS!$E$28</f>
        <v>1000</v>
      </c>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row>
    <row r="48" spans="1:44" ht="15" x14ac:dyDescent="0.25">
      <c r="A48" s="2"/>
      <c r="B48" s="1" t="s">
        <v>306</v>
      </c>
      <c r="C48" s="71" t="s">
        <v>307</v>
      </c>
      <c r="D48" s="83">
        <f>INPUTS!$E$27</f>
        <v>365</v>
      </c>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row>
    <row r="49" spans="1:44" ht="15" x14ac:dyDescent="0.25">
      <c r="A49" s="2"/>
      <c r="B49" s="1" t="s">
        <v>303</v>
      </c>
      <c r="C49" s="71" t="s">
        <v>308</v>
      </c>
      <c r="D49" s="83">
        <f>SUM(F49:AR49)</f>
        <v>121.31844827586205</v>
      </c>
      <c r="F49" s="83">
        <f t="shared" ref="F49:J49" si="23">F46*$D$48/$D$47</f>
        <v>0</v>
      </c>
      <c r="G49" s="83">
        <f t="shared" si="23"/>
        <v>0</v>
      </c>
      <c r="H49" s="83">
        <f t="shared" si="23"/>
        <v>0</v>
      </c>
      <c r="I49" s="83">
        <f t="shared" si="23"/>
        <v>1.2775000000000001</v>
      </c>
      <c r="J49" s="83">
        <f t="shared" si="23"/>
        <v>1.3970689655172415</v>
      </c>
      <c r="K49" s="83">
        <f>K46*$D$48/$D$47</f>
        <v>1.5166379310344826</v>
      </c>
      <c r="L49" s="83">
        <f t="shared" ref="L49:AR49" si="24">L46*$D$48/$D$47</f>
        <v>1.636206896551724</v>
      </c>
      <c r="M49" s="83">
        <f t="shared" si="24"/>
        <v>1.7557758620689654</v>
      </c>
      <c r="N49" s="83">
        <f t="shared" si="24"/>
        <v>1.8753448275862068</v>
      </c>
      <c r="O49" s="83">
        <f t="shared" si="24"/>
        <v>1.994913793103448</v>
      </c>
      <c r="P49" s="83">
        <f t="shared" si="24"/>
        <v>2.1144827586206891</v>
      </c>
      <c r="Q49" s="83">
        <f t="shared" si="24"/>
        <v>2.2340517241379305</v>
      </c>
      <c r="R49" s="83">
        <f t="shared" si="24"/>
        <v>2.3536206896551719</v>
      </c>
      <c r="S49" s="83">
        <f t="shared" si="24"/>
        <v>2.4731896551724133</v>
      </c>
      <c r="T49" s="83">
        <f t="shared" si="24"/>
        <v>2.5927586206896547</v>
      </c>
      <c r="U49" s="83">
        <f t="shared" si="24"/>
        <v>2.7123275862068956</v>
      </c>
      <c r="V49" s="83">
        <f t="shared" si="24"/>
        <v>2.831896551724137</v>
      </c>
      <c r="W49" s="83">
        <f t="shared" si="24"/>
        <v>2.9514655172413784</v>
      </c>
      <c r="X49" s="83">
        <f t="shared" si="24"/>
        <v>3.0710344827586202</v>
      </c>
      <c r="Y49" s="83">
        <f t="shared" si="24"/>
        <v>3.1906034482758616</v>
      </c>
      <c r="Z49" s="83">
        <f t="shared" si="24"/>
        <v>3.310172413793103</v>
      </c>
      <c r="AA49" s="83">
        <f t="shared" si="24"/>
        <v>3.4297413793103444</v>
      </c>
      <c r="AB49" s="83">
        <f t="shared" si="24"/>
        <v>3.5493103448275853</v>
      </c>
      <c r="AC49" s="83">
        <f t="shared" si="24"/>
        <v>3.6688793103448267</v>
      </c>
      <c r="AD49" s="83">
        <f t="shared" si="24"/>
        <v>3.7884482758620681</v>
      </c>
      <c r="AE49" s="83">
        <f t="shared" si="24"/>
        <v>3.9080172413793095</v>
      </c>
      <c r="AF49" s="83">
        <f t="shared" si="24"/>
        <v>4.0275862068965509</v>
      </c>
      <c r="AG49" s="83">
        <f t="shared" si="24"/>
        <v>4.1471551724137914</v>
      </c>
      <c r="AH49" s="83">
        <f t="shared" si="24"/>
        <v>4.2667241379310337</v>
      </c>
      <c r="AI49" s="83">
        <f t="shared" si="24"/>
        <v>4.3862931034482742</v>
      </c>
      <c r="AJ49" s="83">
        <f t="shared" si="24"/>
        <v>4.5058620689655164</v>
      </c>
      <c r="AK49" s="83">
        <f t="shared" si="24"/>
        <v>4.6254310344827569</v>
      </c>
      <c r="AL49" s="83">
        <f t="shared" si="24"/>
        <v>4.7449999999999992</v>
      </c>
      <c r="AM49" s="83">
        <f t="shared" si="24"/>
        <v>4.8645689655172397</v>
      </c>
      <c r="AN49" s="83">
        <f t="shared" si="24"/>
        <v>4.9841379310344811</v>
      </c>
      <c r="AO49" s="83">
        <f t="shared" si="24"/>
        <v>5.1037068965517225</v>
      </c>
      <c r="AP49" s="83">
        <f t="shared" si="24"/>
        <v>5.2232758620689639</v>
      </c>
      <c r="AQ49" s="83">
        <f t="shared" si="24"/>
        <v>5.3428448275862053</v>
      </c>
      <c r="AR49" s="83">
        <f t="shared" si="24"/>
        <v>5.4624137931034467</v>
      </c>
    </row>
    <row r="50" spans="1:44" ht="15" x14ac:dyDescent="0.25">
      <c r="A50" s="2"/>
      <c r="C50" s="71"/>
      <c r="D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row>
    <row r="51" spans="1:44" ht="15" x14ac:dyDescent="0.25">
      <c r="B51" s="2" t="s">
        <v>309</v>
      </c>
      <c r="C51" s="71"/>
      <c r="D51" s="83"/>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row>
    <row r="52" spans="1:44" x14ac:dyDescent="0.2">
      <c r="B52" s="1" t="s">
        <v>310</v>
      </c>
      <c r="C52" s="71" t="s">
        <v>173</v>
      </c>
      <c r="D52" s="87">
        <f>INPUTS!$E$83</f>
        <v>18.8</v>
      </c>
      <c r="F52" s="18">
        <f>IFERROR(HLOOKUP(F$7,INPUTS!$H$131:$AJ$135,2),0)</f>
        <v>0</v>
      </c>
      <c r="G52" s="18">
        <f>IFERROR(HLOOKUP(G$7,INPUTS!$H$131:$AJ$135,2),0)</f>
        <v>0</v>
      </c>
      <c r="H52" s="18">
        <f>IFERROR(HLOOKUP(H$7,INPUTS!$H$131:$AJ$135,2),0)</f>
        <v>0</v>
      </c>
      <c r="I52" s="18">
        <f>IFERROR(HLOOKUP(I$7,INPUTS!$H$131:$AJ$135,2),0)</f>
        <v>0</v>
      </c>
      <c r="J52" s="18">
        <f>IFERROR(HLOOKUP(J$7,INPUTS!$H$131:$AJ$135,2),0)</f>
        <v>16600</v>
      </c>
      <c r="K52" s="18">
        <f>IFERROR(HLOOKUP(K$7,INPUTS!$H$131:$AJ$135,2),0)</f>
        <v>16800</v>
      </c>
      <c r="L52" s="18">
        <f>IFERROR(HLOOKUP(L$7,INPUTS!$H$131:$AJ$135,2),0)</f>
        <v>17000</v>
      </c>
      <c r="M52" s="18">
        <f>IFERROR(HLOOKUP(M$7,INPUTS!$H$131:$AJ$135,2),0)</f>
        <v>17200</v>
      </c>
      <c r="N52" s="18">
        <f>IFERROR(HLOOKUP(N$7,INPUTS!$H$131:$AJ$135,2),0)</f>
        <v>17500</v>
      </c>
      <c r="O52" s="18">
        <f>IFERROR(HLOOKUP(O$7,INPUTS!$H$131:$AJ$135,2),0)</f>
        <v>17900</v>
      </c>
      <c r="P52" s="18">
        <f>IFERROR(HLOOKUP(P$7,INPUTS!$H$131:$AJ$135,2),0)</f>
        <v>18200</v>
      </c>
      <c r="Q52" s="18">
        <f>IFERROR(HLOOKUP(Q$7,INPUTS!$H$131:$AJ$135,2),0)</f>
        <v>18600</v>
      </c>
      <c r="R52" s="18">
        <f>IFERROR(HLOOKUP(R$7,INPUTS!$H$131:$AJ$135,2),0)</f>
        <v>18900</v>
      </c>
      <c r="S52" s="18">
        <f>IFERROR(HLOOKUP(S$7,INPUTS!$H$131:$AJ$135,2),0)</f>
        <v>18900</v>
      </c>
      <c r="T52" s="18">
        <f>IFERROR(HLOOKUP(T$7,INPUTS!$H$131:$AJ$135,2),0)</f>
        <v>18900</v>
      </c>
      <c r="U52" s="18">
        <f>IFERROR(HLOOKUP(U$7,INPUTS!$H$131:$AJ$135,2),0)</f>
        <v>18900</v>
      </c>
      <c r="V52" s="18">
        <f>IFERROR(HLOOKUP(V$7,INPUTS!$H$131:$AJ$135,2),0)</f>
        <v>18900</v>
      </c>
      <c r="W52" s="18">
        <f>IFERROR(HLOOKUP(W$7,INPUTS!$H$131:$AJ$135,2),0)</f>
        <v>18900</v>
      </c>
      <c r="X52" s="18">
        <f>IFERROR(HLOOKUP(X$7,INPUTS!$H$131:$AJ$135,2),0)</f>
        <v>18900</v>
      </c>
      <c r="Y52" s="18">
        <f>IFERROR(HLOOKUP(Y$7,INPUTS!$H$131:$AJ$135,2),0)</f>
        <v>18900</v>
      </c>
      <c r="Z52" s="18">
        <f>IFERROR(HLOOKUP(Z$7,INPUTS!$H$131:$AJ$135,2),0)</f>
        <v>18900</v>
      </c>
      <c r="AA52" s="18">
        <f>IFERROR(HLOOKUP(AA$7,INPUTS!$H$131:$AJ$135,2),0)</f>
        <v>18900</v>
      </c>
      <c r="AB52" s="18">
        <f>IFERROR(HLOOKUP(AB$7,INPUTS!$H$131:$AJ$135,2),0)</f>
        <v>18900</v>
      </c>
      <c r="AC52" s="18">
        <f>IFERROR(HLOOKUP(AC$7,INPUTS!$H$131:$AJ$135,2),0)</f>
        <v>18900</v>
      </c>
      <c r="AD52" s="18">
        <f>IFERROR(HLOOKUP(AD$7,INPUTS!$H$131:$AJ$135,2),0)</f>
        <v>18900</v>
      </c>
      <c r="AE52" s="18">
        <f>IFERROR(HLOOKUP(AE$7,INPUTS!$H$131:$AJ$135,2),0)</f>
        <v>18900</v>
      </c>
      <c r="AF52" s="18">
        <f>IFERROR(HLOOKUP(AF$7,INPUTS!$H$131:$AJ$135,2),0)</f>
        <v>18900</v>
      </c>
      <c r="AG52" s="18">
        <f>IFERROR(HLOOKUP(AG$7,INPUTS!$H$131:$AJ$135,2),0)</f>
        <v>18900</v>
      </c>
      <c r="AH52" s="18">
        <f>IFERROR(HLOOKUP(AH$7,INPUTS!$H$131:$AJ$135,2),0)</f>
        <v>18900</v>
      </c>
      <c r="AI52" s="18">
        <f>IFERROR(HLOOKUP(AI$7,INPUTS!$H$131:$AJ$135,2),0)</f>
        <v>18900</v>
      </c>
      <c r="AJ52" s="18">
        <f>IFERROR(HLOOKUP(AJ$7,INPUTS!$H$131:$AJ$135,2),0)</f>
        <v>18900</v>
      </c>
      <c r="AK52" s="18">
        <f>IFERROR(HLOOKUP(AK$7,INPUTS!$H$131:$AJ$135,2),0)</f>
        <v>18900</v>
      </c>
      <c r="AL52" s="18">
        <f>IFERROR(HLOOKUP(AL$7,INPUTS!$H$131:$AJ$135,2),0)</f>
        <v>18900</v>
      </c>
      <c r="AM52" s="18">
        <f>IFERROR(HLOOKUP(AM$7,INPUTS!$H$131:$AJ$135,2),0)</f>
        <v>18900</v>
      </c>
      <c r="AN52" s="18">
        <f>IFERROR(HLOOKUP(AN$7,INPUTS!$H$131:$AJ$135,2),0)</f>
        <v>18900</v>
      </c>
      <c r="AO52" s="18">
        <f>IFERROR(HLOOKUP(AO$7,INPUTS!$H$131:$AJ$135,2),0)</f>
        <v>18900</v>
      </c>
      <c r="AP52" s="18">
        <f>IFERROR(HLOOKUP(AP$7,INPUTS!$H$131:$AJ$135,2),0)</f>
        <v>18900</v>
      </c>
      <c r="AQ52" s="18">
        <f>IFERROR(HLOOKUP(AQ$7,INPUTS!$H$131:$AJ$135,2),0)</f>
        <v>18900</v>
      </c>
      <c r="AR52" s="18">
        <f>IFERROR(HLOOKUP(AR$7,INPUTS!$H$131:$AJ$135,2),0)</f>
        <v>18900</v>
      </c>
    </row>
    <row r="53" spans="1:44" ht="15" x14ac:dyDescent="0.25">
      <c r="A53" s="2"/>
      <c r="B53" s="1" t="s">
        <v>309</v>
      </c>
      <c r="C53" s="21" t="s">
        <v>311</v>
      </c>
      <c r="D53" s="18">
        <f>SUM(F53:AR53)</f>
        <v>2249511.3620689651</v>
      </c>
      <c r="F53" s="18">
        <f t="shared" ref="F53" si="25">F49*F52</f>
        <v>0</v>
      </c>
      <c r="G53" s="18">
        <f t="shared" ref="G53" si="26">G49*G52</f>
        <v>0</v>
      </c>
      <c r="H53" s="18">
        <f t="shared" ref="H53" si="27">H49*H52</f>
        <v>0</v>
      </c>
      <c r="I53" s="18">
        <f t="shared" ref="I53" si="28">I49*I52</f>
        <v>0</v>
      </c>
      <c r="J53" s="18">
        <f t="shared" ref="J53" si="29">J49*J52</f>
        <v>23191.34482758621</v>
      </c>
      <c r="K53" s="18">
        <f>K49*K52</f>
        <v>25479.517241379308</v>
      </c>
      <c r="L53" s="18">
        <f t="shared" ref="L53" si="30">L49*L52</f>
        <v>27815.517241379308</v>
      </c>
      <c r="M53" s="18">
        <f t="shared" ref="M53" si="31">M49*M52</f>
        <v>30199.344827586207</v>
      </c>
      <c r="N53" s="18">
        <f t="shared" ref="N53" si="32">N49*N52</f>
        <v>32818.534482758616</v>
      </c>
      <c r="O53" s="18">
        <f t="shared" ref="O53" si="33">O49*O52</f>
        <v>35708.956896551717</v>
      </c>
      <c r="P53" s="18">
        <f t="shared" ref="P53" si="34">P49*P52</f>
        <v>38483.586206896543</v>
      </c>
      <c r="Q53" s="18">
        <f t="shared" ref="Q53" si="35">Q49*Q52</f>
        <v>41553.362068965507</v>
      </c>
      <c r="R53" s="18">
        <f t="shared" ref="R53" si="36">R49*R52</f>
        <v>44483.431034482746</v>
      </c>
      <c r="S53" s="18">
        <f t="shared" ref="S53" si="37">S49*S52</f>
        <v>46743.284482758609</v>
      </c>
      <c r="T53" s="18">
        <f t="shared" ref="T53" si="38">T49*T52</f>
        <v>49003.137931034471</v>
      </c>
      <c r="U53" s="18">
        <f t="shared" ref="U53" si="39">U49*U52</f>
        <v>51262.991379310326</v>
      </c>
      <c r="V53" s="18">
        <f t="shared" ref="V53" si="40">V49*V52</f>
        <v>53522.844827586188</v>
      </c>
      <c r="W53" s="18">
        <f t="shared" ref="W53" si="41">W49*W52</f>
        <v>55782.698275862051</v>
      </c>
      <c r="X53" s="18">
        <f t="shared" ref="X53" si="42">X49*X52</f>
        <v>58042.55172413792</v>
      </c>
      <c r="Y53" s="18">
        <f t="shared" ref="Y53" si="43">Y49*Y52</f>
        <v>60302.405172413783</v>
      </c>
      <c r="Z53" s="18">
        <f t="shared" ref="Z53" si="44">Z49*Z52</f>
        <v>62562.258620689645</v>
      </c>
      <c r="AA53" s="18">
        <f t="shared" ref="AA53" si="45">AA49*AA52</f>
        <v>64822.112068965507</v>
      </c>
      <c r="AB53" s="18">
        <f t="shared" ref="AB53" si="46">AB49*AB52</f>
        <v>67081.965517241362</v>
      </c>
      <c r="AC53" s="18">
        <f t="shared" ref="AC53" si="47">AC49*AC52</f>
        <v>69341.818965517232</v>
      </c>
      <c r="AD53" s="18">
        <f t="shared" ref="AD53" si="48">AD49*AD52</f>
        <v>71601.672413793087</v>
      </c>
      <c r="AE53" s="18">
        <f t="shared" ref="AE53" si="49">AE49*AE52</f>
        <v>73861.525862068956</v>
      </c>
      <c r="AF53" s="18">
        <f t="shared" ref="AF53" si="50">AF49*AF52</f>
        <v>76121.379310344812</v>
      </c>
      <c r="AG53" s="18">
        <f t="shared" ref="AG53" si="51">AG49*AG52</f>
        <v>78381.232758620652</v>
      </c>
      <c r="AH53" s="18">
        <f t="shared" ref="AH53" si="52">AH49*AH52</f>
        <v>80641.086206896536</v>
      </c>
      <c r="AI53" s="18">
        <f t="shared" ref="AI53" si="53">AI49*AI52</f>
        <v>82900.939655172377</v>
      </c>
      <c r="AJ53" s="18">
        <f t="shared" ref="AJ53" si="54">AJ49*AJ52</f>
        <v>85160.793103448261</v>
      </c>
      <c r="AK53" s="18">
        <f t="shared" ref="AK53" si="55">AK49*AK52</f>
        <v>87420.646551724101</v>
      </c>
      <c r="AL53" s="18">
        <f t="shared" ref="AL53" si="56">AL49*AL52</f>
        <v>89680.499999999985</v>
      </c>
      <c r="AM53" s="18">
        <f t="shared" ref="AM53" si="57">AM49*AM52</f>
        <v>91940.353448275826</v>
      </c>
      <c r="AN53" s="18">
        <f t="shared" ref="AN53" si="58">AN49*AN52</f>
        <v>94200.206896551696</v>
      </c>
      <c r="AO53" s="18">
        <f t="shared" ref="AO53" si="59">AO49*AO52</f>
        <v>96460.060344827551</v>
      </c>
      <c r="AP53" s="18">
        <f t="shared" ref="AP53" si="60">AP49*AP52</f>
        <v>98719.91379310342</v>
      </c>
      <c r="AQ53" s="18">
        <f t="shared" ref="AQ53" si="61">AQ49*AQ52</f>
        <v>100979.76724137928</v>
      </c>
      <c r="AR53" s="18">
        <f t="shared" ref="AR53" si="62">AR49*AR52</f>
        <v>103239.62068965514</v>
      </c>
    </row>
    <row r="54" spans="1:44" x14ac:dyDescent="0.2">
      <c r="C54" s="21"/>
      <c r="D54" s="70"/>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row>
    <row r="55" spans="1:44" ht="15" x14ac:dyDescent="0.25">
      <c r="A55" s="2" t="s">
        <v>272</v>
      </c>
      <c r="C55" s="71"/>
      <c r="D55" s="70"/>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row>
    <row r="56" spans="1:44" x14ac:dyDescent="0.2">
      <c r="B56" s="1" t="s">
        <v>298</v>
      </c>
      <c r="C56" s="21" t="s">
        <v>289</v>
      </c>
      <c r="D56" s="70">
        <f>SUM(F56:AR56)</f>
        <v>2297953.7608206891</v>
      </c>
      <c r="F56" s="18">
        <f>F36+F53</f>
        <v>0</v>
      </c>
      <c r="G56" s="18">
        <f t="shared" ref="G56:AR56" si="63">G36+G53</f>
        <v>0</v>
      </c>
      <c r="H56" s="18">
        <f t="shared" si="63"/>
        <v>0</v>
      </c>
      <c r="I56" s="18">
        <f t="shared" si="63"/>
        <v>0</v>
      </c>
      <c r="J56" s="18">
        <f t="shared" si="63"/>
        <v>23593.998731034488</v>
      </c>
      <c r="K56" s="18">
        <f t="shared" si="63"/>
        <v>25924.507494827583</v>
      </c>
      <c r="L56" s="18">
        <f t="shared" si="63"/>
        <v>28304.077041379307</v>
      </c>
      <c r="M56" s="18">
        <f t="shared" si="63"/>
        <v>30732.707370689655</v>
      </c>
      <c r="N56" s="18">
        <f t="shared" si="63"/>
        <v>33397.932965517233</v>
      </c>
      <c r="O56" s="18">
        <f t="shared" si="63"/>
        <v>36335.624515517236</v>
      </c>
      <c r="P56" s="18">
        <f t="shared" si="63"/>
        <v>39158.756158620679</v>
      </c>
      <c r="Q56" s="18">
        <f t="shared" si="63"/>
        <v>42278.26754999999</v>
      </c>
      <c r="R56" s="18">
        <f t="shared" si="63"/>
        <v>45271.428275862054</v>
      </c>
      <c r="S56" s="18">
        <f t="shared" si="63"/>
        <v>47584.100244827576</v>
      </c>
      <c r="T56" s="18">
        <f t="shared" si="63"/>
        <v>49898.005410344813</v>
      </c>
      <c r="U56" s="18">
        <f t="shared" si="63"/>
        <v>52213.143772413772</v>
      </c>
      <c r="V56" s="18">
        <f t="shared" si="63"/>
        <v>54529.515331034461</v>
      </c>
      <c r="W56" s="18">
        <f t="shared" si="63"/>
        <v>56847.12008620688</v>
      </c>
      <c r="X56" s="18">
        <f t="shared" si="63"/>
        <v>59181.780662068952</v>
      </c>
      <c r="Y56" s="18">
        <f t="shared" si="63"/>
        <v>61502.468408620676</v>
      </c>
      <c r="Z56" s="18">
        <f t="shared" si="63"/>
        <v>63824.38935172413</v>
      </c>
      <c r="AA56" s="18">
        <f t="shared" si="63"/>
        <v>66147.5434913793</v>
      </c>
      <c r="AB56" s="18">
        <f t="shared" si="63"/>
        <v>68471.930827586184</v>
      </c>
      <c r="AC56" s="18">
        <f t="shared" si="63"/>
        <v>70816.456975862064</v>
      </c>
      <c r="AD56" s="18">
        <f t="shared" si="63"/>
        <v>73143.927303448261</v>
      </c>
      <c r="AE56" s="18">
        <f t="shared" si="63"/>
        <v>75472.630827586196</v>
      </c>
      <c r="AF56" s="18">
        <f t="shared" si="63"/>
        <v>77802.567548275852</v>
      </c>
      <c r="AG56" s="18">
        <f t="shared" si="63"/>
        <v>80133.737465517203</v>
      </c>
      <c r="AH56" s="18">
        <f t="shared" si="63"/>
        <v>82488.129186206876</v>
      </c>
      <c r="AI56" s="18">
        <f t="shared" si="63"/>
        <v>84822.382094827553</v>
      </c>
      <c r="AJ56" s="18">
        <f t="shared" si="63"/>
        <v>87157.868199999983</v>
      </c>
      <c r="AK56" s="18">
        <f t="shared" si="63"/>
        <v>89494.587501724105</v>
      </c>
      <c r="AL56" s="18">
        <f t="shared" si="63"/>
        <v>91832.54</v>
      </c>
      <c r="AM56" s="18">
        <f t="shared" si="63"/>
        <v>94146.654096551691</v>
      </c>
      <c r="AN56" s="18">
        <f t="shared" si="63"/>
        <v>96460.768193103417</v>
      </c>
      <c r="AO56" s="18">
        <f t="shared" si="63"/>
        <v>98774.882289655143</v>
      </c>
      <c r="AP56" s="18">
        <f t="shared" si="63"/>
        <v>101088.99638620687</v>
      </c>
      <c r="AQ56" s="18">
        <f t="shared" si="63"/>
        <v>103403.1104827586</v>
      </c>
      <c r="AR56" s="18">
        <f t="shared" si="63"/>
        <v>105717.22457931032</v>
      </c>
    </row>
    <row r="57" spans="1:44" x14ac:dyDescent="0.2">
      <c r="C57" s="1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row>
    <row r="58" spans="1:44" s="8" customFormat="1" x14ac:dyDescent="0.2">
      <c r="A58" s="7" t="s">
        <v>245</v>
      </c>
      <c r="B58" s="12"/>
      <c r="C58" s="12"/>
    </row>
    <row r="59" spans="1:44" ht="15" x14ac:dyDescent="0.25">
      <c r="A59" s="2" t="s">
        <v>162</v>
      </c>
    </row>
    <row r="60" spans="1:44" ht="15" x14ac:dyDescent="0.25">
      <c r="B60" s="2" t="s">
        <v>161</v>
      </c>
      <c r="C60" s="71"/>
      <c r="D60" s="70"/>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row>
    <row r="61" spans="1:44" x14ac:dyDescent="0.2">
      <c r="B61" s="1" t="s">
        <v>168</v>
      </c>
      <c r="C61" s="71" t="s">
        <v>164</v>
      </c>
      <c r="D61" s="83">
        <f>INPUTS!E120</f>
        <v>17.97</v>
      </c>
      <c r="F61" s="86">
        <f t="shared" ref="F61:J61" si="64">IF(F$7=$D62,$D61,0)</f>
        <v>0</v>
      </c>
      <c r="G61" s="86">
        <f t="shared" si="64"/>
        <v>0</v>
      </c>
      <c r="H61" s="86">
        <f t="shared" si="64"/>
        <v>0</v>
      </c>
      <c r="I61" s="86">
        <f t="shared" si="64"/>
        <v>17.97</v>
      </c>
      <c r="J61" s="86">
        <f t="shared" si="64"/>
        <v>0</v>
      </c>
      <c r="K61" s="86">
        <f>IF(K$7=$D62,$D61,0)</f>
        <v>0</v>
      </c>
      <c r="L61" s="86">
        <f t="shared" ref="L61:AR61" si="65">IF(L$7=$D62,$D61,0)</f>
        <v>0</v>
      </c>
      <c r="M61" s="86">
        <f t="shared" si="65"/>
        <v>0</v>
      </c>
      <c r="N61" s="86">
        <f t="shared" si="65"/>
        <v>0</v>
      </c>
      <c r="O61" s="86">
        <f t="shared" si="65"/>
        <v>0</v>
      </c>
      <c r="P61" s="86">
        <f t="shared" si="65"/>
        <v>0</v>
      </c>
      <c r="Q61" s="86">
        <f t="shared" si="65"/>
        <v>0</v>
      </c>
      <c r="R61" s="86">
        <f t="shared" si="65"/>
        <v>0</v>
      </c>
      <c r="S61" s="86">
        <f t="shared" si="65"/>
        <v>0</v>
      </c>
      <c r="T61" s="86">
        <f t="shared" si="65"/>
        <v>0</v>
      </c>
      <c r="U61" s="86">
        <f t="shared" si="65"/>
        <v>0</v>
      </c>
      <c r="V61" s="86">
        <f t="shared" si="65"/>
        <v>0</v>
      </c>
      <c r="W61" s="86">
        <f t="shared" si="65"/>
        <v>0</v>
      </c>
      <c r="X61" s="86">
        <f t="shared" si="65"/>
        <v>0</v>
      </c>
      <c r="Y61" s="86">
        <f t="shared" si="65"/>
        <v>0</v>
      </c>
      <c r="Z61" s="86">
        <f t="shared" si="65"/>
        <v>0</v>
      </c>
      <c r="AA61" s="86">
        <f t="shared" si="65"/>
        <v>0</v>
      </c>
      <c r="AB61" s="86">
        <f t="shared" si="65"/>
        <v>0</v>
      </c>
      <c r="AC61" s="86">
        <f t="shared" si="65"/>
        <v>0</v>
      </c>
      <c r="AD61" s="86">
        <f t="shared" si="65"/>
        <v>0</v>
      </c>
      <c r="AE61" s="86">
        <f t="shared" si="65"/>
        <v>0</v>
      </c>
      <c r="AF61" s="86">
        <f t="shared" si="65"/>
        <v>0</v>
      </c>
      <c r="AG61" s="86">
        <f t="shared" si="65"/>
        <v>0</v>
      </c>
      <c r="AH61" s="86">
        <f t="shared" si="65"/>
        <v>0</v>
      </c>
      <c r="AI61" s="86">
        <f t="shared" si="65"/>
        <v>0</v>
      </c>
      <c r="AJ61" s="86">
        <f t="shared" si="65"/>
        <v>0</v>
      </c>
      <c r="AK61" s="86">
        <f t="shared" si="65"/>
        <v>0</v>
      </c>
      <c r="AL61" s="86">
        <f t="shared" si="65"/>
        <v>0</v>
      </c>
      <c r="AM61" s="86">
        <f t="shared" si="65"/>
        <v>0</v>
      </c>
      <c r="AN61" s="86">
        <f t="shared" si="65"/>
        <v>0</v>
      </c>
      <c r="AO61" s="86">
        <f t="shared" si="65"/>
        <v>0</v>
      </c>
      <c r="AP61" s="86">
        <f t="shared" si="65"/>
        <v>0</v>
      </c>
      <c r="AQ61" s="86">
        <f t="shared" si="65"/>
        <v>0</v>
      </c>
      <c r="AR61" s="86">
        <f t="shared" si="65"/>
        <v>0</v>
      </c>
    </row>
    <row r="62" spans="1:44" x14ac:dyDescent="0.2">
      <c r="B62" s="1" t="s">
        <v>169</v>
      </c>
      <c r="C62" s="71" t="s">
        <v>123</v>
      </c>
      <c r="D62" s="22">
        <f>INPUTS!E121</f>
        <v>2021</v>
      </c>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row>
    <row r="63" spans="1:44" x14ac:dyDescent="0.2">
      <c r="B63" s="1" t="s">
        <v>170</v>
      </c>
      <c r="C63" s="71" t="s">
        <v>164</v>
      </c>
      <c r="D63" s="83">
        <f>INPUTS!E122</f>
        <v>65.599999999999994</v>
      </c>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row>
    <row r="64" spans="1:44" x14ac:dyDescent="0.2">
      <c r="B64" s="1" t="s">
        <v>170</v>
      </c>
      <c r="C64" s="71" t="s">
        <v>123</v>
      </c>
      <c r="D64" s="22">
        <f>INPUTS!E123</f>
        <v>2050</v>
      </c>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row>
    <row r="65" spans="1:44" x14ac:dyDescent="0.2">
      <c r="B65" s="1" t="s">
        <v>279</v>
      </c>
      <c r="C65" s="71" t="s">
        <v>164</v>
      </c>
      <c r="D65" s="17">
        <f>(D63-D61)/(D64-D62)</f>
        <v>1.6424137931034481</v>
      </c>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row>
    <row r="66" spans="1:44" x14ac:dyDescent="0.2">
      <c r="B66" s="1" t="s">
        <v>280</v>
      </c>
      <c r="C66" s="71" t="s">
        <v>281</v>
      </c>
      <c r="D66" s="19"/>
      <c r="F66" s="18">
        <f>IF(F$7&gt;$D62,1,0)</f>
        <v>0</v>
      </c>
      <c r="G66" s="18">
        <f t="shared" ref="G66:AR66" si="66">IF(G$7&gt;$D62,1,0)</f>
        <v>0</v>
      </c>
      <c r="H66" s="18">
        <f t="shared" si="66"/>
        <v>0</v>
      </c>
      <c r="I66" s="18">
        <f t="shared" si="66"/>
        <v>0</v>
      </c>
      <c r="J66" s="18">
        <f t="shared" si="66"/>
        <v>1</v>
      </c>
      <c r="K66" s="18">
        <f t="shared" si="66"/>
        <v>1</v>
      </c>
      <c r="L66" s="18">
        <f t="shared" si="66"/>
        <v>1</v>
      </c>
      <c r="M66" s="18">
        <f t="shared" si="66"/>
        <v>1</v>
      </c>
      <c r="N66" s="18">
        <f t="shared" si="66"/>
        <v>1</v>
      </c>
      <c r="O66" s="18">
        <f t="shared" si="66"/>
        <v>1</v>
      </c>
      <c r="P66" s="18">
        <f t="shared" si="66"/>
        <v>1</v>
      </c>
      <c r="Q66" s="18">
        <f t="shared" si="66"/>
        <v>1</v>
      </c>
      <c r="R66" s="18">
        <f t="shared" si="66"/>
        <v>1</v>
      </c>
      <c r="S66" s="18">
        <f t="shared" si="66"/>
        <v>1</v>
      </c>
      <c r="T66" s="18">
        <f t="shared" si="66"/>
        <v>1</v>
      </c>
      <c r="U66" s="18">
        <f t="shared" si="66"/>
        <v>1</v>
      </c>
      <c r="V66" s="18">
        <f t="shared" si="66"/>
        <v>1</v>
      </c>
      <c r="W66" s="18">
        <f t="shared" si="66"/>
        <v>1</v>
      </c>
      <c r="X66" s="18">
        <f t="shared" si="66"/>
        <v>1</v>
      </c>
      <c r="Y66" s="18">
        <f t="shared" si="66"/>
        <v>1</v>
      </c>
      <c r="Z66" s="18">
        <f t="shared" si="66"/>
        <v>1</v>
      </c>
      <c r="AA66" s="18">
        <f t="shared" si="66"/>
        <v>1</v>
      </c>
      <c r="AB66" s="18">
        <f t="shared" si="66"/>
        <v>1</v>
      </c>
      <c r="AC66" s="18">
        <f t="shared" si="66"/>
        <v>1</v>
      </c>
      <c r="AD66" s="18">
        <f t="shared" si="66"/>
        <v>1</v>
      </c>
      <c r="AE66" s="18">
        <f t="shared" si="66"/>
        <v>1</v>
      </c>
      <c r="AF66" s="18">
        <f t="shared" si="66"/>
        <v>1</v>
      </c>
      <c r="AG66" s="18">
        <f t="shared" si="66"/>
        <v>1</v>
      </c>
      <c r="AH66" s="18">
        <f t="shared" si="66"/>
        <v>1</v>
      </c>
      <c r="AI66" s="18">
        <f t="shared" si="66"/>
        <v>1</v>
      </c>
      <c r="AJ66" s="18">
        <f t="shared" si="66"/>
        <v>1</v>
      </c>
      <c r="AK66" s="18">
        <f t="shared" si="66"/>
        <v>1</v>
      </c>
      <c r="AL66" s="18">
        <f t="shared" si="66"/>
        <v>1</v>
      </c>
      <c r="AM66" s="18">
        <f t="shared" si="66"/>
        <v>1</v>
      </c>
      <c r="AN66" s="18">
        <f t="shared" si="66"/>
        <v>1</v>
      </c>
      <c r="AO66" s="18">
        <f t="shared" si="66"/>
        <v>1</v>
      </c>
      <c r="AP66" s="18">
        <f t="shared" si="66"/>
        <v>1</v>
      </c>
      <c r="AQ66" s="18">
        <f t="shared" si="66"/>
        <v>1</v>
      </c>
      <c r="AR66" s="18">
        <f t="shared" si="66"/>
        <v>1</v>
      </c>
    </row>
    <row r="67" spans="1:44" ht="15" x14ac:dyDescent="0.25">
      <c r="A67" s="2"/>
      <c r="B67" s="1" t="s">
        <v>303</v>
      </c>
      <c r="C67" s="71" t="s">
        <v>164</v>
      </c>
      <c r="D67" s="83">
        <f>SUM(F67:AR67)</f>
        <v>1681.640689655173</v>
      </c>
      <c r="F67" s="83">
        <f t="shared" ref="F67:K67" si="67">E67+F61+F66*$D65</f>
        <v>0</v>
      </c>
      <c r="G67" s="83">
        <f t="shared" si="67"/>
        <v>0</v>
      </c>
      <c r="H67" s="83">
        <f t="shared" si="67"/>
        <v>0</v>
      </c>
      <c r="I67" s="83">
        <f t="shared" si="67"/>
        <v>17.97</v>
      </c>
      <c r="J67" s="83">
        <f t="shared" si="67"/>
        <v>19.612413793103446</v>
      </c>
      <c r="K67" s="83">
        <f t="shared" si="67"/>
        <v>21.254827586206893</v>
      </c>
      <c r="L67" s="83">
        <f>K67+L61+L66*$D65</f>
        <v>22.897241379310341</v>
      </c>
      <c r="M67" s="83">
        <f t="shared" ref="M67:AR67" si="68">L67+M61+M66*$D65</f>
        <v>24.539655172413788</v>
      </c>
      <c r="N67" s="83">
        <f t="shared" si="68"/>
        <v>26.182068965517235</v>
      </c>
      <c r="O67" s="83">
        <f t="shared" si="68"/>
        <v>27.824482758620682</v>
      </c>
      <c r="P67" s="83">
        <f t="shared" si="68"/>
        <v>29.46689655172413</v>
      </c>
      <c r="Q67" s="83">
        <f t="shared" si="68"/>
        <v>31.109310344827577</v>
      </c>
      <c r="R67" s="83">
        <f t="shared" si="68"/>
        <v>32.751724137931028</v>
      </c>
      <c r="S67" s="83">
        <f t="shared" si="68"/>
        <v>34.394137931034479</v>
      </c>
      <c r="T67" s="83">
        <f t="shared" si="68"/>
        <v>36.036551724137929</v>
      </c>
      <c r="U67" s="83">
        <f t="shared" si="68"/>
        <v>37.67896551724138</v>
      </c>
      <c r="V67" s="83">
        <f t="shared" si="68"/>
        <v>39.321379310344831</v>
      </c>
      <c r="W67" s="83">
        <f t="shared" si="68"/>
        <v>40.963793103448282</v>
      </c>
      <c r="X67" s="83">
        <f t="shared" si="68"/>
        <v>42.606206896551733</v>
      </c>
      <c r="Y67" s="83">
        <f t="shared" si="68"/>
        <v>44.248620689655183</v>
      </c>
      <c r="Z67" s="83">
        <f t="shared" si="68"/>
        <v>45.891034482758634</v>
      </c>
      <c r="AA67" s="83">
        <f t="shared" si="68"/>
        <v>47.533448275862085</v>
      </c>
      <c r="AB67" s="83">
        <f t="shared" si="68"/>
        <v>49.175862068965536</v>
      </c>
      <c r="AC67" s="83">
        <f t="shared" si="68"/>
        <v>50.818275862068987</v>
      </c>
      <c r="AD67" s="83">
        <f t="shared" si="68"/>
        <v>52.460689655172438</v>
      </c>
      <c r="AE67" s="83">
        <f t="shared" si="68"/>
        <v>54.103103448275888</v>
      </c>
      <c r="AF67" s="83">
        <f t="shared" si="68"/>
        <v>55.745517241379339</v>
      </c>
      <c r="AG67" s="83">
        <f t="shared" si="68"/>
        <v>57.38793103448279</v>
      </c>
      <c r="AH67" s="83">
        <f t="shared" si="68"/>
        <v>59.030344827586241</v>
      </c>
      <c r="AI67" s="83">
        <f t="shared" si="68"/>
        <v>60.672758620689692</v>
      </c>
      <c r="AJ67" s="83">
        <f t="shared" si="68"/>
        <v>62.315172413793142</v>
      </c>
      <c r="AK67" s="83">
        <f t="shared" si="68"/>
        <v>63.957586206896593</v>
      </c>
      <c r="AL67" s="83">
        <f t="shared" si="68"/>
        <v>65.600000000000037</v>
      </c>
      <c r="AM67" s="83">
        <f t="shared" si="68"/>
        <v>67.242413793103481</v>
      </c>
      <c r="AN67" s="83">
        <f t="shared" si="68"/>
        <v>68.884827586206924</v>
      </c>
      <c r="AO67" s="83">
        <f t="shared" si="68"/>
        <v>70.527241379310368</v>
      </c>
      <c r="AP67" s="83">
        <f t="shared" si="68"/>
        <v>72.169655172413812</v>
      </c>
      <c r="AQ67" s="83">
        <f t="shared" si="68"/>
        <v>73.812068965517255</v>
      </c>
      <c r="AR67" s="83">
        <f t="shared" si="68"/>
        <v>75.454482758620699</v>
      </c>
    </row>
    <row r="68" spans="1:44" ht="15" x14ac:dyDescent="0.25">
      <c r="A68" s="2"/>
      <c r="B68" s="1" t="s">
        <v>304</v>
      </c>
      <c r="C68" s="71" t="s">
        <v>305</v>
      </c>
      <c r="D68" s="83">
        <f>INPUTS!$E$28</f>
        <v>1000</v>
      </c>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row>
    <row r="69" spans="1:44" ht="15" x14ac:dyDescent="0.25">
      <c r="A69" s="2"/>
      <c r="B69" s="1" t="s">
        <v>306</v>
      </c>
      <c r="C69" s="71" t="s">
        <v>307</v>
      </c>
      <c r="D69" s="83">
        <f>INPUTS!$E$27</f>
        <v>365</v>
      </c>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row>
    <row r="70" spans="1:44" ht="15" x14ac:dyDescent="0.25">
      <c r="A70" s="2"/>
      <c r="B70" s="1" t="s">
        <v>303</v>
      </c>
      <c r="C70" s="71" t="s">
        <v>308</v>
      </c>
      <c r="D70" s="83">
        <f>SUM(F70:AR70)</f>
        <v>613.79885172413822</v>
      </c>
      <c r="F70" s="83">
        <f t="shared" ref="F70:AG70" si="69">F67*$D69/$D68</f>
        <v>0</v>
      </c>
      <c r="G70" s="83">
        <f t="shared" si="69"/>
        <v>0</v>
      </c>
      <c r="H70" s="83">
        <f t="shared" si="69"/>
        <v>0</v>
      </c>
      <c r="I70" s="83">
        <f t="shared" si="69"/>
        <v>6.5590499999999992</v>
      </c>
      <c r="J70" s="83">
        <f t="shared" si="69"/>
        <v>7.158531034482758</v>
      </c>
      <c r="K70" s="83">
        <f t="shared" si="69"/>
        <v>7.7580120689655159</v>
      </c>
      <c r="L70" s="83">
        <f t="shared" si="69"/>
        <v>8.3574931034482738</v>
      </c>
      <c r="M70" s="83">
        <f t="shared" si="69"/>
        <v>8.9569741379310326</v>
      </c>
      <c r="N70" s="83">
        <f t="shared" si="69"/>
        <v>9.5564551724137914</v>
      </c>
      <c r="O70" s="83">
        <f t="shared" si="69"/>
        <v>10.155936206896548</v>
      </c>
      <c r="P70" s="83">
        <f t="shared" si="69"/>
        <v>10.755417241379307</v>
      </c>
      <c r="Q70" s="83">
        <f t="shared" si="69"/>
        <v>11.354898275862066</v>
      </c>
      <c r="R70" s="83">
        <f t="shared" si="69"/>
        <v>11.954379310344825</v>
      </c>
      <c r="S70" s="83">
        <f t="shared" si="69"/>
        <v>12.553860344827584</v>
      </c>
      <c r="T70" s="83">
        <f t="shared" si="69"/>
        <v>13.153341379310344</v>
      </c>
      <c r="U70" s="83">
        <f t="shared" si="69"/>
        <v>13.752822413793103</v>
      </c>
      <c r="V70" s="83">
        <f t="shared" si="69"/>
        <v>14.352303448275864</v>
      </c>
      <c r="W70" s="83">
        <f t="shared" si="69"/>
        <v>14.951784482758622</v>
      </c>
      <c r="X70" s="83">
        <f t="shared" si="69"/>
        <v>15.551265517241381</v>
      </c>
      <c r="Y70" s="83">
        <f t="shared" si="69"/>
        <v>16.15074655172414</v>
      </c>
      <c r="Z70" s="83">
        <f t="shared" si="69"/>
        <v>16.750227586206901</v>
      </c>
      <c r="AA70" s="83">
        <f t="shared" si="69"/>
        <v>17.349708620689661</v>
      </c>
      <c r="AB70" s="83">
        <f t="shared" si="69"/>
        <v>17.949189655172422</v>
      </c>
      <c r="AC70" s="83">
        <f t="shared" si="69"/>
        <v>18.548670689655179</v>
      </c>
      <c r="AD70" s="83">
        <f t="shared" si="69"/>
        <v>19.148151724137939</v>
      </c>
      <c r="AE70" s="83">
        <f t="shared" si="69"/>
        <v>19.7476327586207</v>
      </c>
      <c r="AF70" s="83">
        <f t="shared" si="69"/>
        <v>20.347113793103457</v>
      </c>
      <c r="AG70" s="83">
        <f t="shared" si="69"/>
        <v>20.946594827586217</v>
      </c>
      <c r="AH70" s="83">
        <f>AH67*$D69/$D68</f>
        <v>21.546075862068978</v>
      </c>
      <c r="AI70" s="83">
        <f t="shared" ref="AI70:AR70" si="70">AI67*$D69/$D68</f>
        <v>22.145556896551739</v>
      </c>
      <c r="AJ70" s="83">
        <f t="shared" si="70"/>
        <v>22.745037931034499</v>
      </c>
      <c r="AK70" s="83">
        <f t="shared" si="70"/>
        <v>23.34451896551726</v>
      </c>
      <c r="AL70" s="83">
        <f t="shared" si="70"/>
        <v>23.944000000000013</v>
      </c>
      <c r="AM70" s="83">
        <f t="shared" si="70"/>
        <v>24.54348103448277</v>
      </c>
      <c r="AN70" s="83">
        <f t="shared" si="70"/>
        <v>25.142962068965527</v>
      </c>
      <c r="AO70" s="83">
        <f t="shared" si="70"/>
        <v>25.742443103448284</v>
      </c>
      <c r="AP70" s="83">
        <f t="shared" si="70"/>
        <v>26.341924137931041</v>
      </c>
      <c r="AQ70" s="83">
        <f t="shared" si="70"/>
        <v>26.941405172413798</v>
      </c>
      <c r="AR70" s="83">
        <f t="shared" si="70"/>
        <v>27.540886206896552</v>
      </c>
    </row>
    <row r="71" spans="1:44" ht="15" x14ac:dyDescent="0.25">
      <c r="A71" s="2"/>
      <c r="C71" s="71"/>
      <c r="D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row>
    <row r="72" spans="1:44" ht="15" x14ac:dyDescent="0.25">
      <c r="B72" s="2" t="s">
        <v>309</v>
      </c>
      <c r="C72" s="71"/>
      <c r="D72" s="83"/>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row>
    <row r="73" spans="1:44" x14ac:dyDescent="0.2">
      <c r="B73" s="1" t="s">
        <v>310</v>
      </c>
      <c r="C73" s="71" t="s">
        <v>173</v>
      </c>
      <c r="D73" s="87"/>
      <c r="F73" s="18">
        <f>IFERROR(HLOOKUP(F$7,INPUTS!$H$131:$AJ$135,5),0)</f>
        <v>0</v>
      </c>
      <c r="G73" s="18">
        <f>IFERROR(HLOOKUP(G$7,INPUTS!$H$131:$AJ$135,5),0)</f>
        <v>0</v>
      </c>
      <c r="H73" s="18">
        <f>IFERROR(HLOOKUP(H$7,INPUTS!$H$131:$AJ$135,5),0)</f>
        <v>0</v>
      </c>
      <c r="I73" s="18">
        <f>IFERROR(HLOOKUP(I$7,INPUTS!$H$131:$AJ$135,5),0)</f>
        <v>0</v>
      </c>
      <c r="J73" s="18">
        <f>IFERROR(HLOOKUP(J$7,INPUTS!$H$131:$AJ$135,5),0)</f>
        <v>56</v>
      </c>
      <c r="K73" s="18">
        <f>IFERROR(HLOOKUP(K$7,INPUTS!$H$131:$AJ$135,5),0)</f>
        <v>57</v>
      </c>
      <c r="L73" s="18">
        <f>IFERROR(HLOOKUP(L$7,INPUTS!$H$131:$AJ$135,5),0)</f>
        <v>58</v>
      </c>
      <c r="M73" s="18">
        <f>IFERROR(HLOOKUP(M$7,INPUTS!$H$131:$AJ$135,5),0)</f>
        <v>59</v>
      </c>
      <c r="N73" s="18">
        <f>IFERROR(HLOOKUP(N$7,INPUTS!$H$131:$AJ$135,5),0)</f>
        <v>60</v>
      </c>
      <c r="O73" s="18">
        <f>IFERROR(HLOOKUP(O$7,INPUTS!$H$131:$AJ$135,5),0)</f>
        <v>61</v>
      </c>
      <c r="P73" s="18">
        <f>IFERROR(HLOOKUP(P$7,INPUTS!$H$131:$AJ$135,5),0)</f>
        <v>62</v>
      </c>
      <c r="Q73" s="18">
        <f>IFERROR(HLOOKUP(Q$7,INPUTS!$H$131:$AJ$135,5),0)</f>
        <v>63</v>
      </c>
      <c r="R73" s="18">
        <f>IFERROR(HLOOKUP(R$7,INPUTS!$H$131:$AJ$135,5),0)</f>
        <v>65</v>
      </c>
      <c r="S73" s="18">
        <f>IFERROR(HLOOKUP(S$7,INPUTS!$H$131:$AJ$135,5),0)</f>
        <v>66</v>
      </c>
      <c r="T73" s="18">
        <f>IFERROR(HLOOKUP(T$7,INPUTS!$H$131:$AJ$135,5),0)</f>
        <v>67</v>
      </c>
      <c r="U73" s="18">
        <f>IFERROR(HLOOKUP(U$7,INPUTS!$H$131:$AJ$135,5),0)</f>
        <v>68</v>
      </c>
      <c r="V73" s="18">
        <f>IFERROR(HLOOKUP(V$7,INPUTS!$H$131:$AJ$135,5),0)</f>
        <v>69</v>
      </c>
      <c r="W73" s="18">
        <f>IFERROR(HLOOKUP(W$7,INPUTS!$H$131:$AJ$135,5),0)</f>
        <v>70</v>
      </c>
      <c r="X73" s="18">
        <f>IFERROR(HLOOKUP(X$7,INPUTS!$H$131:$AJ$135,5),0)</f>
        <v>72</v>
      </c>
      <c r="Y73" s="18">
        <f>IFERROR(HLOOKUP(Y$7,INPUTS!$H$131:$AJ$135,5),0)</f>
        <v>73</v>
      </c>
      <c r="Z73" s="18">
        <f>IFERROR(HLOOKUP(Z$7,INPUTS!$H$131:$AJ$135,5),0)</f>
        <v>74</v>
      </c>
      <c r="AA73" s="18">
        <f>IFERROR(HLOOKUP(AA$7,INPUTS!$H$131:$AJ$135,5),0)</f>
        <v>75</v>
      </c>
      <c r="AB73" s="18">
        <f>IFERROR(HLOOKUP(AB$7,INPUTS!$H$131:$AJ$135,5),0)</f>
        <v>76</v>
      </c>
      <c r="AC73" s="18">
        <f>IFERROR(HLOOKUP(AC$7,INPUTS!$H$131:$AJ$135,5),0)</f>
        <v>78</v>
      </c>
      <c r="AD73" s="18">
        <f>IFERROR(HLOOKUP(AD$7,INPUTS!$H$131:$AJ$135,5),0)</f>
        <v>79</v>
      </c>
      <c r="AE73" s="18">
        <f>IFERROR(HLOOKUP(AE$7,INPUTS!$H$131:$AJ$135,5),0)</f>
        <v>80</v>
      </c>
      <c r="AF73" s="18">
        <f>IFERROR(HLOOKUP(AF$7,INPUTS!$H$131:$AJ$135,5),0)</f>
        <v>81</v>
      </c>
      <c r="AG73" s="18">
        <f>IFERROR(HLOOKUP(AG$7,INPUTS!$H$131:$AJ$135,5),0)</f>
        <v>82</v>
      </c>
      <c r="AH73" s="18">
        <f>IFERROR(HLOOKUP(AH$7,INPUTS!$H$131:$AJ$135,5),0)</f>
        <v>84</v>
      </c>
      <c r="AI73" s="18">
        <f>IFERROR(HLOOKUP(AI$7,INPUTS!$H$131:$AJ$135,5),0)</f>
        <v>85</v>
      </c>
      <c r="AJ73" s="18">
        <f>IFERROR(HLOOKUP(AJ$7,INPUTS!$H$131:$AJ$135,5),0)</f>
        <v>86</v>
      </c>
      <c r="AK73" s="18">
        <f>IFERROR(HLOOKUP(AK$7,INPUTS!$H$131:$AJ$135,5),0)</f>
        <v>87</v>
      </c>
      <c r="AL73" s="18">
        <f>IFERROR(HLOOKUP(AL$7,INPUTS!$H$131:$AJ$135,5),0)</f>
        <v>88</v>
      </c>
      <c r="AM73" s="18">
        <f>IFERROR(HLOOKUP(AM$7,INPUTS!$H$131:$AJ$135,5),0)</f>
        <v>88</v>
      </c>
      <c r="AN73" s="18">
        <f>IFERROR(HLOOKUP(AN$7,INPUTS!$H$131:$AJ$135,5),0)</f>
        <v>88</v>
      </c>
      <c r="AO73" s="18">
        <f>IFERROR(HLOOKUP(AO$7,INPUTS!$H$131:$AJ$135,5),0)</f>
        <v>88</v>
      </c>
      <c r="AP73" s="18">
        <f>IFERROR(HLOOKUP(AP$7,INPUTS!$H$131:$AJ$135,5),0)</f>
        <v>88</v>
      </c>
      <c r="AQ73" s="18">
        <f>IFERROR(HLOOKUP(AQ$7,INPUTS!$H$131:$AJ$135,5),0)</f>
        <v>88</v>
      </c>
      <c r="AR73" s="18">
        <f>IFERROR(HLOOKUP(AR$7,INPUTS!$H$131:$AJ$135,5),0)</f>
        <v>88</v>
      </c>
    </row>
    <row r="74" spans="1:44" ht="15" x14ac:dyDescent="0.25">
      <c r="A74" s="2"/>
      <c r="B74" s="1" t="s">
        <v>309</v>
      </c>
      <c r="C74" s="21" t="s">
        <v>311</v>
      </c>
      <c r="D74" s="18">
        <f>SUM(F74:AR74)</f>
        <v>47535.624468965536</v>
      </c>
      <c r="F74" s="18">
        <f t="shared" ref="F74" si="71">F70*F73</f>
        <v>0</v>
      </c>
      <c r="G74" s="18">
        <f t="shared" ref="G74" si="72">G70*G73</f>
        <v>0</v>
      </c>
      <c r="H74" s="18">
        <f t="shared" ref="H74" si="73">H70*H73</f>
        <v>0</v>
      </c>
      <c r="I74" s="18">
        <f t="shared" ref="I74" si="74">I70*I73</f>
        <v>0</v>
      </c>
      <c r="J74" s="18">
        <f t="shared" ref="J74" si="75">J70*J73</f>
        <v>400.87773793103446</v>
      </c>
      <c r="K74" s="18">
        <f>K70*K73</f>
        <v>442.20668793103442</v>
      </c>
      <c r="L74" s="18">
        <f t="shared" ref="L74" si="76">L70*L73</f>
        <v>484.73459999999989</v>
      </c>
      <c r="M74" s="18">
        <f t="shared" ref="M74" si="77">M70*M73</f>
        <v>528.46147413793096</v>
      </c>
      <c r="N74" s="18">
        <f t="shared" ref="N74" si="78">N70*N73</f>
        <v>573.38731034482748</v>
      </c>
      <c r="O74" s="18">
        <f t="shared" ref="O74" si="79">O70*O73</f>
        <v>619.51210862068945</v>
      </c>
      <c r="P74" s="18">
        <f t="shared" ref="P74" si="80">P70*P73</f>
        <v>666.83586896551708</v>
      </c>
      <c r="Q74" s="18">
        <f t="shared" ref="Q74" si="81">Q70*Q73</f>
        <v>715.35859137931016</v>
      </c>
      <c r="R74" s="18">
        <f t="shared" ref="R74" si="82">R70*R73</f>
        <v>777.03465517241364</v>
      </c>
      <c r="S74" s="18">
        <f t="shared" ref="S74" si="83">S70*S73</f>
        <v>828.55478275862049</v>
      </c>
      <c r="T74" s="18">
        <f t="shared" ref="T74" si="84">T70*T73</f>
        <v>881.27387241379301</v>
      </c>
      <c r="U74" s="18">
        <f t="shared" ref="U74" si="85">U70*U73</f>
        <v>935.19192413793098</v>
      </c>
      <c r="V74" s="18">
        <f t="shared" ref="V74" si="86">V70*V73</f>
        <v>990.30893793103462</v>
      </c>
      <c r="W74" s="18">
        <f t="shared" ref="W74" si="87">W70*W73</f>
        <v>1046.6249137931036</v>
      </c>
      <c r="X74" s="18">
        <f t="shared" ref="X74" si="88">X70*X73</f>
        <v>1119.6911172413795</v>
      </c>
      <c r="Y74" s="18">
        <f t="shared" ref="Y74" si="89">Y70*Y73</f>
        <v>1179.0044982758623</v>
      </c>
      <c r="Z74" s="18">
        <f t="shared" ref="Z74" si="90">Z70*Z73</f>
        <v>1239.5168413793106</v>
      </c>
      <c r="AA74" s="18">
        <f t="shared" ref="AA74" si="91">AA70*AA73</f>
        <v>1301.2281465517246</v>
      </c>
      <c r="AB74" s="18">
        <f t="shared" ref="AB74" si="92">AB70*AB73</f>
        <v>1364.1384137931041</v>
      </c>
      <c r="AC74" s="18">
        <f t="shared" ref="AC74" si="93">AC70*AC73</f>
        <v>1446.796313793104</v>
      </c>
      <c r="AD74" s="18">
        <f t="shared" ref="AD74" si="94">AD70*AD73</f>
        <v>1512.7039862068973</v>
      </c>
      <c r="AE74" s="18">
        <f t="shared" ref="AE74" si="95">AE70*AE73</f>
        <v>1579.8106206896559</v>
      </c>
      <c r="AF74" s="18">
        <f t="shared" ref="AF74" si="96">AF70*AF73</f>
        <v>1648.1162172413799</v>
      </c>
      <c r="AG74" s="18">
        <f t="shared" ref="AG74" si="97">AG70*AG73</f>
        <v>1717.6207758620699</v>
      </c>
      <c r="AH74" s="18">
        <f t="shared" ref="AH74" si="98">AH70*AH73</f>
        <v>1809.8703724137943</v>
      </c>
      <c r="AI74" s="18">
        <f t="shared" ref="AI74" si="99">AI70*AI73</f>
        <v>1882.3723362068977</v>
      </c>
      <c r="AJ74" s="18">
        <f t="shared" ref="AJ74" si="100">AJ70*AJ73</f>
        <v>1956.0732620689669</v>
      </c>
      <c r="AK74" s="18">
        <f t="shared" ref="AK74" si="101">AK70*AK73</f>
        <v>2030.9731500000016</v>
      </c>
      <c r="AL74" s="18">
        <f t="shared" ref="AL74" si="102">AL70*AL73</f>
        <v>2107.072000000001</v>
      </c>
      <c r="AM74" s="18">
        <f t="shared" ref="AM74" si="103">AM70*AM73</f>
        <v>2159.8263310344837</v>
      </c>
      <c r="AN74" s="18">
        <f t="shared" ref="AN74" si="104">AN70*AN73</f>
        <v>2212.5806620689664</v>
      </c>
      <c r="AO74" s="18">
        <f t="shared" ref="AO74" si="105">AO70*AO73</f>
        <v>2265.3349931034491</v>
      </c>
      <c r="AP74" s="18">
        <f t="shared" ref="AP74" si="106">AP70*AP73</f>
        <v>2318.0893241379317</v>
      </c>
      <c r="AQ74" s="18">
        <f t="shared" ref="AQ74" si="107">AQ70*AQ73</f>
        <v>2370.8436551724144</v>
      </c>
      <c r="AR74" s="18">
        <f t="shared" ref="AR74" si="108">AR70*AR73</f>
        <v>2423.5979862068966</v>
      </c>
    </row>
    <row r="75" spans="1:44" ht="15" x14ac:dyDescent="0.25">
      <c r="A75" s="2"/>
      <c r="C75" s="21"/>
      <c r="D75" s="17"/>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row>
    <row r="76" spans="1:44" ht="15" x14ac:dyDescent="0.25">
      <c r="A76" s="2" t="s">
        <v>166</v>
      </c>
      <c r="C76" s="21"/>
      <c r="D76" s="17"/>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row>
    <row r="77" spans="1:44" ht="15" x14ac:dyDescent="0.25">
      <c r="B77" s="2" t="s">
        <v>161</v>
      </c>
      <c r="C77" s="71"/>
      <c r="D77" s="70"/>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row>
    <row r="78" spans="1:44" x14ac:dyDescent="0.2">
      <c r="B78" s="1" t="s">
        <v>169</v>
      </c>
      <c r="C78" s="71" t="s">
        <v>164</v>
      </c>
      <c r="D78" s="83">
        <f>INPUTS!E125</f>
        <v>3.49</v>
      </c>
      <c r="F78" s="86">
        <f t="shared" ref="F78:J78" si="109">IF(F$7=$D79,$D78,0)</f>
        <v>0</v>
      </c>
      <c r="G78" s="86">
        <f t="shared" si="109"/>
        <v>0</v>
      </c>
      <c r="H78" s="86">
        <f t="shared" si="109"/>
        <v>0</v>
      </c>
      <c r="I78" s="86">
        <f t="shared" si="109"/>
        <v>3.49</v>
      </c>
      <c r="J78" s="86">
        <f t="shared" si="109"/>
        <v>0</v>
      </c>
      <c r="K78" s="86">
        <f>IF(K$7=$D79,$D78,0)</f>
        <v>0</v>
      </c>
      <c r="L78" s="86">
        <f t="shared" ref="L78:AR78" si="110">IF(L$7=$D79,$D78,0)</f>
        <v>0</v>
      </c>
      <c r="M78" s="86">
        <f t="shared" si="110"/>
        <v>0</v>
      </c>
      <c r="N78" s="86">
        <f t="shared" si="110"/>
        <v>0</v>
      </c>
      <c r="O78" s="86">
        <f t="shared" si="110"/>
        <v>0</v>
      </c>
      <c r="P78" s="86">
        <f t="shared" si="110"/>
        <v>0</v>
      </c>
      <c r="Q78" s="86">
        <f t="shared" si="110"/>
        <v>0</v>
      </c>
      <c r="R78" s="86">
        <f t="shared" si="110"/>
        <v>0</v>
      </c>
      <c r="S78" s="86">
        <f t="shared" si="110"/>
        <v>0</v>
      </c>
      <c r="T78" s="86">
        <f t="shared" si="110"/>
        <v>0</v>
      </c>
      <c r="U78" s="86">
        <f t="shared" si="110"/>
        <v>0</v>
      </c>
      <c r="V78" s="86">
        <f t="shared" si="110"/>
        <v>0</v>
      </c>
      <c r="W78" s="86">
        <f t="shared" si="110"/>
        <v>0</v>
      </c>
      <c r="X78" s="86">
        <f t="shared" si="110"/>
        <v>0</v>
      </c>
      <c r="Y78" s="86">
        <f t="shared" si="110"/>
        <v>0</v>
      </c>
      <c r="Z78" s="86">
        <f t="shared" si="110"/>
        <v>0</v>
      </c>
      <c r="AA78" s="86">
        <f t="shared" si="110"/>
        <v>0</v>
      </c>
      <c r="AB78" s="86">
        <f t="shared" si="110"/>
        <v>0</v>
      </c>
      <c r="AC78" s="86">
        <f t="shared" si="110"/>
        <v>0</v>
      </c>
      <c r="AD78" s="86">
        <f t="shared" si="110"/>
        <v>0</v>
      </c>
      <c r="AE78" s="86">
        <f t="shared" si="110"/>
        <v>0</v>
      </c>
      <c r="AF78" s="86">
        <f t="shared" si="110"/>
        <v>0</v>
      </c>
      <c r="AG78" s="86">
        <f t="shared" si="110"/>
        <v>0</v>
      </c>
      <c r="AH78" s="86">
        <f t="shared" si="110"/>
        <v>0</v>
      </c>
      <c r="AI78" s="86">
        <f t="shared" si="110"/>
        <v>0</v>
      </c>
      <c r="AJ78" s="86">
        <f t="shared" si="110"/>
        <v>0</v>
      </c>
      <c r="AK78" s="86">
        <f t="shared" si="110"/>
        <v>0</v>
      </c>
      <c r="AL78" s="86">
        <f t="shared" si="110"/>
        <v>0</v>
      </c>
      <c r="AM78" s="86">
        <f t="shared" si="110"/>
        <v>0</v>
      </c>
      <c r="AN78" s="86">
        <f t="shared" si="110"/>
        <v>0</v>
      </c>
      <c r="AO78" s="86">
        <f t="shared" si="110"/>
        <v>0</v>
      </c>
      <c r="AP78" s="86">
        <f t="shared" si="110"/>
        <v>0</v>
      </c>
      <c r="AQ78" s="86">
        <f t="shared" si="110"/>
        <v>0</v>
      </c>
      <c r="AR78" s="86">
        <f t="shared" si="110"/>
        <v>0</v>
      </c>
    </row>
    <row r="79" spans="1:44" x14ac:dyDescent="0.2">
      <c r="B79" s="1" t="s">
        <v>169</v>
      </c>
      <c r="C79" s="71" t="s">
        <v>123</v>
      </c>
      <c r="D79" s="22">
        <f>INPUTS!E126</f>
        <v>2021</v>
      </c>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row>
    <row r="80" spans="1:44" x14ac:dyDescent="0.2">
      <c r="B80" s="1" t="s">
        <v>170</v>
      </c>
      <c r="C80" s="71" t="s">
        <v>164</v>
      </c>
      <c r="D80" s="83">
        <f>INPUTS!E127</f>
        <v>12.8</v>
      </c>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row>
    <row r="81" spans="1:44" x14ac:dyDescent="0.2">
      <c r="B81" s="1" t="s">
        <v>170</v>
      </c>
      <c r="C81" s="71" t="s">
        <v>123</v>
      </c>
      <c r="D81" s="22">
        <f>INPUTS!E128</f>
        <v>2050</v>
      </c>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row>
    <row r="82" spans="1:44" x14ac:dyDescent="0.2">
      <c r="B82" s="1" t="s">
        <v>279</v>
      </c>
      <c r="C82" s="71" t="s">
        <v>164</v>
      </c>
      <c r="D82" s="17">
        <f>(D80-D78)/(D81-D79)</f>
        <v>0.32103448275862073</v>
      </c>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row>
    <row r="83" spans="1:44" x14ac:dyDescent="0.2">
      <c r="B83" s="1" t="s">
        <v>280</v>
      </c>
      <c r="C83" s="71" t="s">
        <v>281</v>
      </c>
      <c r="D83" s="19"/>
      <c r="F83" s="18">
        <f t="shared" ref="F83:AG83" si="111">IF(F$7&gt;$D$62,1,0)</f>
        <v>0</v>
      </c>
      <c r="G83" s="18">
        <f t="shared" si="111"/>
        <v>0</v>
      </c>
      <c r="H83" s="18">
        <f t="shared" si="111"/>
        <v>0</v>
      </c>
      <c r="I83" s="18">
        <f t="shared" si="111"/>
        <v>0</v>
      </c>
      <c r="J83" s="18">
        <f t="shared" si="111"/>
        <v>1</v>
      </c>
      <c r="K83" s="18">
        <f t="shared" si="111"/>
        <v>1</v>
      </c>
      <c r="L83" s="18">
        <f t="shared" si="111"/>
        <v>1</v>
      </c>
      <c r="M83" s="18">
        <f t="shared" si="111"/>
        <v>1</v>
      </c>
      <c r="N83" s="18">
        <f t="shared" si="111"/>
        <v>1</v>
      </c>
      <c r="O83" s="18">
        <f t="shared" si="111"/>
        <v>1</v>
      </c>
      <c r="P83" s="18">
        <f t="shared" si="111"/>
        <v>1</v>
      </c>
      <c r="Q83" s="18">
        <f t="shared" si="111"/>
        <v>1</v>
      </c>
      <c r="R83" s="18">
        <f t="shared" si="111"/>
        <v>1</v>
      </c>
      <c r="S83" s="18">
        <f t="shared" si="111"/>
        <v>1</v>
      </c>
      <c r="T83" s="18">
        <f t="shared" si="111"/>
        <v>1</v>
      </c>
      <c r="U83" s="18">
        <f t="shared" si="111"/>
        <v>1</v>
      </c>
      <c r="V83" s="18">
        <f t="shared" si="111"/>
        <v>1</v>
      </c>
      <c r="W83" s="18">
        <f t="shared" si="111"/>
        <v>1</v>
      </c>
      <c r="X83" s="18">
        <f t="shared" si="111"/>
        <v>1</v>
      </c>
      <c r="Y83" s="18">
        <f t="shared" si="111"/>
        <v>1</v>
      </c>
      <c r="Z83" s="18">
        <f t="shared" si="111"/>
        <v>1</v>
      </c>
      <c r="AA83" s="18">
        <f t="shared" si="111"/>
        <v>1</v>
      </c>
      <c r="AB83" s="18">
        <f t="shared" si="111"/>
        <v>1</v>
      </c>
      <c r="AC83" s="18">
        <f t="shared" si="111"/>
        <v>1</v>
      </c>
      <c r="AD83" s="18">
        <f t="shared" si="111"/>
        <v>1</v>
      </c>
      <c r="AE83" s="18">
        <f t="shared" si="111"/>
        <v>1</v>
      </c>
      <c r="AF83" s="18">
        <f t="shared" si="111"/>
        <v>1</v>
      </c>
      <c r="AG83" s="18">
        <f t="shared" si="111"/>
        <v>1</v>
      </c>
      <c r="AH83" s="18">
        <f>IF(AH$7&gt;$D$62,1,0)</f>
        <v>1</v>
      </c>
      <c r="AI83" s="18">
        <f t="shared" ref="AI83:AR83" si="112">IF(AI$7&gt;$D$62,1,0)</f>
        <v>1</v>
      </c>
      <c r="AJ83" s="18">
        <f t="shared" si="112"/>
        <v>1</v>
      </c>
      <c r="AK83" s="18">
        <f t="shared" si="112"/>
        <v>1</v>
      </c>
      <c r="AL83" s="18">
        <f t="shared" si="112"/>
        <v>1</v>
      </c>
      <c r="AM83" s="18">
        <f t="shared" si="112"/>
        <v>1</v>
      </c>
      <c r="AN83" s="18">
        <f t="shared" si="112"/>
        <v>1</v>
      </c>
      <c r="AO83" s="18">
        <f t="shared" si="112"/>
        <v>1</v>
      </c>
      <c r="AP83" s="18">
        <f t="shared" si="112"/>
        <v>1</v>
      </c>
      <c r="AQ83" s="18">
        <f t="shared" si="112"/>
        <v>1</v>
      </c>
      <c r="AR83" s="18">
        <f t="shared" si="112"/>
        <v>1</v>
      </c>
    </row>
    <row r="84" spans="1:44" ht="15" x14ac:dyDescent="0.25">
      <c r="A84" s="2"/>
      <c r="B84" s="1" t="s">
        <v>303</v>
      </c>
      <c r="C84" s="71" t="s">
        <v>164</v>
      </c>
      <c r="D84" s="83">
        <f>SUM(F84:AR84)</f>
        <v>327.89172413793131</v>
      </c>
      <c r="F84" s="83">
        <f t="shared" ref="F84:J84" si="113">E84+F78+F83*$D82</f>
        <v>0</v>
      </c>
      <c r="G84" s="83">
        <f t="shared" si="113"/>
        <v>0</v>
      </c>
      <c r="H84" s="83">
        <f t="shared" si="113"/>
        <v>0</v>
      </c>
      <c r="I84" s="83">
        <f t="shared" si="113"/>
        <v>3.49</v>
      </c>
      <c r="J84" s="83">
        <f t="shared" si="113"/>
        <v>3.8110344827586209</v>
      </c>
      <c r="K84" s="83">
        <f>J84+K78+K83*$D82</f>
        <v>4.1320689655172416</v>
      </c>
      <c r="L84" s="83">
        <f t="shared" ref="L84:AR84" si="114">K84+L78+L83*$D82</f>
        <v>4.4531034482758622</v>
      </c>
      <c r="M84" s="83">
        <f t="shared" si="114"/>
        <v>4.7741379310344829</v>
      </c>
      <c r="N84" s="83">
        <f t="shared" si="114"/>
        <v>5.0951724137931036</v>
      </c>
      <c r="O84" s="83">
        <f t="shared" si="114"/>
        <v>5.4162068965517243</v>
      </c>
      <c r="P84" s="83">
        <f t="shared" si="114"/>
        <v>5.7372413793103449</v>
      </c>
      <c r="Q84" s="83">
        <f t="shared" si="114"/>
        <v>6.0582758620689656</v>
      </c>
      <c r="R84" s="83">
        <f t="shared" si="114"/>
        <v>6.3793103448275863</v>
      </c>
      <c r="S84" s="83">
        <f t="shared" si="114"/>
        <v>6.700344827586207</v>
      </c>
      <c r="T84" s="83">
        <f t="shared" si="114"/>
        <v>7.0213793103448277</v>
      </c>
      <c r="U84" s="83">
        <f t="shared" si="114"/>
        <v>7.3424137931034483</v>
      </c>
      <c r="V84" s="83">
        <f t="shared" si="114"/>
        <v>7.663448275862069</v>
      </c>
      <c r="W84" s="83">
        <f t="shared" si="114"/>
        <v>7.9844827586206897</v>
      </c>
      <c r="X84" s="83">
        <f t="shared" si="114"/>
        <v>8.3055172413793112</v>
      </c>
      <c r="Y84" s="83">
        <f t="shared" si="114"/>
        <v>8.6265517241379328</v>
      </c>
      <c r="Z84" s="83">
        <f t="shared" si="114"/>
        <v>8.9475862068965544</v>
      </c>
      <c r="AA84" s="83">
        <f t="shared" si="114"/>
        <v>9.2686206896551759</v>
      </c>
      <c r="AB84" s="83">
        <f t="shared" si="114"/>
        <v>9.5896551724137975</v>
      </c>
      <c r="AC84" s="83">
        <f t="shared" si="114"/>
        <v>9.9106896551724191</v>
      </c>
      <c r="AD84" s="83">
        <f t="shared" si="114"/>
        <v>10.231724137931041</v>
      </c>
      <c r="AE84" s="83">
        <f t="shared" si="114"/>
        <v>10.552758620689662</v>
      </c>
      <c r="AF84" s="83">
        <f t="shared" si="114"/>
        <v>10.873793103448284</v>
      </c>
      <c r="AG84" s="83">
        <f t="shared" si="114"/>
        <v>11.194827586206905</v>
      </c>
      <c r="AH84" s="83">
        <f t="shared" si="114"/>
        <v>11.515862068965527</v>
      </c>
      <c r="AI84" s="83">
        <f t="shared" si="114"/>
        <v>11.836896551724148</v>
      </c>
      <c r="AJ84" s="83">
        <f t="shared" si="114"/>
        <v>12.15793103448277</v>
      </c>
      <c r="AK84" s="83">
        <f t="shared" si="114"/>
        <v>12.478965517241392</v>
      </c>
      <c r="AL84" s="83">
        <f t="shared" si="114"/>
        <v>12.800000000000013</v>
      </c>
      <c r="AM84" s="83">
        <f t="shared" si="114"/>
        <v>13.121034482758635</v>
      </c>
      <c r="AN84" s="83">
        <f t="shared" si="114"/>
        <v>13.442068965517256</v>
      </c>
      <c r="AO84" s="83">
        <f t="shared" si="114"/>
        <v>13.763103448275878</v>
      </c>
      <c r="AP84" s="83">
        <f t="shared" si="114"/>
        <v>14.084137931034499</v>
      </c>
      <c r="AQ84" s="83">
        <f t="shared" si="114"/>
        <v>14.405172413793121</v>
      </c>
      <c r="AR84" s="83">
        <f t="shared" si="114"/>
        <v>14.726206896551743</v>
      </c>
    </row>
    <row r="85" spans="1:44" ht="15" x14ac:dyDescent="0.25">
      <c r="A85" s="2"/>
      <c r="B85" s="1" t="s">
        <v>304</v>
      </c>
      <c r="C85" s="71" t="s">
        <v>305</v>
      </c>
      <c r="D85" s="83">
        <f>INPUTS!$E$28</f>
        <v>1000</v>
      </c>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row>
    <row r="86" spans="1:44" ht="15" x14ac:dyDescent="0.25">
      <c r="A86" s="2"/>
      <c r="B86" s="1" t="s">
        <v>306</v>
      </c>
      <c r="C86" s="71" t="s">
        <v>307</v>
      </c>
      <c r="D86" s="83">
        <f>INPUTS!$E$27</f>
        <v>365</v>
      </c>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row>
    <row r="87" spans="1:44" ht="15" x14ac:dyDescent="0.25">
      <c r="A87" s="2"/>
      <c r="B87" s="1" t="s">
        <v>303</v>
      </c>
      <c r="C87" s="71" t="s">
        <v>308</v>
      </c>
      <c r="D87" s="83">
        <f>SUM(F87:AR87)</f>
        <v>119.68047931034488</v>
      </c>
      <c r="F87" s="83">
        <f t="shared" ref="F87" si="115">F84*$D86/$D85</f>
        <v>0</v>
      </c>
      <c r="G87" s="83">
        <f t="shared" ref="G87" si="116">G84*$D86/$D85</f>
        <v>0</v>
      </c>
      <c r="H87" s="83">
        <f t="shared" ref="H87" si="117">H84*$D86/$D85</f>
        <v>0</v>
      </c>
      <c r="I87" s="83">
        <f t="shared" ref="I87" si="118">I84*$D86/$D85</f>
        <v>1.2738500000000001</v>
      </c>
      <c r="J87" s="83">
        <f t="shared" ref="J87" si="119">J84*$D86/$D85</f>
        <v>1.3910275862068966</v>
      </c>
      <c r="K87" s="83">
        <f t="shared" ref="K87" si="120">K84*$D86/$D85</f>
        <v>1.5082051724137933</v>
      </c>
      <c r="L87" s="83">
        <f t="shared" ref="L87" si="121">L84*$D86/$D85</f>
        <v>1.6253827586206897</v>
      </c>
      <c r="M87" s="83">
        <f t="shared" ref="M87" si="122">M84*$D86/$D85</f>
        <v>1.7425603448275864</v>
      </c>
      <c r="N87" s="83">
        <f t="shared" ref="N87" si="123">N84*$D86/$D85</f>
        <v>1.8597379310344826</v>
      </c>
      <c r="O87" s="83">
        <f t="shared" ref="O87" si="124">O84*$D86/$D85</f>
        <v>1.9769155172413793</v>
      </c>
      <c r="P87" s="83">
        <f t="shared" ref="P87" si="125">P84*$D86/$D85</f>
        <v>2.0940931034482761</v>
      </c>
      <c r="Q87" s="83">
        <f t="shared" ref="Q87" si="126">Q84*$D86/$D85</f>
        <v>2.2112706896551728</v>
      </c>
      <c r="R87" s="83">
        <f t="shared" ref="R87" si="127">R84*$D86/$D85</f>
        <v>2.328448275862069</v>
      </c>
      <c r="S87" s="83">
        <f t="shared" ref="S87" si="128">S84*$D86/$D85</f>
        <v>2.4456258620689657</v>
      </c>
      <c r="T87" s="83">
        <f t="shared" ref="T87" si="129">T84*$D86/$D85</f>
        <v>2.5628034482758619</v>
      </c>
      <c r="U87" s="83">
        <f t="shared" ref="U87" si="130">U84*$D86/$D85</f>
        <v>2.6799810344827586</v>
      </c>
      <c r="V87" s="83">
        <f t="shared" ref="V87" si="131">V84*$D86/$D85</f>
        <v>2.7971586206896548</v>
      </c>
      <c r="W87" s="83">
        <f t="shared" ref="W87" si="132">W84*$D86/$D85</f>
        <v>2.9143362068965515</v>
      </c>
      <c r="X87" s="83">
        <f t="shared" ref="X87" si="133">X84*$D86/$D85</f>
        <v>3.0315137931034486</v>
      </c>
      <c r="Y87" s="83">
        <f t="shared" ref="Y87" si="134">Y84*$D86/$D85</f>
        <v>3.1486913793103453</v>
      </c>
      <c r="Z87" s="83">
        <f t="shared" ref="Z87" si="135">Z84*$D86/$D85</f>
        <v>3.2658689655172424</v>
      </c>
      <c r="AA87" s="83">
        <f t="shared" ref="AA87" si="136">AA84*$D86/$D85</f>
        <v>3.383046551724139</v>
      </c>
      <c r="AB87" s="83">
        <f t="shared" ref="AB87" si="137">AB84*$D86/$D85</f>
        <v>3.5002241379310362</v>
      </c>
      <c r="AC87" s="83">
        <f t="shared" ref="AC87" si="138">AC84*$D86/$D85</f>
        <v>3.6174017241379328</v>
      </c>
      <c r="AD87" s="83">
        <f t="shared" ref="AD87" si="139">AD84*$D86/$D85</f>
        <v>3.7345793103448299</v>
      </c>
      <c r="AE87" s="83">
        <f t="shared" ref="AE87" si="140">AE84*$D86/$D85</f>
        <v>3.8517568965517266</v>
      </c>
      <c r="AF87" s="83">
        <f t="shared" ref="AF87" si="141">AF84*$D86/$D85</f>
        <v>3.9689344827586237</v>
      </c>
      <c r="AG87" s="83">
        <f t="shared" ref="AG87" si="142">AG84*$D86/$D85</f>
        <v>4.0861120689655204</v>
      </c>
      <c r="AH87" s="83">
        <f t="shared" ref="AH87" si="143">AH84*$D86/$D85</f>
        <v>4.2032896551724175</v>
      </c>
      <c r="AI87" s="83">
        <f t="shared" ref="AI87" si="144">AI84*$D86/$D85</f>
        <v>4.3204672413793137</v>
      </c>
      <c r="AJ87" s="83">
        <f t="shared" ref="AJ87" si="145">AJ84*$D86/$D85</f>
        <v>4.4376448275862108</v>
      </c>
      <c r="AK87" s="83">
        <f t="shared" ref="AK87" si="146">AK84*$D86/$D85</f>
        <v>4.5548224137931079</v>
      </c>
      <c r="AL87" s="83">
        <f t="shared" ref="AL87" si="147">AL84*$D86/$D85</f>
        <v>4.6720000000000041</v>
      </c>
      <c r="AM87" s="83">
        <f t="shared" ref="AM87" si="148">AM84*$D86/$D85</f>
        <v>4.7891775862069013</v>
      </c>
      <c r="AN87" s="83">
        <f t="shared" ref="AN87" si="149">AN84*$D86/$D85</f>
        <v>4.9063551724137984</v>
      </c>
      <c r="AO87" s="83">
        <f t="shared" ref="AO87" si="150">AO84*$D86/$D85</f>
        <v>5.0235327586206955</v>
      </c>
      <c r="AP87" s="83">
        <f t="shared" ref="AP87" si="151">AP84*$D86/$D85</f>
        <v>5.1407103448275917</v>
      </c>
      <c r="AQ87" s="83">
        <f t="shared" ref="AQ87" si="152">AQ84*$D86/$D85</f>
        <v>5.2578879310344888</v>
      </c>
      <c r="AR87" s="83">
        <f t="shared" ref="AR87" si="153">AR84*$D86/$D85</f>
        <v>5.3750655172413859</v>
      </c>
    </row>
    <row r="88" spans="1:44" ht="15" x14ac:dyDescent="0.25">
      <c r="A88" s="2"/>
      <c r="C88" s="71"/>
      <c r="D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row>
    <row r="89" spans="1:44" ht="15" x14ac:dyDescent="0.25">
      <c r="B89" s="2" t="s">
        <v>309</v>
      </c>
      <c r="C89" s="71"/>
      <c r="D89" s="83"/>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row>
    <row r="90" spans="1:44" x14ac:dyDescent="0.2">
      <c r="B90" s="1" t="s">
        <v>310</v>
      </c>
      <c r="C90" s="71" t="s">
        <v>173</v>
      </c>
      <c r="D90" s="87">
        <f>INPUTS!$E$83</f>
        <v>18.8</v>
      </c>
      <c r="F90" s="18">
        <f>IFERROR(HLOOKUP(F$7,INPUTS!$H$131:$AJ$135,2),0)</f>
        <v>0</v>
      </c>
      <c r="G90" s="18">
        <f>IFERROR(HLOOKUP(G$7,INPUTS!$H$131:$AJ$135,2),0)</f>
        <v>0</v>
      </c>
      <c r="H90" s="18">
        <f>IFERROR(HLOOKUP(H$7,INPUTS!$H$131:$AJ$135,2),0)</f>
        <v>0</v>
      </c>
      <c r="I90" s="18">
        <f>IFERROR(HLOOKUP(I$7,INPUTS!$H$131:$AJ$135,2),0)</f>
        <v>0</v>
      </c>
      <c r="J90" s="18">
        <f>IFERROR(HLOOKUP(J$7,INPUTS!$H$131:$AJ$135,2),0)</f>
        <v>16600</v>
      </c>
      <c r="K90" s="18">
        <f>IFERROR(HLOOKUP(K$7,INPUTS!$H$131:$AJ$135,2),0)</f>
        <v>16800</v>
      </c>
      <c r="L90" s="18">
        <f>IFERROR(HLOOKUP(L$7,INPUTS!$H$131:$AJ$135,2),0)</f>
        <v>17000</v>
      </c>
      <c r="M90" s="18">
        <f>IFERROR(HLOOKUP(M$7,INPUTS!$H$131:$AJ$135,2),0)</f>
        <v>17200</v>
      </c>
      <c r="N90" s="18">
        <f>IFERROR(HLOOKUP(N$7,INPUTS!$H$131:$AJ$135,2),0)</f>
        <v>17500</v>
      </c>
      <c r="O90" s="18">
        <f>IFERROR(HLOOKUP(O$7,INPUTS!$H$131:$AJ$135,2),0)</f>
        <v>17900</v>
      </c>
      <c r="P90" s="18">
        <f>IFERROR(HLOOKUP(P$7,INPUTS!$H$131:$AJ$135,2),0)</f>
        <v>18200</v>
      </c>
      <c r="Q90" s="18">
        <f>IFERROR(HLOOKUP(Q$7,INPUTS!$H$131:$AJ$135,2),0)</f>
        <v>18600</v>
      </c>
      <c r="R90" s="18">
        <f>IFERROR(HLOOKUP(R$7,INPUTS!$H$131:$AJ$135,2),0)</f>
        <v>18900</v>
      </c>
      <c r="S90" s="18">
        <f>IFERROR(HLOOKUP(S$7,INPUTS!$H$131:$AJ$135,2),0)</f>
        <v>18900</v>
      </c>
      <c r="T90" s="18">
        <f>IFERROR(HLOOKUP(T$7,INPUTS!$H$131:$AJ$135,2),0)</f>
        <v>18900</v>
      </c>
      <c r="U90" s="18">
        <f>IFERROR(HLOOKUP(U$7,INPUTS!$H$131:$AJ$135,2),0)</f>
        <v>18900</v>
      </c>
      <c r="V90" s="18">
        <f>IFERROR(HLOOKUP(V$7,INPUTS!$H$131:$AJ$135,2),0)</f>
        <v>18900</v>
      </c>
      <c r="W90" s="18">
        <f>IFERROR(HLOOKUP(W$7,INPUTS!$H$131:$AJ$135,2),0)</f>
        <v>18900</v>
      </c>
      <c r="X90" s="18">
        <f>IFERROR(HLOOKUP(X$7,INPUTS!$H$131:$AJ$135,2),0)</f>
        <v>18900</v>
      </c>
      <c r="Y90" s="18">
        <f>IFERROR(HLOOKUP(Y$7,INPUTS!$H$131:$AJ$135,2),0)</f>
        <v>18900</v>
      </c>
      <c r="Z90" s="18">
        <f>IFERROR(HLOOKUP(Z$7,INPUTS!$H$131:$AJ$135,2),0)</f>
        <v>18900</v>
      </c>
      <c r="AA90" s="18">
        <f>IFERROR(HLOOKUP(AA$7,INPUTS!$H$131:$AJ$135,2),0)</f>
        <v>18900</v>
      </c>
      <c r="AB90" s="18">
        <f>IFERROR(HLOOKUP(AB$7,INPUTS!$H$131:$AJ$135,2),0)</f>
        <v>18900</v>
      </c>
      <c r="AC90" s="18">
        <f>IFERROR(HLOOKUP(AC$7,INPUTS!$H$131:$AJ$135,2),0)</f>
        <v>18900</v>
      </c>
      <c r="AD90" s="18">
        <f>IFERROR(HLOOKUP(AD$7,INPUTS!$H$131:$AJ$135,2),0)</f>
        <v>18900</v>
      </c>
      <c r="AE90" s="18">
        <f>IFERROR(HLOOKUP(AE$7,INPUTS!$H$131:$AJ$135,2),0)</f>
        <v>18900</v>
      </c>
      <c r="AF90" s="18">
        <f>IFERROR(HLOOKUP(AF$7,INPUTS!$H$131:$AJ$135,2),0)</f>
        <v>18900</v>
      </c>
      <c r="AG90" s="18">
        <f>IFERROR(HLOOKUP(AG$7,INPUTS!$H$131:$AJ$135,2),0)</f>
        <v>18900</v>
      </c>
      <c r="AH90" s="18">
        <f>IFERROR(HLOOKUP(AH$7,INPUTS!$H$131:$AJ$135,2),0)</f>
        <v>18900</v>
      </c>
      <c r="AI90" s="18">
        <f>IFERROR(HLOOKUP(AI$7,INPUTS!$H$131:$AJ$135,2),0)</f>
        <v>18900</v>
      </c>
      <c r="AJ90" s="18">
        <f>IFERROR(HLOOKUP(AJ$7,INPUTS!$H$131:$AJ$135,2),0)</f>
        <v>18900</v>
      </c>
      <c r="AK90" s="18">
        <f>IFERROR(HLOOKUP(AK$7,INPUTS!$H$131:$AJ$135,2),0)</f>
        <v>18900</v>
      </c>
      <c r="AL90" s="18">
        <f>IFERROR(HLOOKUP(AL$7,INPUTS!$H$131:$AJ$135,2),0)</f>
        <v>18900</v>
      </c>
      <c r="AM90" s="18">
        <f>IFERROR(HLOOKUP(AM$7,INPUTS!$H$131:$AJ$135,2),0)</f>
        <v>18900</v>
      </c>
      <c r="AN90" s="18">
        <f>IFERROR(HLOOKUP(AN$7,INPUTS!$H$131:$AJ$135,2),0)</f>
        <v>18900</v>
      </c>
      <c r="AO90" s="18">
        <f>IFERROR(HLOOKUP(AO$7,INPUTS!$H$131:$AJ$135,2),0)</f>
        <v>18900</v>
      </c>
      <c r="AP90" s="18">
        <f>IFERROR(HLOOKUP(AP$7,INPUTS!$H$131:$AJ$135,2),0)</f>
        <v>18900</v>
      </c>
      <c r="AQ90" s="18">
        <f>IFERROR(HLOOKUP(AQ$7,INPUTS!$H$131:$AJ$135,2),0)</f>
        <v>18900</v>
      </c>
      <c r="AR90" s="18">
        <f>IFERROR(HLOOKUP(AR$7,INPUTS!$H$131:$AJ$135,2),0)</f>
        <v>18900</v>
      </c>
    </row>
    <row r="91" spans="1:44" ht="15" x14ac:dyDescent="0.25">
      <c r="A91" s="2"/>
      <c r="B91" s="1" t="s">
        <v>309</v>
      </c>
      <c r="C91" s="21" t="s">
        <v>311</v>
      </c>
      <c r="D91" s="18">
        <f>SUM(F91:AR91)</f>
        <v>2218758.3248275877</v>
      </c>
      <c r="F91" s="18">
        <f t="shared" ref="F91" si="154">F87*F90</f>
        <v>0</v>
      </c>
      <c r="G91" s="18">
        <f t="shared" ref="G91" si="155">G87*G90</f>
        <v>0</v>
      </c>
      <c r="H91" s="18">
        <f t="shared" ref="H91" si="156">H87*H90</f>
        <v>0</v>
      </c>
      <c r="I91" s="18">
        <f t="shared" ref="I91" si="157">I87*I90</f>
        <v>0</v>
      </c>
      <c r="J91" s="18">
        <f t="shared" ref="J91" si="158">J87*J90</f>
        <v>23091.057931034484</v>
      </c>
      <c r="K91" s="18">
        <f>K87*K90</f>
        <v>25337.846896551728</v>
      </c>
      <c r="L91" s="18">
        <f t="shared" ref="L91" si="159">L87*L90</f>
        <v>27631.506896551724</v>
      </c>
      <c r="M91" s="18">
        <f t="shared" ref="M91" si="160">M87*M90</f>
        <v>29972.037931034487</v>
      </c>
      <c r="N91" s="18">
        <f t="shared" ref="N91" si="161">N87*N90</f>
        <v>32545.413793103446</v>
      </c>
      <c r="O91" s="18">
        <f t="shared" ref="O91" si="162">O87*O90</f>
        <v>35386.787758620689</v>
      </c>
      <c r="P91" s="18">
        <f t="shared" ref="P91" si="163">P87*P90</f>
        <v>38112.494482758622</v>
      </c>
      <c r="Q91" s="18">
        <f t="shared" ref="Q91" si="164">Q87*Q90</f>
        <v>41129.634827586211</v>
      </c>
      <c r="R91" s="18">
        <f t="shared" ref="R91" si="165">R87*R90</f>
        <v>44007.672413793101</v>
      </c>
      <c r="S91" s="18">
        <f t="shared" ref="S91" si="166">S87*S90</f>
        <v>46222.32879310345</v>
      </c>
      <c r="T91" s="18">
        <f t="shared" ref="T91" si="167">T87*T90</f>
        <v>48436.985172413792</v>
      </c>
      <c r="U91" s="18">
        <f t="shared" ref="U91" si="168">U87*U90</f>
        <v>50651.64155172414</v>
      </c>
      <c r="V91" s="18">
        <f t="shared" ref="V91" si="169">V87*V90</f>
        <v>52866.297931034474</v>
      </c>
      <c r="W91" s="18">
        <f t="shared" ref="W91" si="170">W87*W90</f>
        <v>55080.954310344823</v>
      </c>
      <c r="X91" s="18">
        <f t="shared" ref="X91" si="171">X87*X90</f>
        <v>57295.610689655179</v>
      </c>
      <c r="Y91" s="18">
        <f t="shared" ref="Y91" si="172">Y87*Y90</f>
        <v>59510.267068965528</v>
      </c>
      <c r="Z91" s="18">
        <f t="shared" ref="Z91" si="173">Z87*Z90</f>
        <v>61724.923448275884</v>
      </c>
      <c r="AA91" s="18">
        <f t="shared" ref="AA91" si="174">AA87*AA90</f>
        <v>63939.579827586225</v>
      </c>
      <c r="AB91" s="18">
        <f t="shared" ref="AB91" si="175">AB87*AB90</f>
        <v>66154.236206896589</v>
      </c>
      <c r="AC91" s="18">
        <f t="shared" ref="AC91" si="176">AC87*AC90</f>
        <v>68368.89258620693</v>
      </c>
      <c r="AD91" s="18">
        <f t="shared" ref="AD91" si="177">AD87*AD90</f>
        <v>70583.548965517286</v>
      </c>
      <c r="AE91" s="18">
        <f t="shared" ref="AE91" si="178">AE87*AE90</f>
        <v>72798.205344827627</v>
      </c>
      <c r="AF91" s="18">
        <f t="shared" ref="AF91" si="179">AF87*AF90</f>
        <v>75012.861724137983</v>
      </c>
      <c r="AG91" s="18">
        <f t="shared" ref="AG91" si="180">AG87*AG90</f>
        <v>77227.518103448339</v>
      </c>
      <c r="AH91" s="18">
        <f t="shared" ref="AH91" si="181">AH87*AH90</f>
        <v>79442.174482758695</v>
      </c>
      <c r="AI91" s="18">
        <f t="shared" ref="AI91" si="182">AI87*AI90</f>
        <v>81656.830862069022</v>
      </c>
      <c r="AJ91" s="18">
        <f t="shared" ref="AJ91" si="183">AJ87*AJ90</f>
        <v>83871.487241379378</v>
      </c>
      <c r="AK91" s="18">
        <f t="shared" ref="AK91" si="184">AK87*AK90</f>
        <v>86086.143620689734</v>
      </c>
      <c r="AL91" s="18">
        <f t="shared" ref="AL91" si="185">AL87*AL90</f>
        <v>88300.800000000076</v>
      </c>
      <c r="AM91" s="18">
        <f t="shared" ref="AM91" si="186">AM87*AM90</f>
        <v>90515.456379310432</v>
      </c>
      <c r="AN91" s="18">
        <f t="shared" ref="AN91" si="187">AN87*AN90</f>
        <v>92730.112758620788</v>
      </c>
      <c r="AO91" s="18">
        <f t="shared" ref="AO91" si="188">AO87*AO90</f>
        <v>94944.769137931144</v>
      </c>
      <c r="AP91" s="18">
        <f t="shared" ref="AP91" si="189">AP87*AP90</f>
        <v>97159.425517241485</v>
      </c>
      <c r="AQ91" s="18">
        <f t="shared" ref="AQ91" si="190">AQ87*AQ90</f>
        <v>99374.081896551841</v>
      </c>
      <c r="AR91" s="18">
        <f t="shared" ref="AR91" si="191">AR87*AR90</f>
        <v>101588.7382758622</v>
      </c>
    </row>
    <row r="92" spans="1:44" x14ac:dyDescent="0.2">
      <c r="C92" s="21"/>
      <c r="D92" s="70"/>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row>
    <row r="93" spans="1:44" ht="15" x14ac:dyDescent="0.25">
      <c r="A93" s="2" t="s">
        <v>272</v>
      </c>
      <c r="C93" s="71"/>
      <c r="D93" s="70"/>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row>
    <row r="94" spans="1:44" x14ac:dyDescent="0.2">
      <c r="B94" s="1" t="s">
        <v>298</v>
      </c>
      <c r="C94" s="21" t="s">
        <v>289</v>
      </c>
      <c r="D94" s="70">
        <f>SUM(F94:AR94)</f>
        <v>2266293.9492965536</v>
      </c>
      <c r="F94" s="18">
        <f>F74+F91</f>
        <v>0</v>
      </c>
      <c r="G94" s="18">
        <f t="shared" ref="G94:AR94" si="192">G74+G91</f>
        <v>0</v>
      </c>
      <c r="H94" s="18">
        <f t="shared" si="192"/>
        <v>0</v>
      </c>
      <c r="I94" s="18">
        <f t="shared" si="192"/>
        <v>0</v>
      </c>
      <c r="J94" s="18">
        <f t="shared" si="192"/>
        <v>23491.935668965518</v>
      </c>
      <c r="K94" s="18">
        <f t="shared" si="192"/>
        <v>25780.053584482761</v>
      </c>
      <c r="L94" s="18">
        <f t="shared" si="192"/>
        <v>28116.241496551724</v>
      </c>
      <c r="M94" s="18">
        <f t="shared" si="192"/>
        <v>30500.499405172417</v>
      </c>
      <c r="N94" s="18">
        <f t="shared" si="192"/>
        <v>33118.80110344827</v>
      </c>
      <c r="O94" s="18">
        <f t="shared" si="192"/>
        <v>36006.299867241381</v>
      </c>
      <c r="P94" s="18">
        <f t="shared" si="192"/>
        <v>38779.330351724137</v>
      </c>
      <c r="Q94" s="18">
        <f t="shared" si="192"/>
        <v>41844.993418965518</v>
      </c>
      <c r="R94" s="18">
        <f t="shared" si="192"/>
        <v>44784.707068965516</v>
      </c>
      <c r="S94" s="18">
        <f t="shared" si="192"/>
        <v>47050.88357586207</v>
      </c>
      <c r="T94" s="18">
        <f t="shared" si="192"/>
        <v>49318.259044827588</v>
      </c>
      <c r="U94" s="18">
        <f t="shared" si="192"/>
        <v>51586.833475862069</v>
      </c>
      <c r="V94" s="18">
        <f t="shared" si="192"/>
        <v>53856.606868965508</v>
      </c>
      <c r="W94" s="18">
        <f t="shared" si="192"/>
        <v>56127.579224137924</v>
      </c>
      <c r="X94" s="18">
        <f t="shared" si="192"/>
        <v>58415.301806896561</v>
      </c>
      <c r="Y94" s="18">
        <f t="shared" si="192"/>
        <v>60689.271567241391</v>
      </c>
      <c r="Z94" s="18">
        <f t="shared" si="192"/>
        <v>62964.440289655191</v>
      </c>
      <c r="AA94" s="18">
        <f t="shared" si="192"/>
        <v>65240.807974137948</v>
      </c>
      <c r="AB94" s="18">
        <f t="shared" si="192"/>
        <v>67518.37462068969</v>
      </c>
      <c r="AC94" s="18">
        <f t="shared" si="192"/>
        <v>69815.688900000037</v>
      </c>
      <c r="AD94" s="18">
        <f t="shared" si="192"/>
        <v>72096.252951724178</v>
      </c>
      <c r="AE94" s="18">
        <f t="shared" si="192"/>
        <v>74378.01596551729</v>
      </c>
      <c r="AF94" s="18">
        <f t="shared" si="192"/>
        <v>76660.977941379359</v>
      </c>
      <c r="AG94" s="18">
        <f t="shared" si="192"/>
        <v>78945.138879310412</v>
      </c>
      <c r="AH94" s="18">
        <f t="shared" si="192"/>
        <v>81252.044855172484</v>
      </c>
      <c r="AI94" s="18">
        <f t="shared" si="192"/>
        <v>83539.203198275922</v>
      </c>
      <c r="AJ94" s="18">
        <f t="shared" si="192"/>
        <v>85827.560503448345</v>
      </c>
      <c r="AK94" s="18">
        <f t="shared" si="192"/>
        <v>88117.116770689739</v>
      </c>
      <c r="AL94" s="18">
        <f t="shared" si="192"/>
        <v>90407.872000000076</v>
      </c>
      <c r="AM94" s="18">
        <f t="shared" si="192"/>
        <v>92675.282710344909</v>
      </c>
      <c r="AN94" s="18">
        <f t="shared" si="192"/>
        <v>94942.693420689757</v>
      </c>
      <c r="AO94" s="18">
        <f t="shared" si="192"/>
        <v>97210.10413103459</v>
      </c>
      <c r="AP94" s="18">
        <f t="shared" si="192"/>
        <v>99477.514841379423</v>
      </c>
      <c r="AQ94" s="18">
        <f t="shared" si="192"/>
        <v>101744.92555172426</v>
      </c>
      <c r="AR94" s="18">
        <f t="shared" si="192"/>
        <v>104012.33626206909</v>
      </c>
    </row>
    <row r="95" spans="1:44" x14ac:dyDescent="0.2">
      <c r="C95" s="11"/>
      <c r="F95" s="91"/>
      <c r="G95" s="91"/>
      <c r="H95" s="91"/>
      <c r="I95" s="91"/>
      <c r="J95" s="91"/>
      <c r="K95" s="91"/>
      <c r="L95" s="91"/>
      <c r="M95" s="91"/>
      <c r="N95" s="91"/>
      <c r="O95" s="91"/>
      <c r="P95" s="91"/>
      <c r="Q95" s="91"/>
      <c r="R95" s="91"/>
      <c r="S95" s="91"/>
      <c r="T95" s="91"/>
      <c r="U95" s="91"/>
      <c r="V95" s="91"/>
      <c r="W95" s="91"/>
      <c r="X95" s="91"/>
      <c r="Y95" s="91"/>
      <c r="Z95" s="91"/>
      <c r="AA95" s="91"/>
      <c r="AB95" s="91"/>
      <c r="AC95" s="91"/>
      <c r="AD95" s="91"/>
      <c r="AE95" s="91"/>
      <c r="AF95" s="91"/>
      <c r="AG95" s="91"/>
      <c r="AH95" s="91"/>
      <c r="AI95" s="91"/>
      <c r="AJ95" s="91"/>
      <c r="AK95" s="91"/>
      <c r="AL95" s="91"/>
      <c r="AM95" s="91"/>
      <c r="AN95" s="91"/>
      <c r="AO95" s="91"/>
      <c r="AP95" s="91"/>
      <c r="AQ95" s="91"/>
      <c r="AR95" s="91"/>
    </row>
    <row r="96" spans="1:44" s="8" customFormat="1" x14ac:dyDescent="0.2">
      <c r="A96" s="7" t="s">
        <v>275</v>
      </c>
      <c r="B96" s="7"/>
      <c r="C96" s="12"/>
    </row>
    <row r="97" spans="1:44" ht="15" x14ac:dyDescent="0.25">
      <c r="A97" s="2" t="s">
        <v>276</v>
      </c>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row>
    <row r="98" spans="1:44" x14ac:dyDescent="0.2">
      <c r="B98" s="1" t="s">
        <v>241</v>
      </c>
      <c r="C98" s="71" t="s">
        <v>77</v>
      </c>
      <c r="D98" s="70">
        <f>SUM(F98:AR98)</f>
        <v>16723.568993102679</v>
      </c>
      <c r="F98" s="18">
        <f t="shared" ref="F98:AR98" si="193">(F$56-F$94)*F$11*F15</f>
        <v>0</v>
      </c>
      <c r="G98" s="18">
        <f t="shared" si="193"/>
        <v>0</v>
      </c>
      <c r="H98" s="18">
        <f t="shared" si="193"/>
        <v>0</v>
      </c>
      <c r="I98" s="18">
        <f t="shared" si="193"/>
        <v>0</v>
      </c>
      <c r="J98" s="18">
        <f t="shared" si="193"/>
        <v>0</v>
      </c>
      <c r="K98" s="18">
        <f t="shared" si="193"/>
        <v>0</v>
      </c>
      <c r="L98" s="18">
        <f t="shared" si="193"/>
        <v>0</v>
      </c>
      <c r="M98" s="18">
        <f t="shared" si="193"/>
        <v>0</v>
      </c>
      <c r="N98" s="18">
        <f t="shared" si="193"/>
        <v>0</v>
      </c>
      <c r="O98" s="18">
        <f t="shared" si="193"/>
        <v>0</v>
      </c>
      <c r="P98" s="18">
        <f t="shared" si="193"/>
        <v>379.42580689654278</v>
      </c>
      <c r="Q98" s="18">
        <f t="shared" si="193"/>
        <v>433.27413103447179</v>
      </c>
      <c r="R98" s="18">
        <f t="shared" si="193"/>
        <v>486.72120689653821</v>
      </c>
      <c r="S98" s="18">
        <f t="shared" si="193"/>
        <v>533.21666896550596</v>
      </c>
      <c r="T98" s="18">
        <f t="shared" si="193"/>
        <v>579.74636551722506</v>
      </c>
      <c r="U98" s="18">
        <f t="shared" si="193"/>
        <v>626.31029655170278</v>
      </c>
      <c r="V98" s="18">
        <f t="shared" si="193"/>
        <v>672.90846206895367</v>
      </c>
      <c r="W98" s="18">
        <f t="shared" si="193"/>
        <v>719.5408620689559</v>
      </c>
      <c r="X98" s="18">
        <f t="shared" si="193"/>
        <v>766.47885517239047</v>
      </c>
      <c r="Y98" s="18">
        <f t="shared" si="193"/>
        <v>813.19684137928562</v>
      </c>
      <c r="Z98" s="18">
        <f t="shared" si="193"/>
        <v>859.94906206893938</v>
      </c>
      <c r="AA98" s="18">
        <f t="shared" si="193"/>
        <v>906.73551724135177</v>
      </c>
      <c r="AB98" s="18">
        <f t="shared" si="193"/>
        <v>953.55620689649368</v>
      </c>
      <c r="AC98" s="18">
        <f t="shared" si="193"/>
        <v>1000.7680758620263</v>
      </c>
      <c r="AD98" s="18">
        <f t="shared" si="193"/>
        <v>1047.674351724083</v>
      </c>
      <c r="AE98" s="18">
        <f t="shared" si="193"/>
        <v>1094.6148620689055</v>
      </c>
      <c r="AF98" s="18">
        <f t="shared" si="193"/>
        <v>1141.5896068964939</v>
      </c>
      <c r="AG98" s="18">
        <f t="shared" si="193"/>
        <v>1188.5985862067901</v>
      </c>
      <c r="AH98" s="18">
        <f t="shared" si="193"/>
        <v>1236.0843310343917</v>
      </c>
      <c r="AI98" s="18">
        <f t="shared" si="193"/>
        <v>1283.1788965516316</v>
      </c>
      <c r="AJ98" s="18">
        <f t="shared" si="193"/>
        <v>0</v>
      </c>
      <c r="AK98" s="18">
        <f t="shared" si="193"/>
        <v>0</v>
      </c>
      <c r="AL98" s="18">
        <f t="shared" si="193"/>
        <v>0</v>
      </c>
      <c r="AM98" s="18">
        <f t="shared" si="193"/>
        <v>0</v>
      </c>
      <c r="AN98" s="18">
        <f t="shared" si="193"/>
        <v>0</v>
      </c>
      <c r="AO98" s="18">
        <f t="shared" si="193"/>
        <v>0</v>
      </c>
      <c r="AP98" s="18">
        <f t="shared" si="193"/>
        <v>0</v>
      </c>
      <c r="AQ98" s="18">
        <f t="shared" si="193"/>
        <v>0</v>
      </c>
      <c r="AR98" s="18">
        <f t="shared" si="193"/>
        <v>0</v>
      </c>
    </row>
    <row r="99" spans="1:44" x14ac:dyDescent="0.2">
      <c r="B99" s="1" t="s">
        <v>242</v>
      </c>
      <c r="C99" s="71" t="s">
        <v>77</v>
      </c>
      <c r="D99" s="70">
        <f>SUM(F99:AR99)</f>
        <v>9844.8391827703144</v>
      </c>
      <c r="F99" s="18">
        <f>(F$56-F$94)*F$11*F16</f>
        <v>0</v>
      </c>
      <c r="G99" s="18">
        <f t="shared" ref="G99:AR99" si="194">(G$56-G$94)*G$11*G16</f>
        <v>0</v>
      </c>
      <c r="H99" s="18">
        <f t="shared" si="194"/>
        <v>0</v>
      </c>
      <c r="I99" s="18">
        <f t="shared" si="194"/>
        <v>0</v>
      </c>
      <c r="J99" s="18">
        <f t="shared" si="194"/>
        <v>0</v>
      </c>
      <c r="K99" s="18">
        <f t="shared" si="194"/>
        <v>0</v>
      </c>
      <c r="L99" s="18">
        <f t="shared" si="194"/>
        <v>0</v>
      </c>
      <c r="M99" s="18">
        <f t="shared" si="194"/>
        <v>0</v>
      </c>
      <c r="N99" s="18">
        <f t="shared" si="194"/>
        <v>0</v>
      </c>
      <c r="O99" s="18">
        <f t="shared" si="194"/>
        <v>0</v>
      </c>
      <c r="P99" s="18">
        <f t="shared" si="194"/>
        <v>308.50790277218147</v>
      </c>
      <c r="Q99" s="18">
        <f t="shared" si="194"/>
        <v>342.03060002795826</v>
      </c>
      <c r="R99" s="18">
        <f t="shared" si="194"/>
        <v>373.03127695199117</v>
      </c>
      <c r="S99" s="18">
        <f t="shared" si="194"/>
        <v>396.76327869873444</v>
      </c>
      <c r="T99" s="18">
        <f t="shared" si="194"/>
        <v>418.82110948044641</v>
      </c>
      <c r="U99" s="18">
        <f t="shared" si="194"/>
        <v>439.28144075905885</v>
      </c>
      <c r="V99" s="18">
        <f t="shared" si="194"/>
        <v>458.21791893860251</v>
      </c>
      <c r="W99" s="18">
        <f t="shared" si="194"/>
        <v>475.70127592786588</v>
      </c>
      <c r="X99" s="18">
        <f t="shared" si="194"/>
        <v>491.97361061935726</v>
      </c>
      <c r="Y99" s="18">
        <f t="shared" si="194"/>
        <v>506.75738662579425</v>
      </c>
      <c r="Z99" s="18">
        <f t="shared" si="194"/>
        <v>520.2833251404943</v>
      </c>
      <c r="AA99" s="18">
        <f t="shared" si="194"/>
        <v>532.61155336173101</v>
      </c>
      <c r="AB99" s="18">
        <f t="shared" si="194"/>
        <v>543.79978057285132</v>
      </c>
      <c r="AC99" s="18">
        <f t="shared" si="194"/>
        <v>554.10101916851465</v>
      </c>
      <c r="AD99" s="18">
        <f t="shared" si="194"/>
        <v>563.17658915777793</v>
      </c>
      <c r="AE99" s="18">
        <f t="shared" si="194"/>
        <v>571.2712878683875</v>
      </c>
      <c r="AF99" s="18">
        <f t="shared" si="194"/>
        <v>578.43403390755236</v>
      </c>
      <c r="AG99" s="18">
        <f t="shared" si="194"/>
        <v>584.71174352056471</v>
      </c>
      <c r="AH99" s="18">
        <f t="shared" si="194"/>
        <v>590.36076057909838</v>
      </c>
      <c r="AI99" s="18">
        <f t="shared" si="194"/>
        <v>595.00328869134978</v>
      </c>
      <c r="AJ99" s="18">
        <f t="shared" si="194"/>
        <v>0</v>
      </c>
      <c r="AK99" s="18">
        <f t="shared" si="194"/>
        <v>0</v>
      </c>
      <c r="AL99" s="18">
        <f t="shared" si="194"/>
        <v>0</v>
      </c>
      <c r="AM99" s="18">
        <f t="shared" si="194"/>
        <v>0</v>
      </c>
      <c r="AN99" s="18">
        <f t="shared" si="194"/>
        <v>0</v>
      </c>
      <c r="AO99" s="18">
        <f t="shared" si="194"/>
        <v>0</v>
      </c>
      <c r="AP99" s="18">
        <f t="shared" si="194"/>
        <v>0</v>
      </c>
      <c r="AQ99" s="18">
        <f t="shared" si="194"/>
        <v>0</v>
      </c>
      <c r="AR99" s="18">
        <f t="shared" si="194"/>
        <v>0</v>
      </c>
    </row>
    <row r="100" spans="1:44" x14ac:dyDescent="0.2">
      <c r="B100" s="1" t="s">
        <v>243</v>
      </c>
      <c r="C100" s="71" t="s">
        <v>77</v>
      </c>
      <c r="D100" s="70">
        <f>SUM(F100:AR100)</f>
        <v>5302.6028953657733</v>
      </c>
      <c r="F100" s="18">
        <f t="shared" ref="F100:N100" si="195">(F$36-F$74)*F$11*F16 + (F$53-F$91)*F$11*F17</f>
        <v>0</v>
      </c>
      <c r="G100" s="18">
        <f t="shared" si="195"/>
        <v>0</v>
      </c>
      <c r="H100" s="18">
        <f t="shared" si="195"/>
        <v>0</v>
      </c>
      <c r="I100" s="18">
        <f t="shared" si="195"/>
        <v>0</v>
      </c>
      <c r="J100" s="18">
        <f t="shared" si="195"/>
        <v>0</v>
      </c>
      <c r="K100" s="18">
        <f t="shared" si="195"/>
        <v>0</v>
      </c>
      <c r="L100" s="18">
        <f t="shared" si="195"/>
        <v>0</v>
      </c>
      <c r="M100" s="18">
        <f t="shared" si="195"/>
        <v>0</v>
      </c>
      <c r="N100" s="18">
        <f t="shared" si="195"/>
        <v>0</v>
      </c>
      <c r="O100" s="18">
        <f>(O$36-O$74)*O$11*O16 + (O$53-O$91)*O$11*O17</f>
        <v>0</v>
      </c>
      <c r="P100" s="18">
        <f t="shared" ref="P100:AR100" si="196">(P$36-P$74)*P$11*P16 + (P$53-P$91)*P$11*P17</f>
        <v>237.87364736826581</v>
      </c>
      <c r="Q100" s="18">
        <f t="shared" si="196"/>
        <v>254.14951518774734</v>
      </c>
      <c r="R100" s="18">
        <f t="shared" si="196"/>
        <v>267.18307661711566</v>
      </c>
      <c r="S100" s="18">
        <f t="shared" si="196"/>
        <v>273.950776165256</v>
      </c>
      <c r="T100" s="18">
        <f t="shared" si="196"/>
        <v>278.79540812343373</v>
      </c>
      <c r="U100" s="18">
        <f t="shared" si="196"/>
        <v>281.93960665869332</v>
      </c>
      <c r="V100" s="18">
        <f t="shared" si="196"/>
        <v>283.58505040386649</v>
      </c>
      <c r="W100" s="18">
        <f t="shared" si="196"/>
        <v>283.91425380610491</v>
      </c>
      <c r="X100" s="18">
        <f t="shared" si="196"/>
        <v>283.2663884915662</v>
      </c>
      <c r="Y100" s="18">
        <f t="shared" si="196"/>
        <v>281.44769113122589</v>
      </c>
      <c r="Z100" s="18">
        <f t="shared" si="196"/>
        <v>278.76064696694556</v>
      </c>
      <c r="AA100" s="18">
        <f t="shared" si="196"/>
        <v>275.32631894258117</v>
      </c>
      <c r="AB100" s="18">
        <f t="shared" si="196"/>
        <v>271.25360330809474</v>
      </c>
      <c r="AC100" s="18">
        <f t="shared" si="196"/>
        <v>266.83793708877926</v>
      </c>
      <c r="AD100" s="18">
        <f t="shared" si="196"/>
        <v>261.77520342850937</v>
      </c>
      <c r="AE100" s="18">
        <f t="shared" si="196"/>
        <v>256.33772343226389</v>
      </c>
      <c r="AF100" s="18">
        <f t="shared" si="196"/>
        <v>250.59564993103263</v>
      </c>
      <c r="AG100" s="18">
        <f t="shared" si="196"/>
        <v>244.61152718461574</v>
      </c>
      <c r="AH100" s="18">
        <f t="shared" si="196"/>
        <v>238.65234317193506</v>
      </c>
      <c r="AI100" s="18">
        <f t="shared" si="196"/>
        <v>232.3465279577411</v>
      </c>
      <c r="AJ100" s="18">
        <f t="shared" si="196"/>
        <v>0</v>
      </c>
      <c r="AK100" s="18">
        <f t="shared" si="196"/>
        <v>0</v>
      </c>
      <c r="AL100" s="18">
        <f t="shared" si="196"/>
        <v>0</v>
      </c>
      <c r="AM100" s="18">
        <f t="shared" si="196"/>
        <v>0</v>
      </c>
      <c r="AN100" s="18">
        <f t="shared" si="196"/>
        <v>0</v>
      </c>
      <c r="AO100" s="18">
        <f t="shared" si="196"/>
        <v>0</v>
      </c>
      <c r="AP100" s="18">
        <f t="shared" si="196"/>
        <v>0</v>
      </c>
      <c r="AQ100" s="18">
        <f t="shared" si="196"/>
        <v>0</v>
      </c>
      <c r="AR100" s="18">
        <f t="shared" si="196"/>
        <v>0</v>
      </c>
    </row>
    <row r="101" spans="1:44" x14ac:dyDescent="0.2">
      <c r="B101" s="52" t="s">
        <v>312</v>
      </c>
      <c r="C101" s="71"/>
      <c r="D101" s="70"/>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row>
  </sheetData>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CADC5-6802-4CCC-8FCB-5ED05BFD5E0D}">
  <sheetPr>
    <tabColor theme="9"/>
  </sheetPr>
  <dimension ref="A1:AS79"/>
  <sheetViews>
    <sheetView workbookViewId="0">
      <pane xSplit="4" ySplit="7" topLeftCell="E58" activePane="bottomRight" state="frozen"/>
      <selection pane="topRight" activeCell="E1" sqref="E1"/>
      <selection pane="bottomLeft" activeCell="A8" sqref="A8"/>
      <selection pane="bottomRight" activeCell="A2" sqref="A2"/>
    </sheetView>
  </sheetViews>
  <sheetFormatPr defaultColWidth="0" defaultRowHeight="14.25" x14ac:dyDescent="0.2"/>
  <cols>
    <col min="1" max="1" width="10" style="1" customWidth="1"/>
    <col min="2" max="2" width="37.85546875" style="1" customWidth="1"/>
    <col min="3" max="3" width="22.28515625" style="1" bestFit="1" customWidth="1"/>
    <col min="4" max="4" width="15" style="1" bestFit="1" customWidth="1"/>
    <col min="5" max="5" width="1.5703125" style="1" customWidth="1"/>
    <col min="6" max="44" width="14.42578125" style="1" customWidth="1"/>
    <col min="45" max="45" width="9.140625" style="1" customWidth="1"/>
    <col min="46" max="16384" width="9.140625" style="1" hidden="1"/>
  </cols>
  <sheetData>
    <row r="1" spans="1:44" ht="19.5" x14ac:dyDescent="0.3">
      <c r="A1" s="6" t="str">
        <f>'OUTPUT Summary'!$A$1</f>
        <v>ODOT Roosevelt Memorial Bridge US-70</v>
      </c>
    </row>
    <row r="2" spans="1:44" ht="19.5" x14ac:dyDescent="0.3">
      <c r="A2" s="6" t="s">
        <v>313</v>
      </c>
      <c r="C2" s="11"/>
    </row>
    <row r="3" spans="1:44" x14ac:dyDescent="0.2">
      <c r="A3" s="51">
        <f ca="1">'OUTPUT Summary'!A3</f>
        <v>45156</v>
      </c>
      <c r="C3" s="11"/>
    </row>
    <row r="4" spans="1:44" x14ac:dyDescent="0.2">
      <c r="A4" s="52" t="str">
        <f>'OUTPUT Summary'!A4</f>
        <v>All $ values 2021, unless otherwise noted</v>
      </c>
      <c r="C4" s="11"/>
    </row>
    <row r="5" spans="1:44" x14ac:dyDescent="0.2">
      <c r="B5" s="66"/>
      <c r="C5" s="11"/>
    </row>
    <row r="6" spans="1:44" x14ac:dyDescent="0.2">
      <c r="C6" s="1" t="s">
        <v>44</v>
      </c>
      <c r="D6" s="1" t="s">
        <v>45</v>
      </c>
    </row>
    <row r="7" spans="1:44" s="8" customFormat="1" x14ac:dyDescent="0.2">
      <c r="A7" s="8" t="s">
        <v>224</v>
      </c>
      <c r="C7" s="12" t="s">
        <v>224</v>
      </c>
      <c r="F7" s="8">
        <f>INPUTS!$E$12</f>
        <v>2018</v>
      </c>
      <c r="G7" s="8">
        <f>F7+1</f>
        <v>2019</v>
      </c>
      <c r="H7" s="8">
        <f t="shared" ref="H7:W8" si="0">G7+1</f>
        <v>2020</v>
      </c>
      <c r="I7" s="8">
        <f t="shared" si="0"/>
        <v>2021</v>
      </c>
      <c r="J7" s="8">
        <f t="shared" si="0"/>
        <v>2022</v>
      </c>
      <c r="K7" s="8">
        <f t="shared" si="0"/>
        <v>2023</v>
      </c>
      <c r="L7" s="8">
        <f t="shared" si="0"/>
        <v>2024</v>
      </c>
      <c r="M7" s="8">
        <f t="shared" si="0"/>
        <v>2025</v>
      </c>
      <c r="N7" s="8">
        <f t="shared" si="0"/>
        <v>2026</v>
      </c>
      <c r="O7" s="8">
        <f t="shared" si="0"/>
        <v>2027</v>
      </c>
      <c r="P7" s="8">
        <f t="shared" si="0"/>
        <v>2028</v>
      </c>
      <c r="Q7" s="8">
        <f t="shared" si="0"/>
        <v>2029</v>
      </c>
      <c r="R7" s="8">
        <f t="shared" si="0"/>
        <v>2030</v>
      </c>
      <c r="S7" s="8">
        <f t="shared" si="0"/>
        <v>2031</v>
      </c>
      <c r="T7" s="8">
        <f t="shared" si="0"/>
        <v>2032</v>
      </c>
      <c r="U7" s="8">
        <f t="shared" si="0"/>
        <v>2033</v>
      </c>
      <c r="V7" s="8">
        <f t="shared" si="0"/>
        <v>2034</v>
      </c>
      <c r="W7" s="8">
        <f t="shared" si="0"/>
        <v>2035</v>
      </c>
      <c r="X7" s="8">
        <f t="shared" ref="X7:AM8" si="1">W7+1</f>
        <v>2036</v>
      </c>
      <c r="Y7" s="8">
        <f t="shared" si="1"/>
        <v>2037</v>
      </c>
      <c r="Z7" s="8">
        <f t="shared" si="1"/>
        <v>2038</v>
      </c>
      <c r="AA7" s="8">
        <f t="shared" si="1"/>
        <v>2039</v>
      </c>
      <c r="AB7" s="8">
        <f t="shared" si="1"/>
        <v>2040</v>
      </c>
      <c r="AC7" s="8">
        <f t="shared" si="1"/>
        <v>2041</v>
      </c>
      <c r="AD7" s="8">
        <f t="shared" si="1"/>
        <v>2042</v>
      </c>
      <c r="AE7" s="8">
        <f t="shared" si="1"/>
        <v>2043</v>
      </c>
      <c r="AF7" s="8">
        <f t="shared" si="1"/>
        <v>2044</v>
      </c>
      <c r="AG7" s="8">
        <f t="shared" si="1"/>
        <v>2045</v>
      </c>
      <c r="AH7" s="8">
        <f t="shared" si="1"/>
        <v>2046</v>
      </c>
      <c r="AI7" s="8">
        <f t="shared" si="1"/>
        <v>2047</v>
      </c>
      <c r="AJ7" s="8">
        <f t="shared" si="1"/>
        <v>2048</v>
      </c>
      <c r="AK7" s="8">
        <f t="shared" si="1"/>
        <v>2049</v>
      </c>
      <c r="AL7" s="8">
        <f t="shared" si="1"/>
        <v>2050</v>
      </c>
      <c r="AM7" s="8">
        <f t="shared" si="1"/>
        <v>2051</v>
      </c>
      <c r="AN7" s="8">
        <f t="shared" ref="AN7:AR8" si="2">AM7+1</f>
        <v>2052</v>
      </c>
      <c r="AO7" s="8">
        <f t="shared" si="2"/>
        <v>2053</v>
      </c>
      <c r="AP7" s="8">
        <f t="shared" si="2"/>
        <v>2054</v>
      </c>
      <c r="AQ7" s="8">
        <f t="shared" si="2"/>
        <v>2055</v>
      </c>
      <c r="AR7" s="8">
        <f t="shared" si="2"/>
        <v>2056</v>
      </c>
    </row>
    <row r="8" spans="1:44" x14ac:dyDescent="0.2">
      <c r="B8" s="1" t="s">
        <v>225</v>
      </c>
      <c r="C8" s="11" t="s">
        <v>50</v>
      </c>
      <c r="F8" s="1">
        <f>D8+1</f>
        <v>1</v>
      </c>
      <c r="G8" s="1">
        <f t="shared" ref="G8" si="3">F8+1</f>
        <v>2</v>
      </c>
      <c r="H8" s="1">
        <f t="shared" si="0"/>
        <v>3</v>
      </c>
      <c r="I8" s="1">
        <f t="shared" si="0"/>
        <v>4</v>
      </c>
      <c r="J8" s="1">
        <f t="shared" si="0"/>
        <v>5</v>
      </c>
      <c r="K8" s="1">
        <f t="shared" si="0"/>
        <v>6</v>
      </c>
      <c r="L8" s="1">
        <f t="shared" si="0"/>
        <v>7</v>
      </c>
      <c r="M8" s="1">
        <f t="shared" si="0"/>
        <v>8</v>
      </c>
      <c r="N8" s="1">
        <f t="shared" si="0"/>
        <v>9</v>
      </c>
      <c r="O8" s="1">
        <f t="shared" si="0"/>
        <v>10</v>
      </c>
      <c r="P8" s="1">
        <f t="shared" si="0"/>
        <v>11</v>
      </c>
      <c r="Q8" s="1">
        <f t="shared" si="0"/>
        <v>12</v>
      </c>
      <c r="R8" s="1">
        <f t="shared" si="0"/>
        <v>13</v>
      </c>
      <c r="S8" s="1">
        <f t="shared" si="0"/>
        <v>14</v>
      </c>
      <c r="T8" s="1">
        <f t="shared" si="0"/>
        <v>15</v>
      </c>
      <c r="U8" s="1">
        <f t="shared" si="0"/>
        <v>16</v>
      </c>
      <c r="V8" s="1">
        <f t="shared" si="0"/>
        <v>17</v>
      </c>
      <c r="W8" s="1">
        <f t="shared" si="0"/>
        <v>18</v>
      </c>
      <c r="X8" s="1">
        <f t="shared" si="1"/>
        <v>19</v>
      </c>
      <c r="Y8" s="1">
        <f t="shared" si="1"/>
        <v>20</v>
      </c>
      <c r="Z8" s="1">
        <f t="shared" si="1"/>
        <v>21</v>
      </c>
      <c r="AA8" s="1">
        <f t="shared" si="1"/>
        <v>22</v>
      </c>
      <c r="AB8" s="1">
        <f t="shared" si="1"/>
        <v>23</v>
      </c>
      <c r="AC8" s="1">
        <f t="shared" si="1"/>
        <v>24</v>
      </c>
      <c r="AD8" s="1">
        <f t="shared" si="1"/>
        <v>25</v>
      </c>
      <c r="AE8" s="1">
        <f t="shared" si="1"/>
        <v>26</v>
      </c>
      <c r="AF8" s="1">
        <f t="shared" si="1"/>
        <v>27</v>
      </c>
      <c r="AG8" s="1">
        <f t="shared" si="1"/>
        <v>28</v>
      </c>
      <c r="AH8" s="1">
        <f t="shared" si="1"/>
        <v>29</v>
      </c>
      <c r="AI8" s="1">
        <f t="shared" si="1"/>
        <v>30</v>
      </c>
      <c r="AJ8" s="1">
        <f t="shared" si="1"/>
        <v>31</v>
      </c>
      <c r="AK8" s="1">
        <f t="shared" si="1"/>
        <v>32</v>
      </c>
      <c r="AL8" s="1">
        <f t="shared" si="1"/>
        <v>33</v>
      </c>
      <c r="AM8" s="1">
        <f t="shared" si="1"/>
        <v>34</v>
      </c>
      <c r="AN8" s="1">
        <f t="shared" si="2"/>
        <v>35</v>
      </c>
      <c r="AO8" s="1">
        <f t="shared" si="2"/>
        <v>36</v>
      </c>
      <c r="AP8" s="1">
        <f t="shared" si="2"/>
        <v>37</v>
      </c>
      <c r="AQ8" s="1">
        <f t="shared" si="2"/>
        <v>38</v>
      </c>
      <c r="AR8" s="1">
        <f t="shared" si="2"/>
        <v>39</v>
      </c>
    </row>
    <row r="9" spans="1:44" x14ac:dyDescent="0.2">
      <c r="B9" s="1" t="s">
        <v>226</v>
      </c>
      <c r="C9" s="11" t="s">
        <v>227</v>
      </c>
      <c r="F9" s="1">
        <f>IF(F7=INPUTS!$E$13,1,0)</f>
        <v>0</v>
      </c>
      <c r="G9" s="1">
        <f>IF(G7=INPUTS!$E$13,1,0)</f>
        <v>0</v>
      </c>
      <c r="H9" s="1">
        <f>IF(H7=INPUTS!$E$13,1,0)</f>
        <v>0</v>
      </c>
      <c r="I9" s="1">
        <f>IF(I7=INPUTS!$E$13,1,0)</f>
        <v>1</v>
      </c>
      <c r="J9" s="1">
        <f>IF(J7=INPUTS!$E$13,1,0)</f>
        <v>0</v>
      </c>
      <c r="K9" s="1">
        <f>IF(K7=INPUTS!$E$13,1,0)</f>
        <v>0</v>
      </c>
      <c r="L9" s="1">
        <f>IF(L7=INPUTS!$E$13,1,0)</f>
        <v>0</v>
      </c>
      <c r="M9" s="1">
        <f>IF(M7=INPUTS!$E$13,1,0)</f>
        <v>0</v>
      </c>
      <c r="N9" s="1">
        <f>IF(N7=INPUTS!$E$13,1,0)</f>
        <v>0</v>
      </c>
      <c r="O9" s="1">
        <f>IF(O7=INPUTS!$E$13,1,0)</f>
        <v>0</v>
      </c>
      <c r="P9" s="1">
        <f>IF(P7=INPUTS!$E$13,1,0)</f>
        <v>0</v>
      </c>
      <c r="Q9" s="1">
        <f>IF(Q7=INPUTS!$E$13,1,0)</f>
        <v>0</v>
      </c>
      <c r="R9" s="1">
        <f>IF(R7=INPUTS!$E$13,1,0)</f>
        <v>0</v>
      </c>
      <c r="S9" s="1">
        <f>IF(S7=INPUTS!$E$13,1,0)</f>
        <v>0</v>
      </c>
      <c r="T9" s="1">
        <f>IF(T7=INPUTS!$E$13,1,0)</f>
        <v>0</v>
      </c>
      <c r="U9" s="1">
        <f>IF(U7=INPUTS!$E$13,1,0)</f>
        <v>0</v>
      </c>
      <c r="V9" s="1">
        <f>IF(V7=INPUTS!$E$13,1,0)</f>
        <v>0</v>
      </c>
      <c r="W9" s="1">
        <f>IF(W7=INPUTS!$E$13,1,0)</f>
        <v>0</v>
      </c>
      <c r="X9" s="1">
        <f>IF(X7=INPUTS!$E$13,1,0)</f>
        <v>0</v>
      </c>
      <c r="Y9" s="1">
        <f>IF(Y7=INPUTS!$E$13,1,0)</f>
        <v>0</v>
      </c>
      <c r="Z9" s="1">
        <f>IF(Z7=INPUTS!$E$13,1,0)</f>
        <v>0</v>
      </c>
      <c r="AA9" s="1">
        <f>IF(AA7=INPUTS!$E$13,1,0)</f>
        <v>0</v>
      </c>
      <c r="AB9" s="1">
        <f>IF(AB7=INPUTS!$E$13,1,0)</f>
        <v>0</v>
      </c>
      <c r="AC9" s="1">
        <f>IF(AC7=INPUTS!$E$13,1,0)</f>
        <v>0</v>
      </c>
      <c r="AD9" s="1">
        <f>IF(AD7=INPUTS!$E$13,1,0)</f>
        <v>0</v>
      </c>
      <c r="AE9" s="1">
        <f>IF(AE7=INPUTS!$E$13,1,0)</f>
        <v>0</v>
      </c>
      <c r="AF9" s="1">
        <f>IF(AF7=INPUTS!$E$13,1,0)</f>
        <v>0</v>
      </c>
      <c r="AG9" s="1">
        <f>IF(AG7=INPUTS!$E$13,1,0)</f>
        <v>0</v>
      </c>
      <c r="AH9" s="1">
        <f>IF(AH7=INPUTS!$E$13,1,0)</f>
        <v>0</v>
      </c>
      <c r="AI9" s="1">
        <f>IF(AI7=INPUTS!$E$13,1,0)</f>
        <v>0</v>
      </c>
      <c r="AJ9" s="1">
        <f>IF(AJ7=INPUTS!$E$13,1,0)</f>
        <v>0</v>
      </c>
      <c r="AK9" s="1">
        <f>IF(AK7=INPUTS!$E$13,1,0)</f>
        <v>0</v>
      </c>
      <c r="AL9" s="1">
        <f>IF(AL7=INPUTS!$E$13,1,0)</f>
        <v>0</v>
      </c>
      <c r="AM9" s="1">
        <f>IF(AM7=INPUTS!$E$13,1,0)</f>
        <v>0</v>
      </c>
      <c r="AN9" s="1">
        <f>IF(AN7=INPUTS!$E$13,1,0)</f>
        <v>0</v>
      </c>
      <c r="AO9" s="1">
        <f>IF(AO7=INPUTS!$E$13,1,0)</f>
        <v>0</v>
      </c>
      <c r="AP9" s="1">
        <f>IF(AP7=INPUTS!$E$13,1,0)</f>
        <v>0</v>
      </c>
      <c r="AQ9" s="1">
        <f>IF(AQ7=INPUTS!$E$13,1,0)</f>
        <v>0</v>
      </c>
      <c r="AR9" s="1">
        <f>IF(AR7=INPUTS!$E$13,1,0)</f>
        <v>0</v>
      </c>
    </row>
    <row r="10" spans="1:44" x14ac:dyDescent="0.2">
      <c r="B10" s="1" t="s">
        <v>228</v>
      </c>
      <c r="C10" s="11" t="s">
        <v>57</v>
      </c>
      <c r="F10" s="1">
        <f t="shared" ref="F10:H10" si="4">F7-$I$7+1</f>
        <v>-2</v>
      </c>
      <c r="G10" s="1">
        <f t="shared" si="4"/>
        <v>-1</v>
      </c>
      <c r="H10" s="1">
        <f t="shared" si="4"/>
        <v>0</v>
      </c>
      <c r="I10" s="1">
        <f>I7-$I$7+1</f>
        <v>1</v>
      </c>
      <c r="J10" s="1">
        <f t="shared" ref="J10:AR10" si="5">J7-$I$7+1</f>
        <v>2</v>
      </c>
      <c r="K10" s="1">
        <f t="shared" si="5"/>
        <v>3</v>
      </c>
      <c r="L10" s="1">
        <f t="shared" si="5"/>
        <v>4</v>
      </c>
      <c r="M10" s="1">
        <f t="shared" si="5"/>
        <v>5</v>
      </c>
      <c r="N10" s="1">
        <f t="shared" si="5"/>
        <v>6</v>
      </c>
      <c r="O10" s="1">
        <f t="shared" si="5"/>
        <v>7</v>
      </c>
      <c r="P10" s="1">
        <f t="shared" si="5"/>
        <v>8</v>
      </c>
      <c r="Q10" s="1">
        <f t="shared" si="5"/>
        <v>9</v>
      </c>
      <c r="R10" s="1">
        <f t="shared" si="5"/>
        <v>10</v>
      </c>
      <c r="S10" s="1">
        <f t="shared" si="5"/>
        <v>11</v>
      </c>
      <c r="T10" s="1">
        <f t="shared" si="5"/>
        <v>12</v>
      </c>
      <c r="U10" s="1">
        <f t="shared" si="5"/>
        <v>13</v>
      </c>
      <c r="V10" s="1">
        <f t="shared" si="5"/>
        <v>14</v>
      </c>
      <c r="W10" s="1">
        <f t="shared" si="5"/>
        <v>15</v>
      </c>
      <c r="X10" s="1">
        <f t="shared" si="5"/>
        <v>16</v>
      </c>
      <c r="Y10" s="1">
        <f t="shared" si="5"/>
        <v>17</v>
      </c>
      <c r="Z10" s="1">
        <f t="shared" si="5"/>
        <v>18</v>
      </c>
      <c r="AA10" s="1">
        <f t="shared" si="5"/>
        <v>19</v>
      </c>
      <c r="AB10" s="1">
        <f t="shared" si="5"/>
        <v>20</v>
      </c>
      <c r="AC10" s="1">
        <f t="shared" si="5"/>
        <v>21</v>
      </c>
      <c r="AD10" s="1">
        <f t="shared" si="5"/>
        <v>22</v>
      </c>
      <c r="AE10" s="1">
        <f t="shared" si="5"/>
        <v>23</v>
      </c>
      <c r="AF10" s="1">
        <f t="shared" si="5"/>
        <v>24</v>
      </c>
      <c r="AG10" s="1">
        <f t="shared" si="5"/>
        <v>25</v>
      </c>
      <c r="AH10" s="1">
        <f t="shared" si="5"/>
        <v>26</v>
      </c>
      <c r="AI10" s="1">
        <f t="shared" si="5"/>
        <v>27</v>
      </c>
      <c r="AJ10" s="1">
        <f t="shared" si="5"/>
        <v>28</v>
      </c>
      <c r="AK10" s="1">
        <f t="shared" si="5"/>
        <v>29</v>
      </c>
      <c r="AL10" s="1">
        <f t="shared" si="5"/>
        <v>30</v>
      </c>
      <c r="AM10" s="1">
        <f t="shared" si="5"/>
        <v>31</v>
      </c>
      <c r="AN10" s="1">
        <f t="shared" si="5"/>
        <v>32</v>
      </c>
      <c r="AO10" s="1">
        <f t="shared" si="5"/>
        <v>33</v>
      </c>
      <c r="AP10" s="1">
        <f t="shared" si="5"/>
        <v>34</v>
      </c>
      <c r="AQ10" s="1">
        <f t="shared" si="5"/>
        <v>35</v>
      </c>
      <c r="AR10" s="1">
        <f t="shared" si="5"/>
        <v>36</v>
      </c>
    </row>
    <row r="11" spans="1:44" x14ac:dyDescent="0.2">
      <c r="B11" s="1" t="s">
        <v>229</v>
      </c>
      <c r="C11" s="11" t="s">
        <v>227</v>
      </c>
      <c r="F11" s="1">
        <f>IF(AND(F7&gt;=INPUTS!$E$17,F7&lt;INPUTS!$E$21),1,0)</f>
        <v>0</v>
      </c>
      <c r="G11" s="1">
        <f>IF(AND(G7&gt;=INPUTS!$E$17,G7&lt;INPUTS!$E$21),1,0)</f>
        <v>0</v>
      </c>
      <c r="H11" s="1">
        <f>IF(AND(H7&gt;=INPUTS!$E$17,H7&lt;INPUTS!$E$21),1,0)</f>
        <v>0</v>
      </c>
      <c r="I11" s="1">
        <f>IF(AND(I7&gt;=INPUTS!$E$17,I7&lt;INPUTS!$E$21),1,0)</f>
        <v>0</v>
      </c>
      <c r="J11" s="1">
        <f>IF(AND(J7&gt;=INPUTS!$E$17,J7&lt;INPUTS!$E$21),1,0)</f>
        <v>0</v>
      </c>
      <c r="K11" s="1">
        <f>IF(AND(K7&gt;=INPUTS!$E$17,K7&lt;INPUTS!$E$21),1,0)</f>
        <v>0</v>
      </c>
      <c r="L11" s="1">
        <f>IF(AND(L7&gt;=INPUTS!$E$17,L7&lt;INPUTS!$E$21),1,0)</f>
        <v>0</v>
      </c>
      <c r="M11" s="1">
        <f>IF(AND(M7&gt;=INPUTS!$E$17,M7&lt;INPUTS!$E$21),1,0)</f>
        <v>0</v>
      </c>
      <c r="N11" s="1">
        <f>IF(AND(N7&gt;=INPUTS!$E$17,N7&lt;INPUTS!$E$21),1,0)</f>
        <v>0</v>
      </c>
      <c r="O11" s="1">
        <f>IF(AND(O7&gt;=INPUTS!$E$17,O7&lt;INPUTS!$E$21),1,0)</f>
        <v>0</v>
      </c>
      <c r="P11" s="1">
        <f>IF(AND(P7&gt;=INPUTS!$E$17,P7&lt;INPUTS!$E$21),1,0)</f>
        <v>1</v>
      </c>
      <c r="Q11" s="1">
        <f>IF(AND(Q7&gt;=INPUTS!$E$17,Q7&lt;INPUTS!$E$21),1,0)</f>
        <v>1</v>
      </c>
      <c r="R11" s="1">
        <f>IF(AND(R7&gt;=INPUTS!$E$17,R7&lt;INPUTS!$E$21),1,0)</f>
        <v>1</v>
      </c>
      <c r="S11" s="1">
        <f>IF(AND(S7&gt;=INPUTS!$E$17,S7&lt;INPUTS!$E$21),1,0)</f>
        <v>1</v>
      </c>
      <c r="T11" s="1">
        <f>IF(AND(T7&gt;=INPUTS!$E$17,T7&lt;INPUTS!$E$21),1,0)</f>
        <v>1</v>
      </c>
      <c r="U11" s="1">
        <f>IF(AND(U7&gt;=INPUTS!$E$17,U7&lt;INPUTS!$E$21),1,0)</f>
        <v>1</v>
      </c>
      <c r="V11" s="1">
        <f>IF(AND(V7&gt;=INPUTS!$E$17,V7&lt;INPUTS!$E$21),1,0)</f>
        <v>1</v>
      </c>
      <c r="W11" s="1">
        <f>IF(AND(W7&gt;=INPUTS!$E$17,W7&lt;INPUTS!$E$21),1,0)</f>
        <v>1</v>
      </c>
      <c r="X11" s="1">
        <f>IF(AND(X7&gt;=INPUTS!$E$17,X7&lt;INPUTS!$E$21),1,0)</f>
        <v>1</v>
      </c>
      <c r="Y11" s="1">
        <f>IF(AND(Y7&gt;=INPUTS!$E$17,Y7&lt;INPUTS!$E$21),1,0)</f>
        <v>1</v>
      </c>
      <c r="Z11" s="1">
        <f>IF(AND(Z7&gt;=INPUTS!$E$17,Z7&lt;INPUTS!$E$21),1,0)</f>
        <v>1</v>
      </c>
      <c r="AA11" s="1">
        <f>IF(AND(AA7&gt;=INPUTS!$E$17,AA7&lt;INPUTS!$E$21),1,0)</f>
        <v>1</v>
      </c>
      <c r="AB11" s="1">
        <f>IF(AND(AB7&gt;=INPUTS!$E$17,AB7&lt;INPUTS!$E$21),1,0)</f>
        <v>1</v>
      </c>
      <c r="AC11" s="1">
        <f>IF(AND(AC7&gt;=INPUTS!$E$17,AC7&lt;INPUTS!$E$21),1,0)</f>
        <v>1</v>
      </c>
      <c r="AD11" s="1">
        <f>IF(AND(AD7&gt;=INPUTS!$E$17,AD7&lt;INPUTS!$E$21),1,0)</f>
        <v>1</v>
      </c>
      <c r="AE11" s="1">
        <f>IF(AND(AE7&gt;=INPUTS!$E$17,AE7&lt;INPUTS!$E$21),1,0)</f>
        <v>1</v>
      </c>
      <c r="AF11" s="1">
        <f>IF(AND(AF7&gt;=INPUTS!$E$17,AF7&lt;INPUTS!$E$21),1,0)</f>
        <v>1</v>
      </c>
      <c r="AG11" s="1">
        <f>IF(AND(AG7&gt;=INPUTS!$E$17,AG7&lt;INPUTS!$E$21),1,0)</f>
        <v>1</v>
      </c>
      <c r="AH11" s="1">
        <f>IF(AND(AH7&gt;=INPUTS!$E$17,AH7&lt;INPUTS!$E$21),1,0)</f>
        <v>1</v>
      </c>
      <c r="AI11" s="1">
        <f>IF(AND(AI7&gt;=INPUTS!$E$17,AI7&lt;INPUTS!$E$21),1,0)</f>
        <v>1</v>
      </c>
      <c r="AJ11" s="1">
        <f>IF(AND(AJ7&gt;=INPUTS!$E$17,AJ7&lt;INPUTS!$E$21),1,0)</f>
        <v>0</v>
      </c>
      <c r="AK11" s="1">
        <f>IF(AND(AK7&gt;=INPUTS!$E$17,AK7&lt;INPUTS!$E$21),1,0)</f>
        <v>0</v>
      </c>
      <c r="AL11" s="1">
        <f>IF(AND(AL7&gt;=INPUTS!$E$17,AL7&lt;INPUTS!$E$21),1,0)</f>
        <v>0</v>
      </c>
      <c r="AM11" s="1">
        <f>IF(AND(AM7&gt;=INPUTS!$E$17,AM7&lt;INPUTS!$E$21),1,0)</f>
        <v>0</v>
      </c>
      <c r="AN11" s="1">
        <f>IF(AND(AN7&gt;=INPUTS!$E$17,AN7&lt;INPUTS!$E$21),1,0)</f>
        <v>0</v>
      </c>
      <c r="AO11" s="1">
        <f>IF(AND(AO7&gt;=INPUTS!$E$17,AO7&lt;INPUTS!$E$21),1,0)</f>
        <v>0</v>
      </c>
      <c r="AP11" s="1">
        <f>IF(AND(AP7&gt;=INPUTS!$E$17,AP7&lt;INPUTS!$E$21),1,0)</f>
        <v>0</v>
      </c>
      <c r="AQ11" s="1">
        <f>IF(AND(AQ7&gt;=INPUTS!$E$17,AQ7&lt;INPUTS!$E$21),1,0)</f>
        <v>0</v>
      </c>
      <c r="AR11" s="1">
        <f>IF(AND(AR7&gt;=INPUTS!$E$17,AR7&lt;INPUTS!$E$21),1,0)</f>
        <v>0</v>
      </c>
    </row>
    <row r="12" spans="1:44" ht="15" x14ac:dyDescent="0.25">
      <c r="A12" s="2" t="s">
        <v>230</v>
      </c>
      <c r="C12" s="11"/>
    </row>
    <row r="13" spans="1:44" x14ac:dyDescent="0.2">
      <c r="B13" s="1" t="s">
        <v>231</v>
      </c>
      <c r="C13" s="11" t="s">
        <v>50</v>
      </c>
      <c r="F13" s="1">
        <f>(F11+D13)*F11</f>
        <v>0</v>
      </c>
      <c r="G13" s="1">
        <f t="shared" ref="G13:AG13" si="6">(G11+F13)*G11</f>
        <v>0</v>
      </c>
      <c r="H13" s="1">
        <f t="shared" si="6"/>
        <v>0</v>
      </c>
      <c r="I13" s="1">
        <f t="shared" si="6"/>
        <v>0</v>
      </c>
      <c r="J13" s="1">
        <f t="shared" si="6"/>
        <v>0</v>
      </c>
      <c r="K13" s="1">
        <f t="shared" si="6"/>
        <v>0</v>
      </c>
      <c r="L13" s="1">
        <f t="shared" si="6"/>
        <v>0</v>
      </c>
      <c r="M13" s="1">
        <f t="shared" si="6"/>
        <v>0</v>
      </c>
      <c r="N13" s="1">
        <f t="shared" si="6"/>
        <v>0</v>
      </c>
      <c r="O13" s="1">
        <f t="shared" si="6"/>
        <v>0</v>
      </c>
      <c r="P13" s="1">
        <f t="shared" si="6"/>
        <v>1</v>
      </c>
      <c r="Q13" s="1">
        <f t="shared" si="6"/>
        <v>2</v>
      </c>
      <c r="R13" s="1">
        <f t="shared" si="6"/>
        <v>3</v>
      </c>
      <c r="S13" s="1">
        <f t="shared" si="6"/>
        <v>4</v>
      </c>
      <c r="T13" s="1">
        <f t="shared" si="6"/>
        <v>5</v>
      </c>
      <c r="U13" s="1">
        <f t="shared" si="6"/>
        <v>6</v>
      </c>
      <c r="V13" s="1">
        <f t="shared" si="6"/>
        <v>7</v>
      </c>
      <c r="W13" s="1">
        <f t="shared" si="6"/>
        <v>8</v>
      </c>
      <c r="X13" s="1">
        <f t="shared" si="6"/>
        <v>9</v>
      </c>
      <c r="Y13" s="1">
        <f t="shared" si="6"/>
        <v>10</v>
      </c>
      <c r="Z13" s="1">
        <f t="shared" si="6"/>
        <v>11</v>
      </c>
      <c r="AA13" s="1">
        <f t="shared" si="6"/>
        <v>12</v>
      </c>
      <c r="AB13" s="1">
        <f t="shared" si="6"/>
        <v>13</v>
      </c>
      <c r="AC13" s="1">
        <f t="shared" si="6"/>
        <v>14</v>
      </c>
      <c r="AD13" s="1">
        <f t="shared" si="6"/>
        <v>15</v>
      </c>
      <c r="AE13" s="1">
        <f t="shared" si="6"/>
        <v>16</v>
      </c>
      <c r="AF13" s="1">
        <f t="shared" si="6"/>
        <v>17</v>
      </c>
      <c r="AG13" s="1">
        <f t="shared" si="6"/>
        <v>18</v>
      </c>
      <c r="AH13" s="1">
        <f>(AH11+AG13)*AH11</f>
        <v>19</v>
      </c>
      <c r="AI13" s="1">
        <f t="shared" ref="AI13:AR13" si="7">(AI11+AH13)*AI11</f>
        <v>20</v>
      </c>
      <c r="AJ13" s="1">
        <f t="shared" si="7"/>
        <v>0</v>
      </c>
      <c r="AK13" s="1">
        <f t="shared" si="7"/>
        <v>0</v>
      </c>
      <c r="AL13" s="1">
        <f t="shared" si="7"/>
        <v>0</v>
      </c>
      <c r="AM13" s="1">
        <f t="shared" si="7"/>
        <v>0</v>
      </c>
      <c r="AN13" s="1">
        <f t="shared" si="7"/>
        <v>0</v>
      </c>
      <c r="AO13" s="1">
        <f t="shared" si="7"/>
        <v>0</v>
      </c>
      <c r="AP13" s="1">
        <f t="shared" si="7"/>
        <v>0</v>
      </c>
      <c r="AQ13" s="1">
        <f t="shared" si="7"/>
        <v>0</v>
      </c>
      <c r="AR13" s="1">
        <f t="shared" si="7"/>
        <v>0</v>
      </c>
    </row>
    <row r="14" spans="1:44" ht="15" x14ac:dyDescent="0.25">
      <c r="A14" s="2" t="s">
        <v>8</v>
      </c>
      <c r="C14" s="11"/>
    </row>
    <row r="15" spans="1:44" x14ac:dyDescent="0.2">
      <c r="B15" s="1" t="s">
        <v>67</v>
      </c>
      <c r="C15" s="11" t="s">
        <v>50</v>
      </c>
      <c r="D15" s="69">
        <f>INPUTS!E24</f>
        <v>0</v>
      </c>
      <c r="E15" s="69"/>
      <c r="F15" s="3">
        <f>1/(1+$D15)^(F$10-1)</f>
        <v>1</v>
      </c>
      <c r="G15" s="3">
        <f t="shared" ref="G15:AR15" si="8">1/(1+$D15)^(G$10-1)</f>
        <v>1</v>
      </c>
      <c r="H15" s="3">
        <f t="shared" si="8"/>
        <v>1</v>
      </c>
      <c r="I15" s="3">
        <f t="shared" si="8"/>
        <v>1</v>
      </c>
      <c r="J15" s="3">
        <f t="shared" si="8"/>
        <v>1</v>
      </c>
      <c r="K15" s="3">
        <f t="shared" si="8"/>
        <v>1</v>
      </c>
      <c r="L15" s="3">
        <f t="shared" si="8"/>
        <v>1</v>
      </c>
      <c r="M15" s="3">
        <f t="shared" si="8"/>
        <v>1</v>
      </c>
      <c r="N15" s="3">
        <f t="shared" si="8"/>
        <v>1</v>
      </c>
      <c r="O15" s="3">
        <f t="shared" si="8"/>
        <v>1</v>
      </c>
      <c r="P15" s="3">
        <f t="shared" si="8"/>
        <v>1</v>
      </c>
      <c r="Q15" s="3">
        <f t="shared" si="8"/>
        <v>1</v>
      </c>
      <c r="R15" s="3">
        <f t="shared" si="8"/>
        <v>1</v>
      </c>
      <c r="S15" s="3">
        <f t="shared" si="8"/>
        <v>1</v>
      </c>
      <c r="T15" s="3">
        <f t="shared" si="8"/>
        <v>1</v>
      </c>
      <c r="U15" s="3">
        <f t="shared" si="8"/>
        <v>1</v>
      </c>
      <c r="V15" s="3">
        <f t="shared" si="8"/>
        <v>1</v>
      </c>
      <c r="W15" s="3">
        <f t="shared" si="8"/>
        <v>1</v>
      </c>
      <c r="X15" s="3">
        <f t="shared" si="8"/>
        <v>1</v>
      </c>
      <c r="Y15" s="3">
        <f t="shared" si="8"/>
        <v>1</v>
      </c>
      <c r="Z15" s="3">
        <f t="shared" si="8"/>
        <v>1</v>
      </c>
      <c r="AA15" s="3">
        <f t="shared" si="8"/>
        <v>1</v>
      </c>
      <c r="AB15" s="3">
        <f t="shared" si="8"/>
        <v>1</v>
      </c>
      <c r="AC15" s="3">
        <f t="shared" si="8"/>
        <v>1</v>
      </c>
      <c r="AD15" s="3">
        <f t="shared" si="8"/>
        <v>1</v>
      </c>
      <c r="AE15" s="3">
        <f t="shared" si="8"/>
        <v>1</v>
      </c>
      <c r="AF15" s="3">
        <f t="shared" si="8"/>
        <v>1</v>
      </c>
      <c r="AG15" s="3">
        <f t="shared" si="8"/>
        <v>1</v>
      </c>
      <c r="AH15" s="3">
        <f t="shared" si="8"/>
        <v>1</v>
      </c>
      <c r="AI15" s="3">
        <f t="shared" si="8"/>
        <v>1</v>
      </c>
      <c r="AJ15" s="3">
        <f t="shared" si="8"/>
        <v>1</v>
      </c>
      <c r="AK15" s="3">
        <f t="shared" si="8"/>
        <v>1</v>
      </c>
      <c r="AL15" s="3">
        <f t="shared" si="8"/>
        <v>1</v>
      </c>
      <c r="AM15" s="3">
        <f t="shared" si="8"/>
        <v>1</v>
      </c>
      <c r="AN15" s="3">
        <f t="shared" si="8"/>
        <v>1</v>
      </c>
      <c r="AO15" s="3">
        <f t="shared" si="8"/>
        <v>1</v>
      </c>
      <c r="AP15" s="3">
        <f t="shared" si="8"/>
        <v>1</v>
      </c>
      <c r="AQ15" s="3">
        <f t="shared" si="8"/>
        <v>1</v>
      </c>
      <c r="AR15" s="3">
        <f t="shared" si="8"/>
        <v>1</v>
      </c>
    </row>
    <row r="16" spans="1:44" x14ac:dyDescent="0.2">
      <c r="B16" s="1" t="s">
        <v>69</v>
      </c>
      <c r="C16" s="11" t="s">
        <v>50</v>
      </c>
      <c r="D16" s="69">
        <f>INPUTS!E25</f>
        <v>0.03</v>
      </c>
      <c r="E16" s="69"/>
      <c r="F16" s="3">
        <f t="shared" ref="F16:G16" si="9">MIN(1,IF(F10=0,1,1/(1+$D16)^(F$10-1)))</f>
        <v>1</v>
      </c>
      <c r="G16" s="3">
        <f t="shared" si="9"/>
        <v>1</v>
      </c>
      <c r="H16" s="3">
        <f>MIN(1,IF(H10=0,1,1/(1+$D16)^(H$10-1)))</f>
        <v>1</v>
      </c>
      <c r="I16" s="3">
        <f t="shared" ref="I16:AR16" si="10">MIN(1,IF(I10=0,1,1/(1+$D16)^(I$10-1)))</f>
        <v>1</v>
      </c>
      <c r="J16" s="3">
        <f t="shared" si="10"/>
        <v>0.970873786407767</v>
      </c>
      <c r="K16" s="3">
        <f t="shared" si="10"/>
        <v>0.94259590913375435</v>
      </c>
      <c r="L16" s="3">
        <f t="shared" si="10"/>
        <v>0.91514165935315961</v>
      </c>
      <c r="M16" s="3">
        <f t="shared" si="10"/>
        <v>0.888487047915689</v>
      </c>
      <c r="N16" s="3">
        <f t="shared" si="10"/>
        <v>0.86260878438416411</v>
      </c>
      <c r="O16" s="3">
        <f t="shared" si="10"/>
        <v>0.83748425668365445</v>
      </c>
      <c r="P16" s="3">
        <f t="shared" si="10"/>
        <v>0.81309151134335378</v>
      </c>
      <c r="Q16" s="3">
        <f t="shared" si="10"/>
        <v>0.78940923431393573</v>
      </c>
      <c r="R16" s="3">
        <f t="shared" si="10"/>
        <v>0.76641673234362695</v>
      </c>
      <c r="S16" s="3">
        <f t="shared" si="10"/>
        <v>0.74409391489672516</v>
      </c>
      <c r="T16" s="3">
        <f t="shared" si="10"/>
        <v>0.72242127659876232</v>
      </c>
      <c r="U16" s="3">
        <f t="shared" si="10"/>
        <v>0.70137988019297326</v>
      </c>
      <c r="V16" s="3">
        <f t="shared" si="10"/>
        <v>0.68095133999317792</v>
      </c>
      <c r="W16" s="3">
        <f t="shared" si="10"/>
        <v>0.66111780581861923</v>
      </c>
      <c r="X16" s="3">
        <f t="shared" si="10"/>
        <v>0.64186194739671765</v>
      </c>
      <c r="Y16" s="3">
        <f t="shared" si="10"/>
        <v>0.62316693922011435</v>
      </c>
      <c r="Z16" s="3">
        <f t="shared" si="10"/>
        <v>0.60501644584477121</v>
      </c>
      <c r="AA16" s="3">
        <f t="shared" si="10"/>
        <v>0.5873946076162827</v>
      </c>
      <c r="AB16" s="3">
        <f t="shared" si="10"/>
        <v>0.57028602681192497</v>
      </c>
      <c r="AC16" s="3">
        <f t="shared" si="10"/>
        <v>0.55367575418633497</v>
      </c>
      <c r="AD16" s="3">
        <f t="shared" si="10"/>
        <v>0.5375492759090631</v>
      </c>
      <c r="AE16" s="3">
        <f t="shared" si="10"/>
        <v>0.52189250088258554</v>
      </c>
      <c r="AF16" s="3">
        <f t="shared" si="10"/>
        <v>0.50669174842969467</v>
      </c>
      <c r="AG16" s="3">
        <f t="shared" si="10"/>
        <v>0.49193373633950943</v>
      </c>
      <c r="AH16" s="3">
        <f t="shared" si="10"/>
        <v>0.47760556926165965</v>
      </c>
      <c r="AI16" s="3">
        <f t="shared" si="10"/>
        <v>0.46369472743850448</v>
      </c>
      <c r="AJ16" s="3">
        <f t="shared" si="10"/>
        <v>0.45018905576553836</v>
      </c>
      <c r="AK16" s="3">
        <f t="shared" si="10"/>
        <v>0.4370767531704256</v>
      </c>
      <c r="AL16" s="3">
        <f t="shared" si="10"/>
        <v>0.42434636230138412</v>
      </c>
      <c r="AM16" s="3">
        <f t="shared" si="10"/>
        <v>0.41198675951590691</v>
      </c>
      <c r="AN16" s="3">
        <f t="shared" si="10"/>
        <v>0.39998714516107459</v>
      </c>
      <c r="AO16" s="3">
        <f t="shared" si="10"/>
        <v>0.38833703413696569</v>
      </c>
      <c r="AP16" s="3">
        <f t="shared" si="10"/>
        <v>0.37702624673491814</v>
      </c>
      <c r="AQ16" s="3">
        <f t="shared" si="10"/>
        <v>0.36604489974263904</v>
      </c>
      <c r="AR16" s="3">
        <f t="shared" si="10"/>
        <v>0.35538339780838735</v>
      </c>
    </row>
    <row r="17" spans="1:44" x14ac:dyDescent="0.2">
      <c r="B17" s="1" t="s">
        <v>70</v>
      </c>
      <c r="C17" s="11" t="s">
        <v>50</v>
      </c>
      <c r="D17" s="69">
        <f>INPUTS!E26</f>
        <v>7.0000000000000007E-2</v>
      </c>
      <c r="E17" s="69"/>
      <c r="F17" s="3">
        <f t="shared" ref="F17:G17" si="11">MIN(1,IF(F10=0,1,1/(1+$D17)^(F$10-1)))</f>
        <v>1</v>
      </c>
      <c r="G17" s="3">
        <f t="shared" si="11"/>
        <v>1</v>
      </c>
      <c r="H17" s="3">
        <f>MIN(1,IF(H10=0,1,1/(1+$D17)^(H$10-1)))</f>
        <v>1</v>
      </c>
      <c r="I17" s="3">
        <f t="shared" ref="I17:AR17" si="12">MIN(1,IF(I10=0,1,1/(1+$D17)^(I$10-1)))</f>
        <v>1</v>
      </c>
      <c r="J17" s="3">
        <f t="shared" si="12"/>
        <v>0.93457943925233644</v>
      </c>
      <c r="K17" s="3">
        <f t="shared" si="12"/>
        <v>0.87343872827321156</v>
      </c>
      <c r="L17" s="3">
        <f t="shared" si="12"/>
        <v>0.81629787689085187</v>
      </c>
      <c r="M17" s="3">
        <f t="shared" si="12"/>
        <v>0.7628952120475252</v>
      </c>
      <c r="N17" s="3">
        <f t="shared" si="12"/>
        <v>0.71298617948366838</v>
      </c>
      <c r="O17" s="3">
        <f t="shared" si="12"/>
        <v>0.66634222381651254</v>
      </c>
      <c r="P17" s="3">
        <f t="shared" si="12"/>
        <v>0.62274974188459109</v>
      </c>
      <c r="Q17" s="3">
        <f t="shared" si="12"/>
        <v>0.5820091045650384</v>
      </c>
      <c r="R17" s="3">
        <f t="shared" si="12"/>
        <v>0.54393374258414806</v>
      </c>
      <c r="S17" s="3">
        <f t="shared" si="12"/>
        <v>0.5083492921347178</v>
      </c>
      <c r="T17" s="3">
        <f t="shared" si="12"/>
        <v>0.47509279638758667</v>
      </c>
      <c r="U17" s="3">
        <f t="shared" si="12"/>
        <v>0.44401195924073528</v>
      </c>
      <c r="V17" s="3">
        <f t="shared" si="12"/>
        <v>0.41496444788853759</v>
      </c>
      <c r="W17" s="3">
        <f t="shared" si="12"/>
        <v>0.3878172410173249</v>
      </c>
      <c r="X17" s="3">
        <f t="shared" si="12"/>
        <v>0.36244601964235967</v>
      </c>
      <c r="Y17" s="3">
        <f t="shared" si="12"/>
        <v>0.33873459779659787</v>
      </c>
      <c r="Z17" s="3">
        <f t="shared" si="12"/>
        <v>0.31657439046411018</v>
      </c>
      <c r="AA17" s="3">
        <f t="shared" si="12"/>
        <v>0.29586391632159825</v>
      </c>
      <c r="AB17" s="3">
        <f t="shared" si="12"/>
        <v>0.27650833301083949</v>
      </c>
      <c r="AC17" s="3">
        <f t="shared" si="12"/>
        <v>0.2584190028138687</v>
      </c>
      <c r="AD17" s="3">
        <f t="shared" si="12"/>
        <v>0.24151308674193336</v>
      </c>
      <c r="AE17" s="3">
        <f t="shared" si="12"/>
        <v>0.22571316517937698</v>
      </c>
      <c r="AF17" s="3">
        <f t="shared" si="12"/>
        <v>0.21094688334521211</v>
      </c>
      <c r="AG17" s="3">
        <f t="shared" si="12"/>
        <v>0.19714661994879637</v>
      </c>
      <c r="AH17" s="3">
        <f t="shared" si="12"/>
        <v>0.18424917752223957</v>
      </c>
      <c r="AI17" s="3">
        <f t="shared" si="12"/>
        <v>0.17219549301143888</v>
      </c>
      <c r="AJ17" s="3">
        <f t="shared" si="12"/>
        <v>0.16093036730041013</v>
      </c>
      <c r="AK17" s="3">
        <f t="shared" si="12"/>
        <v>0.15040221243028987</v>
      </c>
      <c r="AL17" s="3">
        <f t="shared" si="12"/>
        <v>0.1405628153554111</v>
      </c>
      <c r="AM17" s="3">
        <f t="shared" si="12"/>
        <v>0.13136711715458982</v>
      </c>
      <c r="AN17" s="3">
        <f t="shared" si="12"/>
        <v>0.1227730066865325</v>
      </c>
      <c r="AO17" s="3">
        <f t="shared" si="12"/>
        <v>0.11474112774442291</v>
      </c>
      <c r="AP17" s="3">
        <f t="shared" si="12"/>
        <v>0.10723469882656347</v>
      </c>
      <c r="AQ17" s="3">
        <f t="shared" si="12"/>
        <v>0.10021934469772288</v>
      </c>
      <c r="AR17" s="3">
        <f t="shared" si="12"/>
        <v>9.366293896983445E-2</v>
      </c>
    </row>
    <row r="19" spans="1:44" x14ac:dyDescent="0.2">
      <c r="B19" s="1" t="s">
        <v>232</v>
      </c>
      <c r="C19" s="1" t="s">
        <v>44</v>
      </c>
      <c r="D19" s="1" t="s">
        <v>45</v>
      </c>
    </row>
    <row r="20" spans="1:44" s="8" customFormat="1" x14ac:dyDescent="0.2">
      <c r="A20" s="7" t="s">
        <v>233</v>
      </c>
    </row>
    <row r="21" spans="1:44" ht="15" x14ac:dyDescent="0.25">
      <c r="A21" s="2" t="s">
        <v>314</v>
      </c>
    </row>
    <row r="22" spans="1:44" ht="15" x14ac:dyDescent="0.25">
      <c r="B22" s="2" t="s">
        <v>315</v>
      </c>
      <c r="C22" s="71"/>
      <c r="D22" s="70"/>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row>
    <row r="23" spans="1:44" x14ac:dyDescent="0.2">
      <c r="B23" s="1" t="s">
        <v>316</v>
      </c>
      <c r="C23" s="71" t="s">
        <v>180</v>
      </c>
      <c r="D23" s="83">
        <f>INPUTS!$E$138</f>
        <v>258</v>
      </c>
      <c r="F23" s="86">
        <f t="shared" ref="F23:AR23" si="13">IF(F$7=$D$24,$D$23,0)</f>
        <v>0</v>
      </c>
      <c r="G23" s="86">
        <f t="shared" si="13"/>
        <v>0</v>
      </c>
      <c r="H23" s="86">
        <f t="shared" si="13"/>
        <v>0</v>
      </c>
      <c r="I23" s="86">
        <f t="shared" si="13"/>
        <v>258</v>
      </c>
      <c r="J23" s="86">
        <f t="shared" si="13"/>
        <v>0</v>
      </c>
      <c r="K23" s="86">
        <f t="shared" si="13"/>
        <v>0</v>
      </c>
      <c r="L23" s="86">
        <f t="shared" si="13"/>
        <v>0</v>
      </c>
      <c r="M23" s="86">
        <f t="shared" si="13"/>
        <v>0</v>
      </c>
      <c r="N23" s="86">
        <f t="shared" si="13"/>
        <v>0</v>
      </c>
      <c r="O23" s="86">
        <f t="shared" si="13"/>
        <v>0</v>
      </c>
      <c r="P23" s="86">
        <f t="shared" si="13"/>
        <v>0</v>
      </c>
      <c r="Q23" s="86">
        <f t="shared" si="13"/>
        <v>0</v>
      </c>
      <c r="R23" s="86">
        <f t="shared" si="13"/>
        <v>0</v>
      </c>
      <c r="S23" s="86">
        <f t="shared" si="13"/>
        <v>0</v>
      </c>
      <c r="T23" s="86">
        <f t="shared" si="13"/>
        <v>0</v>
      </c>
      <c r="U23" s="86">
        <f t="shared" si="13"/>
        <v>0</v>
      </c>
      <c r="V23" s="86">
        <f t="shared" si="13"/>
        <v>0</v>
      </c>
      <c r="W23" s="86">
        <f t="shared" si="13"/>
        <v>0</v>
      </c>
      <c r="X23" s="86">
        <f t="shared" si="13"/>
        <v>0</v>
      </c>
      <c r="Y23" s="86">
        <f t="shared" si="13"/>
        <v>0</v>
      </c>
      <c r="Z23" s="86">
        <f t="shared" si="13"/>
        <v>0</v>
      </c>
      <c r="AA23" s="86">
        <f t="shared" si="13"/>
        <v>0</v>
      </c>
      <c r="AB23" s="86">
        <f t="shared" si="13"/>
        <v>0</v>
      </c>
      <c r="AC23" s="86">
        <f t="shared" si="13"/>
        <v>0</v>
      </c>
      <c r="AD23" s="86">
        <f t="shared" si="13"/>
        <v>0</v>
      </c>
      <c r="AE23" s="86">
        <f t="shared" si="13"/>
        <v>0</v>
      </c>
      <c r="AF23" s="86">
        <f t="shared" si="13"/>
        <v>0</v>
      </c>
      <c r="AG23" s="86">
        <f t="shared" si="13"/>
        <v>0</v>
      </c>
      <c r="AH23" s="86">
        <f t="shared" si="13"/>
        <v>0</v>
      </c>
      <c r="AI23" s="86">
        <f t="shared" si="13"/>
        <v>0</v>
      </c>
      <c r="AJ23" s="86">
        <f t="shared" si="13"/>
        <v>0</v>
      </c>
      <c r="AK23" s="86">
        <f t="shared" si="13"/>
        <v>0</v>
      </c>
      <c r="AL23" s="86">
        <f t="shared" si="13"/>
        <v>0</v>
      </c>
      <c r="AM23" s="86">
        <f t="shared" si="13"/>
        <v>0</v>
      </c>
      <c r="AN23" s="86">
        <f t="shared" si="13"/>
        <v>0</v>
      </c>
      <c r="AO23" s="86">
        <f t="shared" si="13"/>
        <v>0</v>
      </c>
      <c r="AP23" s="86">
        <f t="shared" si="13"/>
        <v>0</v>
      </c>
      <c r="AQ23" s="86">
        <f t="shared" si="13"/>
        <v>0</v>
      </c>
      <c r="AR23" s="86">
        <f t="shared" si="13"/>
        <v>0</v>
      </c>
    </row>
    <row r="24" spans="1:44" x14ac:dyDescent="0.2">
      <c r="B24" s="1" t="s">
        <v>316</v>
      </c>
      <c r="C24" s="71" t="s">
        <v>123</v>
      </c>
      <c r="D24" s="22">
        <f>INPUTS!$E$139</f>
        <v>2021</v>
      </c>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row>
    <row r="25" spans="1:44" x14ac:dyDescent="0.2">
      <c r="B25" s="1" t="s">
        <v>317</v>
      </c>
      <c r="C25" s="71" t="s">
        <v>180</v>
      </c>
      <c r="D25" s="83">
        <f>INPUTS!$E$140</f>
        <v>959</v>
      </c>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row>
    <row r="26" spans="1:44" x14ac:dyDescent="0.2">
      <c r="B26" s="1" t="s">
        <v>317</v>
      </c>
      <c r="C26" s="71" t="s">
        <v>123</v>
      </c>
      <c r="D26" s="22">
        <f>INPUTS!$E$141</f>
        <v>2050</v>
      </c>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row>
    <row r="27" spans="1:44" x14ac:dyDescent="0.2">
      <c r="B27" s="1" t="s">
        <v>279</v>
      </c>
      <c r="C27" s="71" t="s">
        <v>318</v>
      </c>
      <c r="D27" s="17">
        <f>(D25-D23)/(D26-D24)</f>
        <v>24.172413793103448</v>
      </c>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row>
    <row r="28" spans="1:44" x14ac:dyDescent="0.2">
      <c r="B28" s="1" t="s">
        <v>280</v>
      </c>
      <c r="C28" s="71" t="s">
        <v>281</v>
      </c>
      <c r="D28" s="19"/>
      <c r="F28" s="18">
        <f t="shared" ref="F28:AR28" si="14">IF(F7&gt;$D$24,1,0)</f>
        <v>0</v>
      </c>
      <c r="G28" s="18">
        <f t="shared" si="14"/>
        <v>0</v>
      </c>
      <c r="H28" s="18">
        <f t="shared" si="14"/>
        <v>0</v>
      </c>
      <c r="I28" s="18">
        <f t="shared" si="14"/>
        <v>0</v>
      </c>
      <c r="J28" s="18">
        <f t="shared" si="14"/>
        <v>1</v>
      </c>
      <c r="K28" s="18">
        <f t="shared" si="14"/>
        <v>1</v>
      </c>
      <c r="L28" s="18">
        <f t="shared" si="14"/>
        <v>1</v>
      </c>
      <c r="M28" s="18">
        <f t="shared" si="14"/>
        <v>1</v>
      </c>
      <c r="N28" s="18">
        <f t="shared" si="14"/>
        <v>1</v>
      </c>
      <c r="O28" s="18">
        <f t="shared" si="14"/>
        <v>1</v>
      </c>
      <c r="P28" s="18">
        <f t="shared" si="14"/>
        <v>1</v>
      </c>
      <c r="Q28" s="18">
        <f t="shared" si="14"/>
        <v>1</v>
      </c>
      <c r="R28" s="18">
        <f t="shared" si="14"/>
        <v>1</v>
      </c>
      <c r="S28" s="18">
        <f t="shared" si="14"/>
        <v>1</v>
      </c>
      <c r="T28" s="18">
        <f t="shared" si="14"/>
        <v>1</v>
      </c>
      <c r="U28" s="18">
        <f t="shared" si="14"/>
        <v>1</v>
      </c>
      <c r="V28" s="18">
        <f t="shared" si="14"/>
        <v>1</v>
      </c>
      <c r="W28" s="18">
        <f t="shared" si="14"/>
        <v>1</v>
      </c>
      <c r="X28" s="18">
        <f t="shared" si="14"/>
        <v>1</v>
      </c>
      <c r="Y28" s="18">
        <f t="shared" si="14"/>
        <v>1</v>
      </c>
      <c r="Z28" s="18">
        <f t="shared" si="14"/>
        <v>1</v>
      </c>
      <c r="AA28" s="18">
        <f t="shared" si="14"/>
        <v>1</v>
      </c>
      <c r="AB28" s="18">
        <f t="shared" si="14"/>
        <v>1</v>
      </c>
      <c r="AC28" s="18">
        <f t="shared" si="14"/>
        <v>1</v>
      </c>
      <c r="AD28" s="18">
        <f t="shared" si="14"/>
        <v>1</v>
      </c>
      <c r="AE28" s="18">
        <f t="shared" si="14"/>
        <v>1</v>
      </c>
      <c r="AF28" s="18">
        <f t="shared" si="14"/>
        <v>1</v>
      </c>
      <c r="AG28" s="18">
        <f t="shared" si="14"/>
        <v>1</v>
      </c>
      <c r="AH28" s="18">
        <f t="shared" si="14"/>
        <v>1</v>
      </c>
      <c r="AI28" s="18">
        <f t="shared" si="14"/>
        <v>1</v>
      </c>
      <c r="AJ28" s="18">
        <f t="shared" si="14"/>
        <v>1</v>
      </c>
      <c r="AK28" s="18">
        <f t="shared" si="14"/>
        <v>1</v>
      </c>
      <c r="AL28" s="18">
        <f t="shared" si="14"/>
        <v>1</v>
      </c>
      <c r="AM28" s="18">
        <f t="shared" si="14"/>
        <v>1</v>
      </c>
      <c r="AN28" s="18">
        <f t="shared" si="14"/>
        <v>1</v>
      </c>
      <c r="AO28" s="18">
        <f t="shared" si="14"/>
        <v>1</v>
      </c>
      <c r="AP28" s="18">
        <f t="shared" si="14"/>
        <v>1</v>
      </c>
      <c r="AQ28" s="18">
        <f t="shared" si="14"/>
        <v>1</v>
      </c>
      <c r="AR28" s="18">
        <f t="shared" si="14"/>
        <v>1</v>
      </c>
    </row>
    <row r="29" spans="1:44" ht="15" x14ac:dyDescent="0.25">
      <c r="A29" s="2"/>
      <c r="B29" s="1" t="s">
        <v>319</v>
      </c>
      <c r="C29" s="71" t="s">
        <v>318</v>
      </c>
      <c r="D29" s="83">
        <f>SUM(F29:AR29)</f>
        <v>24516.620689655181</v>
      </c>
      <c r="F29" s="70">
        <f t="shared" ref="F29:AR29" si="15">E29+F23+F28*$D$27</f>
        <v>0</v>
      </c>
      <c r="G29" s="70">
        <f t="shared" si="15"/>
        <v>0</v>
      </c>
      <c r="H29" s="70">
        <f t="shared" si="15"/>
        <v>0</v>
      </c>
      <c r="I29" s="70">
        <f t="shared" si="15"/>
        <v>258</v>
      </c>
      <c r="J29" s="70">
        <f t="shared" si="15"/>
        <v>282.17241379310343</v>
      </c>
      <c r="K29" s="70">
        <f t="shared" si="15"/>
        <v>306.34482758620686</v>
      </c>
      <c r="L29" s="70">
        <f t="shared" si="15"/>
        <v>330.51724137931029</v>
      </c>
      <c r="M29" s="70">
        <f t="shared" si="15"/>
        <v>354.68965517241372</v>
      </c>
      <c r="N29" s="70">
        <f t="shared" si="15"/>
        <v>378.86206896551715</v>
      </c>
      <c r="O29" s="70">
        <f t="shared" si="15"/>
        <v>403.03448275862058</v>
      </c>
      <c r="P29" s="70">
        <f t="shared" si="15"/>
        <v>427.20689655172401</v>
      </c>
      <c r="Q29" s="70">
        <f t="shared" si="15"/>
        <v>451.37931034482745</v>
      </c>
      <c r="R29" s="70">
        <f t="shared" si="15"/>
        <v>475.55172413793088</v>
      </c>
      <c r="S29" s="70">
        <f t="shared" si="15"/>
        <v>499.72413793103431</v>
      </c>
      <c r="T29" s="70">
        <f t="shared" si="15"/>
        <v>523.89655172413779</v>
      </c>
      <c r="U29" s="70">
        <f t="shared" si="15"/>
        <v>548.06896551724128</v>
      </c>
      <c r="V29" s="70">
        <f t="shared" si="15"/>
        <v>572.24137931034477</v>
      </c>
      <c r="W29" s="70">
        <f t="shared" si="15"/>
        <v>596.41379310344826</v>
      </c>
      <c r="X29" s="70">
        <f t="shared" si="15"/>
        <v>620.58620689655174</v>
      </c>
      <c r="Y29" s="70">
        <f t="shared" si="15"/>
        <v>644.75862068965523</v>
      </c>
      <c r="Z29" s="70">
        <f t="shared" si="15"/>
        <v>668.93103448275872</v>
      </c>
      <c r="AA29" s="70">
        <f t="shared" si="15"/>
        <v>693.10344827586221</v>
      </c>
      <c r="AB29" s="70">
        <f t="shared" si="15"/>
        <v>717.27586206896569</v>
      </c>
      <c r="AC29" s="70">
        <f t="shared" si="15"/>
        <v>741.44827586206918</v>
      </c>
      <c r="AD29" s="70">
        <f t="shared" si="15"/>
        <v>765.62068965517267</v>
      </c>
      <c r="AE29" s="70">
        <f t="shared" si="15"/>
        <v>789.79310344827616</v>
      </c>
      <c r="AF29" s="70">
        <f t="shared" si="15"/>
        <v>813.96551724137964</v>
      </c>
      <c r="AG29" s="70">
        <f t="shared" si="15"/>
        <v>838.13793103448313</v>
      </c>
      <c r="AH29" s="70">
        <f t="shared" si="15"/>
        <v>862.31034482758662</v>
      </c>
      <c r="AI29" s="70">
        <f t="shared" si="15"/>
        <v>886.48275862069011</v>
      </c>
      <c r="AJ29" s="70">
        <f t="shared" si="15"/>
        <v>910.65517241379359</v>
      </c>
      <c r="AK29" s="70">
        <f t="shared" si="15"/>
        <v>934.82758620689708</v>
      </c>
      <c r="AL29" s="70">
        <f t="shared" si="15"/>
        <v>959.00000000000057</v>
      </c>
      <c r="AM29" s="70">
        <f t="shared" si="15"/>
        <v>983.17241379310406</v>
      </c>
      <c r="AN29" s="70">
        <f t="shared" si="15"/>
        <v>1007.3448275862075</v>
      </c>
      <c r="AO29" s="70">
        <f t="shared" si="15"/>
        <v>1031.5172413793109</v>
      </c>
      <c r="AP29" s="70">
        <f t="shared" si="15"/>
        <v>1055.6896551724144</v>
      </c>
      <c r="AQ29" s="70">
        <f t="shared" si="15"/>
        <v>1079.8620689655179</v>
      </c>
      <c r="AR29" s="70">
        <f t="shared" si="15"/>
        <v>1104.0344827586214</v>
      </c>
    </row>
    <row r="30" spans="1:44" ht="15" x14ac:dyDescent="0.25">
      <c r="A30" s="2"/>
      <c r="B30" s="1" t="s">
        <v>306</v>
      </c>
      <c r="C30" s="71" t="s">
        <v>111</v>
      </c>
      <c r="D30" s="83">
        <f>INPUTS!$E$27</f>
        <v>365</v>
      </c>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row>
    <row r="31" spans="1:44" ht="15" x14ac:dyDescent="0.25">
      <c r="A31" s="2"/>
      <c r="B31" s="1" t="s">
        <v>319</v>
      </c>
      <c r="C31" s="71" t="s">
        <v>320</v>
      </c>
      <c r="D31" s="83">
        <f>SUM(F31:AR31)</f>
        <v>8948566.5517241396</v>
      </c>
      <c r="F31" s="70">
        <f t="shared" ref="F31:AR31" si="16">F29*$D$30</f>
        <v>0</v>
      </c>
      <c r="G31" s="70">
        <f t="shared" si="16"/>
        <v>0</v>
      </c>
      <c r="H31" s="70">
        <f t="shared" si="16"/>
        <v>0</v>
      </c>
      <c r="I31" s="70">
        <f t="shared" si="16"/>
        <v>94170</v>
      </c>
      <c r="J31" s="70">
        <f t="shared" si="16"/>
        <v>102992.93103448275</v>
      </c>
      <c r="K31" s="70">
        <f t="shared" si="16"/>
        <v>111815.86206896551</v>
      </c>
      <c r="L31" s="70">
        <f t="shared" si="16"/>
        <v>120638.79310344826</v>
      </c>
      <c r="M31" s="70">
        <f t="shared" si="16"/>
        <v>129461.72413793101</v>
      </c>
      <c r="N31" s="70">
        <f t="shared" si="16"/>
        <v>138284.65517241377</v>
      </c>
      <c r="O31" s="70">
        <f t="shared" si="16"/>
        <v>147107.58620689652</v>
      </c>
      <c r="P31" s="70">
        <f t="shared" si="16"/>
        <v>155930.51724137928</v>
      </c>
      <c r="Q31" s="70">
        <f t="shared" si="16"/>
        <v>164753.44827586203</v>
      </c>
      <c r="R31" s="70">
        <f t="shared" si="16"/>
        <v>173576.37931034478</v>
      </c>
      <c r="S31" s="70">
        <f t="shared" si="16"/>
        <v>182399.31034482754</v>
      </c>
      <c r="T31" s="70">
        <f t="shared" si="16"/>
        <v>191222.24137931029</v>
      </c>
      <c r="U31" s="70">
        <f t="shared" si="16"/>
        <v>200045.17241379307</v>
      </c>
      <c r="V31" s="70">
        <f t="shared" si="16"/>
        <v>208868.10344827586</v>
      </c>
      <c r="W31" s="70">
        <f t="shared" si="16"/>
        <v>217691.03448275861</v>
      </c>
      <c r="X31" s="70">
        <f t="shared" si="16"/>
        <v>226513.96551724139</v>
      </c>
      <c r="Y31" s="70">
        <f t="shared" si="16"/>
        <v>235336.89655172414</v>
      </c>
      <c r="Z31" s="70">
        <f t="shared" si="16"/>
        <v>244159.82758620693</v>
      </c>
      <c r="AA31" s="70">
        <f t="shared" si="16"/>
        <v>252982.75862068971</v>
      </c>
      <c r="AB31" s="70">
        <f t="shared" si="16"/>
        <v>261805.68965517246</v>
      </c>
      <c r="AC31" s="70">
        <f t="shared" si="16"/>
        <v>270628.62068965525</v>
      </c>
      <c r="AD31" s="70">
        <f t="shared" si="16"/>
        <v>279451.55172413803</v>
      </c>
      <c r="AE31" s="70">
        <f t="shared" si="16"/>
        <v>288274.48275862081</v>
      </c>
      <c r="AF31" s="70">
        <f t="shared" si="16"/>
        <v>297097.41379310359</v>
      </c>
      <c r="AG31" s="70">
        <f t="shared" si="16"/>
        <v>305920.34482758632</v>
      </c>
      <c r="AH31" s="70">
        <f t="shared" si="16"/>
        <v>314743.2758620691</v>
      </c>
      <c r="AI31" s="70">
        <f t="shared" si="16"/>
        <v>323566.20689655188</v>
      </c>
      <c r="AJ31" s="70">
        <f t="shared" si="16"/>
        <v>332389.13793103467</v>
      </c>
      <c r="AK31" s="70">
        <f t="shared" si="16"/>
        <v>341212.06896551745</v>
      </c>
      <c r="AL31" s="70">
        <f t="shared" si="16"/>
        <v>350035.00000000023</v>
      </c>
      <c r="AM31" s="70">
        <f t="shared" si="16"/>
        <v>358857.93103448296</v>
      </c>
      <c r="AN31" s="70">
        <f t="shared" si="16"/>
        <v>367680.86206896574</v>
      </c>
      <c r="AO31" s="70">
        <f t="shared" si="16"/>
        <v>376503.79310344846</v>
      </c>
      <c r="AP31" s="70">
        <f t="shared" si="16"/>
        <v>385326.72413793125</v>
      </c>
      <c r="AQ31" s="70">
        <f t="shared" si="16"/>
        <v>394149.65517241403</v>
      </c>
      <c r="AR31" s="70">
        <f t="shared" si="16"/>
        <v>402972.58620689681</v>
      </c>
    </row>
    <row r="32" spans="1:44" ht="15" x14ac:dyDescent="0.25">
      <c r="A32" s="2"/>
      <c r="C32" s="71"/>
      <c r="D32" s="83"/>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row>
    <row r="33" spans="1:44" ht="15" x14ac:dyDescent="0.25">
      <c r="A33" s="2"/>
      <c r="B33" s="2" t="s">
        <v>321</v>
      </c>
      <c r="C33" s="71"/>
      <c r="D33" s="69"/>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row>
    <row r="34" spans="1:44" ht="15" x14ac:dyDescent="0.25">
      <c r="A34" s="2"/>
      <c r="B34" s="1" t="str">
        <f>INPUTS!C54</f>
        <v>Portion of Heavy Vehicles</v>
      </c>
      <c r="C34" s="71" t="s">
        <v>68</v>
      </c>
      <c r="D34" s="69">
        <f>INPUTS!$E$54</f>
        <v>0.09</v>
      </c>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row>
    <row r="35" spans="1:44" ht="15" x14ac:dyDescent="0.25">
      <c r="A35" s="2"/>
      <c r="B35" s="1" t="s">
        <v>322</v>
      </c>
      <c r="C35" s="71" t="s">
        <v>320</v>
      </c>
      <c r="D35" s="83">
        <f>SUM(F35:AR35)</f>
        <v>8143195.5620689709</v>
      </c>
      <c r="F35" s="70">
        <f t="shared" ref="F35:AR35" si="17">F31*(1-$D$34)</f>
        <v>0</v>
      </c>
      <c r="G35" s="70">
        <f t="shared" si="17"/>
        <v>0</v>
      </c>
      <c r="H35" s="70">
        <f t="shared" si="17"/>
        <v>0</v>
      </c>
      <c r="I35" s="70">
        <f t="shared" si="17"/>
        <v>85694.7</v>
      </c>
      <c r="J35" s="70">
        <f t="shared" si="17"/>
        <v>93723.567241379307</v>
      </c>
      <c r="K35" s="70">
        <f t="shared" si="17"/>
        <v>101752.43448275862</v>
      </c>
      <c r="L35" s="70">
        <f t="shared" si="17"/>
        <v>109781.30172413793</v>
      </c>
      <c r="M35" s="70">
        <f t="shared" si="17"/>
        <v>117810.16896551722</v>
      </c>
      <c r="N35" s="70">
        <f t="shared" si="17"/>
        <v>125839.03620689653</v>
      </c>
      <c r="O35" s="70">
        <f t="shared" si="17"/>
        <v>133867.90344827584</v>
      </c>
      <c r="P35" s="70">
        <f t="shared" si="17"/>
        <v>141896.77068965515</v>
      </c>
      <c r="Q35" s="70">
        <f t="shared" si="17"/>
        <v>149925.63793103446</v>
      </c>
      <c r="R35" s="70">
        <f t="shared" si="17"/>
        <v>157954.50517241374</v>
      </c>
      <c r="S35" s="70">
        <f t="shared" si="17"/>
        <v>165983.37241379305</v>
      </c>
      <c r="T35" s="70">
        <f t="shared" si="17"/>
        <v>174012.23965517237</v>
      </c>
      <c r="U35" s="70">
        <f t="shared" si="17"/>
        <v>182041.1068965517</v>
      </c>
      <c r="V35" s="70">
        <f t="shared" si="17"/>
        <v>190069.97413793104</v>
      </c>
      <c r="W35" s="70">
        <f t="shared" si="17"/>
        <v>198098.84137931035</v>
      </c>
      <c r="X35" s="70">
        <f t="shared" si="17"/>
        <v>206127.70862068966</v>
      </c>
      <c r="Y35" s="70">
        <f t="shared" si="17"/>
        <v>214156.57586206897</v>
      </c>
      <c r="Z35" s="70">
        <f t="shared" si="17"/>
        <v>222185.44310344831</v>
      </c>
      <c r="AA35" s="70">
        <f t="shared" si="17"/>
        <v>230214.31034482765</v>
      </c>
      <c r="AB35" s="70">
        <f t="shared" si="17"/>
        <v>238243.17758620696</v>
      </c>
      <c r="AC35" s="70">
        <f t="shared" si="17"/>
        <v>246272.04482758627</v>
      </c>
      <c r="AD35" s="70">
        <f t="shared" si="17"/>
        <v>254300.91206896561</v>
      </c>
      <c r="AE35" s="70">
        <f t="shared" si="17"/>
        <v>262329.77931034495</v>
      </c>
      <c r="AF35" s="70">
        <f t="shared" si="17"/>
        <v>270358.64655172429</v>
      </c>
      <c r="AG35" s="70">
        <f t="shared" si="17"/>
        <v>278387.51379310357</v>
      </c>
      <c r="AH35" s="70">
        <f t="shared" si="17"/>
        <v>286416.38103448291</v>
      </c>
      <c r="AI35" s="70">
        <f t="shared" si="17"/>
        <v>294445.24827586225</v>
      </c>
      <c r="AJ35" s="70">
        <f t="shared" si="17"/>
        <v>302474.11551724153</v>
      </c>
      <c r="AK35" s="70">
        <f t="shared" si="17"/>
        <v>310502.98275862087</v>
      </c>
      <c r="AL35" s="70">
        <f t="shared" si="17"/>
        <v>318531.85000000021</v>
      </c>
      <c r="AM35" s="70">
        <f t="shared" si="17"/>
        <v>326560.71724137949</v>
      </c>
      <c r="AN35" s="70">
        <f t="shared" si="17"/>
        <v>334589.58448275883</v>
      </c>
      <c r="AO35" s="70">
        <f t="shared" si="17"/>
        <v>342618.45172413811</v>
      </c>
      <c r="AP35" s="70">
        <f t="shared" si="17"/>
        <v>350647.31896551745</v>
      </c>
      <c r="AQ35" s="70">
        <f t="shared" si="17"/>
        <v>358676.18620689679</v>
      </c>
      <c r="AR35" s="70">
        <f t="shared" si="17"/>
        <v>366705.05344827613</v>
      </c>
    </row>
    <row r="36" spans="1:44" ht="15" x14ac:dyDescent="0.25">
      <c r="A36" s="2"/>
      <c r="B36" s="1" t="s">
        <v>323</v>
      </c>
      <c r="C36" s="71" t="s">
        <v>320</v>
      </c>
      <c r="D36" s="83">
        <f>SUM(F36:AR36)</f>
        <v>805370.98965517257</v>
      </c>
      <c r="F36" s="70">
        <f t="shared" ref="F36:AR36" si="18">F31*$D$34</f>
        <v>0</v>
      </c>
      <c r="G36" s="70">
        <f t="shared" si="18"/>
        <v>0</v>
      </c>
      <c r="H36" s="70">
        <f t="shared" si="18"/>
        <v>0</v>
      </c>
      <c r="I36" s="70">
        <f t="shared" si="18"/>
        <v>8475.2999999999993</v>
      </c>
      <c r="J36" s="70">
        <f t="shared" si="18"/>
        <v>9269.3637931034482</v>
      </c>
      <c r="K36" s="70">
        <f t="shared" si="18"/>
        <v>10063.427586206895</v>
      </c>
      <c r="L36" s="70">
        <f t="shared" si="18"/>
        <v>10857.491379310342</v>
      </c>
      <c r="M36" s="70">
        <f t="shared" si="18"/>
        <v>11651.555172413791</v>
      </c>
      <c r="N36" s="70">
        <f t="shared" si="18"/>
        <v>12445.618965517238</v>
      </c>
      <c r="O36" s="70">
        <f t="shared" si="18"/>
        <v>13239.682758620687</v>
      </c>
      <c r="P36" s="70">
        <f t="shared" si="18"/>
        <v>14033.746551724134</v>
      </c>
      <c r="Q36" s="70">
        <f t="shared" si="18"/>
        <v>14827.810344827582</v>
      </c>
      <c r="R36" s="70">
        <f t="shared" si="18"/>
        <v>15621.87413793103</v>
      </c>
      <c r="S36" s="70">
        <f t="shared" si="18"/>
        <v>16415.937931034478</v>
      </c>
      <c r="T36" s="70">
        <f t="shared" si="18"/>
        <v>17210.001724137925</v>
      </c>
      <c r="U36" s="70">
        <f t="shared" si="18"/>
        <v>18004.065517241375</v>
      </c>
      <c r="V36" s="70">
        <f t="shared" si="18"/>
        <v>18798.129310344826</v>
      </c>
      <c r="W36" s="70">
        <f t="shared" si="18"/>
        <v>19592.193103448273</v>
      </c>
      <c r="X36" s="70">
        <f t="shared" si="18"/>
        <v>20386.256896551724</v>
      </c>
      <c r="Y36" s="70">
        <f t="shared" si="18"/>
        <v>21180.320689655171</v>
      </c>
      <c r="Z36" s="70">
        <f t="shared" si="18"/>
        <v>21974.384482758622</v>
      </c>
      <c r="AA36" s="70">
        <f t="shared" si="18"/>
        <v>22768.448275862072</v>
      </c>
      <c r="AB36" s="70">
        <f t="shared" si="18"/>
        <v>23562.51206896552</v>
      </c>
      <c r="AC36" s="70">
        <f t="shared" si="18"/>
        <v>24356.57586206897</v>
      </c>
      <c r="AD36" s="70">
        <f t="shared" si="18"/>
        <v>25150.639655172421</v>
      </c>
      <c r="AE36" s="70">
        <f t="shared" si="18"/>
        <v>25944.703448275872</v>
      </c>
      <c r="AF36" s="70">
        <f t="shared" si="18"/>
        <v>26738.767241379323</v>
      </c>
      <c r="AG36" s="70">
        <f t="shared" si="18"/>
        <v>27532.831034482766</v>
      </c>
      <c r="AH36" s="70">
        <f t="shared" si="18"/>
        <v>28326.894827586217</v>
      </c>
      <c r="AI36" s="70">
        <f t="shared" si="18"/>
        <v>29120.958620689667</v>
      </c>
      <c r="AJ36" s="70">
        <f t="shared" si="18"/>
        <v>29915.022413793118</v>
      </c>
      <c r="AK36" s="70">
        <f t="shared" si="18"/>
        <v>30709.086206896569</v>
      </c>
      <c r="AL36" s="70">
        <f t="shared" si="18"/>
        <v>31503.15000000002</v>
      </c>
      <c r="AM36" s="70">
        <f t="shared" si="18"/>
        <v>32297.213793103467</v>
      </c>
      <c r="AN36" s="70">
        <f t="shared" si="18"/>
        <v>33091.277586206917</v>
      </c>
      <c r="AO36" s="70">
        <f t="shared" si="18"/>
        <v>33885.341379310361</v>
      </c>
      <c r="AP36" s="70">
        <f t="shared" si="18"/>
        <v>34679.405172413812</v>
      </c>
      <c r="AQ36" s="70">
        <f t="shared" si="18"/>
        <v>35473.468965517262</v>
      </c>
      <c r="AR36" s="70">
        <f t="shared" si="18"/>
        <v>36267.532758620713</v>
      </c>
    </row>
    <row r="37" spans="1:44" ht="15" x14ac:dyDescent="0.25">
      <c r="A37" s="2"/>
      <c r="C37" s="71"/>
      <c r="D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row>
    <row r="38" spans="1:44" ht="15" x14ac:dyDescent="0.25">
      <c r="B38" s="2" t="s">
        <v>324</v>
      </c>
      <c r="C38" s="71"/>
      <c r="D38" s="83"/>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row>
    <row r="39" spans="1:44" x14ac:dyDescent="0.2">
      <c r="B39" s="1" t="s">
        <v>325</v>
      </c>
      <c r="C39" s="71" t="s">
        <v>326</v>
      </c>
      <c r="D39" s="87"/>
      <c r="F39" s="17">
        <f>IFERROR(HLOOKUP(F$7,'REF Fuel Prices'!$C$117:$AF$130,13),0)</f>
        <v>0</v>
      </c>
      <c r="G39" s="17">
        <f>IFERROR(HLOOKUP(G$7,'REF Fuel Prices'!$C$117:$AF$130,13),0)</f>
        <v>0</v>
      </c>
      <c r="H39" s="17">
        <f>IFERROR(HLOOKUP(H$7,'REF Fuel Prices'!$C$117:$AF$130,13),0)</f>
        <v>0</v>
      </c>
      <c r="I39" s="17">
        <f>IFERROR(HLOOKUP(I$7,'REF Fuel Prices'!$C$117:$AF$130,13),0)</f>
        <v>2.735252</v>
      </c>
      <c r="J39" s="17">
        <f>IFERROR(HLOOKUP(J$7,'REF Fuel Prices'!$C$117:$AF$130,13),0)</f>
        <v>2.6226926148488445</v>
      </c>
      <c r="K39" s="17">
        <f>IFERROR(HLOOKUP(K$7,'REF Fuel Prices'!$C$117:$AF$130,13),0)</f>
        <v>2.3467237457587871</v>
      </c>
      <c r="L39" s="17">
        <f>IFERROR(HLOOKUP(L$7,'REF Fuel Prices'!$C$117:$AF$130,13),0)</f>
        <v>2.3311739240164515</v>
      </c>
      <c r="M39" s="17">
        <f>IFERROR(HLOOKUP(M$7,'REF Fuel Prices'!$C$117:$AF$130,13),0)</f>
        <v>2.3071348637691638</v>
      </c>
      <c r="N39" s="17">
        <f>IFERROR(HLOOKUP(N$7,'REF Fuel Prices'!$C$117:$AF$130,13),0)</f>
        <v>2.3309777478313118</v>
      </c>
      <c r="O39" s="17">
        <f>IFERROR(HLOOKUP(O$7,'REF Fuel Prices'!$C$117:$AF$130,13),0)</f>
        <v>2.3583227726694398</v>
      </c>
      <c r="P39" s="17">
        <f>IFERROR(HLOOKUP(P$7,'REF Fuel Prices'!$C$117:$AF$130,13),0)</f>
        <v>2.3832960890091894</v>
      </c>
      <c r="Q39" s="17">
        <f>IFERROR(HLOOKUP(Q$7,'REF Fuel Prices'!$C$117:$AF$130,13),0)</f>
        <v>2.4006590009648621</v>
      </c>
      <c r="R39" s="17">
        <f>IFERROR(HLOOKUP(R$7,'REF Fuel Prices'!$C$117:$AF$130,13),0)</f>
        <v>2.4594493968247022</v>
      </c>
      <c r="S39" s="17">
        <f>IFERROR(HLOOKUP(S$7,'REF Fuel Prices'!$C$117:$AF$130,13),0)</f>
        <v>2.5376682727241149</v>
      </c>
      <c r="T39" s="17">
        <f>IFERROR(HLOOKUP(T$7,'REF Fuel Prices'!$C$117:$AF$130,13),0)</f>
        <v>2.5628720740885589</v>
      </c>
      <c r="U39" s="17">
        <f>IFERROR(HLOOKUP(U$7,'REF Fuel Prices'!$C$117:$AF$130,13),0)</f>
        <v>2.5835409506350722</v>
      </c>
      <c r="V39" s="17">
        <f>IFERROR(HLOOKUP(V$7,'REF Fuel Prices'!$C$117:$AF$130,13),0)</f>
        <v>2.6030019800865287</v>
      </c>
      <c r="W39" s="17">
        <f>IFERROR(HLOOKUP(W$7,'REF Fuel Prices'!$C$117:$AF$130,13),0)</f>
        <v>2.6122328173541418</v>
      </c>
      <c r="X39" s="17">
        <f>IFERROR(HLOOKUP(X$7,'REF Fuel Prices'!$C$117:$AF$130,13),0)</f>
        <v>2.6303566817768389</v>
      </c>
      <c r="Y39" s="17">
        <f>IFERROR(HLOOKUP(Y$7,'REF Fuel Prices'!$C$117:$AF$130,13),0)</f>
        <v>2.6463929852697685</v>
      </c>
      <c r="Z39" s="17">
        <f>IFERROR(HLOOKUP(Z$7,'REF Fuel Prices'!$C$117:$AF$130,13),0)</f>
        <v>2.674964331193483</v>
      </c>
      <c r="AA39" s="17">
        <f>IFERROR(HLOOKUP(AA$7,'REF Fuel Prices'!$C$117:$AF$130,13),0)</f>
        <v>2.6759284975563253</v>
      </c>
      <c r="AB39" s="17">
        <f>IFERROR(HLOOKUP(AB$7,'REF Fuel Prices'!$C$117:$AF$130,13),0)</f>
        <v>2.6964865301596657</v>
      </c>
      <c r="AC39" s="17">
        <f>IFERROR(HLOOKUP(AC$7,'REF Fuel Prices'!$C$117:$AF$130,13),0)</f>
        <v>2.713176461031785</v>
      </c>
      <c r="AD39" s="17">
        <f>IFERROR(HLOOKUP(AD$7,'REF Fuel Prices'!$C$117:$AF$130,13),0)</f>
        <v>2.7171052630175998</v>
      </c>
      <c r="AE39" s="17">
        <f>IFERROR(HLOOKUP(AE$7,'REF Fuel Prices'!$C$117:$AF$130,13),0)</f>
        <v>2.7436726208258442</v>
      </c>
      <c r="AF39" s="17">
        <f>IFERROR(HLOOKUP(AF$7,'REF Fuel Prices'!$C$117:$AF$130,13),0)</f>
        <v>2.7692168714443204</v>
      </c>
      <c r="AG39" s="17">
        <f>IFERROR(HLOOKUP(AG$7,'REF Fuel Prices'!$C$117:$AF$130,13),0)</f>
        <v>2.7776902751002481</v>
      </c>
      <c r="AH39" s="17">
        <f>IFERROR(HLOOKUP(AH$7,'REF Fuel Prices'!$C$117:$AF$130,13),0)</f>
        <v>2.799528291333091</v>
      </c>
      <c r="AI39" s="17">
        <f>IFERROR(HLOOKUP(AI$7,'REF Fuel Prices'!$C$117:$AF$130,13),0)</f>
        <v>2.8077456982631182</v>
      </c>
      <c r="AJ39" s="17">
        <f>IFERROR(HLOOKUP(AJ$7,'REF Fuel Prices'!$C$117:$AF$130,13),0)</f>
        <v>2.7997957243388432</v>
      </c>
      <c r="AK39" s="17">
        <f>IFERROR(HLOOKUP(AK$7,'REF Fuel Prices'!$C$117:$AF$130,13),0)</f>
        <v>2.8010466774118008</v>
      </c>
      <c r="AL39" s="17">
        <f>IFERROR(HLOOKUP(AL$7,'REF Fuel Prices'!$C$117:$AF$130,13),0)</f>
        <v>2.8000948270426447</v>
      </c>
      <c r="AM39" s="17">
        <f>IFERROR(HLOOKUP(AM$7,'REF Fuel Prices'!$C$117:$AF$130,13),0)</f>
        <v>2.8000948270426447</v>
      </c>
      <c r="AN39" s="17">
        <f>IFERROR(HLOOKUP(AN$7,'REF Fuel Prices'!$C$117:$AF$130,13),0)</f>
        <v>2.8000948270426447</v>
      </c>
      <c r="AO39" s="17">
        <f>IFERROR(HLOOKUP(AO$7,'REF Fuel Prices'!$C$117:$AF$130,13),0)</f>
        <v>2.8000948270426447</v>
      </c>
      <c r="AP39" s="17">
        <f>IFERROR(HLOOKUP(AP$7,'REF Fuel Prices'!$C$117:$AF$130,13),0)</f>
        <v>2.8000948270426447</v>
      </c>
      <c r="AQ39" s="17">
        <f>IFERROR(HLOOKUP(AQ$7,'REF Fuel Prices'!$C$117:$AF$130,13),0)</f>
        <v>2.8000948270426447</v>
      </c>
      <c r="AR39" s="17">
        <f>IFERROR(HLOOKUP(AR$7,'REF Fuel Prices'!$C$117:$AF$130,13),0)</f>
        <v>2.8000948270426447</v>
      </c>
    </row>
    <row r="40" spans="1:44" x14ac:dyDescent="0.2">
      <c r="B40" s="1" t="s">
        <v>327</v>
      </c>
      <c r="C40" s="71" t="s">
        <v>326</v>
      </c>
      <c r="D40" s="87"/>
      <c r="F40" s="17">
        <f>IFERROR(HLOOKUP(F$7,'REF Fuel Prices'!$C$117:$AF$130,14),0)</f>
        <v>0</v>
      </c>
      <c r="G40" s="17">
        <f>IFERROR(HLOOKUP(G$7,'REF Fuel Prices'!$C$117:$AF$130,14),0)</f>
        <v>0</v>
      </c>
      <c r="H40" s="17">
        <f>IFERROR(HLOOKUP(H$7,'REF Fuel Prices'!$C$117:$AF$130,14),0)</f>
        <v>0</v>
      </c>
      <c r="I40" s="17">
        <f>IFERROR(HLOOKUP(I$7,'REF Fuel Prices'!$C$117:$AF$130,14),0)</f>
        <v>2.8226489999999997</v>
      </c>
      <c r="J40" s="17">
        <f>IFERROR(HLOOKUP(J$7,'REF Fuel Prices'!$C$117:$AF$130,14),0)</f>
        <v>2.9506215045594262</v>
      </c>
      <c r="K40" s="17">
        <f>IFERROR(HLOOKUP(K$7,'REF Fuel Prices'!$C$117:$AF$130,14),0)</f>
        <v>2.7543550779283219</v>
      </c>
      <c r="L40" s="17">
        <f>IFERROR(HLOOKUP(L$7,'REF Fuel Prices'!$C$117:$AF$130,14),0)</f>
        <v>2.9795332526380558</v>
      </c>
      <c r="M40" s="17">
        <f>IFERROR(HLOOKUP(M$7,'REF Fuel Prices'!$C$117:$AF$130,14),0)</f>
        <v>2.99128118432301</v>
      </c>
      <c r="N40" s="17">
        <f>IFERROR(HLOOKUP(N$7,'REF Fuel Prices'!$C$117:$AF$130,14),0)</f>
        <v>3.019534262945339</v>
      </c>
      <c r="O40" s="17">
        <f>IFERROR(HLOOKUP(O$7,'REF Fuel Prices'!$C$117:$AF$130,14),0)</f>
        <v>3.0736717708493031</v>
      </c>
      <c r="P40" s="17">
        <f>IFERROR(HLOOKUP(P$7,'REF Fuel Prices'!$C$117:$AF$130,14),0)</f>
        <v>3.1270111932997358</v>
      </c>
      <c r="Q40" s="17">
        <f>IFERROR(HLOOKUP(Q$7,'REF Fuel Prices'!$C$117:$AF$130,14),0)</f>
        <v>3.1594951206543307</v>
      </c>
      <c r="R40" s="17">
        <f>IFERROR(HLOOKUP(R$7,'REF Fuel Prices'!$C$117:$AF$130,14),0)</f>
        <v>3.1485367387496073</v>
      </c>
      <c r="S40" s="17">
        <f>IFERROR(HLOOKUP(S$7,'REF Fuel Prices'!$C$117:$AF$130,14),0)</f>
        <v>3.2417548268566931</v>
      </c>
      <c r="T40" s="17">
        <f>IFERROR(HLOOKUP(T$7,'REF Fuel Prices'!$C$117:$AF$130,14),0)</f>
        <v>3.2771152761133195</v>
      </c>
      <c r="U40" s="17">
        <f>IFERROR(HLOOKUP(U$7,'REF Fuel Prices'!$C$117:$AF$130,14),0)</f>
        <v>3.2984672628727623</v>
      </c>
      <c r="V40" s="17">
        <f>IFERROR(HLOOKUP(V$7,'REF Fuel Prices'!$C$117:$AF$130,14),0)</f>
        <v>3.3309198927585917</v>
      </c>
      <c r="W40" s="17">
        <f>IFERROR(HLOOKUP(W$7,'REF Fuel Prices'!$C$117:$AF$130,14),0)</f>
        <v>3.3524781582894461</v>
      </c>
      <c r="X40" s="17">
        <f>IFERROR(HLOOKUP(X$7,'REF Fuel Prices'!$C$117:$AF$130,14),0)</f>
        <v>3.3903167980274476</v>
      </c>
      <c r="Y40" s="17">
        <f>IFERROR(HLOOKUP(Y$7,'REF Fuel Prices'!$C$117:$AF$130,14),0)</f>
        <v>3.4396515670880587</v>
      </c>
      <c r="Z40" s="17">
        <f>IFERROR(HLOOKUP(Z$7,'REF Fuel Prices'!$C$117:$AF$130,14),0)</f>
        <v>3.4740958540771745</v>
      </c>
      <c r="AA40" s="17">
        <f>IFERROR(HLOOKUP(AA$7,'REF Fuel Prices'!$C$117:$AF$130,14),0)</f>
        <v>3.4940593713131838</v>
      </c>
      <c r="AB40" s="17">
        <f>IFERROR(HLOOKUP(AB$7,'REF Fuel Prices'!$C$117:$AF$130,14),0)</f>
        <v>3.5300343890473957</v>
      </c>
      <c r="AC40" s="17">
        <f>IFERROR(HLOOKUP(AC$7,'REF Fuel Prices'!$C$117:$AF$130,14),0)</f>
        <v>3.5573400079334472</v>
      </c>
      <c r="AD40" s="17">
        <f>IFERROR(HLOOKUP(AD$7,'REF Fuel Prices'!$C$117:$AF$130,14),0)</f>
        <v>3.5652056308792104</v>
      </c>
      <c r="AE40" s="17">
        <f>IFERROR(HLOOKUP(AE$7,'REF Fuel Prices'!$C$117:$AF$130,14),0)</f>
        <v>3.6212167190724798</v>
      </c>
      <c r="AF40" s="17">
        <f>IFERROR(HLOOKUP(AF$7,'REF Fuel Prices'!$C$117:$AF$130,14),0)</f>
        <v>3.680994884415393</v>
      </c>
      <c r="AG40" s="17">
        <f>IFERROR(HLOOKUP(AG$7,'REF Fuel Prices'!$C$117:$AF$130,14),0)</f>
        <v>3.7018930578777303</v>
      </c>
      <c r="AH40" s="17">
        <f>IFERROR(HLOOKUP(AH$7,'REF Fuel Prices'!$C$117:$AF$130,14),0)</f>
        <v>3.7421131504663743</v>
      </c>
      <c r="AI40" s="17">
        <f>IFERROR(HLOOKUP(AI$7,'REF Fuel Prices'!$C$117:$AF$130,14),0)</f>
        <v>3.7596738756684909</v>
      </c>
      <c r="AJ40" s="17">
        <f>IFERROR(HLOOKUP(AJ$7,'REF Fuel Prices'!$C$117:$AF$130,14),0)</f>
        <v>3.7542935562651851</v>
      </c>
      <c r="AK40" s="17">
        <f>IFERROR(HLOOKUP(AK$7,'REF Fuel Prices'!$C$117:$AF$130,14),0)</f>
        <v>3.7622715655760621</v>
      </c>
      <c r="AL40" s="17">
        <f>IFERROR(HLOOKUP(AL$7,'REF Fuel Prices'!$C$117:$AF$130,14),0)</f>
        <v>3.7511040596754945</v>
      </c>
      <c r="AM40" s="17">
        <f>IFERROR(HLOOKUP(AM$7,'REF Fuel Prices'!$C$117:$AF$130,14),0)</f>
        <v>3.7511040596754945</v>
      </c>
      <c r="AN40" s="17">
        <f>IFERROR(HLOOKUP(AN$7,'REF Fuel Prices'!$C$117:$AF$130,14),0)</f>
        <v>3.7511040596754945</v>
      </c>
      <c r="AO40" s="17">
        <f>IFERROR(HLOOKUP(AO$7,'REF Fuel Prices'!$C$117:$AF$130,14),0)</f>
        <v>3.7511040596754945</v>
      </c>
      <c r="AP40" s="17">
        <f>IFERROR(HLOOKUP(AP$7,'REF Fuel Prices'!$C$117:$AF$130,14),0)</f>
        <v>3.7511040596754945</v>
      </c>
      <c r="AQ40" s="17">
        <f>IFERROR(HLOOKUP(AQ$7,'REF Fuel Prices'!$C$117:$AF$130,14),0)</f>
        <v>3.7511040596754945</v>
      </c>
      <c r="AR40" s="17">
        <f>IFERROR(HLOOKUP(AR$7,'REF Fuel Prices'!$C$117:$AF$130,14),0)</f>
        <v>3.7511040596754945</v>
      </c>
    </row>
    <row r="41" spans="1:44" ht="15" x14ac:dyDescent="0.25">
      <c r="A41" s="2"/>
      <c r="B41" s="1" t="s">
        <v>328</v>
      </c>
      <c r="C41" s="21" t="s">
        <v>311</v>
      </c>
      <c r="D41" s="18">
        <f>SUM(F41:AR41)</f>
        <v>21915331.07316909</v>
      </c>
      <c r="F41" s="18">
        <f t="shared" ref="F41:J41" si="19">F35*F39</f>
        <v>0</v>
      </c>
      <c r="G41" s="18">
        <f t="shared" si="19"/>
        <v>0</v>
      </c>
      <c r="H41" s="18">
        <f t="shared" si="19"/>
        <v>0</v>
      </c>
      <c r="I41" s="18">
        <f t="shared" si="19"/>
        <v>234396.59956440001</v>
      </c>
      <c r="J41" s="18">
        <f t="shared" si="19"/>
        <v>245808.10764125461</v>
      </c>
      <c r="K41" s="18">
        <f>K35*K39</f>
        <v>238784.85418945487</v>
      </c>
      <c r="L41" s="18">
        <f t="shared" ref="L41:AR41" si="20">L35*L39</f>
        <v>255919.30792389266</v>
      </c>
      <c r="M41" s="18">
        <f t="shared" si="20"/>
        <v>271803.94812688074</v>
      </c>
      <c r="N41" s="18">
        <f t="shared" si="20"/>
        <v>293327.99320681457</v>
      </c>
      <c r="O41" s="18">
        <f t="shared" si="20"/>
        <v>315703.72523158276</v>
      </c>
      <c r="P41" s="18">
        <f t="shared" si="20"/>
        <v>338182.01862768893</v>
      </c>
      <c r="Q41" s="18">
        <f t="shared" si="20"/>
        <v>359920.33217453683</v>
      </c>
      <c r="R41" s="18">
        <f t="shared" si="20"/>
        <v>388481.11247203726</v>
      </c>
      <c r="S41" s="18">
        <f t="shared" si="20"/>
        <v>421210.73797423369</v>
      </c>
      <c r="T41" s="18">
        <f t="shared" si="20"/>
        <v>445971.109561847</v>
      </c>
      <c r="U41" s="18">
        <f t="shared" si="20"/>
        <v>470310.65436617797</v>
      </c>
      <c r="V41" s="18">
        <f t="shared" si="20"/>
        <v>494752.51903602981</v>
      </c>
      <c r="W41" s="18">
        <f t="shared" si="20"/>
        <v>517480.29453086713</v>
      </c>
      <c r="X41" s="18">
        <f t="shared" si="20"/>
        <v>542189.39566978032</v>
      </c>
      <c r="Y41" s="18">
        <f t="shared" si="20"/>
        <v>566742.4601107724</v>
      </c>
      <c r="Z41" s="18">
        <f t="shared" si="20"/>
        <v>594338.1352121433</v>
      </c>
      <c r="AA41" s="18">
        <f t="shared" si="20"/>
        <v>616037.03359700029</v>
      </c>
      <c r="AB41" s="18">
        <f t="shared" si="20"/>
        <v>642419.51926364424</v>
      </c>
      <c r="AC41" s="18">
        <f t="shared" si="20"/>
        <v>668179.51503637165</v>
      </c>
      <c r="AD41" s="18">
        <f t="shared" si="20"/>
        <v>690962.34657276236</v>
      </c>
      <c r="AE41" s="18">
        <f t="shared" si="20"/>
        <v>719747.03312107944</v>
      </c>
      <c r="AF41" s="18">
        <f t="shared" si="20"/>
        <v>748681.72537188674</v>
      </c>
      <c r="AG41" s="18">
        <f t="shared" si="20"/>
        <v>773274.28977243998</v>
      </c>
      <c r="AH41" s="18">
        <f t="shared" si="20"/>
        <v>801830.76180727349</v>
      </c>
      <c r="AI41" s="18">
        <f t="shared" si="20"/>
        <v>826727.37922056799</v>
      </c>
      <c r="AJ41" s="18">
        <f t="shared" si="20"/>
        <v>846865.73534834618</v>
      </c>
      <c r="AK41" s="18">
        <f t="shared" si="20"/>
        <v>869733.3481824887</v>
      </c>
      <c r="AL41" s="18">
        <f t="shared" si="20"/>
        <v>891919.38543332426</v>
      </c>
      <c r="AM41" s="18">
        <f t="shared" si="20"/>
        <v>914400.97506292246</v>
      </c>
      <c r="AN41" s="18">
        <f t="shared" si="20"/>
        <v>936882.56469252089</v>
      </c>
      <c r="AO41" s="18">
        <f t="shared" si="20"/>
        <v>959364.1543221192</v>
      </c>
      <c r="AP41" s="18">
        <f t="shared" si="20"/>
        <v>981845.74395171762</v>
      </c>
      <c r="AQ41" s="18">
        <f t="shared" si="20"/>
        <v>1004327.3335813161</v>
      </c>
      <c r="AR41" s="18">
        <f t="shared" si="20"/>
        <v>1026808.9232109145</v>
      </c>
    </row>
    <row r="42" spans="1:44" x14ac:dyDescent="0.2">
      <c r="B42" s="1" t="s">
        <v>329</v>
      </c>
      <c r="C42" s="21" t="s">
        <v>311</v>
      </c>
      <c r="D42" s="18">
        <f>SUM(F42:AR42)</f>
        <v>2846424.5104744309</v>
      </c>
      <c r="F42" s="18">
        <f t="shared" ref="F42:J42" si="21">F36*F40</f>
        <v>0</v>
      </c>
      <c r="G42" s="18">
        <f t="shared" si="21"/>
        <v>0</v>
      </c>
      <c r="H42" s="18">
        <f t="shared" si="21"/>
        <v>0</v>
      </c>
      <c r="I42" s="18">
        <f t="shared" si="21"/>
        <v>23922.797069699995</v>
      </c>
      <c r="J42" s="18">
        <f t="shared" si="21"/>
        <v>27350.384141515566</v>
      </c>
      <c r="K42" s="18">
        <f>K36*K40</f>
        <v>27718.252873432917</v>
      </c>
      <c r="L42" s="18">
        <f t="shared" ref="L42:AR42" si="22">L36*L40</f>
        <v>32350.256604886195</v>
      </c>
      <c r="M42" s="18">
        <f t="shared" si="22"/>
        <v>34853.07775534282</v>
      </c>
      <c r="N42" s="18">
        <f t="shared" si="22"/>
        <v>37579.97288994163</v>
      </c>
      <c r="O42" s="18">
        <f t="shared" si="22"/>
        <v>40694.439150172635</v>
      </c>
      <c r="P42" s="18">
        <f t="shared" si="22"/>
        <v>43883.68255117294</v>
      </c>
      <c r="Q42" s="18">
        <f t="shared" si="22"/>
        <v>46848.394434470552</v>
      </c>
      <c r="R42" s="18">
        <f t="shared" si="22"/>
        <v>49186.044651398202</v>
      </c>
      <c r="S42" s="18">
        <f t="shared" si="22"/>
        <v>53216.446025310892</v>
      </c>
      <c r="T42" s="18">
        <f t="shared" si="22"/>
        <v>56399.159552108962</v>
      </c>
      <c r="U42" s="18">
        <f t="shared" si="22"/>
        <v>59385.820707237042</v>
      </c>
      <c r="V42" s="18">
        <f t="shared" si="22"/>
        <v>62615.062866475928</v>
      </c>
      <c r="W42" s="18">
        <f t="shared" si="22"/>
        <v>65682.399452299447</v>
      </c>
      <c r="X42" s="18">
        <f t="shared" si="22"/>
        <v>69115.869205282215</v>
      </c>
      <c r="Y42" s="18">
        <f t="shared" si="22"/>
        <v>72852.923251600048</v>
      </c>
      <c r="Z42" s="18">
        <f t="shared" si="22"/>
        <v>76341.118027449527</v>
      </c>
      <c r="AA42" s="18">
        <f t="shared" si="22"/>
        <v>79554.310068535371</v>
      </c>
      <c r="AB42" s="18">
        <f t="shared" si="22"/>
        <v>83176.477895792588</v>
      </c>
      <c r="AC42" s="18">
        <f t="shared" si="22"/>
        <v>86644.621770404032</v>
      </c>
      <c r="AD42" s="18">
        <f t="shared" si="22"/>
        <v>89667.202118834684</v>
      </c>
      <c r="AE42" s="18">
        <f t="shared" si="22"/>
        <v>93951.393898274007</v>
      </c>
      <c r="AF42" s="18">
        <f t="shared" si="22"/>
        <v>98425.265431091175</v>
      </c>
      <c r="AG42" s="18">
        <f t="shared" si="22"/>
        <v>101923.59607027228</v>
      </c>
      <c r="AH42" s="18">
        <f t="shared" si="22"/>
        <v>106002.44564618829</v>
      </c>
      <c r="AI42" s="18">
        <f t="shared" si="22"/>
        <v>109485.30736063007</v>
      </c>
      <c r="AJ42" s="18">
        <f t="shared" si="22"/>
        <v>112309.77588363209</v>
      </c>
      <c r="AK42" s="18">
        <f t="shared" si="22"/>
        <v>115535.92184103101</v>
      </c>
      <c r="AL42" s="18">
        <f t="shared" si="22"/>
        <v>118171.59385756613</v>
      </c>
      <c r="AM42" s="18">
        <f t="shared" si="22"/>
        <v>121150.2097755178</v>
      </c>
      <c r="AN42" s="18">
        <f t="shared" si="22"/>
        <v>124128.82569346947</v>
      </c>
      <c r="AO42" s="18">
        <f t="shared" si="22"/>
        <v>127107.44161142112</v>
      </c>
      <c r="AP42" s="18">
        <f t="shared" si="22"/>
        <v>130086.05752937279</v>
      </c>
      <c r="AQ42" s="18">
        <f t="shared" si="22"/>
        <v>133064.67344732446</v>
      </c>
      <c r="AR42" s="18">
        <f t="shared" si="22"/>
        <v>136043.28936527614</v>
      </c>
    </row>
    <row r="43" spans="1:44" x14ac:dyDescent="0.2">
      <c r="C43" s="21"/>
      <c r="D43" s="70"/>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row>
    <row r="44" spans="1:44" ht="15" x14ac:dyDescent="0.25">
      <c r="A44" s="2" t="s">
        <v>272</v>
      </c>
      <c r="C44" s="71"/>
      <c r="D44" s="70"/>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row>
    <row r="45" spans="1:44" x14ac:dyDescent="0.2">
      <c r="B45" s="1" t="s">
        <v>298</v>
      </c>
      <c r="C45" s="21" t="s">
        <v>289</v>
      </c>
      <c r="D45" s="70">
        <f>SUM(F45:AR45)</f>
        <v>24761755.583643522</v>
      </c>
      <c r="F45" s="18">
        <f t="shared" ref="F45:J45" si="23">F41+F42</f>
        <v>0</v>
      </c>
      <c r="G45" s="18">
        <f t="shared" si="23"/>
        <v>0</v>
      </c>
      <c r="H45" s="18">
        <f t="shared" si="23"/>
        <v>0</v>
      </c>
      <c r="I45" s="18">
        <f t="shared" si="23"/>
        <v>258319.39663410001</v>
      </c>
      <c r="J45" s="18">
        <f t="shared" si="23"/>
        <v>273158.4917827702</v>
      </c>
      <c r="K45" s="18">
        <f>K41+K42</f>
        <v>266503.10706288781</v>
      </c>
      <c r="L45" s="18">
        <f t="shared" ref="L45:AR45" si="24">L41+L42</f>
        <v>288269.56452877884</v>
      </c>
      <c r="M45" s="18">
        <f t="shared" si="24"/>
        <v>306657.02588222356</v>
      </c>
      <c r="N45" s="18">
        <f t="shared" si="24"/>
        <v>330907.96609675622</v>
      </c>
      <c r="O45" s="18">
        <f t="shared" si="24"/>
        <v>356398.1643817554</v>
      </c>
      <c r="P45" s="18">
        <f t="shared" si="24"/>
        <v>382065.7011788619</v>
      </c>
      <c r="Q45" s="18">
        <f t="shared" si="24"/>
        <v>406768.7266090074</v>
      </c>
      <c r="R45" s="18">
        <f t="shared" si="24"/>
        <v>437667.15712343546</v>
      </c>
      <c r="S45" s="18">
        <f t="shared" si="24"/>
        <v>474427.18399954459</v>
      </c>
      <c r="T45" s="18">
        <f t="shared" si="24"/>
        <v>502370.26911395596</v>
      </c>
      <c r="U45" s="18">
        <f t="shared" si="24"/>
        <v>529696.47507341497</v>
      </c>
      <c r="V45" s="18">
        <f t="shared" si="24"/>
        <v>557367.58190250571</v>
      </c>
      <c r="W45" s="18">
        <f t="shared" si="24"/>
        <v>583162.69398316659</v>
      </c>
      <c r="X45" s="18">
        <f t="shared" si="24"/>
        <v>611305.26487506251</v>
      </c>
      <c r="Y45" s="18">
        <f t="shared" si="24"/>
        <v>639595.38336237241</v>
      </c>
      <c r="Z45" s="18">
        <f t="shared" si="24"/>
        <v>670679.25323959277</v>
      </c>
      <c r="AA45" s="18">
        <f t="shared" si="24"/>
        <v>695591.34366553568</v>
      </c>
      <c r="AB45" s="18">
        <f t="shared" si="24"/>
        <v>725595.99715943681</v>
      </c>
      <c r="AC45" s="18">
        <f t="shared" si="24"/>
        <v>754824.1368067757</v>
      </c>
      <c r="AD45" s="18">
        <f t="shared" si="24"/>
        <v>780629.54869159707</v>
      </c>
      <c r="AE45" s="18">
        <f t="shared" si="24"/>
        <v>813698.42701935349</v>
      </c>
      <c r="AF45" s="18">
        <f t="shared" si="24"/>
        <v>847106.99080297793</v>
      </c>
      <c r="AG45" s="18">
        <f t="shared" si="24"/>
        <v>875197.88584271225</v>
      </c>
      <c r="AH45" s="18">
        <f t="shared" si="24"/>
        <v>907833.20745346183</v>
      </c>
      <c r="AI45" s="18">
        <f t="shared" si="24"/>
        <v>936212.68658119813</v>
      </c>
      <c r="AJ45" s="18">
        <f t="shared" si="24"/>
        <v>959175.51123197831</v>
      </c>
      <c r="AK45" s="18">
        <f t="shared" si="24"/>
        <v>985269.27002351976</v>
      </c>
      <c r="AL45" s="18">
        <f t="shared" si="24"/>
        <v>1010090.9792908904</v>
      </c>
      <c r="AM45" s="18">
        <f t="shared" si="24"/>
        <v>1035551.1848384403</v>
      </c>
      <c r="AN45" s="18">
        <f t="shared" si="24"/>
        <v>1061011.3903859903</v>
      </c>
      <c r="AO45" s="18">
        <f t="shared" si="24"/>
        <v>1086471.5959335403</v>
      </c>
      <c r="AP45" s="18">
        <f t="shared" si="24"/>
        <v>1111931.8014810905</v>
      </c>
      <c r="AQ45" s="18">
        <f t="shared" si="24"/>
        <v>1137392.0070286405</v>
      </c>
      <c r="AR45" s="18">
        <f t="shared" si="24"/>
        <v>1162852.2125761907</v>
      </c>
    </row>
    <row r="46" spans="1:44" x14ac:dyDescent="0.2">
      <c r="C46" s="1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row>
    <row r="47" spans="1:44" s="8" customFormat="1" x14ac:dyDescent="0.2">
      <c r="A47" s="7" t="s">
        <v>245</v>
      </c>
      <c r="B47" s="12"/>
      <c r="C47" s="12"/>
    </row>
    <row r="48" spans="1:44" ht="15" x14ac:dyDescent="0.25">
      <c r="A48" s="2" t="s">
        <v>314</v>
      </c>
    </row>
    <row r="49" spans="1:44" ht="15" x14ac:dyDescent="0.25">
      <c r="B49" s="2" t="s">
        <v>315</v>
      </c>
      <c r="C49" s="71"/>
      <c r="D49" s="70"/>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row>
    <row r="50" spans="1:44" x14ac:dyDescent="0.2">
      <c r="B50" s="1" t="s">
        <v>182</v>
      </c>
      <c r="C50" s="71" t="s">
        <v>180</v>
      </c>
      <c r="D50" s="83">
        <f>INPUTS!$E$142</f>
        <v>258</v>
      </c>
      <c r="F50" s="86">
        <f t="shared" ref="F50:AR50" si="25">IF(F$7=$D$51,$D$50,0)</f>
        <v>0</v>
      </c>
      <c r="G50" s="86">
        <f t="shared" si="25"/>
        <v>0</v>
      </c>
      <c r="H50" s="86">
        <f t="shared" si="25"/>
        <v>0</v>
      </c>
      <c r="I50" s="86">
        <f t="shared" si="25"/>
        <v>258</v>
      </c>
      <c r="J50" s="86">
        <f t="shared" si="25"/>
        <v>0</v>
      </c>
      <c r="K50" s="86">
        <f t="shared" si="25"/>
        <v>0</v>
      </c>
      <c r="L50" s="86">
        <f t="shared" si="25"/>
        <v>0</v>
      </c>
      <c r="M50" s="86">
        <f t="shared" si="25"/>
        <v>0</v>
      </c>
      <c r="N50" s="86">
        <f t="shared" si="25"/>
        <v>0</v>
      </c>
      <c r="O50" s="86">
        <f t="shared" si="25"/>
        <v>0</v>
      </c>
      <c r="P50" s="86">
        <f t="shared" si="25"/>
        <v>0</v>
      </c>
      <c r="Q50" s="86">
        <f t="shared" si="25"/>
        <v>0</v>
      </c>
      <c r="R50" s="86">
        <f t="shared" si="25"/>
        <v>0</v>
      </c>
      <c r="S50" s="86">
        <f t="shared" si="25"/>
        <v>0</v>
      </c>
      <c r="T50" s="86">
        <f t="shared" si="25"/>
        <v>0</v>
      </c>
      <c r="U50" s="86">
        <f t="shared" si="25"/>
        <v>0</v>
      </c>
      <c r="V50" s="86">
        <f t="shared" si="25"/>
        <v>0</v>
      </c>
      <c r="W50" s="86">
        <f t="shared" si="25"/>
        <v>0</v>
      </c>
      <c r="X50" s="86">
        <f t="shared" si="25"/>
        <v>0</v>
      </c>
      <c r="Y50" s="86">
        <f t="shared" si="25"/>
        <v>0</v>
      </c>
      <c r="Z50" s="86">
        <f t="shared" si="25"/>
        <v>0</v>
      </c>
      <c r="AA50" s="86">
        <f t="shared" si="25"/>
        <v>0</v>
      </c>
      <c r="AB50" s="86">
        <f t="shared" si="25"/>
        <v>0</v>
      </c>
      <c r="AC50" s="86">
        <f t="shared" si="25"/>
        <v>0</v>
      </c>
      <c r="AD50" s="86">
        <f t="shared" si="25"/>
        <v>0</v>
      </c>
      <c r="AE50" s="86">
        <f t="shared" si="25"/>
        <v>0</v>
      </c>
      <c r="AF50" s="86">
        <f t="shared" si="25"/>
        <v>0</v>
      </c>
      <c r="AG50" s="86">
        <f t="shared" si="25"/>
        <v>0</v>
      </c>
      <c r="AH50" s="86">
        <f t="shared" si="25"/>
        <v>0</v>
      </c>
      <c r="AI50" s="86">
        <f t="shared" si="25"/>
        <v>0</v>
      </c>
      <c r="AJ50" s="86">
        <f t="shared" si="25"/>
        <v>0</v>
      </c>
      <c r="AK50" s="86">
        <f t="shared" si="25"/>
        <v>0</v>
      </c>
      <c r="AL50" s="86">
        <f t="shared" si="25"/>
        <v>0</v>
      </c>
      <c r="AM50" s="86">
        <f t="shared" si="25"/>
        <v>0</v>
      </c>
      <c r="AN50" s="86">
        <f t="shared" si="25"/>
        <v>0</v>
      </c>
      <c r="AO50" s="86">
        <f t="shared" si="25"/>
        <v>0</v>
      </c>
      <c r="AP50" s="86">
        <f t="shared" si="25"/>
        <v>0</v>
      </c>
      <c r="AQ50" s="86">
        <f t="shared" si="25"/>
        <v>0</v>
      </c>
      <c r="AR50" s="86">
        <f t="shared" si="25"/>
        <v>0</v>
      </c>
    </row>
    <row r="51" spans="1:44" x14ac:dyDescent="0.2">
      <c r="B51" s="1" t="s">
        <v>182</v>
      </c>
      <c r="C51" s="71" t="s">
        <v>123</v>
      </c>
      <c r="D51" s="22">
        <f>INPUTS!$E$143</f>
        <v>2021</v>
      </c>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row>
    <row r="52" spans="1:44" x14ac:dyDescent="0.2">
      <c r="B52" s="1" t="s">
        <v>183</v>
      </c>
      <c r="C52" s="71" t="s">
        <v>180</v>
      </c>
      <c r="D52" s="83">
        <f>INPUTS!$E$144</f>
        <v>940</v>
      </c>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row>
    <row r="53" spans="1:44" x14ac:dyDescent="0.2">
      <c r="B53" s="1" t="s">
        <v>183</v>
      </c>
      <c r="C53" s="71" t="s">
        <v>123</v>
      </c>
      <c r="D53" s="22">
        <f>INPUTS!$E$145</f>
        <v>2050</v>
      </c>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row>
    <row r="54" spans="1:44" x14ac:dyDescent="0.2">
      <c r="B54" s="1" t="s">
        <v>279</v>
      </c>
      <c r="C54" s="71" t="s">
        <v>318</v>
      </c>
      <c r="D54" s="17">
        <f>(D52-D50)/(D53-D51)</f>
        <v>23.517241379310345</v>
      </c>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row>
    <row r="55" spans="1:44" x14ac:dyDescent="0.2">
      <c r="B55" s="1" t="s">
        <v>280</v>
      </c>
      <c r="C55" s="71" t="s">
        <v>281</v>
      </c>
      <c r="D55" s="19"/>
      <c r="F55" s="18">
        <f t="shared" ref="F55:AR55" si="26">IF(F7&gt;$D$24,1,0)</f>
        <v>0</v>
      </c>
      <c r="G55" s="18">
        <f t="shared" si="26"/>
        <v>0</v>
      </c>
      <c r="H55" s="18">
        <f t="shared" si="26"/>
        <v>0</v>
      </c>
      <c r="I55" s="18">
        <f t="shared" si="26"/>
        <v>0</v>
      </c>
      <c r="J55" s="18">
        <f t="shared" si="26"/>
        <v>1</v>
      </c>
      <c r="K55" s="18">
        <f t="shared" si="26"/>
        <v>1</v>
      </c>
      <c r="L55" s="18">
        <f t="shared" si="26"/>
        <v>1</v>
      </c>
      <c r="M55" s="18">
        <f t="shared" si="26"/>
        <v>1</v>
      </c>
      <c r="N55" s="18">
        <f t="shared" si="26"/>
        <v>1</v>
      </c>
      <c r="O55" s="18">
        <f t="shared" si="26"/>
        <v>1</v>
      </c>
      <c r="P55" s="18">
        <f t="shared" si="26"/>
        <v>1</v>
      </c>
      <c r="Q55" s="18">
        <f t="shared" si="26"/>
        <v>1</v>
      </c>
      <c r="R55" s="18">
        <f t="shared" si="26"/>
        <v>1</v>
      </c>
      <c r="S55" s="18">
        <f t="shared" si="26"/>
        <v>1</v>
      </c>
      <c r="T55" s="18">
        <f t="shared" si="26"/>
        <v>1</v>
      </c>
      <c r="U55" s="18">
        <f t="shared" si="26"/>
        <v>1</v>
      </c>
      <c r="V55" s="18">
        <f t="shared" si="26"/>
        <v>1</v>
      </c>
      <c r="W55" s="18">
        <f t="shared" si="26"/>
        <v>1</v>
      </c>
      <c r="X55" s="18">
        <f t="shared" si="26"/>
        <v>1</v>
      </c>
      <c r="Y55" s="18">
        <f t="shared" si="26"/>
        <v>1</v>
      </c>
      <c r="Z55" s="18">
        <f t="shared" si="26"/>
        <v>1</v>
      </c>
      <c r="AA55" s="18">
        <f t="shared" si="26"/>
        <v>1</v>
      </c>
      <c r="AB55" s="18">
        <f t="shared" si="26"/>
        <v>1</v>
      </c>
      <c r="AC55" s="18">
        <f t="shared" si="26"/>
        <v>1</v>
      </c>
      <c r="AD55" s="18">
        <f t="shared" si="26"/>
        <v>1</v>
      </c>
      <c r="AE55" s="18">
        <f t="shared" si="26"/>
        <v>1</v>
      </c>
      <c r="AF55" s="18">
        <f t="shared" si="26"/>
        <v>1</v>
      </c>
      <c r="AG55" s="18">
        <f t="shared" si="26"/>
        <v>1</v>
      </c>
      <c r="AH55" s="18">
        <f t="shared" si="26"/>
        <v>1</v>
      </c>
      <c r="AI55" s="18">
        <f t="shared" si="26"/>
        <v>1</v>
      </c>
      <c r="AJ55" s="18">
        <f t="shared" si="26"/>
        <v>1</v>
      </c>
      <c r="AK55" s="18">
        <f t="shared" si="26"/>
        <v>1</v>
      </c>
      <c r="AL55" s="18">
        <f t="shared" si="26"/>
        <v>1</v>
      </c>
      <c r="AM55" s="18">
        <f t="shared" si="26"/>
        <v>1</v>
      </c>
      <c r="AN55" s="18">
        <f t="shared" si="26"/>
        <v>1</v>
      </c>
      <c r="AO55" s="18">
        <f t="shared" si="26"/>
        <v>1</v>
      </c>
      <c r="AP55" s="18">
        <f t="shared" si="26"/>
        <v>1</v>
      </c>
      <c r="AQ55" s="18">
        <f t="shared" si="26"/>
        <v>1</v>
      </c>
      <c r="AR55" s="18">
        <f t="shared" si="26"/>
        <v>1</v>
      </c>
    </row>
    <row r="56" spans="1:44" ht="15" x14ac:dyDescent="0.25">
      <c r="A56" s="2"/>
      <c r="B56" s="1" t="s">
        <v>319</v>
      </c>
      <c r="C56" s="71" t="s">
        <v>318</v>
      </c>
      <c r="D56" s="83">
        <f>SUM(F56:AR56)</f>
        <v>24103.862068965518</v>
      </c>
      <c r="F56" s="70">
        <f t="shared" ref="F56:K56" si="27">E56+F50+F55*$D$54</f>
        <v>0</v>
      </c>
      <c r="G56" s="70">
        <f t="shared" si="27"/>
        <v>0</v>
      </c>
      <c r="H56" s="70">
        <f t="shared" si="27"/>
        <v>0</v>
      </c>
      <c r="I56" s="70">
        <f t="shared" si="27"/>
        <v>258</v>
      </c>
      <c r="J56" s="70">
        <f t="shared" si="27"/>
        <v>281.51724137931035</v>
      </c>
      <c r="K56" s="70">
        <f t="shared" si="27"/>
        <v>305.0344827586207</v>
      </c>
      <c r="L56" s="70">
        <f>K56+L50+L55*$D$54</f>
        <v>328.55172413793105</v>
      </c>
      <c r="M56" s="70">
        <f t="shared" ref="M56:AR56" si="28">L56+M50+M55*$D$54</f>
        <v>352.06896551724139</v>
      </c>
      <c r="N56" s="70">
        <f t="shared" si="28"/>
        <v>375.58620689655174</v>
      </c>
      <c r="O56" s="70">
        <f t="shared" si="28"/>
        <v>399.10344827586209</v>
      </c>
      <c r="P56" s="70">
        <f t="shared" si="28"/>
        <v>422.62068965517244</v>
      </c>
      <c r="Q56" s="70">
        <f t="shared" si="28"/>
        <v>446.13793103448279</v>
      </c>
      <c r="R56" s="70">
        <f t="shared" si="28"/>
        <v>469.65517241379314</v>
      </c>
      <c r="S56" s="70">
        <f t="shared" si="28"/>
        <v>493.17241379310349</v>
      </c>
      <c r="T56" s="70">
        <f t="shared" si="28"/>
        <v>516.68965517241384</v>
      </c>
      <c r="U56" s="70">
        <f t="shared" si="28"/>
        <v>540.20689655172418</v>
      </c>
      <c r="V56" s="70">
        <f t="shared" si="28"/>
        <v>563.72413793103453</v>
      </c>
      <c r="W56" s="70">
        <f t="shared" si="28"/>
        <v>587.24137931034488</v>
      </c>
      <c r="X56" s="70">
        <f t="shared" si="28"/>
        <v>610.75862068965523</v>
      </c>
      <c r="Y56" s="70">
        <f t="shared" si="28"/>
        <v>634.27586206896558</v>
      </c>
      <c r="Z56" s="70">
        <f t="shared" si="28"/>
        <v>657.79310344827593</v>
      </c>
      <c r="AA56" s="70">
        <f t="shared" si="28"/>
        <v>681.31034482758628</v>
      </c>
      <c r="AB56" s="70">
        <f t="shared" si="28"/>
        <v>704.82758620689663</v>
      </c>
      <c r="AC56" s="70">
        <f t="shared" si="28"/>
        <v>728.34482758620697</v>
      </c>
      <c r="AD56" s="70">
        <f t="shared" si="28"/>
        <v>751.86206896551732</v>
      </c>
      <c r="AE56" s="70">
        <f t="shared" si="28"/>
        <v>775.37931034482767</v>
      </c>
      <c r="AF56" s="70">
        <f t="shared" si="28"/>
        <v>798.89655172413802</v>
      </c>
      <c r="AG56" s="70">
        <f t="shared" si="28"/>
        <v>822.41379310344837</v>
      </c>
      <c r="AH56" s="70">
        <f t="shared" si="28"/>
        <v>845.93103448275872</v>
      </c>
      <c r="AI56" s="70">
        <f t="shared" si="28"/>
        <v>869.44827586206907</v>
      </c>
      <c r="AJ56" s="70">
        <f t="shared" si="28"/>
        <v>892.96551724137942</v>
      </c>
      <c r="AK56" s="70">
        <f t="shared" si="28"/>
        <v>916.48275862068976</v>
      </c>
      <c r="AL56" s="70">
        <f t="shared" si="28"/>
        <v>940.00000000000011</v>
      </c>
      <c r="AM56" s="70">
        <f t="shared" si="28"/>
        <v>963.51724137931046</v>
      </c>
      <c r="AN56" s="70">
        <f t="shared" si="28"/>
        <v>987.03448275862081</v>
      </c>
      <c r="AO56" s="70">
        <f t="shared" si="28"/>
        <v>1010.5517241379312</v>
      </c>
      <c r="AP56" s="70">
        <f t="shared" si="28"/>
        <v>1034.0689655172414</v>
      </c>
      <c r="AQ56" s="70">
        <f t="shared" si="28"/>
        <v>1057.5862068965516</v>
      </c>
      <c r="AR56" s="70">
        <f t="shared" si="28"/>
        <v>1081.1034482758619</v>
      </c>
    </row>
    <row r="57" spans="1:44" ht="15" x14ac:dyDescent="0.25">
      <c r="A57" s="2"/>
      <c r="B57" s="1" t="s">
        <v>306</v>
      </c>
      <c r="C57" s="71" t="s">
        <v>111</v>
      </c>
      <c r="D57" s="83">
        <f>INPUTS!$E$27</f>
        <v>365</v>
      </c>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row>
    <row r="58" spans="1:44" ht="15" x14ac:dyDescent="0.25">
      <c r="A58" s="2"/>
      <c r="B58" s="1" t="s">
        <v>319</v>
      </c>
      <c r="C58" s="71" t="s">
        <v>320</v>
      </c>
      <c r="D58" s="83">
        <f>SUM(F58:AR58)</f>
        <v>8797909.6551724132</v>
      </c>
      <c r="F58" s="70">
        <f>F56*$D$30</f>
        <v>0</v>
      </c>
      <c r="G58" s="70">
        <f t="shared" ref="G58:AR58" si="29">G56*$D$30</f>
        <v>0</v>
      </c>
      <c r="H58" s="70">
        <f t="shared" si="29"/>
        <v>0</v>
      </c>
      <c r="I58" s="70">
        <f t="shared" si="29"/>
        <v>94170</v>
      </c>
      <c r="J58" s="70">
        <f t="shared" si="29"/>
        <v>102753.79310344828</v>
      </c>
      <c r="K58" s="70">
        <f t="shared" si="29"/>
        <v>111337.58620689655</v>
      </c>
      <c r="L58" s="70">
        <f t="shared" si="29"/>
        <v>119921.37931034483</v>
      </c>
      <c r="M58" s="70">
        <f t="shared" si="29"/>
        <v>128505.17241379312</v>
      </c>
      <c r="N58" s="70">
        <f t="shared" si="29"/>
        <v>137088.96551724139</v>
      </c>
      <c r="O58" s="70">
        <f t="shared" si="29"/>
        <v>145672.75862068965</v>
      </c>
      <c r="P58" s="70">
        <f t="shared" si="29"/>
        <v>154256.55172413794</v>
      </c>
      <c r="Q58" s="70">
        <f t="shared" si="29"/>
        <v>162840.34482758623</v>
      </c>
      <c r="R58" s="70">
        <f t="shared" si="29"/>
        <v>171424.13793103449</v>
      </c>
      <c r="S58" s="70">
        <f t="shared" si="29"/>
        <v>180007.93103448278</v>
      </c>
      <c r="T58" s="70">
        <f t="shared" si="29"/>
        <v>188591.72413793104</v>
      </c>
      <c r="U58" s="70">
        <f t="shared" si="29"/>
        <v>197175.51724137933</v>
      </c>
      <c r="V58" s="70">
        <f t="shared" si="29"/>
        <v>205759.31034482759</v>
      </c>
      <c r="W58" s="70">
        <f t="shared" si="29"/>
        <v>214343.10344827588</v>
      </c>
      <c r="X58" s="70">
        <f t="shared" si="29"/>
        <v>222926.89655172414</v>
      </c>
      <c r="Y58" s="70">
        <f t="shared" si="29"/>
        <v>231510.68965517243</v>
      </c>
      <c r="Z58" s="70">
        <f t="shared" si="29"/>
        <v>240094.48275862072</v>
      </c>
      <c r="AA58" s="70">
        <f t="shared" si="29"/>
        <v>248678.27586206899</v>
      </c>
      <c r="AB58" s="70">
        <f t="shared" si="29"/>
        <v>257262.06896551728</v>
      </c>
      <c r="AC58" s="70">
        <f t="shared" si="29"/>
        <v>265845.86206896557</v>
      </c>
      <c r="AD58" s="70">
        <f t="shared" si="29"/>
        <v>274429.6551724138</v>
      </c>
      <c r="AE58" s="70">
        <f t="shared" si="29"/>
        <v>283013.44827586209</v>
      </c>
      <c r="AF58" s="70">
        <f t="shared" si="29"/>
        <v>291597.24137931038</v>
      </c>
      <c r="AG58" s="70">
        <f t="shared" si="29"/>
        <v>300181.03448275867</v>
      </c>
      <c r="AH58" s="70">
        <f t="shared" si="29"/>
        <v>308764.82758620696</v>
      </c>
      <c r="AI58" s="70">
        <f t="shared" si="29"/>
        <v>317348.62068965519</v>
      </c>
      <c r="AJ58" s="70">
        <f t="shared" si="29"/>
        <v>325932.41379310348</v>
      </c>
      <c r="AK58" s="70">
        <f t="shared" si="29"/>
        <v>334516.20689655177</v>
      </c>
      <c r="AL58" s="70">
        <f t="shared" si="29"/>
        <v>343100.00000000006</v>
      </c>
      <c r="AM58" s="70">
        <f t="shared" si="29"/>
        <v>351683.79310344829</v>
      </c>
      <c r="AN58" s="70">
        <f t="shared" si="29"/>
        <v>360267.58620689658</v>
      </c>
      <c r="AO58" s="70">
        <f t="shared" si="29"/>
        <v>368851.37931034487</v>
      </c>
      <c r="AP58" s="70">
        <f t="shared" si="29"/>
        <v>377435.1724137931</v>
      </c>
      <c r="AQ58" s="70">
        <f t="shared" si="29"/>
        <v>386018.96551724133</v>
      </c>
      <c r="AR58" s="70">
        <f t="shared" si="29"/>
        <v>394602.75862068956</v>
      </c>
    </row>
    <row r="59" spans="1:44" ht="15" x14ac:dyDescent="0.25">
      <c r="A59" s="2"/>
      <c r="C59" s="71"/>
      <c r="D59" s="83"/>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row>
    <row r="60" spans="1:44" ht="15" x14ac:dyDescent="0.25">
      <c r="A60" s="2"/>
      <c r="B60" s="2" t="s">
        <v>321</v>
      </c>
      <c r="C60" s="71"/>
      <c r="D60" s="69"/>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row>
    <row r="61" spans="1:44" ht="15" x14ac:dyDescent="0.25">
      <c r="A61" s="2"/>
      <c r="B61" s="1" t="str">
        <f>INPUTS!C143</f>
        <v>Fuel Consumption Base Year - Build</v>
      </c>
      <c r="C61" s="71" t="s">
        <v>68</v>
      </c>
      <c r="D61" s="69">
        <f>INPUTS!$E$54</f>
        <v>0.09</v>
      </c>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row>
    <row r="62" spans="1:44" ht="15" x14ac:dyDescent="0.25">
      <c r="A62" s="2"/>
      <c r="B62" s="1" t="s">
        <v>322</v>
      </c>
      <c r="C62" s="71" t="s">
        <v>320</v>
      </c>
      <c r="D62" s="83">
        <f>SUM(F62:AR62)</f>
        <v>8006097.7862068973</v>
      </c>
      <c r="F62" s="70">
        <f t="shared" ref="F62:AG62" si="30">F58*(1-$D$61)</f>
        <v>0</v>
      </c>
      <c r="G62" s="70">
        <f t="shared" si="30"/>
        <v>0</v>
      </c>
      <c r="H62" s="70">
        <f t="shared" si="30"/>
        <v>0</v>
      </c>
      <c r="I62" s="70">
        <f t="shared" si="30"/>
        <v>85694.7</v>
      </c>
      <c r="J62" s="70">
        <f t="shared" si="30"/>
        <v>93505.951724137936</v>
      </c>
      <c r="K62" s="70">
        <f t="shared" si="30"/>
        <v>101317.20344827586</v>
      </c>
      <c r="L62" s="70">
        <f t="shared" si="30"/>
        <v>109128.4551724138</v>
      </c>
      <c r="M62" s="70">
        <f t="shared" si="30"/>
        <v>116939.70689655174</v>
      </c>
      <c r="N62" s="70">
        <f t="shared" si="30"/>
        <v>124750.95862068966</v>
      </c>
      <c r="O62" s="70">
        <f t="shared" si="30"/>
        <v>132562.21034482759</v>
      </c>
      <c r="P62" s="70">
        <f t="shared" si="30"/>
        <v>140373.46206896554</v>
      </c>
      <c r="Q62" s="70">
        <f t="shared" si="30"/>
        <v>148184.71379310347</v>
      </c>
      <c r="R62" s="70">
        <f t="shared" si="30"/>
        <v>155995.96551724139</v>
      </c>
      <c r="S62" s="70">
        <f t="shared" si="30"/>
        <v>163807.21724137935</v>
      </c>
      <c r="T62" s="70">
        <f t="shared" si="30"/>
        <v>171618.46896551727</v>
      </c>
      <c r="U62" s="70">
        <f t="shared" si="30"/>
        <v>179429.72068965519</v>
      </c>
      <c r="V62" s="70">
        <f t="shared" si="30"/>
        <v>187240.97241379312</v>
      </c>
      <c r="W62" s="70">
        <f t="shared" si="30"/>
        <v>195052.22413793107</v>
      </c>
      <c r="X62" s="70">
        <f t="shared" si="30"/>
        <v>202863.47586206897</v>
      </c>
      <c r="Y62" s="70">
        <f t="shared" si="30"/>
        <v>210674.72758620692</v>
      </c>
      <c r="Z62" s="70">
        <f t="shared" si="30"/>
        <v>218485.97931034488</v>
      </c>
      <c r="AA62" s="70">
        <f t="shared" si="30"/>
        <v>226297.23103448277</v>
      </c>
      <c r="AB62" s="70">
        <f t="shared" si="30"/>
        <v>234108.48275862072</v>
      </c>
      <c r="AC62" s="70">
        <f t="shared" si="30"/>
        <v>241919.73448275868</v>
      </c>
      <c r="AD62" s="70">
        <f t="shared" si="30"/>
        <v>249730.98620689657</v>
      </c>
      <c r="AE62" s="70">
        <f t="shared" si="30"/>
        <v>257542.2379310345</v>
      </c>
      <c r="AF62" s="70">
        <f t="shared" si="30"/>
        <v>265353.48965517245</v>
      </c>
      <c r="AG62" s="70">
        <f t="shared" si="30"/>
        <v>273164.74137931038</v>
      </c>
      <c r="AH62" s="70">
        <f>AH58*(1-$D$61)</f>
        <v>280975.99310344836</v>
      </c>
      <c r="AI62" s="70">
        <f t="shared" ref="AI62:AR62" si="31">AI58*(1-$D$61)</f>
        <v>288787.24482758623</v>
      </c>
      <c r="AJ62" s="70">
        <f t="shared" si="31"/>
        <v>296598.49655172415</v>
      </c>
      <c r="AK62" s="70">
        <f t="shared" si="31"/>
        <v>304409.74827586213</v>
      </c>
      <c r="AL62" s="70">
        <f t="shared" si="31"/>
        <v>312221.00000000006</v>
      </c>
      <c r="AM62" s="70">
        <f t="shared" si="31"/>
        <v>320032.25172413798</v>
      </c>
      <c r="AN62" s="70">
        <f t="shared" si="31"/>
        <v>327843.50344827591</v>
      </c>
      <c r="AO62" s="70">
        <f t="shared" si="31"/>
        <v>335654.75517241383</v>
      </c>
      <c r="AP62" s="70">
        <f t="shared" si="31"/>
        <v>343466.00689655176</v>
      </c>
      <c r="AQ62" s="70">
        <f t="shared" si="31"/>
        <v>351277.25862068962</v>
      </c>
      <c r="AR62" s="70">
        <f t="shared" si="31"/>
        <v>359088.51034482749</v>
      </c>
    </row>
    <row r="63" spans="1:44" ht="15" x14ac:dyDescent="0.25">
      <c r="A63" s="2"/>
      <c r="B63" s="1" t="s">
        <v>323</v>
      </c>
      <c r="C63" s="71" t="s">
        <v>320</v>
      </c>
      <c r="D63" s="83">
        <f>SUM(F63:AR63)</f>
        <v>791811.86896551726</v>
      </c>
      <c r="F63" s="70">
        <f t="shared" ref="F63:J63" si="32">F58*$D$61</f>
        <v>0</v>
      </c>
      <c r="G63" s="70">
        <f t="shared" si="32"/>
        <v>0</v>
      </c>
      <c r="H63" s="70">
        <f t="shared" si="32"/>
        <v>0</v>
      </c>
      <c r="I63" s="70">
        <f t="shared" si="32"/>
        <v>8475.2999999999993</v>
      </c>
      <c r="J63" s="70">
        <f t="shared" si="32"/>
        <v>9247.8413793103446</v>
      </c>
      <c r="K63" s="70">
        <f>K58*$D$61</f>
        <v>10020.38275862069</v>
      </c>
      <c r="L63" s="70">
        <f t="shared" ref="L63:AR63" si="33">L58*$D$61</f>
        <v>10792.924137931033</v>
      </c>
      <c r="M63" s="70">
        <f t="shared" si="33"/>
        <v>11565.46551724138</v>
      </c>
      <c r="N63" s="70">
        <f t="shared" si="33"/>
        <v>12338.006896551724</v>
      </c>
      <c r="O63" s="70">
        <f t="shared" si="33"/>
        <v>13110.548275862067</v>
      </c>
      <c r="P63" s="70">
        <f t="shared" si="33"/>
        <v>13883.089655172414</v>
      </c>
      <c r="Q63" s="70">
        <f t="shared" si="33"/>
        <v>14655.63103448276</v>
      </c>
      <c r="R63" s="70">
        <f t="shared" si="33"/>
        <v>15428.172413793103</v>
      </c>
      <c r="S63" s="70">
        <f t="shared" si="33"/>
        <v>16200.71379310345</v>
      </c>
      <c r="T63" s="70">
        <f t="shared" si="33"/>
        <v>16973.255172413792</v>
      </c>
      <c r="U63" s="70">
        <f t="shared" si="33"/>
        <v>17745.796551724139</v>
      </c>
      <c r="V63" s="70">
        <f t="shared" si="33"/>
        <v>18518.337931034483</v>
      </c>
      <c r="W63" s="70">
        <f t="shared" si="33"/>
        <v>19290.87931034483</v>
      </c>
      <c r="X63" s="70">
        <f t="shared" si="33"/>
        <v>20063.420689655173</v>
      </c>
      <c r="Y63" s="70">
        <f t="shared" si="33"/>
        <v>20835.962068965517</v>
      </c>
      <c r="Z63" s="70">
        <f t="shared" si="33"/>
        <v>21608.503448275864</v>
      </c>
      <c r="AA63" s="70">
        <f t="shared" si="33"/>
        <v>22381.044827586207</v>
      </c>
      <c r="AB63" s="70">
        <f t="shared" si="33"/>
        <v>23153.586206896554</v>
      </c>
      <c r="AC63" s="70">
        <f t="shared" si="33"/>
        <v>23926.127586206901</v>
      </c>
      <c r="AD63" s="70">
        <f t="shared" si="33"/>
        <v>24698.668965517241</v>
      </c>
      <c r="AE63" s="70">
        <f t="shared" si="33"/>
        <v>25471.210344827588</v>
      </c>
      <c r="AF63" s="70">
        <f t="shared" si="33"/>
        <v>26243.751724137932</v>
      </c>
      <c r="AG63" s="70">
        <f t="shared" si="33"/>
        <v>27016.293103448279</v>
      </c>
      <c r="AH63" s="70">
        <f t="shared" si="33"/>
        <v>27788.834482758626</v>
      </c>
      <c r="AI63" s="70">
        <f t="shared" si="33"/>
        <v>28561.375862068966</v>
      </c>
      <c r="AJ63" s="70">
        <f t="shared" si="33"/>
        <v>29333.917241379313</v>
      </c>
      <c r="AK63" s="70">
        <f t="shared" si="33"/>
        <v>30106.458620689657</v>
      </c>
      <c r="AL63" s="70">
        <f t="shared" si="33"/>
        <v>30879.000000000004</v>
      </c>
      <c r="AM63" s="70">
        <f t="shared" si="33"/>
        <v>31651.541379310343</v>
      </c>
      <c r="AN63" s="70">
        <f t="shared" si="33"/>
        <v>32424.082758620691</v>
      </c>
      <c r="AO63" s="70">
        <f t="shared" si="33"/>
        <v>33196.624137931038</v>
      </c>
      <c r="AP63" s="70">
        <f t="shared" si="33"/>
        <v>33969.165517241381</v>
      </c>
      <c r="AQ63" s="70">
        <f t="shared" si="33"/>
        <v>34741.706896551717</v>
      </c>
      <c r="AR63" s="70">
        <f t="shared" si="33"/>
        <v>35514.248275862061</v>
      </c>
    </row>
    <row r="64" spans="1:44" ht="15" x14ac:dyDescent="0.25">
      <c r="A64" s="2"/>
      <c r="C64" s="71"/>
      <c r="D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row>
    <row r="65" spans="1:44" ht="15" x14ac:dyDescent="0.25">
      <c r="B65" s="2" t="s">
        <v>324</v>
      </c>
      <c r="C65" s="71"/>
      <c r="D65" s="83"/>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row>
    <row r="66" spans="1:44" x14ac:dyDescent="0.2">
      <c r="B66" s="1" t="s">
        <v>325</v>
      </c>
      <c r="C66" s="71" t="s">
        <v>326</v>
      </c>
      <c r="D66" s="87"/>
      <c r="F66" s="17">
        <f>IFERROR(HLOOKUP(F$7,'REF Fuel Prices'!$C$117:$AF$130,13),0)</f>
        <v>0</v>
      </c>
      <c r="G66" s="17">
        <f>IFERROR(HLOOKUP(G$7,'REF Fuel Prices'!$C$117:$AF$130,13),0)</f>
        <v>0</v>
      </c>
      <c r="H66" s="17">
        <f>IFERROR(HLOOKUP(H$7,'REF Fuel Prices'!$C$117:$AF$130,13),0)</f>
        <v>0</v>
      </c>
      <c r="I66" s="17">
        <f>IFERROR(HLOOKUP(I$7,'REF Fuel Prices'!$C$117:$AF$130,13),0)</f>
        <v>2.735252</v>
      </c>
      <c r="J66" s="17">
        <f>IFERROR(HLOOKUP(J$7,'REF Fuel Prices'!$C$117:$AF$130,13),0)</f>
        <v>2.6226926148488445</v>
      </c>
      <c r="K66" s="17">
        <f>IFERROR(HLOOKUP(K$7,'REF Fuel Prices'!$C$117:$AF$130,13),0)</f>
        <v>2.3467237457587871</v>
      </c>
      <c r="L66" s="17">
        <f>IFERROR(HLOOKUP(L$7,'REF Fuel Prices'!$C$117:$AF$130,13),0)</f>
        <v>2.3311739240164515</v>
      </c>
      <c r="M66" s="17">
        <f>IFERROR(HLOOKUP(M$7,'REF Fuel Prices'!$C$117:$AF$130,13),0)</f>
        <v>2.3071348637691638</v>
      </c>
      <c r="N66" s="17">
        <f>IFERROR(HLOOKUP(N$7,'REF Fuel Prices'!$C$117:$AF$130,13),0)</f>
        <v>2.3309777478313118</v>
      </c>
      <c r="O66" s="17">
        <f>IFERROR(HLOOKUP(O$7,'REF Fuel Prices'!$C$117:$AF$130,13),0)</f>
        <v>2.3583227726694398</v>
      </c>
      <c r="P66" s="17">
        <f>IFERROR(HLOOKUP(P$7,'REF Fuel Prices'!$C$117:$AF$130,13),0)</f>
        <v>2.3832960890091894</v>
      </c>
      <c r="Q66" s="17">
        <f>IFERROR(HLOOKUP(Q$7,'REF Fuel Prices'!$C$117:$AF$130,13),0)</f>
        <v>2.4006590009648621</v>
      </c>
      <c r="R66" s="17">
        <f>IFERROR(HLOOKUP(R$7,'REF Fuel Prices'!$C$117:$AF$130,13),0)</f>
        <v>2.4594493968247022</v>
      </c>
      <c r="S66" s="17">
        <f>IFERROR(HLOOKUP(S$7,'REF Fuel Prices'!$C$117:$AF$130,13),0)</f>
        <v>2.5376682727241149</v>
      </c>
      <c r="T66" s="17">
        <f>IFERROR(HLOOKUP(T$7,'REF Fuel Prices'!$C$117:$AF$130,13),0)</f>
        <v>2.5628720740885589</v>
      </c>
      <c r="U66" s="17">
        <f>IFERROR(HLOOKUP(U$7,'REF Fuel Prices'!$C$117:$AF$130,13),0)</f>
        <v>2.5835409506350722</v>
      </c>
      <c r="V66" s="17">
        <f>IFERROR(HLOOKUP(V$7,'REF Fuel Prices'!$C$117:$AF$130,13),0)</f>
        <v>2.6030019800865287</v>
      </c>
      <c r="W66" s="17">
        <f>IFERROR(HLOOKUP(W$7,'REF Fuel Prices'!$C$117:$AF$130,13),0)</f>
        <v>2.6122328173541418</v>
      </c>
      <c r="X66" s="17">
        <f>IFERROR(HLOOKUP(X$7,'REF Fuel Prices'!$C$117:$AF$130,13),0)</f>
        <v>2.6303566817768389</v>
      </c>
      <c r="Y66" s="17">
        <f>IFERROR(HLOOKUP(Y$7,'REF Fuel Prices'!$C$117:$AF$130,13),0)</f>
        <v>2.6463929852697685</v>
      </c>
      <c r="Z66" s="17">
        <f>IFERROR(HLOOKUP(Z$7,'REF Fuel Prices'!$C$117:$AF$130,13),0)</f>
        <v>2.674964331193483</v>
      </c>
      <c r="AA66" s="17">
        <f>IFERROR(HLOOKUP(AA$7,'REF Fuel Prices'!$C$117:$AF$130,13),0)</f>
        <v>2.6759284975563253</v>
      </c>
      <c r="AB66" s="17">
        <f>IFERROR(HLOOKUP(AB$7,'REF Fuel Prices'!$C$117:$AF$130,13),0)</f>
        <v>2.6964865301596657</v>
      </c>
      <c r="AC66" s="17">
        <f>IFERROR(HLOOKUP(AC$7,'REF Fuel Prices'!$C$117:$AF$130,13),0)</f>
        <v>2.713176461031785</v>
      </c>
      <c r="AD66" s="17">
        <f>IFERROR(HLOOKUP(AD$7,'REF Fuel Prices'!$C$117:$AF$130,13),0)</f>
        <v>2.7171052630175998</v>
      </c>
      <c r="AE66" s="17">
        <f>IFERROR(HLOOKUP(AE$7,'REF Fuel Prices'!$C$117:$AF$130,13),0)</f>
        <v>2.7436726208258442</v>
      </c>
      <c r="AF66" s="17">
        <f>IFERROR(HLOOKUP(AF$7,'REF Fuel Prices'!$C$117:$AF$130,13),0)</f>
        <v>2.7692168714443204</v>
      </c>
      <c r="AG66" s="17">
        <f>IFERROR(HLOOKUP(AG$7,'REF Fuel Prices'!$C$117:$AF$130,13),0)</f>
        <v>2.7776902751002481</v>
      </c>
      <c r="AH66" s="17">
        <f>IFERROR(HLOOKUP(AH$7,'REF Fuel Prices'!$C$117:$AF$130,13),0)</f>
        <v>2.799528291333091</v>
      </c>
      <c r="AI66" s="17">
        <f>IFERROR(HLOOKUP(AI$7,'REF Fuel Prices'!$C$117:$AF$130,13),0)</f>
        <v>2.8077456982631182</v>
      </c>
      <c r="AJ66" s="17">
        <f>IFERROR(HLOOKUP(AJ$7,'REF Fuel Prices'!$C$117:$AF$130,13),0)</f>
        <v>2.7997957243388432</v>
      </c>
      <c r="AK66" s="17">
        <f>IFERROR(HLOOKUP(AK$7,'REF Fuel Prices'!$C$117:$AF$130,13),0)</f>
        <v>2.8010466774118008</v>
      </c>
      <c r="AL66" s="17">
        <f>IFERROR(HLOOKUP(AL$7,'REF Fuel Prices'!$C$117:$AF$130,13),0)</f>
        <v>2.8000948270426447</v>
      </c>
      <c r="AM66" s="17">
        <f>IFERROR(HLOOKUP(AM$7,'REF Fuel Prices'!$C$117:$AF$130,13),0)</f>
        <v>2.8000948270426447</v>
      </c>
      <c r="AN66" s="17">
        <f>IFERROR(HLOOKUP(AN$7,'REF Fuel Prices'!$C$117:$AF$130,13),0)</f>
        <v>2.8000948270426447</v>
      </c>
      <c r="AO66" s="17">
        <f>IFERROR(HLOOKUP(AO$7,'REF Fuel Prices'!$C$117:$AF$130,13),0)</f>
        <v>2.8000948270426447</v>
      </c>
      <c r="AP66" s="17">
        <f>IFERROR(HLOOKUP(AP$7,'REF Fuel Prices'!$C$117:$AF$130,13),0)</f>
        <v>2.8000948270426447</v>
      </c>
      <c r="AQ66" s="17">
        <f>IFERROR(HLOOKUP(AQ$7,'REF Fuel Prices'!$C$117:$AF$130,13),0)</f>
        <v>2.8000948270426447</v>
      </c>
      <c r="AR66" s="17">
        <f>IFERROR(HLOOKUP(AR$7,'REF Fuel Prices'!$C$117:$AF$130,13),0)</f>
        <v>2.8000948270426447</v>
      </c>
    </row>
    <row r="67" spans="1:44" x14ac:dyDescent="0.2">
      <c r="B67" s="1" t="s">
        <v>327</v>
      </c>
      <c r="C67" s="71" t="s">
        <v>326</v>
      </c>
      <c r="D67" s="87"/>
      <c r="F67" s="17">
        <f>IFERROR(HLOOKUP(F$7,'REF Fuel Prices'!$C$117:$AF$130,14),0)</f>
        <v>0</v>
      </c>
      <c r="G67" s="17">
        <f>IFERROR(HLOOKUP(G$7,'REF Fuel Prices'!$C$117:$AF$130,14),0)</f>
        <v>0</v>
      </c>
      <c r="H67" s="17">
        <f>IFERROR(HLOOKUP(H$7,'REF Fuel Prices'!$C$117:$AF$130,14),0)</f>
        <v>0</v>
      </c>
      <c r="I67" s="17">
        <f>IFERROR(HLOOKUP(I$7,'REF Fuel Prices'!$C$117:$AF$130,14),0)</f>
        <v>2.8226489999999997</v>
      </c>
      <c r="J67" s="17">
        <f>IFERROR(HLOOKUP(J$7,'REF Fuel Prices'!$C$117:$AF$130,14),0)</f>
        <v>2.9506215045594262</v>
      </c>
      <c r="K67" s="17">
        <f>IFERROR(HLOOKUP(K$7,'REF Fuel Prices'!$C$117:$AF$130,14),0)</f>
        <v>2.7543550779283219</v>
      </c>
      <c r="L67" s="17">
        <f>IFERROR(HLOOKUP(L$7,'REF Fuel Prices'!$C$117:$AF$130,14),0)</f>
        <v>2.9795332526380558</v>
      </c>
      <c r="M67" s="17">
        <f>IFERROR(HLOOKUP(M$7,'REF Fuel Prices'!$C$117:$AF$130,14),0)</f>
        <v>2.99128118432301</v>
      </c>
      <c r="N67" s="17">
        <f>IFERROR(HLOOKUP(N$7,'REF Fuel Prices'!$C$117:$AF$130,14),0)</f>
        <v>3.019534262945339</v>
      </c>
      <c r="O67" s="17">
        <f>IFERROR(HLOOKUP(O$7,'REF Fuel Prices'!$C$117:$AF$130,14),0)</f>
        <v>3.0736717708493031</v>
      </c>
      <c r="P67" s="17">
        <f>IFERROR(HLOOKUP(P$7,'REF Fuel Prices'!$C$117:$AF$130,14),0)</f>
        <v>3.1270111932997358</v>
      </c>
      <c r="Q67" s="17">
        <f>IFERROR(HLOOKUP(Q$7,'REF Fuel Prices'!$C$117:$AF$130,14),0)</f>
        <v>3.1594951206543307</v>
      </c>
      <c r="R67" s="17">
        <f>IFERROR(HLOOKUP(R$7,'REF Fuel Prices'!$C$117:$AF$130,14),0)</f>
        <v>3.1485367387496073</v>
      </c>
      <c r="S67" s="17">
        <f>IFERROR(HLOOKUP(S$7,'REF Fuel Prices'!$C$117:$AF$130,14),0)</f>
        <v>3.2417548268566931</v>
      </c>
      <c r="T67" s="17">
        <f>IFERROR(HLOOKUP(T$7,'REF Fuel Prices'!$C$117:$AF$130,14),0)</f>
        <v>3.2771152761133195</v>
      </c>
      <c r="U67" s="17">
        <f>IFERROR(HLOOKUP(U$7,'REF Fuel Prices'!$C$117:$AF$130,14),0)</f>
        <v>3.2984672628727623</v>
      </c>
      <c r="V67" s="17">
        <f>IFERROR(HLOOKUP(V$7,'REF Fuel Prices'!$C$117:$AF$130,14),0)</f>
        <v>3.3309198927585917</v>
      </c>
      <c r="W67" s="17">
        <f>IFERROR(HLOOKUP(W$7,'REF Fuel Prices'!$C$117:$AF$130,14),0)</f>
        <v>3.3524781582894461</v>
      </c>
      <c r="X67" s="17">
        <f>IFERROR(HLOOKUP(X$7,'REF Fuel Prices'!$C$117:$AF$130,14),0)</f>
        <v>3.3903167980274476</v>
      </c>
      <c r="Y67" s="17">
        <f>IFERROR(HLOOKUP(Y$7,'REF Fuel Prices'!$C$117:$AF$130,14),0)</f>
        <v>3.4396515670880587</v>
      </c>
      <c r="Z67" s="17">
        <f>IFERROR(HLOOKUP(Z$7,'REF Fuel Prices'!$C$117:$AF$130,14),0)</f>
        <v>3.4740958540771745</v>
      </c>
      <c r="AA67" s="17">
        <f>IFERROR(HLOOKUP(AA$7,'REF Fuel Prices'!$C$117:$AF$130,14),0)</f>
        <v>3.4940593713131838</v>
      </c>
      <c r="AB67" s="17">
        <f>IFERROR(HLOOKUP(AB$7,'REF Fuel Prices'!$C$117:$AF$130,14),0)</f>
        <v>3.5300343890473957</v>
      </c>
      <c r="AC67" s="17">
        <f>IFERROR(HLOOKUP(AC$7,'REF Fuel Prices'!$C$117:$AF$130,14),0)</f>
        <v>3.5573400079334472</v>
      </c>
      <c r="AD67" s="17">
        <f>IFERROR(HLOOKUP(AD$7,'REF Fuel Prices'!$C$117:$AF$130,14),0)</f>
        <v>3.5652056308792104</v>
      </c>
      <c r="AE67" s="17">
        <f>IFERROR(HLOOKUP(AE$7,'REF Fuel Prices'!$C$117:$AF$130,14),0)</f>
        <v>3.6212167190724798</v>
      </c>
      <c r="AF67" s="17">
        <f>IFERROR(HLOOKUP(AF$7,'REF Fuel Prices'!$C$117:$AF$130,14),0)</f>
        <v>3.680994884415393</v>
      </c>
      <c r="AG67" s="17">
        <f>IFERROR(HLOOKUP(AG$7,'REF Fuel Prices'!$C$117:$AF$130,14),0)</f>
        <v>3.7018930578777303</v>
      </c>
      <c r="AH67" s="17">
        <f>IFERROR(HLOOKUP(AH$7,'REF Fuel Prices'!$C$117:$AF$130,14),0)</f>
        <v>3.7421131504663743</v>
      </c>
      <c r="AI67" s="17">
        <f>IFERROR(HLOOKUP(AI$7,'REF Fuel Prices'!$C$117:$AF$130,14),0)</f>
        <v>3.7596738756684909</v>
      </c>
      <c r="AJ67" s="17">
        <f>IFERROR(HLOOKUP(AJ$7,'REF Fuel Prices'!$C$117:$AF$130,14),0)</f>
        <v>3.7542935562651851</v>
      </c>
      <c r="AK67" s="17">
        <f>IFERROR(HLOOKUP(AK$7,'REF Fuel Prices'!$C$117:$AF$130,14),0)</f>
        <v>3.7622715655760621</v>
      </c>
      <c r="AL67" s="17">
        <f>IFERROR(HLOOKUP(AL$7,'REF Fuel Prices'!$C$117:$AF$130,14),0)</f>
        <v>3.7511040596754945</v>
      </c>
      <c r="AM67" s="17">
        <f>IFERROR(HLOOKUP(AM$7,'REF Fuel Prices'!$C$117:$AF$130,14),0)</f>
        <v>3.7511040596754945</v>
      </c>
      <c r="AN67" s="17">
        <f>IFERROR(HLOOKUP(AN$7,'REF Fuel Prices'!$C$117:$AF$130,14),0)</f>
        <v>3.7511040596754945</v>
      </c>
      <c r="AO67" s="17">
        <f>IFERROR(HLOOKUP(AO$7,'REF Fuel Prices'!$C$117:$AF$130,14),0)</f>
        <v>3.7511040596754945</v>
      </c>
      <c r="AP67" s="17">
        <f>IFERROR(HLOOKUP(AP$7,'REF Fuel Prices'!$C$117:$AF$130,14),0)</f>
        <v>3.7511040596754945</v>
      </c>
      <c r="AQ67" s="17">
        <f>IFERROR(HLOOKUP(AQ$7,'REF Fuel Prices'!$C$117:$AF$130,14),0)</f>
        <v>3.7511040596754945</v>
      </c>
      <c r="AR67" s="17">
        <f>IFERROR(HLOOKUP(AR$7,'REF Fuel Prices'!$C$117:$AF$130,14),0)</f>
        <v>3.7511040596754945</v>
      </c>
    </row>
    <row r="68" spans="1:44" ht="15" x14ac:dyDescent="0.25">
      <c r="A68" s="2"/>
      <c r="B68" s="1" t="s">
        <v>328</v>
      </c>
      <c r="C68" s="21" t="s">
        <v>311</v>
      </c>
      <c r="D68" s="18">
        <f>SUM(F68:AR68)</f>
        <v>21542056.443628091</v>
      </c>
      <c r="F68" s="18">
        <f t="shared" ref="F68:J68" si="34">F62*F66</f>
        <v>0</v>
      </c>
      <c r="G68" s="18">
        <f t="shared" si="34"/>
        <v>0</v>
      </c>
      <c r="H68" s="18">
        <f t="shared" si="34"/>
        <v>0</v>
      </c>
      <c r="I68" s="18">
        <f t="shared" si="34"/>
        <v>234396.59956440001</v>
      </c>
      <c r="J68" s="18">
        <f t="shared" si="34"/>
        <v>245237.36903130915</v>
      </c>
      <c r="K68" s="18">
        <f>K62*K66</f>
        <v>237763.48718594303</v>
      </c>
      <c r="L68" s="18">
        <f t="shared" ref="L68:AR68" si="35">L62*L66</f>
        <v>254397.4090661293</v>
      </c>
      <c r="M68" s="18">
        <f t="shared" si="35"/>
        <v>269795.67473998183</v>
      </c>
      <c r="N68" s="18">
        <f t="shared" si="35"/>
        <v>290791.70856545237</v>
      </c>
      <c r="O68" s="18">
        <f t="shared" si="35"/>
        <v>312624.47945160331</v>
      </c>
      <c r="P68" s="18">
        <f t="shared" si="35"/>
        <v>334551.52314964536</v>
      </c>
      <c r="Q68" s="18">
        <f t="shared" si="35"/>
        <v>355740.9669728158</v>
      </c>
      <c r="R68" s="18">
        <f t="shared" si="35"/>
        <v>383664.18329846638</v>
      </c>
      <c r="S68" s="18">
        <f t="shared" si="35"/>
        <v>415688.37803667499</v>
      </c>
      <c r="T68" s="18">
        <f t="shared" si="35"/>
        <v>439836.18150955823</v>
      </c>
      <c r="U68" s="18">
        <f t="shared" si="35"/>
        <v>463564.03116273723</v>
      </c>
      <c r="V68" s="18">
        <f t="shared" si="35"/>
        <v>487388.62194643059</v>
      </c>
      <c r="W68" s="18">
        <f t="shared" si="35"/>
        <v>509521.82099101925</v>
      </c>
      <c r="X68" s="18">
        <f t="shared" si="35"/>
        <v>533603.29922226758</v>
      </c>
      <c r="Y68" s="18">
        <f t="shared" si="35"/>
        <v>557528.12125775742</v>
      </c>
      <c r="Z68" s="18">
        <f t="shared" si="35"/>
        <v>584442.20152104984</v>
      </c>
      <c r="AA68" s="18">
        <f t="shared" si="35"/>
        <v>605555.2094432601</v>
      </c>
      <c r="AB68" s="18">
        <f t="shared" si="35"/>
        <v>631270.37035473716</v>
      </c>
      <c r="AC68" s="18">
        <f t="shared" si="35"/>
        <v>656370.9290576803</v>
      </c>
      <c r="AD68" s="18">
        <f t="shared" si="35"/>
        <v>678545.37696133426</v>
      </c>
      <c r="AE68" s="18">
        <f t="shared" si="35"/>
        <v>706611.58691759454</v>
      </c>
      <c r="AF68" s="18">
        <f t="shared" si="35"/>
        <v>734821.36044972949</v>
      </c>
      <c r="AG68" s="18">
        <f t="shared" si="35"/>
        <v>758767.04562958481</v>
      </c>
      <c r="AH68" s="18">
        <f t="shared" si="35"/>
        <v>786600.24187851511</v>
      </c>
      <c r="AI68" s="18">
        <f t="shared" si="35"/>
        <v>810841.14437791309</v>
      </c>
      <c r="AJ68" s="18">
        <f t="shared" si="35"/>
        <v>830415.20249084639</v>
      </c>
      <c r="AK68" s="18">
        <f t="shared" si="35"/>
        <v>852665.91397986631</v>
      </c>
      <c r="AL68" s="18">
        <f t="shared" si="35"/>
        <v>874248.40699408168</v>
      </c>
      <c r="AM68" s="18">
        <f t="shared" si="35"/>
        <v>896120.65253956825</v>
      </c>
      <c r="AN68" s="18">
        <f t="shared" si="35"/>
        <v>917992.89808505483</v>
      </c>
      <c r="AO68" s="18">
        <f t="shared" si="35"/>
        <v>939865.1436305414</v>
      </c>
      <c r="AP68" s="18">
        <f t="shared" si="35"/>
        <v>961737.38917602785</v>
      </c>
      <c r="AQ68" s="18">
        <f t="shared" si="35"/>
        <v>983609.6347215143</v>
      </c>
      <c r="AR68" s="18">
        <f t="shared" si="35"/>
        <v>1005481.8802670006</v>
      </c>
    </row>
    <row r="69" spans="1:44" x14ac:dyDescent="0.2">
      <c r="B69" s="1" t="s">
        <v>329</v>
      </c>
      <c r="C69" s="21" t="s">
        <v>311</v>
      </c>
      <c r="D69" s="18">
        <f>SUM(F69:AR69)</f>
        <v>2797588.9994665817</v>
      </c>
      <c r="F69" s="18">
        <f t="shared" ref="F69:J69" si="36">F63*F67</f>
        <v>0</v>
      </c>
      <c r="G69" s="18">
        <f t="shared" si="36"/>
        <v>0</v>
      </c>
      <c r="H69" s="18">
        <f t="shared" si="36"/>
        <v>0</v>
      </c>
      <c r="I69" s="18">
        <f t="shared" si="36"/>
        <v>23922.797069699995</v>
      </c>
      <c r="J69" s="18">
        <f t="shared" si="36"/>
        <v>27286.879644547607</v>
      </c>
      <c r="K69" s="18">
        <f>K63*K67</f>
        <v>27599.692133992303</v>
      </c>
      <c r="L69" s="18">
        <f t="shared" ref="L69:AR69" si="37">L63*L67</f>
        <v>32157.876362165436</v>
      </c>
      <c r="M69" s="18">
        <f t="shared" si="37"/>
        <v>34595.559389660732</v>
      </c>
      <c r="N69" s="18">
        <f t="shared" si="37"/>
        <v>37255.03456059382</v>
      </c>
      <c r="O69" s="18">
        <f t="shared" si="37"/>
        <v>40297.522135874235</v>
      </c>
      <c r="P69" s="18">
        <f t="shared" si="37"/>
        <v>43412.576749307911</v>
      </c>
      <c r="Q69" s="18">
        <f t="shared" si="37"/>
        <v>46304.394743558463</v>
      </c>
      <c r="R69" s="18">
        <f t="shared" si="37"/>
        <v>48576.167656590791</v>
      </c>
      <c r="S69" s="18">
        <f t="shared" si="37"/>
        <v>52518.742137316913</v>
      </c>
      <c r="T69" s="18">
        <f t="shared" si="37"/>
        <v>55623.313810886655</v>
      </c>
      <c r="U69" s="18">
        <f t="shared" si="37"/>
        <v>58533.928979462427</v>
      </c>
      <c r="V69" s="18">
        <f t="shared" si="37"/>
        <v>61683.10019530874</v>
      </c>
      <c r="W69" s="18">
        <f t="shared" si="37"/>
        <v>64672.251542128812</v>
      </c>
      <c r="X69" s="18">
        <f t="shared" si="37"/>
        <v>68021.352190029371</v>
      </c>
      <c r="Y69" s="18">
        <f t="shared" si="37"/>
        <v>71668.449582304587</v>
      </c>
      <c r="Z69" s="18">
        <f t="shared" si="37"/>
        <v>75070.012242467506</v>
      </c>
      <c r="AA69" s="18">
        <f t="shared" si="37"/>
        <v>78200.699419608049</v>
      </c>
      <c r="AB69" s="18">
        <f t="shared" si="37"/>
        <v>81732.955540118288</v>
      </c>
      <c r="AC69" s="18">
        <f t="shared" si="37"/>
        <v>85113.370897333923</v>
      </c>
      <c r="AD69" s="18">
        <f t="shared" si="37"/>
        <v>88055.833671083674</v>
      </c>
      <c r="AE69" s="18">
        <f t="shared" si="37"/>
        <v>92236.772755701561</v>
      </c>
      <c r="AF69" s="18">
        <f t="shared" si="37"/>
        <v>96603.115844419372</v>
      </c>
      <c r="AG69" s="18">
        <f t="shared" si="37"/>
        <v>100011.42788924518</v>
      </c>
      <c r="AH69" s="18">
        <f t="shared" si="37"/>
        <v>103988.9629540645</v>
      </c>
      <c r="AI69" s="18">
        <f t="shared" si="37"/>
        <v>107381.45868176932</v>
      </c>
      <c r="AJ69" s="18">
        <f t="shared" si="37"/>
        <v>110128.13647932657</v>
      </c>
      <c r="AK69" s="18">
        <f t="shared" si="37"/>
        <v>113268.67320881301</v>
      </c>
      <c r="AL69" s="18">
        <f t="shared" si="37"/>
        <v>115830.34225871961</v>
      </c>
      <c r="AM69" s="18">
        <f t="shared" si="37"/>
        <v>118728.22536291793</v>
      </c>
      <c r="AN69" s="18">
        <f t="shared" si="37"/>
        <v>121626.10846711628</v>
      </c>
      <c r="AO69" s="18">
        <f t="shared" si="37"/>
        <v>124523.99157131463</v>
      </c>
      <c r="AP69" s="18">
        <f t="shared" si="37"/>
        <v>127421.87467551297</v>
      </c>
      <c r="AQ69" s="18">
        <f t="shared" si="37"/>
        <v>130319.75777971128</v>
      </c>
      <c r="AR69" s="18">
        <f t="shared" si="37"/>
        <v>133217.6408839096</v>
      </c>
    </row>
    <row r="70" spans="1:44" x14ac:dyDescent="0.2">
      <c r="C70" s="21"/>
      <c r="D70" s="70"/>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row>
    <row r="71" spans="1:44" ht="15" x14ac:dyDescent="0.25">
      <c r="A71" s="2" t="s">
        <v>272</v>
      </c>
      <c r="C71" s="71"/>
      <c r="D71" s="70"/>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row>
    <row r="72" spans="1:44" x14ac:dyDescent="0.2">
      <c r="B72" s="1" t="s">
        <v>298</v>
      </c>
      <c r="C72" s="21" t="s">
        <v>289</v>
      </c>
      <c r="D72" s="70">
        <f>SUM(F72:AR72)</f>
        <v>24339645.443094671</v>
      </c>
      <c r="F72" s="18">
        <f t="shared" ref="F72:J72" si="38">F68+F69</f>
        <v>0</v>
      </c>
      <c r="G72" s="18">
        <f t="shared" si="38"/>
        <v>0</v>
      </c>
      <c r="H72" s="18">
        <f t="shared" si="38"/>
        <v>0</v>
      </c>
      <c r="I72" s="18">
        <f t="shared" si="38"/>
        <v>258319.39663410001</v>
      </c>
      <c r="J72" s="18">
        <f t="shared" si="38"/>
        <v>272524.24867585674</v>
      </c>
      <c r="K72" s="18">
        <f>K68+K69</f>
        <v>265363.17931993533</v>
      </c>
      <c r="L72" s="18">
        <f t="shared" ref="L72:AR72" si="39">L68+L69</f>
        <v>286555.28542829474</v>
      </c>
      <c r="M72" s="18">
        <f t="shared" si="39"/>
        <v>304391.23412964254</v>
      </c>
      <c r="N72" s="18">
        <f t="shared" si="39"/>
        <v>328046.7431260462</v>
      </c>
      <c r="O72" s="18">
        <f t="shared" si="39"/>
        <v>352922.00158747757</v>
      </c>
      <c r="P72" s="18">
        <f t="shared" si="39"/>
        <v>377964.09989895328</v>
      </c>
      <c r="Q72" s="18">
        <f t="shared" si="39"/>
        <v>402045.36171637429</v>
      </c>
      <c r="R72" s="18">
        <f t="shared" si="39"/>
        <v>432240.35095505719</v>
      </c>
      <c r="S72" s="18">
        <f t="shared" si="39"/>
        <v>468207.12017399189</v>
      </c>
      <c r="T72" s="18">
        <f t="shared" si="39"/>
        <v>495459.49532044487</v>
      </c>
      <c r="U72" s="18">
        <f t="shared" si="39"/>
        <v>522097.96014219965</v>
      </c>
      <c r="V72" s="18">
        <f t="shared" si="39"/>
        <v>549071.72214173933</v>
      </c>
      <c r="W72" s="18">
        <f t="shared" si="39"/>
        <v>574194.07253314811</v>
      </c>
      <c r="X72" s="18">
        <f t="shared" si="39"/>
        <v>601624.65141229692</v>
      </c>
      <c r="Y72" s="18">
        <f t="shared" si="39"/>
        <v>629196.57084006199</v>
      </c>
      <c r="Z72" s="18">
        <f t="shared" si="39"/>
        <v>659512.21376351733</v>
      </c>
      <c r="AA72" s="18">
        <f t="shared" si="39"/>
        <v>683755.90886286809</v>
      </c>
      <c r="AB72" s="18">
        <f t="shared" si="39"/>
        <v>713003.32589485543</v>
      </c>
      <c r="AC72" s="18">
        <f t="shared" si="39"/>
        <v>741484.29995501426</v>
      </c>
      <c r="AD72" s="18">
        <f t="shared" si="39"/>
        <v>766601.21063241793</v>
      </c>
      <c r="AE72" s="18">
        <f t="shared" si="39"/>
        <v>798848.3596732961</v>
      </c>
      <c r="AF72" s="18">
        <f t="shared" si="39"/>
        <v>831424.47629414883</v>
      </c>
      <c r="AG72" s="18">
        <f t="shared" si="39"/>
        <v>858778.47351883003</v>
      </c>
      <c r="AH72" s="18">
        <f t="shared" si="39"/>
        <v>890589.20483257959</v>
      </c>
      <c r="AI72" s="18">
        <f t="shared" si="39"/>
        <v>918222.60305968241</v>
      </c>
      <c r="AJ72" s="18">
        <f t="shared" si="39"/>
        <v>940543.33897017292</v>
      </c>
      <c r="AK72" s="18">
        <f t="shared" si="39"/>
        <v>965934.58718867926</v>
      </c>
      <c r="AL72" s="18">
        <f t="shared" si="39"/>
        <v>990078.7492528013</v>
      </c>
      <c r="AM72" s="18">
        <f t="shared" si="39"/>
        <v>1014848.8779024861</v>
      </c>
      <c r="AN72" s="18">
        <f t="shared" si="39"/>
        <v>1039619.0065521711</v>
      </c>
      <c r="AO72" s="18">
        <f t="shared" si="39"/>
        <v>1064389.135201856</v>
      </c>
      <c r="AP72" s="18">
        <f t="shared" si="39"/>
        <v>1089159.2638515409</v>
      </c>
      <c r="AQ72" s="18">
        <f t="shared" si="39"/>
        <v>1113929.3925012257</v>
      </c>
      <c r="AR72" s="18">
        <f t="shared" si="39"/>
        <v>1138699.5211509103</v>
      </c>
    </row>
    <row r="73" spans="1:44" x14ac:dyDescent="0.2">
      <c r="C73" s="11"/>
      <c r="F73" s="91"/>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1"/>
      <c r="AR73" s="91"/>
    </row>
    <row r="74" spans="1:44" s="8" customFormat="1" x14ac:dyDescent="0.2">
      <c r="A74" s="7" t="s">
        <v>275</v>
      </c>
      <c r="B74" s="7"/>
      <c r="C74" s="12"/>
    </row>
    <row r="75" spans="1:44" ht="15" x14ac:dyDescent="0.25">
      <c r="A75" s="2" t="s">
        <v>276</v>
      </c>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row>
    <row r="76" spans="1:44" x14ac:dyDescent="0.2">
      <c r="B76" s="1" t="s">
        <v>241</v>
      </c>
      <c r="C76" s="71" t="s">
        <v>77</v>
      </c>
      <c r="D76" s="70">
        <f>SUM(F76:AR76)</f>
        <v>217474.43286249164</v>
      </c>
      <c r="F76" s="18">
        <f t="shared" ref="F76:AR76" si="40">(F$45-F$72)*F$11*F15</f>
        <v>0</v>
      </c>
      <c r="G76" s="18">
        <f t="shared" si="40"/>
        <v>0</v>
      </c>
      <c r="H76" s="18">
        <f t="shared" si="40"/>
        <v>0</v>
      </c>
      <c r="I76" s="18">
        <f t="shared" si="40"/>
        <v>0</v>
      </c>
      <c r="J76" s="18">
        <f t="shared" si="40"/>
        <v>0</v>
      </c>
      <c r="K76" s="18">
        <f t="shared" si="40"/>
        <v>0</v>
      </c>
      <c r="L76" s="18">
        <f t="shared" si="40"/>
        <v>0</v>
      </c>
      <c r="M76" s="18">
        <f t="shared" si="40"/>
        <v>0</v>
      </c>
      <c r="N76" s="18">
        <f t="shared" si="40"/>
        <v>0</v>
      </c>
      <c r="O76" s="18">
        <f t="shared" si="40"/>
        <v>0</v>
      </c>
      <c r="P76" s="18">
        <f t="shared" si="40"/>
        <v>4101.6012799086166</v>
      </c>
      <c r="Q76" s="18">
        <f t="shared" si="40"/>
        <v>4723.364892633108</v>
      </c>
      <c r="R76" s="18">
        <f t="shared" si="40"/>
        <v>5426.8061683782726</v>
      </c>
      <c r="S76" s="18">
        <f t="shared" si="40"/>
        <v>6220.063825552701</v>
      </c>
      <c r="T76" s="18">
        <f t="shared" si="40"/>
        <v>6910.7737935110927</v>
      </c>
      <c r="U76" s="18">
        <f t="shared" si="40"/>
        <v>7598.5149312153226</v>
      </c>
      <c r="V76" s="18">
        <f t="shared" si="40"/>
        <v>8295.8597607663833</v>
      </c>
      <c r="W76" s="18">
        <f t="shared" si="40"/>
        <v>8968.6214500184869</v>
      </c>
      <c r="X76" s="18">
        <f t="shared" si="40"/>
        <v>9680.6134627655847</v>
      </c>
      <c r="Y76" s="18">
        <f t="shared" si="40"/>
        <v>10398.812522310414</v>
      </c>
      <c r="Z76" s="18">
        <f t="shared" si="40"/>
        <v>11167.039476075443</v>
      </c>
      <c r="AA76" s="18">
        <f t="shared" si="40"/>
        <v>11835.434802667587</v>
      </c>
      <c r="AB76" s="18">
        <f t="shared" si="40"/>
        <v>12592.671264581382</v>
      </c>
      <c r="AC76" s="18">
        <f t="shared" si="40"/>
        <v>13339.836851761444</v>
      </c>
      <c r="AD76" s="18">
        <f t="shared" si="40"/>
        <v>14028.338059179136</v>
      </c>
      <c r="AE76" s="18">
        <f t="shared" si="40"/>
        <v>14850.067346057389</v>
      </c>
      <c r="AF76" s="18">
        <f t="shared" si="40"/>
        <v>15682.514508829103</v>
      </c>
      <c r="AG76" s="18">
        <f t="shared" si="40"/>
        <v>16419.412323882221</v>
      </c>
      <c r="AH76" s="18">
        <f t="shared" si="40"/>
        <v>17244.002620882238</v>
      </c>
      <c r="AI76" s="18">
        <f t="shared" si="40"/>
        <v>17990.083521515713</v>
      </c>
      <c r="AJ76" s="18">
        <f t="shared" si="40"/>
        <v>0</v>
      </c>
      <c r="AK76" s="18">
        <f t="shared" si="40"/>
        <v>0</v>
      </c>
      <c r="AL76" s="18">
        <f t="shared" si="40"/>
        <v>0</v>
      </c>
      <c r="AM76" s="18">
        <f t="shared" si="40"/>
        <v>0</v>
      </c>
      <c r="AN76" s="18">
        <f t="shared" si="40"/>
        <v>0</v>
      </c>
      <c r="AO76" s="18">
        <f t="shared" si="40"/>
        <v>0</v>
      </c>
      <c r="AP76" s="18">
        <f t="shared" si="40"/>
        <v>0</v>
      </c>
      <c r="AQ76" s="18">
        <f t="shared" si="40"/>
        <v>0</v>
      </c>
      <c r="AR76" s="18">
        <f t="shared" si="40"/>
        <v>0</v>
      </c>
    </row>
    <row r="77" spans="1:44" x14ac:dyDescent="0.2">
      <c r="B77" s="1" t="s">
        <v>242</v>
      </c>
      <c r="C77" s="71" t="s">
        <v>77</v>
      </c>
      <c r="D77" s="70">
        <f>SUM(F77:AR77)</f>
        <v>126613.23866589728</v>
      </c>
      <c r="F77" s="18">
        <f t="shared" ref="F77:AR77" si="41">(F$45-F$72)*F$11*F16</f>
        <v>0</v>
      </c>
      <c r="G77" s="18">
        <f t="shared" si="41"/>
        <v>0</v>
      </c>
      <c r="H77" s="18">
        <f t="shared" si="41"/>
        <v>0</v>
      </c>
      <c r="I77" s="18">
        <f t="shared" si="41"/>
        <v>0</v>
      </c>
      <c r="J77" s="18">
        <f t="shared" si="41"/>
        <v>0</v>
      </c>
      <c r="K77" s="18">
        <f t="shared" si="41"/>
        <v>0</v>
      </c>
      <c r="L77" s="18">
        <f t="shared" si="41"/>
        <v>0</v>
      </c>
      <c r="M77" s="18">
        <f t="shared" si="41"/>
        <v>0</v>
      </c>
      <c r="N77" s="18">
        <f t="shared" si="41"/>
        <v>0</v>
      </c>
      <c r="O77" s="18">
        <f t="shared" si="41"/>
        <v>0</v>
      </c>
      <c r="P77" s="18">
        <f t="shared" si="41"/>
        <v>3334.9771836087311</v>
      </c>
      <c r="Q77" s="18">
        <f t="shared" si="41"/>
        <v>3728.6678632788271</v>
      </c>
      <c r="R77" s="18">
        <f t="shared" si="41"/>
        <v>4159.1950506307139</v>
      </c>
      <c r="S77" s="18">
        <f t="shared" si="41"/>
        <v>4628.3116428630101</v>
      </c>
      <c r="T77" s="18">
        <f t="shared" si="41"/>
        <v>4992.4900261935554</v>
      </c>
      <c r="U77" s="18">
        <f t="shared" si="41"/>
        <v>5329.4454921003216</v>
      </c>
      <c r="V77" s="18">
        <f t="shared" si="41"/>
        <v>5649.0768204893529</v>
      </c>
      <c r="W77" s="18">
        <f t="shared" si="41"/>
        <v>5929.3153342540254</v>
      </c>
      <c r="X77" s="18">
        <f t="shared" si="41"/>
        <v>6213.6174092056008</v>
      </c>
      <c r="Y77" s="18">
        <f t="shared" si="41"/>
        <v>6480.1961710519781</v>
      </c>
      <c r="Z77" s="18">
        <f t="shared" si="41"/>
        <v>6756.2425344234207</v>
      </c>
      <c r="AA77" s="18">
        <f t="shared" si="41"/>
        <v>6952.0705818810238</v>
      </c>
      <c r="AB77" s="18">
        <f t="shared" si="41"/>
        <v>7181.4244624268149</v>
      </c>
      <c r="AC77" s="18">
        <f t="shared" si="41"/>
        <v>7385.9442296216812</v>
      </c>
      <c r="AD77" s="18">
        <f t="shared" si="41"/>
        <v>7540.9229659192961</v>
      </c>
      <c r="AE77" s="18">
        <f t="shared" si="41"/>
        <v>7750.1387855087105</v>
      </c>
      <c r="AF77" s="18">
        <f t="shared" si="41"/>
        <v>7946.2006962526721</v>
      </c>
      <c r="AG77" s="18">
        <f t="shared" si="41"/>
        <v>8077.2628529863687</v>
      </c>
      <c r="AH77" s="18">
        <f t="shared" si="41"/>
        <v>8235.8316880960119</v>
      </c>
      <c r="AI77" s="18">
        <f t="shared" si="41"/>
        <v>8341.90687510516</v>
      </c>
      <c r="AJ77" s="18">
        <f t="shared" si="41"/>
        <v>0</v>
      </c>
      <c r="AK77" s="18">
        <f t="shared" si="41"/>
        <v>0</v>
      </c>
      <c r="AL77" s="18">
        <f t="shared" si="41"/>
        <v>0</v>
      </c>
      <c r="AM77" s="18">
        <f t="shared" si="41"/>
        <v>0</v>
      </c>
      <c r="AN77" s="18">
        <f t="shared" si="41"/>
        <v>0</v>
      </c>
      <c r="AO77" s="18">
        <f t="shared" si="41"/>
        <v>0</v>
      </c>
      <c r="AP77" s="18">
        <f t="shared" si="41"/>
        <v>0</v>
      </c>
      <c r="AQ77" s="18">
        <f t="shared" si="41"/>
        <v>0</v>
      </c>
      <c r="AR77" s="18">
        <f t="shared" si="41"/>
        <v>0</v>
      </c>
    </row>
    <row r="78" spans="1:44" x14ac:dyDescent="0.2">
      <c r="B78" s="1" t="s">
        <v>243</v>
      </c>
      <c r="C78" s="71" t="s">
        <v>77</v>
      </c>
      <c r="D78" s="70">
        <f>SUM(F78:AR78)</f>
        <v>65552.220592955302</v>
      </c>
      <c r="F78" s="18">
        <f t="shared" ref="F78:AR78" si="42">(F$45-F$72)*F$11*F17</f>
        <v>0</v>
      </c>
      <c r="G78" s="18">
        <f t="shared" si="42"/>
        <v>0</v>
      </c>
      <c r="H78" s="18">
        <f t="shared" si="42"/>
        <v>0</v>
      </c>
      <c r="I78" s="18">
        <f t="shared" si="42"/>
        <v>0</v>
      </c>
      <c r="J78" s="18">
        <f t="shared" si="42"/>
        <v>0</v>
      </c>
      <c r="K78" s="18">
        <f t="shared" si="42"/>
        <v>0</v>
      </c>
      <c r="L78" s="18">
        <f t="shared" si="42"/>
        <v>0</v>
      </c>
      <c r="M78" s="18">
        <f t="shared" si="42"/>
        <v>0</v>
      </c>
      <c r="N78" s="18">
        <f t="shared" si="42"/>
        <v>0</v>
      </c>
      <c r="O78" s="18">
        <f t="shared" si="42"/>
        <v>0</v>
      </c>
      <c r="P78" s="18">
        <f t="shared" si="42"/>
        <v>2554.2711383765995</v>
      </c>
      <c r="Q78" s="18">
        <f t="shared" si="42"/>
        <v>2749.041371695334</v>
      </c>
      <c r="R78" s="18">
        <f t="shared" si="42"/>
        <v>2951.822989444734</v>
      </c>
      <c r="S78" s="18">
        <f t="shared" si="42"/>
        <v>3161.9650427524803</v>
      </c>
      <c r="T78" s="18">
        <f t="shared" si="42"/>
        <v>3283.2588467612354</v>
      </c>
      <c r="U78" s="18">
        <f t="shared" si="42"/>
        <v>3373.8315019288962</v>
      </c>
      <c r="V78" s="18">
        <f t="shared" si="42"/>
        <v>3442.4868653871576</v>
      </c>
      <c r="W78" s="18">
        <f t="shared" si="42"/>
        <v>3478.1860264749694</v>
      </c>
      <c r="X78" s="18">
        <f t="shared" si="42"/>
        <v>3508.6998172756266</v>
      </c>
      <c r="Y78" s="18">
        <f t="shared" si="42"/>
        <v>3522.4375773070437</v>
      </c>
      <c r="Z78" s="18">
        <f t="shared" si="42"/>
        <v>3535.1987154272397</v>
      </c>
      <c r="AA78" s="18">
        <f t="shared" si="42"/>
        <v>3501.6780920861747</v>
      </c>
      <c r="AB78" s="18">
        <f t="shared" si="42"/>
        <v>3481.9785395228982</v>
      </c>
      <c r="AC78" s="18">
        <f t="shared" si="42"/>
        <v>3447.26733693189</v>
      </c>
      <c r="AD78" s="18">
        <f t="shared" si="42"/>
        <v>3388.0272265316958</v>
      </c>
      <c r="AE78" s="18">
        <f t="shared" si="42"/>
        <v>3351.8557038055237</v>
      </c>
      <c r="AF78" s="18">
        <f t="shared" si="42"/>
        <v>3308.1775586535691</v>
      </c>
      <c r="AG78" s="18">
        <f t="shared" si="42"/>
        <v>3237.0316411989916</v>
      </c>
      <c r="AH78" s="18">
        <f t="shared" si="42"/>
        <v>3177.1933000888957</v>
      </c>
      <c r="AI78" s="18">
        <f t="shared" si="42"/>
        <v>3097.8113013043608</v>
      </c>
      <c r="AJ78" s="18">
        <f t="shared" si="42"/>
        <v>0</v>
      </c>
      <c r="AK78" s="18">
        <f t="shared" si="42"/>
        <v>0</v>
      </c>
      <c r="AL78" s="18">
        <f t="shared" si="42"/>
        <v>0</v>
      </c>
      <c r="AM78" s="18">
        <f t="shared" si="42"/>
        <v>0</v>
      </c>
      <c r="AN78" s="18">
        <f t="shared" si="42"/>
        <v>0</v>
      </c>
      <c r="AO78" s="18">
        <f t="shared" si="42"/>
        <v>0</v>
      </c>
      <c r="AP78" s="18">
        <f t="shared" si="42"/>
        <v>0</v>
      </c>
      <c r="AQ78" s="18">
        <f t="shared" si="42"/>
        <v>0</v>
      </c>
      <c r="AR78" s="18">
        <f t="shared" si="42"/>
        <v>0</v>
      </c>
    </row>
    <row r="79" spans="1:44" x14ac:dyDescent="0.2">
      <c r="C79" s="71"/>
      <c r="D79" s="70"/>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2F6091B758224FAD3CEB12182A2E34" ma:contentTypeVersion="4" ma:contentTypeDescription="Create a new document." ma:contentTypeScope="" ma:versionID="b50e9176c3233cd91a7b8c33f98b4d65">
  <xsd:schema xmlns:xsd="http://www.w3.org/2001/XMLSchema" xmlns:xs="http://www.w3.org/2001/XMLSchema" xmlns:p="http://schemas.microsoft.com/office/2006/metadata/properties" xmlns:ns2="b2dc9c95-08e8-444b-91c6-57c67ce36fcf" xmlns:ns3="0e7e86ff-25bc-4dca-ab88-63e3701c53fb" targetNamespace="http://schemas.microsoft.com/office/2006/metadata/properties" ma:root="true" ma:fieldsID="d6a389a99d044b377724595d75cbcf85" ns2:_="" ns3:_="">
    <xsd:import namespace="b2dc9c95-08e8-444b-91c6-57c67ce36fcf"/>
    <xsd:import namespace="0e7e86ff-25bc-4dca-ab88-63e3701c53f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dc9c95-08e8-444b-91c6-57c67ce36f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e7e86ff-25bc-4dca-ab88-63e3701c53f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58EE02-EF67-40E2-B6B5-9AABD50CF2E2}">
  <ds:schemaRefs>
    <ds:schemaRef ds:uri="http://schemas.microsoft.com/office/2006/metadata/contentType"/>
    <ds:schemaRef ds:uri="http://schemas.microsoft.com/office/2006/metadata/properties/metaAttributes"/>
    <ds:schemaRef ds:uri="http://www.w3.org/2000/xmlns/"/>
    <ds:schemaRef ds:uri="http://www.w3.org/2001/XMLSchema"/>
    <ds:schemaRef ds:uri="b2dc9c95-08e8-444b-91c6-57c67ce36fcf"/>
    <ds:schemaRef ds:uri="0e7e86ff-25bc-4dca-ab88-63e3701c53fb"/>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0CD73D-5AE9-4946-8573-CFE300572A63}">
  <ds:schemaRefs>
    <ds:schemaRef ds:uri="http://schemas.microsoft.com/office/2006/metadata/properties"/>
    <ds:schemaRef ds:uri="http://www.w3.org/2000/xmlns/"/>
    <ds:schemaRef ds:uri="http://schemas.microsoft.com/office/infopath/2007/PartnerControls"/>
  </ds:schemaRefs>
</ds:datastoreItem>
</file>

<file path=customXml/itemProps3.xml><?xml version="1.0" encoding="utf-8"?>
<ds:datastoreItem xmlns:ds="http://schemas.openxmlformats.org/officeDocument/2006/customXml" ds:itemID="{D32FA2BA-374F-4CA6-B087-C6568D24CE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OUTPUT Summary</vt:lpstr>
      <vt:lpstr>INPUTS</vt:lpstr>
      <vt:lpstr>Calculations-&gt;</vt:lpstr>
      <vt:lpstr>CALCS Project Costs</vt:lpstr>
      <vt:lpstr>CALCS Traffic</vt:lpstr>
      <vt:lpstr>CALCS Safety</vt:lpstr>
      <vt:lpstr>CALCS Time Savings</vt:lpstr>
      <vt:lpstr>CALCS Emissions</vt:lpstr>
      <vt:lpstr>CALCS Veh Op Costs</vt:lpstr>
      <vt:lpstr>CALCS Pedestrian</vt:lpstr>
      <vt:lpstr>CALCS Bridge Hits</vt:lpstr>
      <vt:lpstr>CALCS Residual Value</vt:lpstr>
      <vt:lpstr>CALCS Avoided Detour</vt:lpstr>
      <vt:lpstr>References-&gt;</vt:lpstr>
      <vt:lpstr>REF USDOT BCA 2023 Guidlines</vt:lpstr>
      <vt:lpstr>REF Project Costs</vt:lpstr>
      <vt:lpstr>REF Traffic</vt:lpstr>
      <vt:lpstr>REF Accidents</vt:lpstr>
      <vt:lpstr>REF Pedestrian</vt:lpstr>
      <vt:lpstr>REF GDP Deflator</vt:lpstr>
      <vt:lpstr>REF Fuel Prices</vt:lpstr>
      <vt:lpstr>REF Detour</vt:lpstr>
      <vt:lpstr>OUTPUT Report Tables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Bezanson, Matthew R. (Matt)</dc:creator>
  <cp:keywords/>
  <dc:description/>
  <cp:lastModifiedBy>McCullough, Kirsten J.</cp:lastModifiedBy>
  <cp:revision/>
  <dcterms:created xsi:type="dcterms:W3CDTF">2022-04-08T16:18:05Z</dcterms:created>
  <dcterms:modified xsi:type="dcterms:W3CDTF">2023-08-18T16:20:47Z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0x010100242F6091B758224FAD3CEB12182A2E34</vt:lpwstr>
  </property>
</Properties>
</file>