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ink/ink1.xml" ContentType="application/inkml+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oaconsulting-my.sharepoint.com/personal/kdiazcorro_olsson_com/Documents/ODOT CI-2382F TO5. I-35 MPDG Grant App/MPDG Grant Application Docs/Submittal Pieces/B_BCA Technical Memo and Model/"/>
    </mc:Choice>
  </mc:AlternateContent>
  <xr:revisionPtr revIDLastSave="0" documentId="14_{D15B5A2D-D6CC-45D0-B3CD-2A16AA8FFD92}" xr6:coauthVersionLast="47" xr6:coauthVersionMax="47" xr10:uidLastSave="{00000000-0000-0000-0000-000000000000}"/>
  <bookViews>
    <workbookView xWindow="17805" yWindow="17910" windowWidth="29040" windowHeight="15840" tabRatio="611" activeTab="1" xr2:uid="{55CCC5A9-49D4-4B00-99D2-E2A194F54F9C}"/>
  </bookViews>
  <sheets>
    <sheet name="READ ME" sheetId="69" r:id="rId1"/>
    <sheet name="Results Summary" sheetId="40" r:id="rId2"/>
    <sheet name="Inputs" sheetId="1" r:id="rId3"/>
    <sheet name="Reporting Tables" sheetId="48" r:id="rId4"/>
    <sheet name="Volume and Speed" sheetId="67" r:id="rId5"/>
    <sheet name="Travel Time" sheetId="68" r:id="rId6"/>
    <sheet name="Emissions" sheetId="18" r:id="rId7"/>
    <sheet name="Safety" sheetId="16" r:id="rId8"/>
    <sheet name="Project Cost Data" sheetId="62" r:id="rId9"/>
    <sheet name="O&amp;M" sheetId="65" r:id="rId10"/>
    <sheet name="Residual Value" sheetId="29" r:id="rId11"/>
    <sheet name="Project Costs" sheetId="61" r:id="rId12"/>
    <sheet name="Price Deflators" sheetId="64" r:id="rId13"/>
    <sheet name="Accident Data" sheetId="24" r:id="rId14"/>
    <sheet name="Speed" sheetId="59" r:id="rId15"/>
    <sheet name="Emissions Data" sheetId="20" r:id="rId16"/>
  </sheets>
  <externalReferences>
    <externalReference r:id="rId17"/>
    <externalReference r:id="rId18"/>
  </externalReferences>
  <definedNames>
    <definedName name="adjust2022to2020" localSheetId="0">[1]Inputs!$E$17</definedName>
    <definedName name="adjust2022to2020">Inputs!$H$17</definedName>
    <definedName name="annualizationFactor">Inputs!$H$14</definedName>
    <definedName name="baseYear" localSheetId="0">[1]Inputs!$E$6</definedName>
    <definedName name="baseYear">Inputs!$H$6</definedName>
    <definedName name="Client.Name" localSheetId="0">'READ ME'!$B$4</definedName>
    <definedName name="Client.Name">#REF!</definedName>
    <definedName name="constructionDuration" localSheetId="0">[1]Inputs!$E$9</definedName>
    <definedName name="constructionDuration">Inputs!$H$9</definedName>
    <definedName name="costInjury" localSheetId="0">[1]Inputs!$E$28</definedName>
    <definedName name="costInjury">Inputs!$H$28</definedName>
    <definedName name="costLife" localSheetId="0">[1]Inputs!$E$27</definedName>
    <definedName name="costLife">Inputs!$H$27</definedName>
    <definedName name="costPDO" localSheetId="0">[1]Inputs!$E$29</definedName>
    <definedName name="costPDO">Inputs!$H$29</definedName>
    <definedName name="discount" localSheetId="0">[1]Inputs!$E$12</definedName>
    <definedName name="discount">Inputs!$H$12</definedName>
    <definedName name="discountAnnual" localSheetId="0">_xlfn.ANCHORARRAY('[1]Results Summary'!$F$126)</definedName>
    <definedName name="discountAnnual">_xlfn.ANCHORARRAY('Results Summary'!$F$126)</definedName>
    <definedName name="discountAnnualCO2" localSheetId="0">_xlfn.ANCHORARRAY('[1]Results Summary'!$F$127)</definedName>
    <definedName name="discountAnnualCO2">_xlfn.ANCHORARRAY('Results Summary'!$F$127)</definedName>
    <definedName name="discountCO2" localSheetId="0">[1]Inputs!$E$13</definedName>
    <definedName name="discountCO2">Inputs!$H$13</definedName>
    <definedName name="endYear" localSheetId="0">[1]Inputs!$E$8</definedName>
    <definedName name="endYear">Inputs!$H$8</definedName>
    <definedName name="feetToMiles">Inputs!$H$16</definedName>
    <definedName name="foottomile">[1]Inputs!$E$16</definedName>
    <definedName name="Grant.Name" localSheetId="0">'READ ME'!$B$6</definedName>
    <definedName name="Grant.Name">#REF!</definedName>
    <definedName name="nonpeakHours" localSheetId="0">[1]Inputs!$E$20</definedName>
    <definedName name="nonpeakHours">Inputs!$H$20</definedName>
    <definedName name="occupancyAutos" localSheetId="0">[1]Inputs!$E$25</definedName>
    <definedName name="occupancyAutos">Inputs!$H$25</definedName>
    <definedName name="occupancyTrucks" localSheetId="0">[1]Inputs!$E$26</definedName>
    <definedName name="occupancyTrucks">Inputs!$H$26</definedName>
    <definedName name="peakHoursAM" localSheetId="0">[1]Inputs!$E$18</definedName>
    <definedName name="peakHoursAM">Inputs!$H$18</definedName>
    <definedName name="peakHoursPM" localSheetId="0">[1]Inputs!$E$19</definedName>
    <definedName name="peakHoursPM">Inputs!$H$19</definedName>
    <definedName name="percentAutos" localSheetId="0">[1]Inputs!#REF!</definedName>
    <definedName name="percentAutos">Inputs!$E$37</definedName>
    <definedName name="percentPeak" localSheetId="0">[1]Inputs!$E$21</definedName>
    <definedName name="percentPeak">Inputs!$H$21</definedName>
    <definedName name="percentTrucks" localSheetId="0">[1]Inputs!#REF!</definedName>
    <definedName name="percentTrucks">Inputs!$E$38</definedName>
    <definedName name="Project.Name" localSheetId="0">'READ ME'!$B$5</definedName>
    <definedName name="Project.Name">#REF!</definedName>
    <definedName name="proxySpeed">Inputs!$H$31</definedName>
    <definedName name="startYear" localSheetId="0">[1]Inputs!$E$7</definedName>
    <definedName name="startYear">Inputs!$H$7</definedName>
    <definedName name="studyDuration" localSheetId="0">[1]Inputs!$E$11</definedName>
    <definedName name="studyDuration">Inputs!$H$11</definedName>
    <definedName name="tonsToGrams">Inputs!$H$15</definedName>
    <definedName name="usefulLife" localSheetId="0">[1]Inputs!$E$32</definedName>
    <definedName name="usefulLife">Inputs!$H$32</definedName>
    <definedName name="VTTSAutos" localSheetId="0">[1]Inputs!$E$23</definedName>
    <definedName name="VTTSAutos">Inputs!$H$23</definedName>
    <definedName name="VTTSTrucks" localSheetId="0">[1]Inputs!$E$24</definedName>
    <definedName name="VTTSTrucks">Inputs!$H$24</definedName>
    <definedName name="year" localSheetId="0">_xlfn.ANCHORARRAY('[1]Results Summary'!$F$52)</definedName>
    <definedName name="year">_xlfn.ANCHORARRAY('Results Summary'!$F$52)</definedName>
    <definedName name="yearsOfBenefits" localSheetId="0">[1]Inputs!$E$10</definedName>
    <definedName name="yearsOfBenefits">Inputs!$H$10</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62" l="1"/>
  <c r="F94" i="40" a="1"/>
  <c r="F94" i="40" s="1"/>
  <c r="H8" i="61"/>
  <c r="G9" i="61"/>
  <c r="G10" i="61"/>
  <c r="G8" i="61"/>
  <c r="F9" i="61"/>
  <c r="I9" i="61" s="1"/>
  <c r="F10" i="61"/>
  <c r="I10" i="61" s="1"/>
  <c r="F8" i="61"/>
  <c r="I8" i="61" s="1"/>
  <c r="J8" i="61" s="1"/>
  <c r="E9" i="61"/>
  <c r="E10" i="61"/>
  <c r="E8" i="61"/>
  <c r="D9" i="61"/>
  <c r="D10" i="61"/>
  <c r="D8" i="61"/>
  <c r="C9" i="61"/>
  <c r="H9" i="61" s="1"/>
  <c r="C10" i="61"/>
  <c r="H10" i="61" s="1"/>
  <c r="C8" i="61"/>
  <c r="J9" i="61" l="1"/>
  <c r="J10" i="61"/>
  <c r="D17" i="62" l="1"/>
  <c r="E18" i="62" s="1"/>
  <c r="G13" i="62"/>
  <c r="F13" i="62"/>
  <c r="E13" i="62"/>
  <c r="G12" i="62"/>
  <c r="F12" i="62"/>
  <c r="E12" i="62"/>
  <c r="H11" i="62"/>
  <c r="H17" i="62" s="1"/>
  <c r="G11" i="62"/>
  <c r="G17" i="62" s="1"/>
  <c r="G18" i="62" s="1"/>
  <c r="F11" i="62"/>
  <c r="F17" i="62" s="1"/>
  <c r="E11" i="62"/>
  <c r="E17" i="62" s="1"/>
  <c r="E104" i="40" l="1"/>
  <c r="E103" i="40"/>
  <c r="D37" i="40" s="1"/>
  <c r="E57" i="40"/>
  <c r="E56" i="40"/>
  <c r="E267" i="18"/>
  <c r="E266" i="18"/>
  <c r="E68" i="40"/>
  <c r="E67" i="40"/>
  <c r="AE271" i="18"/>
  <c r="AE279" i="18"/>
  <c r="G279" i="18"/>
  <c r="H279" i="18"/>
  <c r="I279" i="18"/>
  <c r="J279" i="18"/>
  <c r="K279" i="18"/>
  <c r="L279" i="18"/>
  <c r="M279" i="18"/>
  <c r="N279" i="18"/>
  <c r="O279" i="18"/>
  <c r="P279" i="18"/>
  <c r="Q279" i="18"/>
  <c r="R279" i="18"/>
  <c r="S279" i="18"/>
  <c r="T279" i="18"/>
  <c r="U279" i="18"/>
  <c r="V279" i="18"/>
  <c r="W279" i="18"/>
  <c r="X279" i="18"/>
  <c r="Y279" i="18"/>
  <c r="Z279" i="18"/>
  <c r="AA279" i="18"/>
  <c r="AB279" i="18"/>
  <c r="AC279" i="18"/>
  <c r="AD279" i="18"/>
  <c r="F279" i="18"/>
  <c r="E275" i="18"/>
  <c r="E279" i="18" s="1"/>
  <c r="G270" i="18"/>
  <c r="H270" i="18"/>
  <c r="I270" i="18"/>
  <c r="G271" i="18"/>
  <c r="H271" i="18"/>
  <c r="I271" i="18"/>
  <c r="L271" i="18"/>
  <c r="M271" i="18"/>
  <c r="N271" i="18"/>
  <c r="O271" i="18"/>
  <c r="P271" i="18"/>
  <c r="Q271" i="18"/>
  <c r="R271" i="18"/>
  <c r="S271" i="18"/>
  <c r="T271" i="18"/>
  <c r="U271" i="18"/>
  <c r="V271" i="18"/>
  <c r="W271" i="18"/>
  <c r="X271" i="18"/>
  <c r="Y271" i="18"/>
  <c r="Z271" i="18"/>
  <c r="AA271" i="18"/>
  <c r="AB271" i="18"/>
  <c r="AC271" i="18"/>
  <c r="AD271" i="18"/>
  <c r="F271" i="18"/>
  <c r="F270" i="18"/>
  <c r="E270" i="18" s="1"/>
  <c r="C25" i="68"/>
  <c r="F18" i="68"/>
  <c r="F17" i="68"/>
  <c r="E18" i="68"/>
  <c r="E17" i="68"/>
  <c r="F14" i="68"/>
  <c r="F13" i="68"/>
  <c r="E14" i="68"/>
  <c r="E13" i="68"/>
  <c r="N49" i="59"/>
  <c r="N47" i="59"/>
  <c r="E271" i="18" l="1"/>
  <c r="F49" i="62"/>
  <c r="J49" i="62"/>
  <c r="B27" i="62"/>
  <c r="B28" i="62" l="1"/>
  <c r="B29" i="62" s="1"/>
  <c r="B30" i="62" s="1"/>
  <c r="B31" i="62" s="1"/>
  <c r="B32" i="62" s="1"/>
  <c r="B33" i="62" s="1"/>
  <c r="B34" i="62" s="1"/>
  <c r="B35" i="62" s="1"/>
  <c r="B36" i="62" s="1"/>
  <c r="B37" i="62" s="1"/>
  <c r="B38" i="62" s="1"/>
  <c r="B39" i="62" s="1"/>
  <c r="B40" i="62" s="1"/>
  <c r="B41" i="62" s="1"/>
  <c r="B42" i="62" s="1"/>
  <c r="B43" i="62" s="1"/>
  <c r="B44" i="62" s="1"/>
  <c r="B45" i="62" s="1"/>
  <c r="B46" i="62" s="1"/>
  <c r="B47" i="62" s="1"/>
  <c r="B48" i="62" s="1"/>
  <c r="B49" i="62" s="1"/>
  <c r="C102" i="40"/>
  <c r="C66" i="40"/>
  <c r="B8" i="29" l="1" a="1"/>
  <c r="B8" i="29" s="1"/>
  <c r="R45" i="40" l="1"/>
  <c r="C8" i="65"/>
  <c r="H24" i="61"/>
  <c r="H25" i="61"/>
  <c r="H23" i="61"/>
  <c r="AH49" i="18" l="1"/>
  <c r="AH50" i="18"/>
  <c r="AH51" i="18"/>
  <c r="AH52" i="18"/>
  <c r="G48" i="18"/>
  <c r="H48" i="18"/>
  <c r="I48" i="18"/>
  <c r="J48" i="18"/>
  <c r="K48" i="18"/>
  <c r="L48" i="18"/>
  <c r="M48" i="18"/>
  <c r="N48" i="18"/>
  <c r="O48" i="18"/>
  <c r="P48" i="18"/>
  <c r="Q48" i="18"/>
  <c r="R48" i="18"/>
  <c r="S48" i="18"/>
  <c r="T48" i="18"/>
  <c r="U48" i="18"/>
  <c r="V48" i="18"/>
  <c r="W48" i="18"/>
  <c r="X48" i="18"/>
  <c r="Y48" i="18"/>
  <c r="Z48" i="18"/>
  <c r="AA48" i="18"/>
  <c r="AB48" i="18"/>
  <c r="AC48" i="18"/>
  <c r="AD48" i="18"/>
  <c r="AE48" i="18"/>
  <c r="AF48" i="18"/>
  <c r="AG48" i="18"/>
  <c r="F48" i="18"/>
  <c r="G49" i="18"/>
  <c r="H49" i="18"/>
  <c r="I49" i="18"/>
  <c r="J49" i="18"/>
  <c r="K49" i="18"/>
  <c r="L49" i="18"/>
  <c r="M49" i="18"/>
  <c r="N49" i="18"/>
  <c r="O49" i="18"/>
  <c r="P49" i="18"/>
  <c r="Q49" i="18"/>
  <c r="R49" i="18"/>
  <c r="S49" i="18"/>
  <c r="T49" i="18"/>
  <c r="U49" i="18"/>
  <c r="V49" i="18"/>
  <c r="W49" i="18"/>
  <c r="X49" i="18"/>
  <c r="Y49" i="18"/>
  <c r="Z49" i="18"/>
  <c r="AA49" i="18"/>
  <c r="AB49" i="18"/>
  <c r="AC49" i="18"/>
  <c r="AD49" i="18"/>
  <c r="AE49" i="18"/>
  <c r="AF49" i="18"/>
  <c r="AG49" i="18"/>
  <c r="G50" i="18"/>
  <c r="H50" i="18"/>
  <c r="I50" i="18"/>
  <c r="J50" i="18"/>
  <c r="K50" i="18"/>
  <c r="L50" i="18"/>
  <c r="M50" i="18"/>
  <c r="N50" i="18"/>
  <c r="O50" i="18"/>
  <c r="P50" i="18"/>
  <c r="Q50" i="18"/>
  <c r="R50" i="18"/>
  <c r="S50" i="18"/>
  <c r="T50" i="18"/>
  <c r="U50" i="18"/>
  <c r="V50" i="18"/>
  <c r="W50" i="18"/>
  <c r="X50" i="18"/>
  <c r="Y50" i="18"/>
  <c r="Z50" i="18"/>
  <c r="AA50" i="18"/>
  <c r="AB50" i="18"/>
  <c r="AC50" i="18"/>
  <c r="AD50" i="18"/>
  <c r="AE50" i="18"/>
  <c r="AF50" i="18"/>
  <c r="AG50" i="18"/>
  <c r="G51" i="18"/>
  <c r="H51" i="18"/>
  <c r="I51" i="18"/>
  <c r="J51" i="18"/>
  <c r="K51" i="18"/>
  <c r="L51" i="18"/>
  <c r="M51" i="18"/>
  <c r="N51" i="18"/>
  <c r="O51" i="18"/>
  <c r="P51" i="18"/>
  <c r="Q51" i="18"/>
  <c r="R51" i="18"/>
  <c r="S51" i="18"/>
  <c r="T51" i="18"/>
  <c r="U51" i="18"/>
  <c r="V51" i="18"/>
  <c r="W51" i="18"/>
  <c r="X51" i="18"/>
  <c r="Y51" i="18"/>
  <c r="Z51" i="18"/>
  <c r="AA51" i="18"/>
  <c r="AB51" i="18"/>
  <c r="AC51" i="18"/>
  <c r="AD51" i="18"/>
  <c r="AE51" i="18"/>
  <c r="AF51" i="18"/>
  <c r="AG51" i="18"/>
  <c r="G52" i="18"/>
  <c r="H52" i="18"/>
  <c r="I52" i="18"/>
  <c r="J52" i="18"/>
  <c r="K52" i="18"/>
  <c r="L52" i="18"/>
  <c r="M52" i="18"/>
  <c r="N52" i="18"/>
  <c r="O52" i="18"/>
  <c r="P52" i="18"/>
  <c r="Q52" i="18"/>
  <c r="R52" i="18"/>
  <c r="S52" i="18"/>
  <c r="T52" i="18"/>
  <c r="U52" i="18"/>
  <c r="V52" i="18"/>
  <c r="W52" i="18"/>
  <c r="X52" i="18"/>
  <c r="Y52" i="18"/>
  <c r="Z52" i="18"/>
  <c r="AA52" i="18"/>
  <c r="AB52" i="18"/>
  <c r="AC52" i="18"/>
  <c r="AD52" i="18"/>
  <c r="AE52" i="18"/>
  <c r="AF52" i="18"/>
  <c r="AG52" i="18"/>
  <c r="F50" i="18"/>
  <c r="F51" i="18"/>
  <c r="F52" i="18"/>
  <c r="F49" i="18"/>
  <c r="C13" i="18" l="1"/>
  <c r="J23" i="61" l="1"/>
  <c r="J24" i="61"/>
  <c r="J25" i="61"/>
  <c r="C35" i="61"/>
  <c r="E16" i="64"/>
  <c r="D16" i="64"/>
  <c r="C16" i="64"/>
  <c r="D10" i="16" l="1"/>
  <c r="M12" i="16" l="1"/>
  <c r="M13" i="16"/>
  <c r="M11" i="16"/>
  <c r="M10" i="16"/>
  <c r="D14" i="16" l="1"/>
  <c r="C14" i="16"/>
  <c r="B14" i="16"/>
  <c r="D9" i="16"/>
  <c r="D8" i="16"/>
  <c r="C8" i="16"/>
  <c r="C7" i="16"/>
  <c r="D7" i="16"/>
  <c r="F7" i="16"/>
  <c r="B8" i="16"/>
  <c r="G34" i="61" l="1"/>
  <c r="F34" i="61"/>
  <c r="E18" i="61"/>
  <c r="G36" i="61"/>
  <c r="F36" i="61"/>
  <c r="C36" i="61"/>
  <c r="G35" i="61"/>
  <c r="F35" i="61"/>
  <c r="E35" i="61"/>
  <c r="I35" i="61" s="1"/>
  <c r="D34" i="61"/>
  <c r="C34" i="61"/>
  <c r="C8" i="29" s="1" a="1"/>
  <c r="C8" i="29" s="1"/>
  <c r="E34" i="61"/>
  <c r="G16" i="24"/>
  <c r="H16" i="24"/>
  <c r="C16" i="24"/>
  <c r="D16" i="24"/>
  <c r="E16" i="24"/>
  <c r="F16" i="24"/>
  <c r="E36" i="61"/>
  <c r="D36" i="61"/>
  <c r="E45" i="1"/>
  <c r="H19" i="1"/>
  <c r="H18" i="1"/>
  <c r="E42" i="1"/>
  <c r="I188" i="48"/>
  <c r="H188" i="48"/>
  <c r="G188" i="48"/>
  <c r="H189" i="48" s="1"/>
  <c r="F188" i="48"/>
  <c r="E188" i="48"/>
  <c r="D188" i="48"/>
  <c r="E40" i="1" l="1"/>
  <c r="M8" i="16"/>
  <c r="D8" i="29" a="1"/>
  <c r="D8" i="29" s="1"/>
  <c r="I34" i="61"/>
  <c r="E38" i="61"/>
  <c r="H34" i="61"/>
  <c r="C38" i="61"/>
  <c r="H36" i="61"/>
  <c r="D44" i="61" a="1"/>
  <c r="D44" i="61" s="1"/>
  <c r="K44" i="61" s="1"/>
  <c r="I36" i="61"/>
  <c r="F38" i="61"/>
  <c r="G38" i="61"/>
  <c r="E189" i="48"/>
  <c r="J48" i="62"/>
  <c r="F48" i="62"/>
  <c r="J47" i="62"/>
  <c r="F47" i="62"/>
  <c r="J46" i="62"/>
  <c r="F46" i="62"/>
  <c r="J45" i="62"/>
  <c r="F45" i="62"/>
  <c r="J44" i="62"/>
  <c r="F44" i="62"/>
  <c r="J43" i="62"/>
  <c r="F43" i="62"/>
  <c r="J42" i="62"/>
  <c r="F42" i="62"/>
  <c r="J41" i="62"/>
  <c r="F41" i="62"/>
  <c r="J40" i="62"/>
  <c r="F40" i="62"/>
  <c r="J39" i="62"/>
  <c r="F39" i="62"/>
  <c r="J38" i="62"/>
  <c r="F38" i="62"/>
  <c r="J37" i="62"/>
  <c r="F37" i="62"/>
  <c r="J36" i="62"/>
  <c r="F36" i="62"/>
  <c r="J35" i="62"/>
  <c r="F35" i="62"/>
  <c r="J34" i="62"/>
  <c r="F34" i="62"/>
  <c r="J33" i="62"/>
  <c r="F33" i="62"/>
  <c r="J32" i="62"/>
  <c r="F32" i="62"/>
  <c r="J31" i="62"/>
  <c r="F31" i="62"/>
  <c r="J30" i="62"/>
  <c r="F30" i="62"/>
  <c r="J29" i="62"/>
  <c r="F29" i="62"/>
  <c r="J28" i="62"/>
  <c r="F28" i="62"/>
  <c r="J27" i="62"/>
  <c r="F27" i="62"/>
  <c r="J26" i="62"/>
  <c r="F26" i="62"/>
  <c r="F94" i="48"/>
  <c r="D94" i="48"/>
  <c r="C94" i="48"/>
  <c r="F92" i="48"/>
  <c r="D92" i="48"/>
  <c r="C92" i="48"/>
  <c r="D41" i="48"/>
  <c r="D40" i="48"/>
  <c r="H37" i="48"/>
  <c r="C41" i="48"/>
  <c r="C40" i="48"/>
  <c r="E49" i="59"/>
  <c r="D49" i="59"/>
  <c r="E47" i="59"/>
  <c r="D47" i="59"/>
  <c r="H20" i="1"/>
  <c r="E92" i="48" s="1"/>
  <c r="C111" i="48"/>
  <c r="D111" i="48"/>
  <c r="E111" i="48"/>
  <c r="C112" i="48"/>
  <c r="D112" i="48"/>
  <c r="E112" i="48"/>
  <c r="C113" i="48"/>
  <c r="D113" i="48"/>
  <c r="E113" i="48"/>
  <c r="C114" i="48"/>
  <c r="D114" i="48"/>
  <c r="E114" i="48"/>
  <c r="F114" i="48"/>
  <c r="B273" i="18"/>
  <c r="D38" i="48"/>
  <c r="D37" i="48"/>
  <c r="I98" i="48"/>
  <c r="J50" i="62" l="1"/>
  <c r="F50" i="62"/>
  <c r="J36" i="61"/>
  <c r="D45" i="61" a="1"/>
  <c r="D45" i="61" s="1"/>
  <c r="K45" i="61" s="1"/>
  <c r="J34" i="61"/>
  <c r="D43" i="61" a="1"/>
  <c r="D43" i="61" s="1"/>
  <c r="K43" i="61" s="1"/>
  <c r="I38" i="61"/>
  <c r="H49" i="59"/>
  <c r="H47" i="59"/>
  <c r="E162" i="48" l="1"/>
  <c r="E161" i="48"/>
  <c r="E160" i="48"/>
  <c r="E157" i="48"/>
  <c r="E158" i="48"/>
  <c r="E159" i="48"/>
  <c r="F89" i="48"/>
  <c r="F88" i="48"/>
  <c r="F86" i="48"/>
  <c r="E86" i="48" a="1"/>
  <c r="E86" i="48" s="1"/>
  <c r="D86" i="48" a="1"/>
  <c r="D86" i="48" s="1"/>
  <c r="C86" i="48" a="1"/>
  <c r="C86" i="48" s="1"/>
  <c r="F163" i="48"/>
  <c r="E163" i="48"/>
  <c r="D163" i="48"/>
  <c r="C163" i="48"/>
  <c r="J49" i="59"/>
  <c r="J47" i="59"/>
  <c r="I25" i="61"/>
  <c r="I24" i="61"/>
  <c r="I23" i="61"/>
  <c r="F93" i="48" l="1"/>
  <c r="F90" i="48"/>
  <c r="E91" i="48"/>
  <c r="E90" i="48"/>
  <c r="D93" i="48"/>
  <c r="D91" i="48"/>
  <c r="D90" i="48"/>
  <c r="C93" i="48"/>
  <c r="C91" i="48"/>
  <c r="C90" i="48"/>
  <c r="E24" i="48"/>
  <c r="C13" i="48"/>
  <c r="C146" i="68" l="1"/>
  <c r="B168" i="68" s="1"/>
  <c r="C118" i="68"/>
  <c r="C91" i="68"/>
  <c r="C63" i="68"/>
  <c r="B25" i="68"/>
  <c r="B24" i="68"/>
  <c r="L18" i="68"/>
  <c r="K18" i="68"/>
  <c r="L17" i="68"/>
  <c r="K17" i="68"/>
  <c r="L16" i="68"/>
  <c r="L15" i="68"/>
  <c r="L13" i="68"/>
  <c r="L12" i="68"/>
  <c r="F24" i="67"/>
  <c r="F23" i="67"/>
  <c r="D35" i="48" l="1"/>
  <c r="D34" i="48"/>
  <c r="H18" i="24"/>
  <c r="H17" i="24"/>
  <c r="H28" i="24" s="1"/>
  <c r="F14" i="16" s="1"/>
  <c r="G17" i="24"/>
  <c r="F17" i="24"/>
  <c r="E17" i="24"/>
  <c r="D17" i="24"/>
  <c r="C17" i="24"/>
  <c r="E124" i="48"/>
  <c r="I8" i="29"/>
  <c r="I9" i="29"/>
  <c r="H17" i="1"/>
  <c r="C18" i="24" l="1"/>
  <c r="H24" i="24" s="1"/>
  <c r="F10" i="16" s="1"/>
  <c r="E18" i="24"/>
  <c r="E119" i="48"/>
  <c r="G18" i="24"/>
  <c r="H22" i="24" s="1"/>
  <c r="F8" i="16" s="1"/>
  <c r="D18" i="24"/>
  <c r="F18" i="24"/>
  <c r="K47" i="59"/>
  <c r="M47" i="59" s="1" a="1"/>
  <c r="M47" i="59" s="1"/>
  <c r="O47" i="59" s="1"/>
  <c r="F9" i="67"/>
  <c r="F13" i="67" s="1"/>
  <c r="L47" i="59"/>
  <c r="L49" i="59" s="1"/>
  <c r="G9" i="67"/>
  <c r="G13" i="67" s="1"/>
  <c r="F12" i="61"/>
  <c r="G12" i="61"/>
  <c r="E12" i="61"/>
  <c r="H23" i="24" l="1"/>
  <c r="F9" i="16" s="1"/>
  <c r="D47" i="61" a="1"/>
  <c r="D47" i="61" s="1"/>
  <c r="K47" i="61" s="1"/>
  <c r="E116" i="48" a="1"/>
  <c r="E116" i="48" s="1"/>
  <c r="E121" i="48" a="1"/>
  <c r="E121" i="48" s="1"/>
  <c r="K49" i="59"/>
  <c r="D12" i="29"/>
  <c r="I12" i="61"/>
  <c r="D49" i="61" l="1" a="1"/>
  <c r="D49" i="61" s="1"/>
  <c r="K49" i="61" s="1"/>
  <c r="M49" i="59" a="1"/>
  <c r="M49" i="59" s="1"/>
  <c r="B220" i="18" l="1"/>
  <c r="B13" i="18"/>
  <c r="B12" i="18"/>
  <c r="B49" i="18" a="1"/>
  <c r="B49" i="18" s="1"/>
  <c r="E212" i="18" l="1" a="1"/>
  <c r="E212" i="18" s="1"/>
  <c r="E172" i="18" a="1"/>
  <c r="E172" i="18" s="1"/>
  <c r="E168" i="18" a="1"/>
  <c r="E168" i="18" s="1"/>
  <c r="E111" i="18" a="1"/>
  <c r="E111" i="18" s="1"/>
  <c r="E71" i="18" a="1"/>
  <c r="E71" i="18" s="1"/>
  <c r="E67" i="18" a="1"/>
  <c r="E67" i="18" s="1"/>
  <c r="C250" i="18" a="1"/>
  <c r="C250" i="18" s="1"/>
  <c r="E220" i="18" a="1"/>
  <c r="E220" i="18" s="1"/>
  <c r="E164" i="18" a="1"/>
  <c r="E164" i="18" s="1"/>
  <c r="E160" i="18" a="1"/>
  <c r="E160" i="18" s="1"/>
  <c r="E208" i="18" a="1"/>
  <c r="E208" i="18" s="1"/>
  <c r="E131" i="18" a="1"/>
  <c r="E131" i="18" s="1"/>
  <c r="E59" i="18" a="1"/>
  <c r="E59" i="18" s="1"/>
  <c r="E63" i="18" a="1"/>
  <c r="E63" i="18" s="1"/>
  <c r="E107" i="18" a="1"/>
  <c r="E107" i="18" s="1"/>
  <c r="B8" i="40" l="1" a="1"/>
  <c r="B8" i="40" s="1"/>
  <c r="C108" i="40"/>
  <c r="C106" i="40"/>
  <c r="C104" i="40"/>
  <c r="C103" i="40"/>
  <c r="C101" i="40"/>
  <c r="C100" i="40"/>
  <c r="H9" i="67" l="1"/>
  <c r="H13" i="67" l="1"/>
  <c r="H21" i="1"/>
  <c r="O49" i="59" l="1"/>
  <c r="I13" i="67"/>
  <c r="H22" i="1"/>
  <c r="E94" i="48" s="1"/>
  <c r="P49" i="59"/>
  <c r="Q49" i="59" s="1"/>
  <c r="E93" i="48"/>
  <c r="L14" i="68"/>
  <c r="F25" i="67"/>
  <c r="J13" i="67" l="1"/>
  <c r="K13" i="67"/>
  <c r="E37" i="1"/>
  <c r="C24" i="68" s="1"/>
  <c r="C72" i="40"/>
  <c r="C70" i="40"/>
  <c r="C68" i="40"/>
  <c r="C67" i="40"/>
  <c r="C65" i="40"/>
  <c r="C64" i="40"/>
  <c r="F18" i="61"/>
  <c r="G18" i="61" s="1"/>
  <c r="H18" i="61" s="1"/>
  <c r="I18" i="61" s="1"/>
  <c r="J18" i="61" s="1"/>
  <c r="F42" i="61"/>
  <c r="G42" i="61" s="1"/>
  <c r="H42" i="61" s="1"/>
  <c r="I42" i="61" s="1"/>
  <c r="C98" i="48" l="1" a="1"/>
  <c r="C98" i="48" s="1"/>
  <c r="C12" i="18"/>
  <c r="L13" i="67"/>
  <c r="D53" i="61" l="1" a="1"/>
  <c r="D51" i="61" a="1"/>
  <c r="D53" i="61" l="1"/>
  <c r="K53" i="61" s="1"/>
  <c r="D51" i="61"/>
  <c r="K51" i="61" l="1"/>
  <c r="H9" i="1"/>
  <c r="H11" i="1" l="1"/>
  <c r="D15" i="65" l="1" a="1"/>
  <c r="D15" i="65" s="1"/>
  <c r="D19" i="65" a="1"/>
  <c r="D19" i="65" s="1"/>
  <c r="F88" i="40" a="1"/>
  <c r="F88" i="40" s="1"/>
  <c r="F125" i="40" a="1"/>
  <c r="F125" i="40" s="1"/>
  <c r="D8" i="40" a="1"/>
  <c r="D8" i="40" s="1"/>
  <c r="C14" i="48" l="1"/>
  <c r="C15" i="48" l="1"/>
  <c r="C16" i="48" l="1"/>
  <c r="C17" i="48" l="1"/>
  <c r="C195" i="48" l="1"/>
  <c r="E28" i="48" l="1"/>
  <c r="E27" i="48"/>
  <c r="E26" i="48"/>
  <c r="E25" i="48"/>
  <c r="E23" i="48"/>
  <c r="D28" i="48" l="1"/>
  <c r="D26" i="48"/>
  <c r="D23" i="48"/>
  <c r="D25" i="48"/>
  <c r="D203" i="48" s="1"/>
  <c r="D27" i="48"/>
  <c r="D17" i="40" l="1"/>
  <c r="D16" i="40"/>
  <c r="B264" i="18" l="1"/>
  <c r="F52" i="40" l="1" a="1"/>
  <c r="F52" i="40" l="1"/>
  <c r="AA61" i="40"/>
  <c r="W72" i="40"/>
  <c r="L61" i="40"/>
  <c r="N61" i="40"/>
  <c r="P61" i="40"/>
  <c r="Q61" i="40"/>
  <c r="M72" i="40"/>
  <c r="AC72" i="40"/>
  <c r="S61" i="40"/>
  <c r="T61" i="40"/>
  <c r="Q72" i="40"/>
  <c r="V61" i="40"/>
  <c r="S72" i="40"/>
  <c r="T72" i="40"/>
  <c r="Z61" i="40"/>
  <c r="M61" i="40"/>
  <c r="AE61" i="40"/>
  <c r="AB72" i="40"/>
  <c r="R61" i="40"/>
  <c r="N72" i="40"/>
  <c r="AD72" i="40"/>
  <c r="O72" i="40"/>
  <c r="P72" i="40"/>
  <c r="U61" i="40"/>
  <c r="R72" i="40"/>
  <c r="W61" i="40"/>
  <c r="X61" i="40"/>
  <c r="X72" i="40"/>
  <c r="AC61" i="40"/>
  <c r="Z72" i="40"/>
  <c r="L72" i="40"/>
  <c r="AE72" i="40"/>
  <c r="U72" i="40"/>
  <c r="AB61" i="40"/>
  <c r="AD61" i="40"/>
  <c r="AA72" i="40"/>
  <c r="Y61" i="40"/>
  <c r="V72" i="40"/>
  <c r="Y72" i="40"/>
  <c r="O61" i="40"/>
  <c r="F73" i="68" a="1"/>
  <c r="F73" i="68" s="1"/>
  <c r="D14" i="65" a="1"/>
  <c r="D14" i="65" s="1"/>
  <c r="D17" i="65" a="1"/>
  <c r="D17" i="65" s="1"/>
  <c r="D18" i="65" a="1"/>
  <c r="D18" i="65" s="1"/>
  <c r="E22" i="16" a="1"/>
  <c r="E22" i="16" s="1"/>
  <c r="E79" i="16" a="1"/>
  <c r="E79" i="16" s="1"/>
  <c r="F126" i="40" a="1"/>
  <c r="F127" i="40" a="1"/>
  <c r="F274" i="18" a="1"/>
  <c r="F274" i="18" s="1"/>
  <c r="F74" i="67" a="1"/>
  <c r="F74" i="67" s="1"/>
  <c r="F76" i="67" a="1"/>
  <c r="F76" i="67" s="1"/>
  <c r="F48" i="68" a="1"/>
  <c r="F48" i="68" s="1"/>
  <c r="F129" i="68" a="1"/>
  <c r="F129" i="68" s="1"/>
  <c r="F156" i="68" a="1"/>
  <c r="F156" i="68" s="1"/>
  <c r="F128" i="68" a="1"/>
  <c r="F128" i="68" s="1"/>
  <c r="F127" i="68" a="1"/>
  <c r="F127" i="68" s="1"/>
  <c r="F166" i="68" a="1"/>
  <c r="F166" i="68" s="1"/>
  <c r="F72" i="68" a="1"/>
  <c r="F72" i="68" s="1"/>
  <c r="F74" i="68" a="1"/>
  <c r="F103" i="68" a="1"/>
  <c r="F103" i="68" s="1"/>
  <c r="F29" i="68" a="1"/>
  <c r="F29" i="68" s="1"/>
  <c r="F73" i="67" a="1"/>
  <c r="F73" i="67" s="1"/>
  <c r="F29" i="67" a="1"/>
  <c r="F29" i="67" s="1"/>
  <c r="F55" i="67" a="1"/>
  <c r="F55" i="67" s="1"/>
  <c r="F91" i="67" a="1"/>
  <c r="F91" i="67" s="1"/>
  <c r="D25" i="65" a="1"/>
  <c r="D25" i="65" s="1"/>
  <c r="D53" i="65" a="1"/>
  <c r="D53" i="65" s="1"/>
  <c r="D39" i="65" a="1"/>
  <c r="D39" i="65" s="1"/>
  <c r="D12" i="65" a="1"/>
  <c r="D12" i="65" s="1"/>
  <c r="E18" i="29" a="1"/>
  <c r="E18" i="29" s="1"/>
  <c r="E23" i="16" a="1"/>
  <c r="E23" i="16" s="1"/>
  <c r="E24" i="16" a="1"/>
  <c r="E24" i="16" s="1"/>
  <c r="F159" i="18" a="1"/>
  <c r="F159" i="18" s="1"/>
  <c r="F58" i="18" a="1"/>
  <c r="F58" i="18" s="1"/>
  <c r="F16" i="18" a="1"/>
  <c r="F16" i="18" s="1"/>
  <c r="R93" i="40" l="1"/>
  <c r="AC93" i="40"/>
  <c r="O93" i="40"/>
  <c r="Q93" i="40"/>
  <c r="S93" i="40"/>
  <c r="N93" i="40"/>
  <c r="T93" i="40"/>
  <c r="AD93" i="40"/>
  <c r="U93" i="40"/>
  <c r="Z93" i="40"/>
  <c r="V93" i="40"/>
  <c r="AA93" i="40"/>
  <c r="AE93" i="40"/>
  <c r="G93" i="40"/>
  <c r="W93" i="40"/>
  <c r="H93" i="40"/>
  <c r="X93" i="40"/>
  <c r="Y93" i="40"/>
  <c r="I93" i="40"/>
  <c r="J93" i="40"/>
  <c r="K93" i="40"/>
  <c r="L93" i="40"/>
  <c r="AB93" i="40"/>
  <c r="P93" i="40"/>
  <c r="M93" i="40"/>
  <c r="F127" i="40"/>
  <c r="F92" i="40" s="1"/>
  <c r="G92" i="40"/>
  <c r="W92" i="40"/>
  <c r="AD92" i="40"/>
  <c r="P92" i="40"/>
  <c r="H92" i="40"/>
  <c r="X92" i="40"/>
  <c r="I92" i="40"/>
  <c r="Y92" i="40"/>
  <c r="K92" i="40"/>
  <c r="O92" i="40"/>
  <c r="U92" i="40"/>
  <c r="J92" i="40"/>
  <c r="Z92" i="40"/>
  <c r="AA92" i="40"/>
  <c r="S92" i="40"/>
  <c r="L92" i="40"/>
  <c r="AB92" i="40"/>
  <c r="M92" i="40"/>
  <c r="AC92" i="40"/>
  <c r="N92" i="40"/>
  <c r="AE92" i="40"/>
  <c r="R92" i="40"/>
  <c r="T92" i="40"/>
  <c r="V92" i="40"/>
  <c r="Q92" i="40"/>
  <c r="F30" i="67" a="1"/>
  <c r="D13" i="65" a="1"/>
  <c r="D13" i="65" s="1"/>
  <c r="D16" i="65" s="1" a="1"/>
  <c r="D16" i="65" s="1"/>
  <c r="D20" i="65" a="1"/>
  <c r="D20" i="65" s="1"/>
  <c r="F126" i="40"/>
  <c r="F93" i="40" s="1"/>
  <c r="T108" i="40"/>
  <c r="AA108" i="40"/>
  <c r="R97" i="40"/>
  <c r="R135" i="40" s="1"/>
  <c r="Z108" i="40"/>
  <c r="AB108" i="40"/>
  <c r="N97" i="40"/>
  <c r="N135" i="40" s="1"/>
  <c r="AD97" i="40"/>
  <c r="AD135" i="40" s="1"/>
  <c r="N108" i="40"/>
  <c r="AE97" i="40"/>
  <c r="AE135" i="40" s="1"/>
  <c r="T97" i="40"/>
  <c r="T135" i="40" s="1"/>
  <c r="AB97" i="40"/>
  <c r="AB135" i="40" s="1"/>
  <c r="AC97" i="40"/>
  <c r="AC135" i="40" s="1"/>
  <c r="Z97" i="40"/>
  <c r="Z135" i="40" s="1"/>
  <c r="U97" i="40"/>
  <c r="U135" i="40" s="1"/>
  <c r="R108" i="40"/>
  <c r="S97" i="40"/>
  <c r="S135" i="40" s="1"/>
  <c r="Y97" i="40"/>
  <c r="Y135" i="40" s="1"/>
  <c r="AC108" i="40"/>
  <c r="P97" i="40"/>
  <c r="P135" i="40" s="1"/>
  <c r="AD108" i="40"/>
  <c r="U108" i="40"/>
  <c r="Q97" i="40"/>
  <c r="Q135" i="40" s="1"/>
  <c r="O97" i="40"/>
  <c r="O135" i="40" s="1"/>
  <c r="V108" i="40"/>
  <c r="M97" i="40"/>
  <c r="M135" i="40" s="1"/>
  <c r="S108" i="40"/>
  <c r="O108" i="40"/>
  <c r="P108" i="40"/>
  <c r="V97" i="40"/>
  <c r="V135" i="40" s="1"/>
  <c r="M108" i="40"/>
  <c r="X97" i="40"/>
  <c r="X135" i="40" s="1"/>
  <c r="Y108" i="40"/>
  <c r="X108" i="40"/>
  <c r="W108" i="40"/>
  <c r="AE108" i="40"/>
  <c r="Q108" i="40"/>
  <c r="W97" i="40"/>
  <c r="W135" i="40" s="1"/>
  <c r="AA97" i="40"/>
  <c r="AA135" i="40" s="1"/>
  <c r="L108" i="40"/>
  <c r="L97" i="40"/>
  <c r="L135" i="40" s="1"/>
  <c r="E45" i="16" a="1"/>
  <c r="E45" i="16" s="1"/>
  <c r="E46" i="16" a="1"/>
  <c r="E46" i="16" s="1"/>
  <c r="F24" i="18" a="1"/>
  <c r="F24" i="18" s="1"/>
  <c r="F169" i="18" s="1" a="1"/>
  <c r="F169" i="18" s="1"/>
  <c r="D66" i="48" a="1"/>
  <c r="D66" i="48" s="1"/>
  <c r="D64" i="48" a="1"/>
  <c r="D64" i="48" s="1"/>
  <c r="F74" i="68"/>
  <c r="F75" i="68" s="1" a="1"/>
  <c r="F75" i="68" s="1"/>
  <c r="AE71" i="68"/>
  <c r="D62" i="48" a="1"/>
  <c r="D62" i="48" s="1"/>
  <c r="D60" i="48" a="1"/>
  <c r="D60" i="48" s="1"/>
  <c r="F23" i="18" a="1"/>
  <c r="F23" i="18" s="1"/>
  <c r="F130" i="68" a="1"/>
  <c r="F130" i="68" s="1"/>
  <c r="E44" i="16" a="1"/>
  <c r="E44" i="16" s="1"/>
  <c r="E67" i="16" s="1" a="1"/>
  <c r="E67" i="16" s="1"/>
  <c r="E25" i="16" a="1"/>
  <c r="E25" i="16" s="1"/>
  <c r="E47" i="16" s="1" a="1"/>
  <c r="E47" i="16" s="1"/>
  <c r="E92" i="40" l="1"/>
  <c r="E93" i="40"/>
  <c r="F30" i="67"/>
  <c r="AR21" i="67"/>
  <c r="E54" i="16" a="1"/>
  <c r="E54" i="16" s="1"/>
  <c r="E69" i="16" a="1"/>
  <c r="E69" i="16" s="1"/>
  <c r="E53" i="16" a="1"/>
  <c r="E53" i="16" s="1"/>
  <c r="E68" i="16" a="1"/>
  <c r="E68" i="16" s="1"/>
  <c r="E52" i="16" a="1"/>
  <c r="E52" i="16" s="1"/>
  <c r="F168" i="18" a="1"/>
  <c r="F168" i="18" s="1"/>
  <c r="F171" i="18" a="1"/>
  <c r="F171" i="18" s="1"/>
  <c r="F170" i="18" a="1"/>
  <c r="F170" i="18" s="1"/>
  <c r="F175" i="18" a="1"/>
  <c r="F175" i="18" s="1"/>
  <c r="F173" i="18" a="1"/>
  <c r="F173" i="18" s="1"/>
  <c r="F174" i="18" a="1"/>
  <c r="F174" i="18" s="1"/>
  <c r="F172" i="18" a="1"/>
  <c r="F172" i="18" s="1"/>
  <c r="D67" i="16"/>
  <c r="F131" i="40" a="1"/>
  <c r="F131" i="40" s="1"/>
  <c r="E73" i="16" a="1"/>
  <c r="E73" i="16" s="1"/>
  <c r="F265" i="18" a="1"/>
  <c r="F265" i="18" s="1"/>
  <c r="E55" i="16" l="1" a="1"/>
  <c r="E55" i="16" s="1"/>
  <c r="E60" i="16" s="1" a="1"/>
  <c r="E60" i="16" s="1"/>
  <c r="F34" i="67" a="1"/>
  <c r="F34" i="67" s="1"/>
  <c r="F40" i="67" a="1"/>
  <c r="D57" i="48" a="1"/>
  <c r="D57" i="48" s="1"/>
  <c r="D56" i="48" a="1"/>
  <c r="D56" i="48" s="1"/>
  <c r="F35" i="67" a="1"/>
  <c r="E81" i="16" a="1"/>
  <c r="E81" i="16" s="1"/>
  <c r="D68" i="16"/>
  <c r="D69" i="16"/>
  <c r="E82" i="16" a="1"/>
  <c r="E82" i="16" s="1"/>
  <c r="D131" i="48" s="1"/>
  <c r="E80" i="16" a="1"/>
  <c r="E80" i="16" s="1"/>
  <c r="D129" i="48" s="1"/>
  <c r="X39" i="67" l="1"/>
  <c r="K39" i="67"/>
  <c r="J39" i="67"/>
  <c r="AB39" i="67"/>
  <c r="M39" i="67"/>
  <c r="P39" i="67"/>
  <c r="AE39" i="67"/>
  <c r="T39" i="67"/>
  <c r="O39" i="67"/>
  <c r="L39" i="67"/>
  <c r="Y39" i="67"/>
  <c r="R39" i="67"/>
  <c r="AC39" i="67"/>
  <c r="AA39" i="67"/>
  <c r="F35" i="67"/>
  <c r="AD39" i="67"/>
  <c r="Q39" i="67"/>
  <c r="S39" i="67"/>
  <c r="N39" i="67"/>
  <c r="U39" i="67"/>
  <c r="G39" i="67"/>
  <c r="I39" i="67"/>
  <c r="Z39" i="67"/>
  <c r="V39" i="67"/>
  <c r="W39" i="67"/>
  <c r="H39" i="67"/>
  <c r="U44" i="67"/>
  <c r="Z44" i="67"/>
  <c r="F40" i="67"/>
  <c r="T44" i="67"/>
  <c r="K44" i="67"/>
  <c r="Y44" i="67"/>
  <c r="AA44" i="67"/>
  <c r="V44" i="67"/>
  <c r="G44" i="67"/>
  <c r="L44" i="67"/>
  <c r="S44" i="67"/>
  <c r="AB44" i="67"/>
  <c r="I44" i="67"/>
  <c r="M44" i="67"/>
  <c r="X44" i="67"/>
  <c r="R44" i="67"/>
  <c r="AC44" i="67"/>
  <c r="N44" i="67"/>
  <c r="J44" i="67"/>
  <c r="AD44" i="67"/>
  <c r="O44" i="67"/>
  <c r="H44" i="67"/>
  <c r="AE44" i="67"/>
  <c r="W44" i="67"/>
  <c r="P44" i="67"/>
  <c r="Q44" i="67"/>
  <c r="D130" i="48"/>
  <c r="D81" i="16" a="1"/>
  <c r="D81" i="16" s="1"/>
  <c r="D80" i="16" a="1"/>
  <c r="D80" i="16" s="1"/>
  <c r="F163" i="18" a="1"/>
  <c r="F163" i="18" s="1"/>
  <c r="F162" i="18" a="1"/>
  <c r="F162" i="18" s="1"/>
  <c r="F161" i="18" a="1"/>
  <c r="F161" i="18" s="1"/>
  <c r="F160" i="18" a="1"/>
  <c r="F160" i="18" s="1"/>
  <c r="F165" i="18" a="1"/>
  <c r="F165" i="18" s="1"/>
  <c r="F167" i="18" a="1"/>
  <c r="F167" i="18" s="1"/>
  <c r="F166" i="18" a="1"/>
  <c r="F166" i="18" s="1"/>
  <c r="F164" i="18" a="1"/>
  <c r="F164" i="18" s="1"/>
  <c r="F45" i="67" l="1" a="1"/>
  <c r="F45" i="67" s="1"/>
  <c r="F39" i="67"/>
  <c r="F30" i="68" a="1"/>
  <c r="F30" i="68" s="1"/>
  <c r="F44" i="67"/>
  <c r="F48" i="67" a="1"/>
  <c r="F48" i="67" s="1"/>
  <c r="F50" i="67" l="1" a="1"/>
  <c r="F50" i="67" s="1"/>
  <c r="F81" i="67" a="1"/>
  <c r="F81" i="67" s="1"/>
  <c r="F83" i="67" s="1" a="1"/>
  <c r="F83" i="67" s="1"/>
  <c r="F40" i="18" a="1"/>
  <c r="F40" i="18" s="1"/>
  <c r="F34" i="18" a="1"/>
  <c r="F34" i="18" s="1"/>
  <c r="F37" i="68" a="1"/>
  <c r="F37" i="68" s="1"/>
  <c r="F32" i="68" a="1"/>
  <c r="F32" i="68" s="1"/>
  <c r="F36" i="68" a="1"/>
  <c r="F36" i="68" s="1"/>
  <c r="F33" i="18" a="1"/>
  <c r="F33" i="18" s="1"/>
  <c r="F39" i="18" a="1"/>
  <c r="F39" i="18" s="1"/>
  <c r="F208" i="18" s="1" a="1"/>
  <c r="F208" i="18" s="1"/>
  <c r="F78" i="67" a="1"/>
  <c r="F78" i="67" s="1"/>
  <c r="F47" i="67" a="1"/>
  <c r="F47" i="67" s="1"/>
  <c r="F80" i="67" l="1" a="1"/>
  <c r="F80" i="67" s="1"/>
  <c r="F84" i="67" a="1"/>
  <c r="F84" i="67" s="1"/>
  <c r="D74" i="48" a="1"/>
  <c r="D74" i="48" s="1"/>
  <c r="D76" i="48" a="1"/>
  <c r="D76" i="48" s="1"/>
  <c r="F209" i="18" a="1"/>
  <c r="F209" i="18" s="1"/>
  <c r="F210" i="18" a="1"/>
  <c r="F210" i="18" s="1"/>
  <c r="F211" i="18" a="1"/>
  <c r="F211" i="18" s="1"/>
  <c r="D75" i="48" a="1"/>
  <c r="D75" i="48" s="1"/>
  <c r="D73" i="48" a="1"/>
  <c r="D73" i="48" s="1"/>
  <c r="F134" i="68" a="1"/>
  <c r="F134" i="68" s="1"/>
  <c r="F79" i="68" a="1"/>
  <c r="F79" i="68" s="1"/>
  <c r="F38" i="68" a="1"/>
  <c r="F38" i="68" s="1"/>
  <c r="F85" i="68" a="1"/>
  <c r="F85" i="68" s="1"/>
  <c r="F80" i="68" a="1"/>
  <c r="F80" i="68" s="1"/>
  <c r="F135" i="68" a="1"/>
  <c r="F135" i="68" s="1"/>
  <c r="F141" i="68" s="1" a="1"/>
  <c r="F141" i="68" s="1"/>
  <c r="F147" i="68" s="1" a="1"/>
  <c r="F147" i="68" s="1"/>
  <c r="F86" i="68" a="1"/>
  <c r="F86" i="68" s="1"/>
  <c r="F92" i="68" s="1" a="1"/>
  <c r="F92" i="68" s="1"/>
  <c r="F215" i="18" a="1"/>
  <c r="F215" i="18" s="1"/>
  <c r="F212" i="18" a="1"/>
  <c r="F212" i="18" s="1"/>
  <c r="F213" i="18" a="1"/>
  <c r="F213" i="18" s="1"/>
  <c r="F214" i="18" a="1"/>
  <c r="F214" i="18" s="1"/>
  <c r="F220" i="18" l="1" a="1"/>
  <c r="F220" i="18" s="1"/>
  <c r="F87" i="68" a="1"/>
  <c r="F87" i="68" s="1"/>
  <c r="F91" i="68" a="1"/>
  <c r="F91" i="68" s="1"/>
  <c r="F93" i="68" s="1" a="1"/>
  <c r="F93" i="68" s="1"/>
  <c r="F81" i="68" a="1"/>
  <c r="F81" i="68" s="1"/>
  <c r="F140" i="68" a="1"/>
  <c r="F140" i="68" s="1"/>
  <c r="F136" i="68" a="1"/>
  <c r="F136" i="68" s="1"/>
  <c r="F223" i="18" a="1"/>
  <c r="F223" i="18" s="1"/>
  <c r="F224" i="18" s="1" a="1"/>
  <c r="F224" i="18" s="1"/>
  <c r="F222" i="18" a="1"/>
  <c r="F222" i="18" s="1"/>
  <c r="F221" i="18" a="1"/>
  <c r="F221" i="18" s="1"/>
  <c r="F86" i="67" a="1"/>
  <c r="F86" i="67" s="1"/>
  <c r="F104" i="68" a="1"/>
  <c r="F104" i="68" s="1"/>
  <c r="B131" i="18"/>
  <c r="B47" i="18"/>
  <c r="F225" i="18" l="1" a="1"/>
  <c r="F225" i="18" s="1"/>
  <c r="F107" i="68" a="1"/>
  <c r="F107" i="68" s="1"/>
  <c r="F113" i="68" s="1" a="1"/>
  <c r="F113" i="68" s="1"/>
  <c r="F119" i="68" s="1" a="1"/>
  <c r="F119" i="68" s="1"/>
  <c r="F106" i="68" a="1"/>
  <c r="F106" i="68" s="1"/>
  <c r="F146" i="68" a="1"/>
  <c r="F146" i="68" s="1"/>
  <c r="F148" i="68" s="1" a="1"/>
  <c r="F148" i="68" s="1"/>
  <c r="F168" i="68" s="1" a="1"/>
  <c r="F168" i="68" s="1"/>
  <c r="D105" i="48" s="1"/>
  <c r="F142" i="68" a="1"/>
  <c r="F142" i="68" s="1"/>
  <c r="F158" i="68" s="1" a="1"/>
  <c r="F158" i="68" s="1"/>
  <c r="E158" i="68" s="1"/>
  <c r="F112" i="68" l="1" a="1"/>
  <c r="F112" i="68" s="1"/>
  <c r="F108" i="68" a="1"/>
  <c r="F108" i="68" s="1"/>
  <c r="E168" i="68" a="1"/>
  <c r="E168" i="68" s="1"/>
  <c r="E105" i="48" s="1"/>
  <c r="F114" i="68" l="1" a="1"/>
  <c r="F114" i="68" s="1"/>
  <c r="F118" i="68" a="1"/>
  <c r="F118" i="68" s="1"/>
  <c r="F120" i="68" s="1" a="1"/>
  <c r="F120" i="68" s="1"/>
  <c r="F5" i="48"/>
  <c r="E31" i="16" l="1" a="1"/>
  <c r="E31" i="16" s="1"/>
  <c r="E32" i="16" a="1"/>
  <c r="E32" i="16" s="1"/>
  <c r="E30" i="16" a="1"/>
  <c r="E30" i="16" s="1"/>
  <c r="E33" i="16" l="1" a="1"/>
  <c r="E33" i="16" s="1"/>
  <c r="E74" i="16" l="1" a="1"/>
  <c r="E74" i="16" s="1"/>
  <c r="E38" i="16" a="1"/>
  <c r="E38" i="16" s="1"/>
  <c r="D74" i="16" l="1" a="1"/>
  <c r="D74" i="16" s="1"/>
  <c r="E76" i="16" a="1"/>
  <c r="E76" i="16" s="1"/>
  <c r="D76" i="16" s="1" a="1"/>
  <c r="D76" i="16" s="1"/>
  <c r="F65" i="40" a="1"/>
  <c r="F65" i="40" s="1"/>
  <c r="E65" i="40" s="1"/>
  <c r="F249" i="18" a="1"/>
  <c r="F249" i="18" s="1"/>
  <c r="E43" i="16" a="1"/>
  <c r="E43" i="16" s="1"/>
  <c r="E21" i="16" a="1"/>
  <c r="E21" i="16" s="1"/>
  <c r="E66" i="16" a="1"/>
  <c r="E66" i="16" s="1"/>
  <c r="F54" i="40" l="1" a="1"/>
  <c r="F54" i="40" s="1"/>
  <c r="F101" i="40" a="1"/>
  <c r="F101" i="40" s="1"/>
  <c r="E101" i="40" s="1"/>
  <c r="D35" i="40" s="1"/>
  <c r="F35" i="40" s="1"/>
  <c r="D82" i="16" a="1"/>
  <c r="D82" i="16" s="1"/>
  <c r="E83" i="16" a="1"/>
  <c r="E83" i="16" s="1"/>
  <c r="J35" i="40"/>
  <c r="D132" i="48"/>
  <c r="E70" i="16" a="1"/>
  <c r="E70" i="16" s="1"/>
  <c r="D70" i="16" s="1"/>
  <c r="E54" i="40" l="1"/>
  <c r="L35" i="40" s="1"/>
  <c r="T35" i="40" s="1"/>
  <c r="F90" i="40" a="1"/>
  <c r="F90" i="40" s="1"/>
  <c r="E90" i="40" s="1"/>
  <c r="D83" i="16" a="1"/>
  <c r="D83" i="16" s="1"/>
  <c r="E129" i="48" a="1"/>
  <c r="E129" i="48" s="1"/>
  <c r="E132" i="48" s="1"/>
  <c r="E203" i="48" s="1" a="1"/>
  <c r="E203" i="48" s="1"/>
  <c r="P35" i="40"/>
  <c r="C141" i="40" l="1"/>
  <c r="F6" i="48" l="1"/>
  <c r="C12" i="61" l="1"/>
  <c r="D35" i="61"/>
  <c r="D38" i="61" l="1"/>
  <c r="H35" i="61"/>
  <c r="J35" i="61" s="1"/>
  <c r="D12" i="61"/>
  <c r="D48" i="61" l="1" a="1"/>
  <c r="D48" i="61" s="1"/>
  <c r="K48" i="61" s="1"/>
  <c r="H38" i="61"/>
  <c r="C12" i="29"/>
  <c r="J38" i="61"/>
  <c r="H12" i="61"/>
  <c r="J12" i="61"/>
  <c r="E19" i="29" l="1" a="1"/>
  <c r="E19" i="29" s="1"/>
  <c r="D19" i="29" s="1" a="1"/>
  <c r="D19" i="29" s="1"/>
  <c r="E8" i="29" a="1"/>
  <c r="D52" i="61" a="1"/>
  <c r="E55" i="61" l="1"/>
  <c r="F55" i="61"/>
  <c r="H55" i="61"/>
  <c r="I55" i="61"/>
  <c r="J55" i="61"/>
  <c r="G55" i="61"/>
  <c r="D52" i="61"/>
  <c r="F70" i="40" a="1"/>
  <c r="F70" i="40" s="1"/>
  <c r="E21" i="29" a="1"/>
  <c r="E21" i="29" s="1"/>
  <c r="D28" i="65" a="1"/>
  <c r="D28" i="65" s="1"/>
  <c r="D44" i="65" a="1"/>
  <c r="D44" i="65" s="1"/>
  <c r="D42" i="65" a="1"/>
  <c r="D42" i="65" s="1"/>
  <c r="D30" i="65" a="1"/>
  <c r="D30" i="65" s="1"/>
  <c r="D40" i="65" a="1"/>
  <c r="D40" i="65" s="1"/>
  <c r="D26" i="65" a="1"/>
  <c r="D26" i="65" s="1"/>
  <c r="E8" i="29"/>
  <c r="E12" i="29" s="1"/>
  <c r="K61" i="40" l="1"/>
  <c r="K97" i="40" s="1"/>
  <c r="K135" i="40" s="1"/>
  <c r="K72" i="40"/>
  <c r="K108" i="40" s="1"/>
  <c r="G72" i="40"/>
  <c r="G108" i="40" s="1"/>
  <c r="G61" i="40"/>
  <c r="G97" i="40" s="1"/>
  <c r="G135" i="40" s="1"/>
  <c r="H72" i="40"/>
  <c r="H108" i="40" s="1"/>
  <c r="H61" i="40"/>
  <c r="H97" i="40" s="1"/>
  <c r="H135" i="40" s="1"/>
  <c r="J61" i="40"/>
  <c r="J97" i="40" s="1"/>
  <c r="J135" i="40" s="1"/>
  <c r="J72" i="40"/>
  <c r="J108" i="40" s="1"/>
  <c r="I61" i="40"/>
  <c r="I97" i="40" s="1"/>
  <c r="I135" i="40" s="1"/>
  <c r="I72" i="40"/>
  <c r="I108" i="40" s="1"/>
  <c r="F61" i="40"/>
  <c r="F72" i="40"/>
  <c r="F106" i="40" a="1"/>
  <c r="F106" i="40" s="1"/>
  <c r="E106" i="40" s="1"/>
  <c r="D39" i="40" s="1"/>
  <c r="K52" i="61"/>
  <c r="K55" i="61" s="1"/>
  <c r="D55" i="61"/>
  <c r="D46" i="65" a="1"/>
  <c r="D46" i="65" s="1"/>
  <c r="D48" i="65" s="1" a="1"/>
  <c r="D48" i="65" s="1"/>
  <c r="D32" i="65" a="1"/>
  <c r="D32" i="65" s="1"/>
  <c r="F59" i="40" a="1"/>
  <c r="F59" i="40" s="1"/>
  <c r="F95" i="40" s="1" a="1"/>
  <c r="F95" i="40" s="1"/>
  <c r="D21" i="29" a="1"/>
  <c r="D21" i="29" s="1"/>
  <c r="E70" i="40"/>
  <c r="J39" i="40" s="1"/>
  <c r="D13" i="48" a="1"/>
  <c r="D13" i="48" s="1"/>
  <c r="D18" i="48" s="1"/>
  <c r="D34" i="65" l="1" a="1"/>
  <c r="D34" i="65" s="1"/>
  <c r="D54" i="65" a="1"/>
  <c r="D54" i="65" s="1"/>
  <c r="F108" i="40"/>
  <c r="E72" i="40"/>
  <c r="J41" i="40" s="1"/>
  <c r="F97" i="40"/>
  <c r="E61" i="40"/>
  <c r="P39" i="40"/>
  <c r="F39" i="40"/>
  <c r="E59" i="40"/>
  <c r="E95" i="40"/>
  <c r="E108" i="40" l="1"/>
  <c r="D41" i="40" s="1"/>
  <c r="F135" i="40"/>
  <c r="E97" i="40"/>
  <c r="C54" i="65" a="1"/>
  <c r="C54" i="65" s="1"/>
  <c r="D56" i="65" a="1"/>
  <c r="D56" i="65" s="1"/>
  <c r="F69" i="40" a="1"/>
  <c r="F69" i="40" s="1"/>
  <c r="F71" i="40" s="1" a="1"/>
  <c r="F71" i="40" s="1"/>
  <c r="E195" i="48"/>
  <c r="L39" i="40"/>
  <c r="T39" i="40" s="1"/>
  <c r="D195" i="48"/>
  <c r="L41" i="40"/>
  <c r="P41" i="40" l="1"/>
  <c r="F41" i="40"/>
  <c r="C56" i="65" a="1"/>
  <c r="C56" i="65" s="1"/>
  <c r="F58" i="40" a="1"/>
  <c r="F58" i="40" s="1"/>
  <c r="J38" i="40"/>
  <c r="F105" i="40" a="1"/>
  <c r="F105" i="40" s="1"/>
  <c r="D214" i="48"/>
  <c r="T41" i="40"/>
  <c r="E13" i="48" a="1"/>
  <c r="E13" i="48" s="1"/>
  <c r="E18" i="48" s="1"/>
  <c r="C145" i="40"/>
  <c r="F9" i="48"/>
  <c r="E94" i="40" l="1"/>
  <c r="F60" i="40" a="1"/>
  <c r="F60" i="40" s="1"/>
  <c r="E58" i="40"/>
  <c r="L38" i="40" s="1"/>
  <c r="T38" i="40" s="1"/>
  <c r="E105" i="40"/>
  <c r="D38" i="40" s="1"/>
  <c r="F38" i="40" s="1"/>
  <c r="D194" i="48" l="1"/>
  <c r="D196" i="48" s="1"/>
  <c r="P38" i="40"/>
  <c r="O7" i="40"/>
  <c r="E214" i="48"/>
  <c r="E194" i="48"/>
  <c r="E196" i="48" s="1"/>
  <c r="D206" i="48" l="1" a="1"/>
  <c r="F8" i="48"/>
  <c r="C144" i="40"/>
  <c r="D206" i="48" l="1"/>
  <c r="J9" i="67" l="1"/>
  <c r="P47" i="59"/>
  <c r="Q47" i="59" s="1"/>
  <c r="L9" i="67" s="1"/>
  <c r="I9" i="67"/>
  <c r="F56" i="67" s="1" a="1"/>
  <c r="F56" i="67" s="1"/>
  <c r="D61" i="48" l="1" a="1"/>
  <c r="D61" i="48" s="1"/>
  <c r="F17" i="18" a="1"/>
  <c r="F17" i="18" s="1"/>
  <c r="F59" i="18" s="1" a="1"/>
  <c r="F59" i="18" s="1"/>
  <c r="D59" i="48" a="1"/>
  <c r="D59" i="48" s="1"/>
  <c r="F60" i="67" a="1"/>
  <c r="F60" i="67" s="1"/>
  <c r="K9" i="67"/>
  <c r="F58" i="67" s="1" a="1"/>
  <c r="F58" i="67" s="1"/>
  <c r="F63" i="67" l="1" a="1"/>
  <c r="F63" i="67" s="1"/>
  <c r="F66" i="67" s="1" a="1"/>
  <c r="F66" i="67" s="1"/>
  <c r="D63" i="48" a="1"/>
  <c r="D63" i="48" s="1"/>
  <c r="D65" i="48" a="1"/>
  <c r="D65" i="48" s="1"/>
  <c r="F18" i="18" a="1"/>
  <c r="F18" i="18" s="1"/>
  <c r="F62" i="18" a="1"/>
  <c r="F62" i="18" s="1"/>
  <c r="F64" i="18" a="1"/>
  <c r="F64" i="18" s="1"/>
  <c r="F60" i="18" a="1"/>
  <c r="F60" i="18" s="1"/>
  <c r="F65" i="18" a="1"/>
  <c r="F65" i="18" s="1"/>
  <c r="F66" i="18" a="1"/>
  <c r="F66" i="18" s="1"/>
  <c r="F61" i="18" a="1"/>
  <c r="F61" i="18" s="1"/>
  <c r="F63" i="18" a="1"/>
  <c r="F63" i="18" s="1"/>
  <c r="F62" i="67" a="1"/>
  <c r="F62" i="67" s="1"/>
  <c r="F92" i="67" a="1"/>
  <c r="F92" i="67" s="1"/>
  <c r="F109" i="18" l="1" a="1"/>
  <c r="F109" i="18" s="1"/>
  <c r="F252" i="18" s="1" a="1"/>
  <c r="F252" i="18" s="1"/>
  <c r="E252" i="18" s="1"/>
  <c r="F69" i="18" a="1"/>
  <c r="F69" i="18" s="1"/>
  <c r="F74" i="18" a="1"/>
  <c r="F74" i="18" s="1"/>
  <c r="F73" i="18" a="1"/>
  <c r="F73" i="18" s="1"/>
  <c r="F71" i="18" a="1"/>
  <c r="F71" i="18" s="1"/>
  <c r="F72" i="18" a="1"/>
  <c r="F72" i="18" s="1"/>
  <c r="F70" i="18" a="1"/>
  <c r="F70" i="18" s="1"/>
  <c r="F114" i="18" s="1" a="1"/>
  <c r="F114" i="18" s="1"/>
  <c r="F67" i="18" a="1"/>
  <c r="F67" i="18" s="1"/>
  <c r="F111" i="18" s="1" a="1"/>
  <c r="F111" i="18" s="1"/>
  <c r="F68" i="18" a="1"/>
  <c r="F68" i="18" s="1"/>
  <c r="F94" i="67" a="1"/>
  <c r="F94" i="67" s="1"/>
  <c r="E94" i="67" s="1"/>
  <c r="E92" i="67"/>
  <c r="F108" i="18" a="1"/>
  <c r="F108" i="18" s="1"/>
  <c r="F110" i="18" a="1"/>
  <c r="F110" i="18" s="1"/>
  <c r="F107" i="18" a="1"/>
  <c r="F107" i="18" s="1"/>
  <c r="F68" i="67" a="1"/>
  <c r="F68" i="67" s="1"/>
  <c r="F49" i="68" a="1"/>
  <c r="F49" i="68" s="1"/>
  <c r="F95" i="67" a="1"/>
  <c r="F95" i="67" s="1"/>
  <c r="F65" i="67" a="1"/>
  <c r="F65" i="67" s="1"/>
  <c r="F112" i="18" l="1" a="1"/>
  <c r="F112" i="18" s="1"/>
  <c r="F132" i="18" s="1" a="1"/>
  <c r="F132" i="18" s="1"/>
  <c r="F250" i="18" a="1"/>
  <c r="F250" i="18" s="1"/>
  <c r="E250" i="18" s="1"/>
  <c r="F131" i="18" a="1"/>
  <c r="F131" i="18" s="1"/>
  <c r="F253" i="18" a="1"/>
  <c r="F253" i="18" s="1"/>
  <c r="E253" i="18" s="1"/>
  <c r="F134" i="18" a="1"/>
  <c r="F134" i="18" s="1"/>
  <c r="F135" i="18" s="1" a="1"/>
  <c r="F135" i="18" s="1"/>
  <c r="F251" i="18" a="1"/>
  <c r="F251" i="18" s="1"/>
  <c r="E251" i="18" s="1"/>
  <c r="F52" i="68" a="1"/>
  <c r="F52" i="68" s="1"/>
  <c r="F58" i="68" s="1" a="1"/>
  <c r="F58" i="68" s="1"/>
  <c r="F64" i="68" s="1" a="1"/>
  <c r="F64" i="68" s="1"/>
  <c r="F51" i="68" a="1"/>
  <c r="F51" i="68" s="1"/>
  <c r="F97" i="67" a="1"/>
  <c r="F97" i="67" s="1"/>
  <c r="E97" i="67" s="1"/>
  <c r="E95" i="67"/>
  <c r="F113" i="18" a="1"/>
  <c r="F113" i="18" s="1"/>
  <c r="F133" i="18" s="1" a="1"/>
  <c r="F133" i="18" s="1"/>
  <c r="F53" i="68" l="1" a="1"/>
  <c r="F53" i="68" s="1"/>
  <c r="F57" i="68" a="1"/>
  <c r="F57" i="68" s="1"/>
  <c r="F136" i="18" a="1"/>
  <c r="F136" i="18" s="1"/>
  <c r="F63" i="68" l="1" a="1"/>
  <c r="F63" i="68" s="1"/>
  <c r="F65" i="68" s="1" a="1"/>
  <c r="F65" i="68" s="1"/>
  <c r="F167" i="68" s="1" a="1"/>
  <c r="F167" i="68" s="1"/>
  <c r="F59" i="68" a="1"/>
  <c r="F59" i="68" s="1"/>
  <c r="F157" i="68" s="1" a="1"/>
  <c r="F157" i="68" s="1"/>
  <c r="F159" i="68" l="1" a="1"/>
  <c r="F159" i="68" s="1"/>
  <c r="E157" i="68"/>
  <c r="F169" i="68" a="1"/>
  <c r="F169" i="68" s="1"/>
  <c r="D104" i="48"/>
  <c r="E167" i="68" a="1"/>
  <c r="E167" i="68" s="1"/>
  <c r="E151" i="48"/>
  <c r="J37" i="40" l="1"/>
  <c r="L37" i="40"/>
  <c r="T37" i="40" s="1"/>
  <c r="D152" i="48"/>
  <c r="G151" i="48" s="1"/>
  <c r="E150" i="48"/>
  <c r="F4" i="48"/>
  <c r="E104" i="48"/>
  <c r="D106" i="48"/>
  <c r="G105" i="48" s="1"/>
  <c r="E169" i="68" a="1"/>
  <c r="E169" i="68" s="1"/>
  <c r="F66" i="40" a="1"/>
  <c r="F66" i="40" s="1"/>
  <c r="F173" i="68" a="1"/>
  <c r="F173" i="68" s="1"/>
  <c r="F73" i="40" a="1"/>
  <c r="F73" i="40" s="1"/>
  <c r="E71" i="40"/>
  <c r="J40" i="40" s="1"/>
  <c r="J43" i="40" s="1"/>
  <c r="F163" i="68" a="1"/>
  <c r="F163" i="68" s="1"/>
  <c r="E163" i="68" s="1"/>
  <c r="E159" i="68"/>
  <c r="G150" i="48" l="1"/>
  <c r="F62" i="40" a="1"/>
  <c r="F62" i="40" s="1"/>
  <c r="E60" i="40"/>
  <c r="L40" i="40" s="1"/>
  <c r="E152" i="48"/>
  <c r="H151" i="48" s="1"/>
  <c r="E106" i="48"/>
  <c r="H105" i="48" s="1"/>
  <c r="D204" i="48" a="1"/>
  <c r="D204" i="48" s="1"/>
  <c r="E173" i="68" a="1"/>
  <c r="E173" i="68" s="1"/>
  <c r="F55" i="40" a="1"/>
  <c r="F55" i="40" s="1"/>
  <c r="F102" i="40" a="1"/>
  <c r="F102" i="40" s="1"/>
  <c r="F107" i="40" s="1" a="1"/>
  <c r="F107" i="40" s="1"/>
  <c r="E66" i="40"/>
  <c r="J36" i="40" s="1"/>
  <c r="F74" i="40"/>
  <c r="G74" i="40" s="1"/>
  <c r="H74" i="40" s="1"/>
  <c r="I74" i="40" s="1"/>
  <c r="J74" i="40" s="1"/>
  <c r="K74" i="40" s="1"/>
  <c r="L74" i="40" s="1"/>
  <c r="M74" i="40" s="1"/>
  <c r="N74" i="40" s="1"/>
  <c r="O74" i="40" s="1"/>
  <c r="P74" i="40" s="1"/>
  <c r="Q74" i="40" s="1"/>
  <c r="R74" i="40" s="1"/>
  <c r="S74" i="40" s="1"/>
  <c r="T74" i="40" s="1"/>
  <c r="U74" i="40" s="1"/>
  <c r="V74" i="40" s="1"/>
  <c r="W74" i="40" s="1"/>
  <c r="X74" i="40" s="1"/>
  <c r="Y74" i="40" s="1"/>
  <c r="Z74" i="40" s="1"/>
  <c r="AA74" i="40" s="1"/>
  <c r="AB74" i="40" s="1"/>
  <c r="AC74" i="40" s="1"/>
  <c r="AD74" i="40" s="1"/>
  <c r="AE74" i="40" s="1"/>
  <c r="E73" i="40"/>
  <c r="J42" i="40" s="1"/>
  <c r="P37" i="40"/>
  <c r="F37" i="40"/>
  <c r="C143" i="40" s="1"/>
  <c r="G104" i="48"/>
  <c r="D201" i="48" a="1"/>
  <c r="E102" i="40" l="1"/>
  <c r="D36" i="40" s="1"/>
  <c r="P36" i="40" s="1"/>
  <c r="H104" i="48"/>
  <c r="F91" i="40" a="1"/>
  <c r="F91" i="40" s="1"/>
  <c r="E55" i="40"/>
  <c r="L36" i="40" s="1"/>
  <c r="T36" i="40" s="1"/>
  <c r="H150" i="48"/>
  <c r="F208" i="48"/>
  <c r="D201" i="48"/>
  <c r="E208" i="48"/>
  <c r="T40" i="40"/>
  <c r="L43" i="40"/>
  <c r="D213" i="48"/>
  <c r="F7" i="48"/>
  <c r="L46" i="40"/>
  <c r="F63" i="40"/>
  <c r="E62" i="40"/>
  <c r="L42" i="40" s="1"/>
  <c r="G63" i="40" l="1"/>
  <c r="H63" i="40" s="1"/>
  <c r="I63" i="40" s="1"/>
  <c r="J63" i="40" s="1"/>
  <c r="K63" i="40" s="1"/>
  <c r="L63" i="40" s="1"/>
  <c r="M63" i="40" s="1"/>
  <c r="N63" i="40" s="1"/>
  <c r="O63" i="40" s="1"/>
  <c r="P63" i="40" s="1"/>
  <c r="Q63" i="40" s="1"/>
  <c r="R63" i="40" s="1"/>
  <c r="S63" i="40" s="1"/>
  <c r="T63" i="40" s="1"/>
  <c r="U63" i="40" s="1"/>
  <c r="V63" i="40" s="1"/>
  <c r="W63" i="40" s="1"/>
  <c r="X63" i="40" s="1"/>
  <c r="Y63" i="40" s="1"/>
  <c r="Z63" i="40" s="1"/>
  <c r="AA63" i="40" s="1"/>
  <c r="AB63" i="40" s="1"/>
  <c r="AC63" i="40" s="1"/>
  <c r="AD63" i="40" s="1"/>
  <c r="E91" i="40"/>
  <c r="F36" i="40" s="1"/>
  <c r="C142" i="40" s="1"/>
  <c r="E141" i="40" s="1" a="1"/>
  <c r="E141" i="40" s="1"/>
  <c r="F96" i="40" a="1"/>
  <c r="F96" i="40" s="1"/>
  <c r="E107" i="40"/>
  <c r="D40" i="40" s="1"/>
  <c r="F132" i="40" a="1"/>
  <c r="F132" i="40" s="1"/>
  <c r="F134" i="40" s="1" a="1"/>
  <c r="F134" i="40" s="1"/>
  <c r="F109" i="40" a="1"/>
  <c r="F109" i="40" s="1"/>
  <c r="T46" i="40"/>
  <c r="D219" i="48"/>
  <c r="R46" i="40"/>
  <c r="D216" i="48"/>
  <c r="T43" i="40"/>
  <c r="L45" i="40"/>
  <c r="D215" i="48"/>
  <c r="T42" i="40"/>
  <c r="L44" i="40" l="1" a="1"/>
  <c r="L44" i="40" s="1"/>
  <c r="D217" i="48" s="1"/>
  <c r="T45" i="40"/>
  <c r="D218" i="48"/>
  <c r="E109" i="40"/>
  <c r="D42" i="40" s="1"/>
  <c r="F110" i="40"/>
  <c r="G110" i="40" s="1"/>
  <c r="H110" i="40" s="1"/>
  <c r="I110" i="40" s="1"/>
  <c r="J110" i="40" s="1"/>
  <c r="K110" i="40" s="1"/>
  <c r="L110" i="40" s="1"/>
  <c r="M110" i="40" s="1"/>
  <c r="N110" i="40" s="1"/>
  <c r="O110" i="40" s="1"/>
  <c r="P110" i="40" s="1"/>
  <c r="Q110" i="40" s="1"/>
  <c r="R110" i="40" s="1"/>
  <c r="S110" i="40" s="1"/>
  <c r="T110" i="40" s="1"/>
  <c r="U110" i="40" s="1"/>
  <c r="V110" i="40" s="1"/>
  <c r="W110" i="40" s="1"/>
  <c r="X110" i="40" s="1"/>
  <c r="Y110" i="40" s="1"/>
  <c r="Z110" i="40" s="1"/>
  <c r="AA110" i="40" s="1"/>
  <c r="AB110" i="40" s="1"/>
  <c r="AC110" i="40" s="1"/>
  <c r="AD110" i="40" s="1"/>
  <c r="AE110" i="40" s="1"/>
  <c r="P9" i="40"/>
  <c r="P40" i="40"/>
  <c r="P43" i="40" s="1"/>
  <c r="D43" i="40"/>
  <c r="F40" i="40"/>
  <c r="M9" i="40"/>
  <c r="E96" i="40"/>
  <c r="F98" i="40" a="1"/>
  <c r="F98" i="40" s="1"/>
  <c r="T44" i="40" l="1"/>
  <c r="F7" i="40"/>
  <c r="G9" i="40"/>
  <c r="F43" i="40"/>
  <c r="E216" i="48" s="1"/>
  <c r="E98" i="40"/>
  <c r="F99" i="40"/>
  <c r="L7" i="40"/>
  <c r="E213" i="48"/>
  <c r="F42" i="40"/>
  <c r="P42" i="40"/>
  <c r="J9" i="40"/>
  <c r="I7" i="40" l="1"/>
  <c r="E215" i="48"/>
  <c r="F45" i="40"/>
  <c r="E218" i="48" s="1"/>
  <c r="G99" i="40"/>
  <c r="H99" i="40" s="1"/>
  <c r="I99" i="40" s="1"/>
  <c r="J99" i="40" s="1"/>
  <c r="K99" i="40" s="1"/>
  <c r="L99" i="40" s="1"/>
  <c r="M99" i="40" s="1"/>
  <c r="N99" i="40" s="1"/>
  <c r="O99" i="40" s="1"/>
  <c r="P99" i="40" s="1"/>
  <c r="Q99" i="40" s="1"/>
  <c r="R99" i="40" s="1"/>
  <c r="S99" i="40" s="1"/>
  <c r="T99" i="40" s="1"/>
  <c r="U99" i="40" s="1"/>
  <c r="V99" i="40" s="1"/>
  <c r="W99" i="40" s="1"/>
  <c r="X99" i="40" s="1"/>
  <c r="Y99" i="40" s="1"/>
  <c r="Z99" i="40" s="1"/>
  <c r="AA99" i="40" s="1"/>
  <c r="AB99" i="40" s="1"/>
  <c r="AC99" i="40" s="1"/>
  <c r="AD99" i="40" s="1"/>
  <c r="AE99" i="40" s="1"/>
  <c r="F44" i="40" s="1" a="1"/>
  <c r="F44" i="40" s="1"/>
  <c r="E217"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Tomaszewska, Ewa</author>
  </authors>
  <commentList>
    <comment ref="D9" authorId="0" shapeId="0" xr:uid="{ACCBEA07-FF3B-4958-A476-6E6E3D4CE52D}">
      <text>
        <r>
          <rPr>
            <b/>
            <sz val="9"/>
            <color indexed="81"/>
            <rFont val="Tahoma"/>
            <family val="2"/>
          </rPr>
          <t>Tomaszewska, Ewa:</t>
        </r>
        <r>
          <rPr>
            <sz val="9"/>
            <color indexed="81"/>
            <rFont val="Tahoma"/>
            <family val="2"/>
          </rPr>
          <t xml:space="preserve">
Includes 15% contingency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tc={2A5A35C1-01D4-4753-BAFC-83AC29ED6E01}</author>
  </authors>
  <commentList>
    <comment ref="B32" authorId="0" shapeId="0" xr:uid="{2A5A35C1-01D4-4753-BAFC-83AC29ED6E01}">
      <text>
        <t xml:space="preserve">[Threaded comment]
Your version of Excel allows you to read this threaded comment; however, any edits to it will get removed if the file is opened in a newer version of Excel. Learn more: https://go.microsoft.com/fwlink/?linkid=870924
Comment:
    Verify we are benchmarked to 2021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<sst xmlns="http://schemas.openxmlformats.org/spreadsheetml/2006/main" count="2929" uniqueCount="649">
  <si>
    <t>Inputs</t>
  </si>
  <si>
    <t>Variable</t>
  </si>
  <si>
    <t>Units</t>
  </si>
  <si>
    <t>Value</t>
  </si>
  <si>
    <t>Source/Comment</t>
  </si>
  <si>
    <t>Base Year</t>
  </si>
  <si>
    <t>year</t>
  </si>
  <si>
    <t>Schedule</t>
  </si>
  <si>
    <t>Vehicle Volume</t>
  </si>
  <si>
    <t>No-Build</t>
  </si>
  <si>
    <t>Build</t>
  </si>
  <si>
    <t>Year</t>
  </si>
  <si>
    <t>Percentage of Trucks</t>
  </si>
  <si>
    <t>persons/vehicle</t>
  </si>
  <si>
    <t>percentage</t>
  </si>
  <si>
    <t>Travel Time</t>
  </si>
  <si>
    <t>Category</t>
  </si>
  <si>
    <t>Speed</t>
  </si>
  <si>
    <t>Improved Safety</t>
  </si>
  <si>
    <t>Travel Time Savings</t>
  </si>
  <si>
    <t>Residual Value of Assets</t>
  </si>
  <si>
    <t>Segment</t>
  </si>
  <si>
    <t>Trucks</t>
  </si>
  <si>
    <t>Automobiles</t>
  </si>
  <si>
    <t>Conversions</t>
  </si>
  <si>
    <t>days/year</t>
  </si>
  <si>
    <t>All</t>
  </si>
  <si>
    <t>Vehicle Type</t>
  </si>
  <si>
    <t>Total</t>
  </si>
  <si>
    <t>Person-Hours Saved</t>
  </si>
  <si>
    <t>Scenario</t>
  </si>
  <si>
    <t>Vehicle Accidents</t>
  </si>
  <si>
    <t>Discount Factor</t>
  </si>
  <si>
    <t>Discount Factors by Year</t>
  </si>
  <si>
    <t>Accident Type</t>
  </si>
  <si>
    <t>Accidents per Year</t>
  </si>
  <si>
    <t>PDO</t>
  </si>
  <si>
    <t>Other Inputs</t>
  </si>
  <si>
    <t>Fatality</t>
  </si>
  <si>
    <t>Injury</t>
  </si>
  <si>
    <t>Value of a Statistical Life</t>
  </si>
  <si>
    <t>Cost of Injury</t>
  </si>
  <si>
    <t>Cost of PDO</t>
  </si>
  <si>
    <t>Type</t>
  </si>
  <si>
    <t>Accidents per Year × Cost</t>
  </si>
  <si>
    <t>Comparison</t>
  </si>
  <si>
    <t>Accidents Avoided</t>
  </si>
  <si>
    <t>Emissions</t>
  </si>
  <si>
    <t>CO2</t>
  </si>
  <si>
    <t>PM2.5</t>
  </si>
  <si>
    <t>SO2</t>
  </si>
  <si>
    <t>Emission Type</t>
  </si>
  <si>
    <t>NOx</t>
  </si>
  <si>
    <t>miles</t>
  </si>
  <si>
    <t>Metric Tons to Grams</t>
  </si>
  <si>
    <t>metric tons/gram</t>
  </si>
  <si>
    <t>Tons of Emissions Emitted (metric tons)</t>
  </si>
  <si>
    <t>Emission Costs</t>
  </si>
  <si>
    <t>Vehicle</t>
  </si>
  <si>
    <t>Summary</t>
  </si>
  <si>
    <t>Benefits</t>
  </si>
  <si>
    <t>Discount Factor, CO2</t>
  </si>
  <si>
    <t>CO2 Discount Factors by Year</t>
  </si>
  <si>
    <t>Total Benefits</t>
  </si>
  <si>
    <t>Capital Costs</t>
  </si>
  <si>
    <t>Net Impacts</t>
  </si>
  <si>
    <t>Cumulative Net Impacts</t>
  </si>
  <si>
    <t>Results by Year</t>
  </si>
  <si>
    <t>Overall Results</t>
  </si>
  <si>
    <t>Return on Investment</t>
  </si>
  <si>
    <t>Internal Rate of Return</t>
  </si>
  <si>
    <t>Payback Period (years)</t>
  </si>
  <si>
    <t>Accident Data</t>
  </si>
  <si>
    <t>Time</t>
  </si>
  <si>
    <t>Location</t>
  </si>
  <si>
    <t>Constant</t>
  </si>
  <si>
    <t>Assumed</t>
  </si>
  <si>
    <t>Volume</t>
  </si>
  <si>
    <t>vehicles/day</t>
  </si>
  <si>
    <t>Annualization Factor</t>
  </si>
  <si>
    <t>miles/hour</t>
  </si>
  <si>
    <t>Vehicle Miles Travelled ÷ Speed</t>
  </si>
  <si>
    <t>Total GHG</t>
  </si>
  <si>
    <t>Total CAC</t>
  </si>
  <si>
    <t>Emissions Avoided (metric tons)</t>
  </si>
  <si>
    <t>Emission Factors</t>
  </si>
  <si>
    <t>Source: Emission Factors</t>
  </si>
  <si>
    <t>Source: Emission Costs</t>
  </si>
  <si>
    <t>Back to Emissions Tab</t>
  </si>
  <si>
    <t>Estimated using AADT growth rate</t>
  </si>
  <si>
    <t>Back to Safety Tab</t>
  </si>
  <si>
    <t>Emission Factors × Vehicle Miles Travelled</t>
  </si>
  <si>
    <t>Emissions Emitted × Emission Costs</t>
  </si>
  <si>
    <t>Key Inputs</t>
  </si>
  <si>
    <t>Discount Rate</t>
  </si>
  <si>
    <t>CO2 Discount Rate</t>
  </si>
  <si>
    <t>GHG Emissions Savings</t>
  </si>
  <si>
    <t>Safety</t>
  </si>
  <si>
    <t>CAC Emissions Savings</t>
  </si>
  <si>
    <t>Discounting</t>
  </si>
  <si>
    <t>Discount Factors</t>
  </si>
  <si>
    <t>Feet to Miles</t>
  </si>
  <si>
    <t>feet/mile</t>
  </si>
  <si>
    <t>years</t>
  </si>
  <si>
    <t>Construction Duration</t>
  </si>
  <si>
    <t>Residual Value</t>
  </si>
  <si>
    <t>Study Duration</t>
  </si>
  <si>
    <t>Years of Full Benefits</t>
  </si>
  <si>
    <t>Construction End</t>
  </si>
  <si>
    <t>Average</t>
  </si>
  <si>
    <t>Road</t>
  </si>
  <si>
    <t>factor</t>
  </si>
  <si>
    <t xml:space="preserve"> </t>
  </si>
  <si>
    <t>Cost Type</t>
  </si>
  <si>
    <t>Total Costs</t>
  </si>
  <si>
    <t>hours/vehicle</t>
  </si>
  <si>
    <t>Benefit-Cost Ratio</t>
  </si>
  <si>
    <t>Discounted Benefit-Cost Ratio</t>
  </si>
  <si>
    <t>Discounted Total Benefits</t>
  </si>
  <si>
    <t>Discounted Total Costs</t>
  </si>
  <si>
    <t>Cost Distribution</t>
  </si>
  <si>
    <t>Net Impact</t>
  </si>
  <si>
    <t>Discounted Net Impact</t>
  </si>
  <si>
    <t>Results at a Glance</t>
  </si>
  <si>
    <t>GHG</t>
  </si>
  <si>
    <t>CAC</t>
  </si>
  <si>
    <t>All Segments</t>
  </si>
  <si>
    <t>Benefit</t>
  </si>
  <si>
    <t>Project Schedule</t>
  </si>
  <si>
    <t>Amount</t>
  </si>
  <si>
    <t>Chart Data: Discounted Benefits and Costs by Segment</t>
  </si>
  <si>
    <t>Chart Data: Discounted Benefits</t>
  </si>
  <si>
    <t>Discounted Benefits by Category</t>
  </si>
  <si>
    <t>Unsorted</t>
  </si>
  <si>
    <t>Sorted</t>
  </si>
  <si>
    <t>Project Costs</t>
  </si>
  <si>
    <t>Outputs</t>
  </si>
  <si>
    <t>Source</t>
  </si>
  <si>
    <t>vehicles/year</t>
  </si>
  <si>
    <t>Roadway Maintenance Cost Assumptions</t>
  </si>
  <si>
    <t>PM</t>
  </si>
  <si>
    <t>Benefit Category</t>
  </si>
  <si>
    <t>Treatment of the Economic Value of Preventing Fatalities and Injuries in Preparing Economic Analyses (2021). Obtained from: U.S. DOT Benefit-Cost Analysis Guidance for Discretionary Grant Programs, Table A-1, "Value of Reduced Fatalities and Injuries" (March 2022)</t>
  </si>
  <si>
    <t>Assumption</t>
  </si>
  <si>
    <t>2017 National Household Travel Survey. Obtained from: U.S. DOT Benefit-Cost Analysis Guidance for Discretionary Grant Programs, March 2022.</t>
  </si>
  <si>
    <t>Revised Departmental Guidance on Valuation of Travel Time in Economic Analysis (2016). Obtained from: U.S. DOT Benefit-Cost Analysis Guidance for Discretionary Grant Programs, March 2022.</t>
  </si>
  <si>
    <t>Types of Impact</t>
  </si>
  <si>
    <t>Economic Benefits</t>
  </si>
  <si>
    <t>Merit Criteria</t>
  </si>
  <si>
    <t>Description</t>
  </si>
  <si>
    <t>Monetized</t>
  </si>
  <si>
    <t>Qualitative</t>
  </si>
  <si>
    <t>Economic Competitiveness</t>
  </si>
  <si>
    <t>-</t>
  </si>
  <si>
    <t>Yes</t>
  </si>
  <si>
    <t>Environmental Sustainability</t>
  </si>
  <si>
    <t>State of Good Repair</t>
  </si>
  <si>
    <t>Residual value of capital assets.</t>
  </si>
  <si>
    <t>Gross domestic product</t>
  </si>
  <si>
    <t>Over the Study Period</t>
  </si>
  <si>
    <t>Undiscounted</t>
  </si>
  <si>
    <t>Discounted</t>
  </si>
  <si>
    <t>Evaluation Metrics</t>
  </si>
  <si>
    <t>Net Present Value (NPV)</t>
  </si>
  <si>
    <t>Return on Investment (ROI)</t>
  </si>
  <si>
    <t>Benefit-Cost Ratio (BCR)</t>
  </si>
  <si>
    <t>Internal Rate of Return (IRR)</t>
  </si>
  <si>
    <t>Parameters</t>
  </si>
  <si>
    <t>Change in Parameters</t>
  </si>
  <si>
    <t>Change in NPV</t>
  </si>
  <si>
    <t>Increase capital costs by 15%</t>
  </si>
  <si>
    <t>Decrease capital costs by 15%</t>
  </si>
  <si>
    <t>Project Benefits</t>
  </si>
  <si>
    <t>Annual Discounted Benefits and Costs</t>
  </si>
  <si>
    <t>Construction Start</t>
  </si>
  <si>
    <t>No Build</t>
  </si>
  <si>
    <t>AM</t>
  </si>
  <si>
    <t>mph</t>
  </si>
  <si>
    <t>%</t>
  </si>
  <si>
    <t>hours</t>
  </si>
  <si>
    <t>Average Delay
(minutes/vehicle)</t>
  </si>
  <si>
    <t>person-hours</t>
  </si>
  <si>
    <t>Travel Time Costs</t>
  </si>
  <si>
    <t>Cost of Delays</t>
  </si>
  <si>
    <t>Delays</t>
  </si>
  <si>
    <t>Avoided Time Costs</t>
  </si>
  <si>
    <t>NPV</t>
  </si>
  <si>
    <t>Person-Hours of Travel Time × Value of Time</t>
  </si>
  <si>
    <t>Person-Hours of Delays × Value of Time</t>
  </si>
  <si>
    <t>DEMAND FOR TRAVEL IN PEAK PERIOD</t>
  </si>
  <si>
    <t>(percent of total daily travel)</t>
  </si>
  <si>
    <t>Number of</t>
  </si>
  <si>
    <t>Urban</t>
  </si>
  <si>
    <t>Hours in</t>
  </si>
  <si>
    <t>So. California</t>
  </si>
  <si>
    <t>No. California</t>
  </si>
  <si>
    <t>Rural</t>
  </si>
  <si>
    <t>Peak Period</t>
  </si>
  <si>
    <t>Fwy/Exp</t>
  </si>
  <si>
    <t>Other</t>
  </si>
  <si>
    <t>Source: California Department of Transportation, 2010-2012 California Household Travel</t>
  </si>
  <si>
    <t>Survey, Final Report Appendix, June 2013</t>
  </si>
  <si>
    <t>Percent of Daily Travel during Peak Hours</t>
  </si>
  <si>
    <t>Lanes</t>
  </si>
  <si>
    <t>Peak Hour Assumptions</t>
  </si>
  <si>
    <t>Excerpt from Cal-B/C Parameter v8.1 User's Guide and Technical Documentation (2021)</t>
  </si>
  <si>
    <t>Estimating Speed</t>
  </si>
  <si>
    <t>Formula Used</t>
  </si>
  <si>
    <t xml:space="preserve">Source: Dowling et al. (1997). </t>
  </si>
  <si>
    <t>Page 77, equation 8-1 of https://onlinepubs.trb.org/Onlinepubs/nchrp/nchrp_rpt_387.pdf</t>
  </si>
  <si>
    <t>Peak Period Hours – AM</t>
  </si>
  <si>
    <t>Peak Period Hours – PM</t>
  </si>
  <si>
    <t>The Economic and Societal Impact of Motor Vehicle Crashes, 2010 (revised May 2015), Page 12, Table 1-2, Summary of Unit Costs, 2000. Inflated to 2020 dollars using the GDP deflator. Obtained from: U.S. DOT Benefit-Cost Analysis Guidance for Discretionary Grant Programs, March 2022.</t>
  </si>
  <si>
    <t>Volume determined by percent of total daily travel during peak period, retrieved from Cal-B/C table:</t>
  </si>
  <si>
    <t>Volume and Travel</t>
  </si>
  <si>
    <t>vehicle-hours</t>
  </si>
  <si>
    <t>vehicle-miles</t>
  </si>
  <si>
    <t>lanes</t>
  </si>
  <si>
    <t>Note that values are retrieved from the first column since all columns are equal.</t>
  </si>
  <si>
    <t>veichle-hours</t>
  </si>
  <si>
    <t>Vehicle-Hours of Travel Time × Vehicle Occupancy</t>
  </si>
  <si>
    <t>North Segment</t>
  </si>
  <si>
    <t>J/P</t>
  </si>
  <si>
    <t>Mileage</t>
  </si>
  <si>
    <t>Construction</t>
  </si>
  <si>
    <t>E&amp;C</t>
  </si>
  <si>
    <t>Design</t>
  </si>
  <si>
    <t>Right of Way</t>
  </si>
  <si>
    <t>Ask</t>
  </si>
  <si>
    <t>Previously Incurred</t>
  </si>
  <si>
    <t>Source: ODOT</t>
  </si>
  <si>
    <t>Project Cost Data</t>
  </si>
  <si>
    <t>Cost Distribution by Year</t>
  </si>
  <si>
    <t>Anticipated Costs</t>
  </si>
  <si>
    <t>Source: Assumed</t>
  </si>
  <si>
    <t>Total Anticipated Costs</t>
  </si>
  <si>
    <t>Total Previously Incurred Costs</t>
  </si>
  <si>
    <t>South Segment</t>
  </si>
  <si>
    <t>General</t>
  </si>
  <si>
    <t>Percentage of Automobiles</t>
  </si>
  <si>
    <t>Location-Specific Inputs</t>
  </si>
  <si>
    <t>Growth of Average Annual Daily Traffic</t>
  </si>
  <si>
    <t>Affected Length</t>
  </si>
  <si>
    <t>Free-Flow Speed</t>
  </si>
  <si>
    <t>Value of Travel Time Savings – Automobiles</t>
  </si>
  <si>
    <t>Value of Travel Time Savings – Trucks</t>
  </si>
  <si>
    <t>Vehicle Occupancy – Trucks</t>
  </si>
  <si>
    <t>Vehicle Occupancy – Automobiles</t>
  </si>
  <si>
    <t>Length* (miles)</t>
  </si>
  <si>
    <t>AADT* (vehicles/day)</t>
  </si>
  <si>
    <t>Capacity*
(vphpl)</t>
  </si>
  <si>
    <t>Alpha*</t>
  </si>
  <si>
    <t>Beta*</t>
  </si>
  <si>
    <t>California DOT, Cal-B/C v8.1 Table: Demand for Travel during Peak Period. (2021)</t>
  </si>
  <si>
    <t>Vehicle Type Distribution</t>
  </si>
  <si>
    <t>VTTS – Automobiles</t>
  </si>
  <si>
    <t>VTTS – Trucks</t>
  </si>
  <si>
    <t>Grand Total</t>
  </si>
  <si>
    <t>Discount Rates</t>
  </si>
  <si>
    <t>Technical Support Document: Estimating the Benefit per Ton of Reducing PM2.5 Precursors from 17 Sectors (February 2018)”
https://www.epa.gov/sites/default/files/2018-02/documents/sourceapportionmentbpttsd_2018.pdf
NOX, SOX, and PM2.5 values are inflated from 2015 to 2020 dollars using the GDP deflator.
Social Cost of Carbon, Methane, and Nitrous Oxide Interim Estimates under Executive Order 13990 (February 2021)
https://www.whitehouse.gov/wp-content/uploads/2021/02/TechnicalSupportDocument_SocialCostofCarbonMethaneNitrousOxide.pdf
Note: Fuel saved (gasoline, diesel, natural gas, etc.) can be converted into metric tons of emissions using EPA guidelines available at https://www.epa.gov/energy/greenhouse-gases-equivalencies-calculator-calculations-and-references
Note: The recommended values for reducing CO2 emissions reported in Table A-6 represent the values of future economic damages that can be avoided by reducing emissions in each future year by one metric ton. After using per-ton values to estimate the total value of reducing CO2 emissions in any future year, the result must be further discounted to its present value as of the analysis year used in the BCA, also using a 3 percent discount rate.
*Applicants should carefully note whether their emissions data is reported in short tons or metric tons. A metric ton is equal to 1.1015 short tons.
**Applicants should be careful to not apply the PM2.5 value to estimates of total emissions of PM10.</t>
  </si>
  <si>
    <t>Table A-6: Damage Costs for Emissions per Metric Ton</t>
  </si>
  <si>
    <t>Source: USDOT Benefit-Cost Analysis Guidance for Discretionary Grant Programs. March 2022 (Revised).</t>
  </si>
  <si>
    <t>MOVES run for Combination Short-haul Trucks and Passenger Cars in McClain County, Oklahoma (Retrieved May 6, 2022)</t>
  </si>
  <si>
    <t>Values for years between 2020, 2030, 2040, 2050, 2060 are linearly interpolated.</t>
  </si>
  <si>
    <t>Severity</t>
  </si>
  <si>
    <t>Speed during Peak Hours (mph)</t>
  </si>
  <si>
    <t>Vehicle-Hours of Delays × Vehicle Occupancy</t>
  </si>
  <si>
    <t>Annual Volume during Peak Period</t>
  </si>
  <si>
    <t>Average Delays during Peak Period per Vehicle</t>
  </si>
  <si>
    <t>Vehicle-Hours of Delays during Peak Period</t>
  </si>
  <si>
    <t>Person-Hours of Delays during Peak Period</t>
  </si>
  <si>
    <t>by Vehicle Type</t>
  </si>
  <si>
    <t>by Location</t>
  </si>
  <si>
    <t>Benefit Source</t>
  </si>
  <si>
    <t>Emission Factors (g/mi)</t>
  </si>
  <si>
    <t>"Automobiles" refers to passenger cars and "Trucks" refers to combination short-haul diesel trucks.</t>
  </si>
  <si>
    <t>Speeds in mph. Factors in g/mi.</t>
  </si>
  <si>
    <t>Proxy Speed for Idling</t>
  </si>
  <si>
    <t>Interstate speeds rounded to nearest multiple of 5.</t>
  </si>
  <si>
    <t>SH speeds represent proxy speed for idling.</t>
  </si>
  <si>
    <t>All Vehicles</t>
  </si>
  <si>
    <t>Annual Growth of Average Annual Daily Traffic</t>
  </si>
  <si>
    <t>Calculated</t>
  </si>
  <si>
    <t xml:space="preserve">[Index numbers, 2012=100] Seasonally adjusted </t>
  </si>
  <si>
    <t>Adjustment Factor, 2022$ to 2020$</t>
  </si>
  <si>
    <t>Bureau of Economic Analysis, National Income and Product Accounts, Table 1.1.9, “Implicit Price Deflators for Gross Domestic Product” (Accessed May 10, 2022).
Adjustment factor based on 2022 Q1 relative to 2020.</t>
  </si>
  <si>
    <t>Adjustment Factors</t>
  </si>
  <si>
    <t>Implicit Price Deflators for GDP</t>
  </si>
  <si>
    <t>Source: Bureau of Economic Analysis, Table 1.1.9. Implicit Price Deflators for Gross Domestic Product.</t>
  </si>
  <si>
    <t>Price Deflators</t>
  </si>
  <si>
    <t>O&amp;M</t>
  </si>
  <si>
    <t>Eng. &amp; Construction Management</t>
  </si>
  <si>
    <t>Years of Analysis</t>
  </si>
  <si>
    <t>Timeline</t>
  </si>
  <si>
    <t>Useful Life of Project</t>
  </si>
  <si>
    <t>Years</t>
  </si>
  <si>
    <t>Environmental</t>
  </si>
  <si>
    <t>Distribution</t>
  </si>
  <si>
    <t>Source: ODOT Safety Branch</t>
  </si>
  <si>
    <t>Accident Distribution</t>
  </si>
  <si>
    <t>Average Number of Accidents per Year</t>
  </si>
  <si>
    <t>Crash Modification Factor</t>
  </si>
  <si>
    <t>Pavement Maintenance</t>
  </si>
  <si>
    <t>Bridge Maintenance</t>
  </si>
  <si>
    <t>42 lane-miles of asphalt resurface every 10 years</t>
  </si>
  <si>
    <t>28 lane-miles of asphalt resurface every 7 years (due to increased traffic)</t>
  </si>
  <si>
    <t>Replace 20 lane-miles of concrete at year 20</t>
  </si>
  <si>
    <t>Center-line striping every 5 years</t>
  </si>
  <si>
    <t>Center-line striping every 5 years (Love County)</t>
  </si>
  <si>
    <t>Silane treatment for 3x new bridges</t>
  </si>
  <si>
    <t>Center-line striping for McClain county w/ resurface</t>
  </si>
  <si>
    <t>Bridge rehab at SH-153 ~2030</t>
  </si>
  <si>
    <t>Rehab boxes ~2035</t>
  </si>
  <si>
    <t>Annual routine maintenance:</t>
  </si>
  <si>
    <t>Environmental Benefits</t>
  </si>
  <si>
    <t>O&amp;M Costs</t>
  </si>
  <si>
    <t>Percentage</t>
  </si>
  <si>
    <t>Annual Routine Maintenance</t>
  </si>
  <si>
    <t>Used in: Volume and Speed</t>
  </si>
  <si>
    <t>Annual Volume</t>
  </si>
  <si>
    <t>Time of Day</t>
  </si>
  <si>
    <t>Peak</t>
  </si>
  <si>
    <t>Non-Peak</t>
  </si>
  <si>
    <t>Volume during Peak and Non-Peak Periods</t>
  </si>
  <si>
    <t>Volume × Percentage of Daily Travel during Period</t>
  </si>
  <si>
    <t>Vehicle-Hours of Travel Time</t>
  </si>
  <si>
    <t>Vehicle Miles Travelled</t>
  </si>
  <si>
    <t>Reduction in Vehicle-Hours of Travel Time</t>
  </si>
  <si>
    <t>Peak Period Speed</t>
  </si>
  <si>
    <t>Non-Peak Period Speed</t>
  </si>
  <si>
    <t>Person-Hours of Travel Time</t>
  </si>
  <si>
    <t>Volume by Vehicle Type</t>
  </si>
  <si>
    <t>Volume × Delays per Vehicle</t>
  </si>
  <si>
    <t>Summary of Results 
(Discounted 2020$)</t>
  </si>
  <si>
    <t>Improve roadway safety from increasing the number of lanes.</t>
  </si>
  <si>
    <t>Reduced Emissions</t>
  </si>
  <si>
    <t>Improved travel time reliability from reducing delays experienced at interchanges during peak hours.</t>
  </si>
  <si>
    <t>Reduced O&amp;M Costs</t>
  </si>
  <si>
    <t>Note:</t>
  </si>
  <si>
    <t>Volume and Speed</t>
  </si>
  <si>
    <t>- Emissions calculated for interstates are derived from VMT based on vehicle speeds</t>
  </si>
  <si>
    <t>VMT for SHs calculated as:
Vehicle-Hours of Delays × Proxy Speed</t>
  </si>
  <si>
    <t xml:space="preserve">- Emissions calculated for state highways (SHs) are derived from idling during delays at the interchange. The delay times are converted to hypothetical VMTs by multiplying with a proxy speed of 2.5 mph. </t>
  </si>
  <si>
    <t>Project Design</t>
  </si>
  <si>
    <t>Formula Parameters and Estimated 2045 Speeds</t>
  </si>
  <si>
    <t>* No change between No-Build and Build scenarios</t>
  </si>
  <si>
    <t>Free-Flow Speed* (mph)</t>
  </si>
  <si>
    <t>2045 Speed Estimation</t>
  </si>
  <si>
    <t>Percent of Daily Travel during Peak Period</t>
  </si>
  <si>
    <t>Back to Inputs Tab</t>
  </si>
  <si>
    <t>Calculated; used to generate year labels</t>
  </si>
  <si>
    <t>2016 to 2020 accident data from ODOT.</t>
  </si>
  <si>
    <t>Assumption; 2.5mph is the lowest speed bin in the MOVES emission factors, and is used to estimate the amount of emissions emitted when idling during delays.</t>
  </si>
  <si>
    <t>Inputs whose values are not relevant to the model are shaded in dark grey.</t>
  </si>
  <si>
    <t>Project cost data from ODOT.</t>
  </si>
  <si>
    <t>accidents/year</t>
  </si>
  <si>
    <t>Accident Distribution – Fatality</t>
  </si>
  <si>
    <t>Accident Distribution – Injury</t>
  </si>
  <si>
    <t>Accident Distribution – PDO</t>
  </si>
  <si>
    <t>Location Specific Demand Assumptions</t>
  </si>
  <si>
    <t>minutes/vehicle</t>
  </si>
  <si>
    <t>2021 AM, No Build</t>
  </si>
  <si>
    <t>2021 PM, No Build</t>
  </si>
  <si>
    <t>2050 AM, Build</t>
  </si>
  <si>
    <t>2050 PM, No Build</t>
  </si>
  <si>
    <t>2050 AM, No Build</t>
  </si>
  <si>
    <t>2021 AM, Build</t>
  </si>
  <si>
    <t>2021 PM, Build</t>
  </si>
  <si>
    <t>2050 PM, Build</t>
  </si>
  <si>
    <t>2026, No Build</t>
  </si>
  <si>
    <t>2045, No Build</t>
  </si>
  <si>
    <t>2026, Build</t>
  </si>
  <si>
    <t>2045, Build</t>
  </si>
  <si>
    <t>Travel time reliability improvements from reduced delays at SH-9W (North Segment) and SH-153 (South Segment)</t>
  </si>
  <si>
    <t>Comment</t>
  </si>
  <si>
    <t>Interpolated using exponential growth</t>
  </si>
  <si>
    <t>Interpolated using compounded annual growth</t>
  </si>
  <si>
    <t>Subset</t>
  </si>
  <si>
    <t>Lookup values</t>
  </si>
  <si>
    <t>Average of speed data provided by Oklahoma Department of Transportation.</t>
  </si>
  <si>
    <t xml:space="preserve">Values are interpolated using compounded annual growth. Values are the same in No-Build and Build scenarios. </t>
  </si>
  <si>
    <t>Values are interpolated using compounded annual growth.</t>
  </si>
  <si>
    <t>Introduction</t>
  </si>
  <si>
    <t>Demand</t>
  </si>
  <si>
    <t>Travel Time Savings from Lane Increase</t>
  </si>
  <si>
    <t>Travel Time Savings from Interchange Redesign</t>
  </si>
  <si>
    <t>Annual Routine Maintenance, No-Build</t>
  </si>
  <si>
    <t>Annual Routine Maintenance, Build</t>
  </si>
  <si>
    <t>2022$</t>
  </si>
  <si>
    <t>Number of Lanes, No Build</t>
  </si>
  <si>
    <t>Number of Lanes, Build</t>
  </si>
  <si>
    <t>Pavement Maintenance, No-Build</t>
  </si>
  <si>
    <t>Pavement Maintenance, Build</t>
  </si>
  <si>
    <t>Bridge Maintenance, No-Build</t>
  </si>
  <si>
    <t>Bridge Maintenance, Build</t>
  </si>
  <si>
    <t>$7,000,000 every 10 years to resurface 42 lane-miles of asphalt; 
$125,000 every 5 years for center-line striping; 
$14,000,000 after 20 years to replace 20 lane-miles of concrete.</t>
  </si>
  <si>
    <t>$4,700,000 every 7 years to resurface 28 lane-miles of asphalt;
$25,000 every 5 years for center-line striping;
$14,000,000 after 20 years to replace 20 lane-miles of concrete.</t>
  </si>
  <si>
    <t>Silane treatment for three new bridges.</t>
  </si>
  <si>
    <t>$1,000,000 for bridge rehabilitation in 2030; $1,000,000 for bridge rehabilitation in 2035.</t>
  </si>
  <si>
    <t>O&amp;M, Residual</t>
  </si>
  <si>
    <t>Conclusion</t>
  </si>
  <si>
    <t>Total Travel Time Savings</t>
  </si>
  <si>
    <t>Total Safety Benefits</t>
  </si>
  <si>
    <t>Total Environmental Sustainability Benefits</t>
  </si>
  <si>
    <t>Total State of Good Repair Benefits</t>
  </si>
  <si>
    <t>Avoided Cost of GHG Emissions</t>
  </si>
  <si>
    <t>Avoided Cost of CAC Emissions</t>
  </si>
  <si>
    <t>Assumed values as per U.S. DOT Benefit-Cost Analysis Guidance for Discretionary Grant Programs, March 2022.</t>
  </si>
  <si>
    <t>AADT (vehicles/day)</t>
  </si>
  <si>
    <t>Speed (mph)</t>
  </si>
  <si>
    <t>Delays (minutes/vehicle)</t>
  </si>
  <si>
    <t>Volume (vehicles/year)</t>
  </si>
  <si>
    <t>Vehicle Miles Travelled (vehicle-miles/year)</t>
  </si>
  <si>
    <t>ODOT.</t>
  </si>
  <si>
    <t>Delays (hours/vehicle)</t>
  </si>
  <si>
    <t>CMF Clearinghouse. CMF ID: 7924; CMF Name: Increase from 4 lanes to 6 lanes.</t>
  </si>
  <si>
    <t>From Increased Speed</t>
  </si>
  <si>
    <t>Demand projection assumptions</t>
  </si>
  <si>
    <t>Demand projections</t>
  </si>
  <si>
    <t>Assumptions used in the estimation of travel time savings</t>
  </si>
  <si>
    <t>Vehicle type distribution</t>
  </si>
  <si>
    <t>Estimated travel time savings</t>
  </si>
  <si>
    <t>Assumptions used in the estimation of safety benefits</t>
  </si>
  <si>
    <t>Estimated safety benefits</t>
  </si>
  <si>
    <t>Assumptions used in the estimation of environmental sustainability benefits</t>
  </si>
  <si>
    <t>Estimated environmental sustainability benefits</t>
  </si>
  <si>
    <t>Assumptions used in the estimation of state of good repair benefits</t>
  </si>
  <si>
    <t>Estimated state of good repair benefits</t>
  </si>
  <si>
    <t>Overall results of the benefit-cost analysis (millions of 2020$)</t>
  </si>
  <si>
    <t>Sensitivity analysis</t>
  </si>
  <si>
    <t>Baseline</t>
  </si>
  <si>
    <t>No change</t>
  </si>
  <si>
    <t>BCR</t>
  </si>
  <si>
    <t>Decrease 2050 delays by 25%</t>
  </si>
  <si>
    <t>Increase 2050 delays by 25%</t>
  </si>
  <si>
    <t>Alpha, beta, and capacity based on Equation 8-1 and Equation 8-7b from Dowling et al. (1997).</t>
  </si>
  <si>
    <t>Number of Peak Period Hours – AM</t>
  </si>
  <si>
    <t>Number of Peak Period Hours – PM</t>
  </si>
  <si>
    <t>Number of Non-Peak Period Hours</t>
  </si>
  <si>
    <t xml:space="preserve">Assumed that volume is negligible for 6 hours each day (e.g., 12 AM to 6 AM); remaining 18 hours minus the peak period hours is the number of non-peak period hours. </t>
  </si>
  <si>
    <t>Percent of Daily Travel during Non-Peak Hours</t>
  </si>
  <si>
    <t>Heavy Vehicle Adjustment Factor (Fhv)</t>
  </si>
  <si>
    <t>Based on speed on I-35 (N) and I-35 (S)</t>
  </si>
  <si>
    <t xml:space="preserve">** Speed and length are not relevant for calculating benefits related to interchange redesign </t>
  </si>
  <si>
    <t>* No change between no-build and build scenarios</t>
  </si>
  <si>
    <t>Volume during Period × Segment Length</t>
  </si>
  <si>
    <t>Average of speed data provided by ODOT</t>
  </si>
  <si>
    <t>Assumed based on characteristics and classes of the roads; values are in line with posted speed limits.</t>
  </si>
  <si>
    <t>Values from ODOT. Variables defined in Equation 8-7b of Dowling et al. (1997).</t>
  </si>
  <si>
    <t>Capacity Adjustment Factors</t>
  </si>
  <si>
    <t>Fhv*</t>
  </si>
  <si>
    <t>PHF*</t>
  </si>
  <si>
    <t>2022 Average Observed Speed</t>
  </si>
  <si>
    <t>Peak-Hour Factor (PHF)</t>
  </si>
  <si>
    <t>Number of Peak Hours</t>
  </si>
  <si>
    <t>Change discount rates to 3%</t>
  </si>
  <si>
    <t>Decrease total number of peak hours to 3</t>
  </si>
  <si>
    <t>Increase total number of peak hours to 6</t>
  </si>
  <si>
    <t>Summary of infrastructure improvements and associated benefits</t>
  </si>
  <si>
    <t>Improved travel times from increased speeds as a result of lane additions.</t>
  </si>
  <si>
    <t>Avoided emissions from reduced idling times at the SH-9W and SH-153 interchanges.</t>
  </si>
  <si>
    <t>Reduced incremental O&amp;M from reconstructing infrastructure beyond state of good repair</t>
  </si>
  <si>
    <t>Incremental O&amp;M Costs</t>
  </si>
  <si>
    <t>Benefit categories and expected alignment with project requirements</t>
  </si>
  <si>
    <t>2026 Peak, No Build</t>
  </si>
  <si>
    <t>2026 Peak, Build</t>
  </si>
  <si>
    <t>2045 Peak, No Build</t>
  </si>
  <si>
    <t>2045 Peak, Build</t>
  </si>
  <si>
    <t>2026 Non-Peak, No Build</t>
  </si>
  <si>
    <t>2026 Non-Peak, Build</t>
  </si>
  <si>
    <t>2045 Non-Peak, No Build</t>
  </si>
  <si>
    <t>2045 Non-Peak, Build</t>
  </si>
  <si>
    <t>2045 values estimated using methodology in NCHRP 387.</t>
  </si>
  <si>
    <t>Avoided Fatality Costs</t>
  </si>
  <si>
    <t>Avoided Injury Costs</t>
  </si>
  <si>
    <t>Avoided PDO Costs</t>
  </si>
  <si>
    <t xml:space="preserve">Pavement </t>
  </si>
  <si>
    <t xml:space="preserve">Bridge </t>
  </si>
  <si>
    <t>Annual Routine Costs</t>
  </si>
  <si>
    <t>Incremental O&amp;M Savings</t>
  </si>
  <si>
    <t>Increase annual rate of growth by 0.5pp</t>
  </si>
  <si>
    <t>Decrease annual rate of growth by 0.5pp</t>
  </si>
  <si>
    <t>Unit</t>
  </si>
  <si>
    <t>Nitrogen Oxides (NOx)</t>
  </si>
  <si>
    <t>$/metric ton</t>
  </si>
  <si>
    <t>Varies by year</t>
  </si>
  <si>
    <t>Sulfur Oxides (SOx)</t>
  </si>
  <si>
    <t>Fine Particulate Matter (PM2.5)</t>
  </si>
  <si>
    <t>Carbon Dioxide (CO2)</t>
  </si>
  <si>
    <t>NOx Emission Rate</t>
  </si>
  <si>
    <t>grams/mile</t>
  </si>
  <si>
    <t>Varies by year, speed, and vehicle</t>
  </si>
  <si>
    <t>Estimates from MOVES run based on McClain County, Oklahoma. Speed bins of 2.5 mph were used to represent idling vehicles. Truck data is based on combination short-haul trucks using diesel fuel. Values were gathered for 2020, 2030, 2040, 2050, and 2060, and interpolation was used to estimate years in-between.</t>
  </si>
  <si>
    <t>SOx Emission Rate</t>
  </si>
  <si>
    <t>PM2.5 Emission Rate</t>
  </si>
  <si>
    <t>CO2 Emission Rate</t>
  </si>
  <si>
    <t>O&amp;M Cost Schedule</t>
  </si>
  <si>
    <t>Sensitivity Analysis Inputs</t>
  </si>
  <si>
    <t>Volume (percentage point change in AADT annual growth rate)</t>
  </si>
  <si>
    <t>Number of peak hours (add/subtract from AM and PM)</t>
  </si>
  <si>
    <t>Delays Multiplier (multiplied by 2050 delays)</t>
  </si>
  <si>
    <t>Cost multiplier (multiplied against all costs)</t>
  </si>
  <si>
    <t>undiscounted</t>
  </si>
  <si>
    <t xml:space="preserve">I-35 </t>
  </si>
  <si>
    <t>2020$ per 2023$</t>
  </si>
  <si>
    <t>I-35</t>
  </si>
  <si>
    <t>2021$/hour</t>
  </si>
  <si>
    <t>2021$/accident</t>
  </si>
  <si>
    <t>2022</t>
  </si>
  <si>
    <t>$16,600</t>
  </si>
  <si>
    <t>$44,300</t>
  </si>
  <si>
    <t>$796,700</t>
  </si>
  <si>
    <t>$56</t>
  </si>
  <si>
    <t>2023</t>
  </si>
  <si>
    <t>$16,800</t>
  </si>
  <si>
    <t>$45,100</t>
  </si>
  <si>
    <t>$810,500</t>
  </si>
  <si>
    <t>$57</t>
  </si>
  <si>
    <t>2024</t>
  </si>
  <si>
    <t>$17,000</t>
  </si>
  <si>
    <t>$46,000</t>
  </si>
  <si>
    <t>$824,500</t>
  </si>
  <si>
    <t>$58</t>
  </si>
  <si>
    <t>2025</t>
  </si>
  <si>
    <t>$17,200</t>
  </si>
  <si>
    <t>$46,900</t>
  </si>
  <si>
    <t>$838,800</t>
  </si>
  <si>
    <t>$59</t>
  </si>
  <si>
    <t>2026</t>
  </si>
  <si>
    <t>$17,500</t>
  </si>
  <si>
    <t>$47,800</t>
  </si>
  <si>
    <t>$852,100</t>
  </si>
  <si>
    <t>$60</t>
  </si>
  <si>
    <t>2027</t>
  </si>
  <si>
    <t>$17,900</t>
  </si>
  <si>
    <t>$48,700</t>
  </si>
  <si>
    <t>$865,600</t>
  </si>
  <si>
    <t>$61</t>
  </si>
  <si>
    <t>2028</t>
  </si>
  <si>
    <t>$18,200</t>
  </si>
  <si>
    <t>$49,500</t>
  </si>
  <si>
    <t>$879,400</t>
  </si>
  <si>
    <t>$62</t>
  </si>
  <si>
    <t>2029</t>
  </si>
  <si>
    <t>$18,600</t>
  </si>
  <si>
    <t>$50,400</t>
  </si>
  <si>
    <t>$893,400</t>
  </si>
  <si>
    <t>$63</t>
  </si>
  <si>
    <t>2030</t>
  </si>
  <si>
    <t>$18,900</t>
  </si>
  <si>
    <t>$51,300</t>
  </si>
  <si>
    <t>$907,600</t>
  </si>
  <si>
    <t>$65</t>
  </si>
  <si>
    <t>2031</t>
  </si>
  <si>
    <t>$66</t>
  </si>
  <si>
    <t>2032</t>
  </si>
  <si>
    <t>$67</t>
  </si>
  <si>
    <t>2033</t>
  </si>
  <si>
    <t>$68</t>
  </si>
  <si>
    <t>2034</t>
  </si>
  <si>
    <t>$69</t>
  </si>
  <si>
    <t>2035</t>
  </si>
  <si>
    <t>$70</t>
  </si>
  <si>
    <t>2036</t>
  </si>
  <si>
    <t>$72</t>
  </si>
  <si>
    <t>2037</t>
  </si>
  <si>
    <t>$73</t>
  </si>
  <si>
    <t>2038</t>
  </si>
  <si>
    <t>$74</t>
  </si>
  <si>
    <t>2039</t>
  </si>
  <si>
    <t>$75</t>
  </si>
  <si>
    <t>2040</t>
  </si>
  <si>
    <t>$76</t>
  </si>
  <si>
    <t>2041</t>
  </si>
  <si>
    <t>$78</t>
  </si>
  <si>
    <t>2042</t>
  </si>
  <si>
    <t>$79</t>
  </si>
  <si>
    <t>2043</t>
  </si>
  <si>
    <t>$80</t>
  </si>
  <si>
    <t>2044</t>
  </si>
  <si>
    <t>$81</t>
  </si>
  <si>
    <t>2045</t>
  </si>
  <si>
    <t>$82</t>
  </si>
  <si>
    <t>2046</t>
  </si>
  <si>
    <t>$84</t>
  </si>
  <si>
    <t>2047</t>
  </si>
  <si>
    <t>$85</t>
  </si>
  <si>
    <t>2048</t>
  </si>
  <si>
    <t>$86</t>
  </si>
  <si>
    <t>2049</t>
  </si>
  <si>
    <t>$87</t>
  </si>
  <si>
    <t>2050</t>
  </si>
  <si>
    <t>$88</t>
  </si>
  <si>
    <t>Note: Values are in 2023$</t>
  </si>
  <si>
    <t>Project Costs by Location (2023$)</t>
  </si>
  <si>
    <t>CMF: Increase from 4 lanes to 6 lanes</t>
  </si>
  <si>
    <t>Annual Growth of AADT – I-35</t>
  </si>
  <si>
    <t>Right of Way &amp; Utilities</t>
  </si>
  <si>
    <t>Contingency</t>
  </si>
  <si>
    <t>Adjusted Project Costs by Location (deflated to 2021$)</t>
  </si>
  <si>
    <t>Project Costs by Year (2021$)</t>
  </si>
  <si>
    <t>Last Revised on: July 27, 2023 - Next Release Date August 30, 2023</t>
  </si>
  <si>
    <t>2021(Q2)</t>
  </si>
  <si>
    <t>2022(Q2)</t>
  </si>
  <si>
    <t>2023(Q2)</t>
  </si>
  <si>
    <t>Adjustment Factor to 2021 dollars</t>
  </si>
  <si>
    <t>I-35  Peak</t>
  </si>
  <si>
    <t>I-35  Non-Peak</t>
  </si>
  <si>
    <t>(2021$/metric ton)</t>
  </si>
  <si>
    <t>I-35 Peak</t>
  </si>
  <si>
    <t>I-35 Non-Peak</t>
  </si>
  <si>
    <t>Right of Way &amp; Utilities Relocation</t>
  </si>
  <si>
    <t>Note: Design, Right of Way, and Utilities are previously incurred costs and are assumed to be split in between 2022 and 2024.</t>
  </si>
  <si>
    <t>Discounted (2021$)</t>
  </si>
  <si>
    <t>Undiscounted (2021$)</t>
  </si>
  <si>
    <t>- Savings associated with I-35 result from increased speeds due to increasing the number of lanes.</t>
  </si>
  <si>
    <t>Capital costs by year (2021$)</t>
  </si>
  <si>
    <t>I-35 values are calculated using AADT and segment length; see emissions section for more details.</t>
  </si>
  <si>
    <t xml:space="preserve">ODOT. Values for I-35 represent averages of multiple traffic counts along both segments. </t>
  </si>
  <si>
    <t>Discounted (2021$) - in milllions</t>
  </si>
  <si>
    <t>Based on speed on I-35</t>
  </si>
  <si>
    <t>Vehicle Miles Travelled (I-35)</t>
  </si>
  <si>
    <t xml:space="preserve">ODOT. Values for I-35 (N) represent averages of multiple traffic counts along both segments. </t>
  </si>
  <si>
    <t>Avoided Accident Costs (2021$)</t>
  </si>
  <si>
    <t>Avoided Accident Costs by Severity (2021$)</t>
  </si>
  <si>
    <t>Accident Costs (2021$)</t>
  </si>
  <si>
    <t>2048 Estimate</t>
  </si>
  <si>
    <t>Average Delay, No Build – 2048 AM</t>
  </si>
  <si>
    <t>Average Delay, No Build – 2048 PM</t>
  </si>
  <si>
    <t>Average Delay, Build – 2048 AM</t>
  </si>
  <si>
    <t>Average Delay, Build – 2048 PM</t>
  </si>
  <si>
    <t>Average Delay, No Build – 2022 AM</t>
  </si>
  <si>
    <t>Average Delay, No Build – 2022 PM</t>
  </si>
  <si>
    <t>Average Delay, Build – 2022 AM</t>
  </si>
  <si>
    <t>Average Delay, Build – 2022 PM</t>
  </si>
  <si>
    <t>Delays Savings</t>
  </si>
  <si>
    <t xml:space="preserve"> Delays Savings</t>
  </si>
  <si>
    <t>Hours</t>
  </si>
  <si>
    <t>SH-74 Interchange/Bridge</t>
  </si>
  <si>
    <t>I-35 North (Section) Widening</t>
  </si>
  <si>
    <t>I-35 South (Section) Widening</t>
  </si>
  <si>
    <t>Note: Emission costs for 2020 are set to 0 for convenience (to avoid lookup errors). Since 2020 falls outside the project schedule, this has no effect on the analysis.</t>
  </si>
  <si>
    <t>Oklahoma Department of Transportation</t>
  </si>
  <si>
    <t>Rural 2023 Grant Application</t>
  </si>
  <si>
    <t xml:space="preserve"> I-35 Capacity Improvements MPDG BCA</t>
  </si>
  <si>
    <t>Average Annual Daily Traffic – 2022</t>
  </si>
  <si>
    <t>Average Annual Daily Traffic – 2052</t>
  </si>
  <si>
    <t>U.S. DOT Benefit-Cost Analysis Guidance for Discretionary Grant Programs, Table A-1, "Value of Reduced Fatalities and Injuries" (January 2023)</t>
  </si>
  <si>
    <t>US DOT, Benefit-Cost Analysis Guidance for Discretionary Grants Program, Januay 2022 Revised; Table A-6.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</si>
</sst>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8">
    <numFmt numFmtId="6" formatCode="&quot;$&quot;#,##0_);[Red]\(&quot;$&quot;#,##0\)"/>
    <numFmt numFmtId="7" formatCode="&quot;$&quot;#,##0.00_);\(&quot;$&quot;#,##0.00\)"/>
    <numFmt numFmtId="42" formatCode="_(&quot;$&quot;* #,##0_);_(&quot;$&quot;* \(#,##0\);_(&quot;$&quot;* &quot;-&quot;_);_(@_)"/>
    <numFmt numFmtId="44" formatCode="_(&quot;$&quot;* #,##0.00_);_(&quot;$&quot;* \(#,##0.00\);_(&quot;$&quot;* &quot;-&quot;??_);_(@_)"/>
    <numFmt numFmtId="164" formatCode="&quot;$&quot;#,##0.00"/>
    <numFmt numFmtId="165" formatCode="&quot;$&quot;#,##0"/>
    <numFmt numFmtId="166" formatCode="0.0%"/>
    <numFmt numFmtId="167" formatCode="0.0000"/>
    <numFmt numFmtId="168" formatCode="0.000"/>
    <numFmt numFmtId="169" formatCode="&quot;$&quot;#,##0;\-&quot;$&quot;#,##0;&quot;-&quot;_)"/>
    <numFmt numFmtId="170" formatCode="#,##0;\-#,##0;&quot;-&quot;_)"/>
    <numFmt numFmtId="171" formatCode="0.0"/>
    <numFmt numFmtId="172" formatCode="#,##0.0"/>
    <numFmt numFmtId="173" formatCode="&quot;$&quot;#,##0.0_);\(&quot;$&quot;#,##0.0\)"/>
    <numFmt numFmtId="174" formatCode="&quot;$&quot;#,##0.0,,\ &quot;M&quot;;\-&quot;$&quot;#,##0.0,,\ &quot;M&quot;;&quot;$&quot;\ &quot;-&quot;"/>
    <numFmt numFmtId="175" formatCode="#,##0%"/>
    <numFmt numFmtId="176" formatCode="#,##0.0000"/>
    <numFmt numFmtId="177" formatCode="0.00000"/>
    <numFmt numFmtId="178" formatCode="_(&quot;$&quot;* #,##0_);_(&quot;$&quot;* \(#,##0\);_(&quot;$&quot;* &quot;-&quot;??_);_(@_)"/>
    <numFmt numFmtId="179" formatCode="#,##0.00;\-#,##0.00;&quot;-&quot;_)"/>
    <numFmt numFmtId="180" formatCode="0.0000000"/>
    <numFmt numFmtId="181" formatCode="&quot;$&quot;#,##0.0,,;\-&quot;$&quot;#,##0.0,,;&quot;$&quot;\ &quot;-&quot;"/>
    <numFmt numFmtId="182" formatCode="#,##0;;&quot;-&quot;"/>
    <numFmt numFmtId="183" formatCode="#,##0.0;;&quot;-&quot;"/>
    <numFmt numFmtId="184" formatCode="#,##0.000"/>
    <numFmt numFmtId="185" formatCode="&quot;$&quot;#,##0.0"/>
    <numFmt numFmtId="186" formatCode="#,##0.0%"/>
    <numFmt numFmtId="187" formatCode="[$-409]mmmm\ d\,\ yyyy;@"/>
  </numFmts>
  <fonts count="65" x14ac:knownFonts="1">
    <font>
      <sz val="11"/>
      <name val="Arial"/>
      <family val="2"/>
      <scheme val="minor"/>
    </font>
    <font>
      <sz val="11"/>
      <color theme="1"/>
      <name val="Arial"/>
      <family val="2"/>
      <scheme val="minor"/>
    </font>
    <font>
      <b/>
      <sz val="11"/>
      <color theme="0"/>
      <name val="Arial"/>
      <family val="2"/>
      <scheme val="minor"/>
    </font>
    <font>
      <sz val="11"/>
      <color theme="0"/>
      <name val="Arial"/>
      <family val="2"/>
      <scheme val="minor"/>
    </font>
    <font>
      <b/>
      <sz val="11"/>
      <name val="Arial"/>
      <family val="2"/>
      <scheme val="minor"/>
    </font>
    <font>
      <b/>
      <sz val="14"/>
      <color theme="4" tint="-0.499984740745262"/>
      <name val="Arial"/>
      <family val="2"/>
      <scheme val="minor"/>
    </font>
    <font>
      <i/>
      <sz val="11"/>
      <name val="Arial"/>
      <family val="2"/>
      <scheme val="minor"/>
    </font>
    <font>
      <b/>
      <sz val="18"/>
      <color theme="3"/>
      <name val="Arial"/>
      <family val="2"/>
      <scheme val="major"/>
    </font>
    <font>
      <sz val="14"/>
      <color theme="0"/>
      <name val="Arial"/>
      <family val="2"/>
      <scheme val="minor"/>
    </font>
    <font>
      <sz val="11"/>
      <color theme="3"/>
      <name val="Arial"/>
      <family val="2"/>
      <scheme val="major"/>
    </font>
    <font>
      <sz val="11"/>
      <name val="Arial"/>
      <family val="2"/>
      <scheme val="minor"/>
    </font>
    <font>
      <u/>
      <sz val="11"/>
      <color theme="10"/>
      <name val="Arial"/>
      <family val="2"/>
      <scheme val="minor"/>
    </font>
    <font>
      <i/>
      <u/>
      <sz val="11"/>
      <color theme="10"/>
      <name val="Arial"/>
      <family val="2"/>
      <scheme val="minor"/>
    </font>
    <font>
      <b/>
      <sz val="11"/>
      <color theme="3"/>
      <name val="Arial"/>
      <family val="2"/>
      <scheme val="minor"/>
    </font>
    <font>
      <b/>
      <sz val="11"/>
      <color theme="1"/>
      <name val="Arial"/>
      <family val="2"/>
      <scheme val="minor"/>
    </font>
    <font>
      <sz val="12"/>
      <name val="Arial"/>
      <family val="2"/>
      <scheme val="minor"/>
    </font>
    <font>
      <sz val="11"/>
      <color theme="3"/>
      <name val="Arial"/>
      <family val="2"/>
      <scheme val="minor"/>
    </font>
    <font>
      <sz val="11"/>
      <color theme="2" tint="-0.249977111117893"/>
      <name val="Arial"/>
      <family val="2"/>
      <scheme val="minor"/>
    </font>
    <font>
      <b/>
      <sz val="12"/>
      <color theme="3"/>
      <name val="Arial"/>
      <family val="2"/>
      <scheme val="minor"/>
    </font>
    <font>
      <b/>
      <sz val="12"/>
      <name val="Arial"/>
      <family val="2"/>
      <scheme val="minor"/>
    </font>
    <font>
      <b/>
      <sz val="9"/>
      <color theme="0"/>
      <name val="Arial"/>
      <family val="2"/>
      <scheme val="minor"/>
    </font>
    <font>
      <sz val="9"/>
      <color theme="1"/>
      <name val="Arial"/>
      <family val="2"/>
      <scheme val="minor"/>
    </font>
    <font>
      <sz val="10"/>
      <name val="Arial"/>
      <family val="2"/>
      <scheme val="major"/>
    </font>
    <font>
      <sz val="9"/>
      <name val="Arial"/>
      <family val="2"/>
      <scheme val="minor"/>
    </font>
    <font>
      <b/>
      <sz val="9"/>
      <name val="Arial"/>
      <family val="2"/>
      <scheme val="minor"/>
    </font>
    <font>
      <sz val="10"/>
      <name val="Arial"/>
      <family val="2"/>
      <scheme val="minor"/>
    </font>
    <font>
      <b/>
      <sz val="9"/>
      <name val="Arial"/>
      <family val="2"/>
      <scheme val="major"/>
    </font>
    <font>
      <u/>
      <sz val="11"/>
      <color theme="10"/>
      <name val="Calibri"/>
      <family val="2"/>
    </font>
    <font>
      <b/>
      <i/>
      <sz val="10"/>
      <name val="Arial"/>
      <family val="2"/>
    </font>
    <font>
      <sz val="10"/>
      <name val="Arial"/>
      <family val="2"/>
    </font>
    <font>
      <sz val="10"/>
      <color indexed="16"/>
      <name val="Arial"/>
      <family val="2"/>
    </font>
    <font>
      <b/>
      <sz val="10"/>
      <color indexed="18"/>
      <name val="Arial"/>
      <family val="2"/>
    </font>
    <font>
      <b/>
      <sz val="10"/>
      <name val="Arial"/>
      <family val="2"/>
    </font>
    <font>
      <i/>
      <sz val="10"/>
      <name val="Arial"/>
      <family val="2"/>
    </font>
    <font>
      <sz val="18"/>
      <color theme="3"/>
      <name val="Arial"/>
      <family val="2"/>
      <scheme val="major"/>
    </font>
    <font>
      <b/>
      <u val="singleAccounting"/>
      <sz val="11"/>
      <color theme="1"/>
      <name val="Arial"/>
      <family val="2"/>
      <scheme val="minor"/>
    </font>
    <font>
      <b/>
      <i/>
      <sz val="11"/>
      <name val="Arial"/>
      <family val="2"/>
      <scheme val="minor"/>
    </font>
    <font>
      <sz val="11"/>
      <color theme="1" tint="0.34998626667073579"/>
      <name val="Arial"/>
      <family val="2"/>
      <scheme val="minor"/>
    </font>
    <font>
      <b/>
      <sz val="18"/>
      <color theme="4" tint="-0.499984740745262"/>
      <name val="Arial"/>
      <family val="2"/>
      <scheme val="major"/>
    </font>
    <font>
      <sz val="18"/>
      <color theme="4" tint="-0.499984740745262"/>
      <name val="Arial"/>
      <family val="2"/>
      <scheme val="minor"/>
    </font>
    <font>
      <sz val="18"/>
      <name val="Arial"/>
      <family val="2"/>
      <scheme val="minor"/>
    </font>
    <font>
      <sz val="9"/>
      <color indexed="81"/>
      <name val="Tahoma"/>
      <family val="2"/>
    </font>
    <font>
      <b/>
      <sz val="9"/>
      <color indexed="81"/>
      <name val="Tahoma"/>
      <family val="2"/>
    </font>
    <font>
      <b/>
      <sz val="9"/>
      <color rgb="FFFFFFFF"/>
      <name val="Arial"/>
      <family val="2"/>
      <scheme val="minor"/>
    </font>
    <font>
      <b/>
      <i/>
      <sz val="9"/>
      <color rgb="FF000000"/>
      <name val="Arial"/>
      <family val="2"/>
      <scheme val="minor"/>
    </font>
    <font>
      <sz val="9"/>
      <color rgb="FF000000"/>
      <name val="Arial"/>
      <family val="2"/>
      <scheme val="minor"/>
    </font>
    <font>
      <b/>
      <sz val="9"/>
      <color rgb="FF000000"/>
      <name val="Arial"/>
      <family val="2"/>
      <scheme val="minor"/>
    </font>
    <font>
      <b/>
      <u/>
      <sz val="11"/>
      <name val="Arial"/>
      <family val="2"/>
      <scheme val="minor"/>
    </font>
    <font>
      <sz val="8"/>
      <name val="Arial"/>
      <family val="2"/>
      <scheme val="minor"/>
    </font>
    <font>
      <b/>
      <u/>
      <sz val="11"/>
      <color theme="1"/>
      <name val="Arial"/>
      <family val="2"/>
      <scheme val="minor"/>
    </font>
    <font>
      <b/>
      <sz val="11"/>
      <color theme="5"/>
      <name val="Arial"/>
      <family val="2"/>
      <scheme val="minor"/>
    </font>
    <font>
      <sz val="11"/>
      <color theme="5"/>
      <name val="Arial"/>
      <family val="2"/>
      <scheme val="minor"/>
    </font>
    <font>
      <sz val="11"/>
      <color rgb="FFFF0000"/>
      <name val="Arial"/>
      <family val="2"/>
      <scheme val="minor"/>
    </font>
    <font>
      <sz val="12"/>
      <color theme="1"/>
      <name val="Times New Roman"/>
      <family val="1"/>
    </font>
    <font>
      <b/>
      <sz val="18"/>
      <color theme="9" tint="-0.249977111117893"/>
      <name val="Arial"/>
      <family val="2"/>
      <scheme val="major"/>
    </font>
    <font>
      <b/>
      <sz val="14"/>
      <color theme="9" tint="-0.249977111117893"/>
      <name val="Arial"/>
      <family val="2"/>
      <scheme val="minor"/>
    </font>
    <font>
      <sz val="11"/>
      <color theme="9" tint="-0.249977111117893"/>
      <name val="Arial"/>
      <family val="2"/>
      <scheme val="minor"/>
    </font>
    <font>
      <b/>
      <sz val="11"/>
      <color theme="9" tint="-0.249977111117893"/>
      <name val="Arial"/>
      <family val="2"/>
      <scheme val="minor"/>
    </font>
    <font>
      <b/>
      <sz val="10"/>
      <color theme="9" tint="-0.249977111117893"/>
      <name val="Arial"/>
      <family val="2"/>
      <scheme val="minor"/>
    </font>
    <font>
      <b/>
      <u/>
      <sz val="14"/>
      <color theme="9" tint="-0.249977111117893"/>
      <name val="Arial"/>
      <family val="2"/>
      <scheme val="minor"/>
    </font>
    <font>
      <b/>
      <sz val="14"/>
      <name val="Arial"/>
      <family val="2"/>
      <scheme val="minor"/>
    </font>
    <font>
      <b/>
      <sz val="12"/>
      <color theme="0"/>
      <name val="Arial"/>
      <family val="2"/>
    </font>
    <font>
      <sz val="9"/>
      <color theme="0"/>
      <name val="Arial"/>
      <family val="2"/>
    </font>
    <font>
      <sz val="10"/>
      <color theme="0"/>
      <name val="Arial"/>
      <family val="2"/>
      <scheme val="minor"/>
    </font>
    <font>
      <b/>
      <sz val="14"/>
      <color theme="9"/>
      <name val="Arial"/>
      <family val="2"/>
      <scheme val="minor"/>
    </font>
  </fonts>
  <fills count="16">
    <fill>
      <patternFill patternType="none"/>
    </fill>
    <fill>
      <patternFill patternType="gray125"/>
    </fill>
    <fill>
      <patternFill patternType="solid">
        <fgColor theme="4"/>
      </patternFill>
    </fill>
    <fill>
      <patternFill patternType="solid">
        <fgColor theme="4" tint="-0.24994659260841701"/>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0.59996337778862885"/>
        <bgColor indexed="64"/>
      </patternFill>
    </fill>
    <fill>
      <patternFill patternType="solid">
        <fgColor theme="2" tint="0.79998168889431442"/>
        <bgColor indexed="64"/>
      </patternFill>
    </fill>
    <fill>
      <patternFill patternType="solid">
        <fgColor indexed="26"/>
        <bgColor indexed="64"/>
      </patternFill>
    </fill>
    <fill>
      <patternFill patternType="solid">
        <fgColor theme="7" tint="0.79998168889431442"/>
        <bgColor indexed="64"/>
      </patternFill>
    </fill>
    <fill>
      <patternFill patternType="solid">
        <fgColor rgb="FFEDEDEB"/>
        <bgColor indexed="64"/>
      </patternFill>
    </fill>
    <fill>
      <patternFill patternType="solid">
        <fgColor rgb="FFFFC000"/>
        <bgColor indexed="64"/>
      </patternFill>
    </fill>
    <fill>
      <patternFill patternType="solid">
        <fgColor theme="2" tint="0.59999389629810485"/>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9" tint="0.59999389629810485"/>
        <bgColor indexed="64"/>
      </patternFill>
    </fill>
  </fills>
  <borders count="108">
    <border>
      <left/>
      <right/>
      <top/>
      <bottom/>
      <diagonal/>
    </border>
    <border>
      <left/>
      <right/>
      <top/>
      <bottom style="medium">
        <color theme="4" tint="0.39997558519241921"/>
      </bottom>
      <diagonal/>
    </border>
    <border>
      <left/>
      <right/>
      <top style="thin">
        <color theme="4"/>
      </top>
      <bottom style="double">
        <color theme="4"/>
      </bottom>
      <diagonal/>
    </border>
    <border>
      <left/>
      <right/>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bottom/>
      <diagonal/>
    </border>
    <border>
      <left style="thin">
        <color theme="2" tint="-0.249977111117893"/>
      </left>
      <right/>
      <top/>
      <bottom/>
      <diagonal/>
    </border>
    <border>
      <left style="thin">
        <color theme="2" tint="-0.249977111117893"/>
      </left>
      <right/>
      <top/>
      <bottom style="thin">
        <color theme="2" tint="-0.249977111117893"/>
      </bottom>
      <diagonal/>
    </border>
    <border>
      <left/>
      <right/>
      <top style="thin">
        <color theme="2" tint="-0.249977111117893"/>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bottom style="thin">
        <color rgb="FFA6A6A6"/>
      </bottom>
      <diagonal/>
    </border>
    <border>
      <left/>
      <right/>
      <top style="thin">
        <color rgb="FFA6A6A6"/>
      </top>
      <bottom style="thin">
        <color rgb="FFA6A6A6"/>
      </bottom>
      <diagonal/>
    </border>
    <border>
      <left/>
      <right style="thin">
        <color theme="0" tint="-0.34998626667073579"/>
      </right>
      <top/>
      <bottom style="thin">
        <color rgb="FFA6A6A6"/>
      </bottom>
      <diagonal/>
    </border>
    <border>
      <left/>
      <right style="thin">
        <color theme="0" tint="-0.34998626667073579"/>
      </right>
      <top style="thin">
        <color rgb="FFA6A6A6"/>
      </top>
      <bottom style="thin">
        <color rgb="FFA6A6A6"/>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2" tint="-0.249977111117893"/>
      </bottom>
      <diagonal/>
    </border>
    <border>
      <left/>
      <right style="thin">
        <color indexed="64"/>
      </right>
      <top/>
      <bottom style="thin">
        <color theme="2" tint="-0.249977111117893"/>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theme="2" tint="-0.249977111117893"/>
      </right>
      <top/>
      <bottom style="thin">
        <color indexed="64"/>
      </bottom>
      <diagonal/>
    </border>
    <border>
      <left style="thin">
        <color indexed="64"/>
      </left>
      <right/>
      <top style="thin">
        <color theme="2" tint="-0.249977111117893"/>
      </top>
      <bottom/>
      <diagonal/>
    </border>
    <border>
      <left/>
      <right style="thin">
        <color indexed="64"/>
      </right>
      <top style="thin">
        <color theme="2" tint="-0.249977111117893"/>
      </top>
      <bottom/>
      <diagonal/>
    </border>
    <border>
      <left style="thin">
        <color indexed="64"/>
      </left>
      <right/>
      <top style="thin">
        <color theme="2" tint="-0.249977111117893"/>
      </top>
      <bottom style="thin">
        <color indexed="64"/>
      </bottom>
      <diagonal/>
    </border>
    <border>
      <left/>
      <right style="thin">
        <color indexed="64"/>
      </right>
      <top style="thin">
        <color theme="2" tint="-0.249977111117893"/>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2" tint="-0.249977111117893"/>
      </top>
      <bottom style="thin">
        <color indexed="64"/>
      </bottom>
      <diagonal/>
    </border>
    <border>
      <left/>
      <right style="thin">
        <color indexed="64"/>
      </right>
      <top style="thin">
        <color theme="2" tint="-0.249977111117893"/>
      </top>
      <bottom style="thin">
        <color theme="2" tint="-0.249977111117893"/>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77111117893"/>
      </top>
      <bottom style="thin">
        <color theme="0" tint="-0.249977111117893"/>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indexed="64"/>
      </right>
      <top style="thin">
        <color theme="0" tint="-0.249977111117893"/>
      </top>
      <bottom style="thin">
        <color indexed="64"/>
      </bottom>
      <diagonal/>
    </border>
    <border>
      <left style="thin">
        <color indexed="64"/>
      </left>
      <right/>
      <top style="thin">
        <color theme="0" tint="-0.249977111117893"/>
      </top>
      <bottom style="thin">
        <color theme="0" tint="-0.249977111117893"/>
      </bottom>
      <diagonal/>
    </border>
    <border>
      <left style="thin">
        <color indexed="64"/>
      </left>
      <right/>
      <top/>
      <bottom style="thin">
        <color theme="0" tint="-0.249977111117893"/>
      </bottom>
      <diagonal/>
    </border>
    <border>
      <left/>
      <right style="thin">
        <color indexed="64"/>
      </right>
      <top/>
      <bottom style="thin">
        <color theme="0" tint="-0.249977111117893"/>
      </bottom>
      <diagonal/>
    </border>
    <border>
      <left style="thin">
        <color indexed="64"/>
      </left>
      <right/>
      <top style="thin">
        <color theme="0" tint="-0.249977111117893"/>
      </top>
      <bottom style="thin">
        <color indexed="64"/>
      </bottom>
      <diagonal/>
    </border>
    <border>
      <left/>
      <right/>
      <top style="thin">
        <color theme="0" tint="-0.249977111117893"/>
      </top>
      <bottom style="thin">
        <color indexed="64"/>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bottom style="thin">
        <color theme="0" tint="-0.24994659260841701"/>
      </bottom>
      <diagonal/>
    </border>
    <border>
      <left/>
      <right style="thin">
        <color indexed="64"/>
      </right>
      <top/>
      <bottom style="thin">
        <color theme="0" tint="-0.24994659260841701"/>
      </bottom>
      <diagonal/>
    </border>
    <border>
      <left style="thin">
        <color theme="0" tint="-0.249977111117893"/>
      </left>
      <right style="thin">
        <color indexed="64"/>
      </right>
      <top style="thin">
        <color theme="0" tint="-0.24994659260841701"/>
      </top>
      <bottom style="thin">
        <color theme="0" tint="-0.24994659260841701"/>
      </bottom>
      <diagonal/>
    </border>
    <border>
      <left style="thin">
        <color theme="0" tint="-0.249977111117893"/>
      </left>
      <right style="thin">
        <color indexed="64"/>
      </right>
      <top style="thin">
        <color theme="0" tint="-0.24994659260841701"/>
      </top>
      <bottom/>
      <diagonal/>
    </border>
    <border>
      <left style="thin">
        <color theme="0" tint="-0.249977111117893"/>
      </left>
      <right style="thin">
        <color indexed="64"/>
      </right>
      <top style="thin">
        <color theme="0" tint="-0.24994659260841701"/>
      </top>
      <bottom style="thin">
        <color indexed="64"/>
      </bottom>
      <diagonal/>
    </border>
    <border>
      <left style="thin">
        <color theme="0" tint="-0.249977111117893"/>
      </left>
      <right style="thin">
        <color indexed="64"/>
      </right>
      <top/>
      <bottom style="thin">
        <color indexed="64"/>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tint="-0.249977111117893"/>
      </left>
      <right style="thin">
        <color indexed="64"/>
      </right>
      <top style="thin">
        <color theme="0" tint="-0.24994659260841701"/>
      </top>
      <bottom style="thin">
        <color theme="0" tint="-0.249977111117893"/>
      </bottom>
      <diagonal/>
    </border>
    <border>
      <left style="thin">
        <color indexed="64"/>
      </left>
      <right/>
      <top style="thin">
        <color rgb="FFA6A6A6"/>
      </top>
      <bottom style="thin">
        <color rgb="FFA6A6A6"/>
      </bottom>
      <diagonal/>
    </border>
    <border>
      <left style="thin">
        <color theme="0" tint="-0.34998626667073579"/>
      </left>
      <right style="thin">
        <color indexed="64"/>
      </right>
      <top style="thin">
        <color rgb="FFA6A6A6"/>
      </top>
      <bottom style="thin">
        <color rgb="FFA6A6A6"/>
      </bottom>
      <diagonal/>
    </border>
    <border>
      <left style="thin">
        <color indexed="64"/>
      </left>
      <right/>
      <top style="thin">
        <color rgb="FFA6A6A6"/>
      </top>
      <bottom style="thin">
        <color indexed="64"/>
      </bottom>
      <diagonal/>
    </border>
    <border>
      <left/>
      <right/>
      <top style="thin">
        <color rgb="FFA6A6A6"/>
      </top>
      <bottom style="thin">
        <color indexed="64"/>
      </bottom>
      <diagonal/>
    </border>
    <border>
      <left style="thin">
        <color theme="0" tint="-0.34998626667073579"/>
      </left>
      <right style="thin">
        <color indexed="64"/>
      </right>
      <top style="thin">
        <color rgb="FFA6A6A6"/>
      </top>
      <bottom style="thin">
        <color indexed="64"/>
      </bottom>
      <diagonal/>
    </border>
    <border>
      <left style="thin">
        <color indexed="64"/>
      </left>
      <right/>
      <top/>
      <bottom style="thin">
        <color rgb="FFA6A6A6"/>
      </bottom>
      <diagonal/>
    </border>
    <border>
      <left/>
      <right style="thin">
        <color indexed="64"/>
      </right>
      <top/>
      <bottom style="thin">
        <color rgb="FFA6A6A6"/>
      </bottom>
      <diagonal/>
    </border>
    <border>
      <left/>
      <right style="thin">
        <color indexed="64"/>
      </right>
      <top style="thin">
        <color rgb="FFA6A6A6"/>
      </top>
      <bottom style="thin">
        <color rgb="FFA6A6A6"/>
      </bottom>
      <diagonal/>
    </border>
    <border>
      <left style="thin">
        <color indexed="64"/>
      </left>
      <right/>
      <top style="thin">
        <color theme="0" tint="-0.24994659260841701"/>
      </top>
      <bottom/>
      <diagonal/>
    </border>
    <border>
      <left style="thin">
        <color theme="0" tint="-0.249977111117893"/>
      </left>
      <right style="thin">
        <color indexed="64"/>
      </right>
      <top/>
      <bottom style="thin">
        <color theme="0" tint="-0.24994659260841701"/>
      </bottom>
      <diagonal/>
    </border>
    <border>
      <left style="thin">
        <color theme="0" tint="-0.249977111117893"/>
      </left>
      <right style="thin">
        <color indexed="64"/>
      </right>
      <top/>
      <bottom/>
      <diagonal/>
    </border>
    <border>
      <left style="thin">
        <color theme="0" tint="-0.34998626667073579"/>
      </left>
      <right style="thin">
        <color indexed="64"/>
      </right>
      <top/>
      <bottom style="thin">
        <color rgb="FFA6A6A6"/>
      </bottom>
      <diagonal/>
    </border>
    <border>
      <left/>
      <right/>
      <top style="thin">
        <color indexed="64"/>
      </top>
      <bottom style="thin">
        <color theme="2" tint="-0.249977111117893"/>
      </bottom>
      <diagonal/>
    </border>
    <border>
      <left/>
      <right style="thin">
        <color indexed="64"/>
      </right>
      <top style="thin">
        <color indexed="64"/>
      </top>
      <bottom style="thin">
        <color theme="2" tint="-0.249977111117893"/>
      </bottom>
      <diagonal/>
    </border>
    <border>
      <left style="thin">
        <color theme="2" tint="-0.249977111117893"/>
      </left>
      <right/>
      <top/>
      <bottom style="thin">
        <color indexed="64"/>
      </bottom>
      <diagonal/>
    </border>
    <border>
      <left style="thin">
        <color indexed="64"/>
      </left>
      <right/>
      <top style="thin">
        <color theme="2" tint="-0.249977111117893"/>
      </top>
      <bottom style="thin">
        <color theme="2" tint="-0.249977111117893"/>
      </bottom>
      <diagonal/>
    </border>
    <border>
      <left style="thin">
        <color theme="2" tint="-0.249977111117893"/>
      </left>
      <right/>
      <top style="thin">
        <color indexed="64"/>
      </top>
      <bottom style="thin">
        <color theme="2" tint="-0.249977111117893"/>
      </bottom>
      <diagonal/>
    </border>
    <border>
      <left/>
      <right style="thin">
        <color theme="2" tint="-0.249977111117893"/>
      </right>
      <top style="thin">
        <color indexed="64"/>
      </top>
      <bottom style="thin">
        <color theme="2" tint="-0.249977111117893"/>
      </bottom>
      <diagonal/>
    </border>
  </borders>
  <cellStyleXfs count="21">
    <xf numFmtId="0" fontId="0" fillId="0" borderId="0" applyProtection="0">
      <alignment horizontal="left" vertical="center" indent="1"/>
    </xf>
    <xf numFmtId="9" fontId="1" fillId="0" borderId="0" applyFont="0" applyFill="0" applyBorder="0" applyAlignment="0" applyProtection="0"/>
    <xf numFmtId="0" fontId="3" fillId="2" borderId="0" applyNumberFormat="0" applyBorder="0" applyAlignment="0" applyProtection="0"/>
    <xf numFmtId="0" fontId="7" fillId="0" borderId="0" applyNumberFormat="0" applyFill="0" applyBorder="0" applyAlignment="0" applyProtection="0"/>
    <xf numFmtId="3" fontId="10" fillId="0" borderId="0" applyFont="0" applyFill="0" applyBorder="0" applyAlignment="0" applyProtection="0"/>
    <xf numFmtId="165" fontId="10" fillId="0" borderId="0" applyFont="0" applyFill="0" applyBorder="0" applyAlignment="0" applyProtection="0">
      <alignment vertical="center"/>
    </xf>
    <xf numFmtId="42" fontId="10" fillId="0" borderId="0" applyFont="0" applyFill="0" applyBorder="0" applyAlignment="0" applyProtection="0"/>
    <xf numFmtId="0" fontId="11" fillId="0" borderId="0" applyNumberFormat="0" applyFill="0" applyBorder="0" applyAlignment="0" applyProtection="0">
      <alignment horizontal="left" vertical="center" indent="1"/>
    </xf>
    <xf numFmtId="0" fontId="5" fillId="0" borderId="0" applyNumberFormat="0" applyFill="0" applyAlignment="0" applyProtection="0"/>
    <xf numFmtId="0" fontId="8" fillId="3" borderId="0" applyNumberFormat="0" applyBorder="0" applyAlignment="0" applyProtection="0"/>
    <xf numFmtId="0" fontId="13" fillId="0" borderId="1" applyNumberFormat="0" applyFill="0" applyAlignment="0" applyProtection="0"/>
    <xf numFmtId="0" fontId="13" fillId="0" borderId="0" applyNumberFormat="0" applyFill="0" applyBorder="0" applyAlignment="0" applyProtection="0"/>
    <xf numFmtId="0" fontId="14" fillId="0" borderId="2" applyNumberFormat="0" applyFill="0" applyAlignment="0" applyProtection="0"/>
    <xf numFmtId="1" fontId="4" fillId="6" borderId="0" applyNumberFormat="0" applyBorder="0" applyProtection="0">
      <alignment horizontal="left" vertical="center" indent="1"/>
    </xf>
    <xf numFmtId="0" fontId="8" fillId="3" borderId="0" applyBorder="0" applyAlignment="0" applyProtection="0"/>
    <xf numFmtId="0" fontId="5" fillId="0" borderId="0" applyFill="0" applyAlignment="0" applyProtection="0"/>
    <xf numFmtId="0" fontId="27" fillId="0" borderId="0" applyNumberFormat="0" applyFill="0" applyBorder="0" applyAlignment="0" applyProtection="0">
      <alignment vertical="top"/>
      <protection locked="0"/>
    </xf>
    <xf numFmtId="9" fontId="29" fillId="0" borderId="0" applyFont="0" applyFill="0" applyBorder="0" applyAlignment="0" applyProtection="0"/>
    <xf numFmtId="0" fontId="6" fillId="0" borderId="0" applyNumberFormat="0" applyFill="0" applyBorder="0" applyAlignment="0" applyProtection="0"/>
    <xf numFmtId="182" fontId="10" fillId="0" borderId="0" applyFont="0" applyFill="0" applyBorder="0" applyAlignment="0" applyProtection="0"/>
    <xf numFmtId="0" fontId="10" fillId="0" borderId="0" applyNumberFormat="0" applyFill="0" applyBorder="0" applyProtection="0">
      <alignment horizontal="left" vertical="center"/>
    </xf>
  </cellStyleXfs>
  <cellXfs count="830">
    <xf numFmtId="0" fontId="0" fillId="0" borderId="0" xfId="0">
      <alignment horizontal="left" vertical="center" indent="1"/>
    </xf>
    <xf numFmtId="0" fontId="4" fillId="0" borderId="0" xfId="0" applyFont="1">
      <alignment horizontal="left" vertical="center" indent="1"/>
    </xf>
    <xf numFmtId="0" fontId="0" fillId="0" borderId="0" xfId="0" applyAlignment="1">
      <alignment horizontal="right" vertical="center" indent="1"/>
    </xf>
    <xf numFmtId="0" fontId="5" fillId="0" borderId="0" xfId="0" applyFont="1">
      <alignment horizontal="left" vertical="center" indent="1"/>
    </xf>
    <xf numFmtId="0" fontId="2" fillId="0" borderId="0" xfId="2" applyFont="1" applyFill="1" applyBorder="1" applyAlignment="1">
      <alignment horizontal="left" vertical="center" indent="1"/>
    </xf>
    <xf numFmtId="3" fontId="0" fillId="0" borderId="0" xfId="0" applyNumberFormat="1" applyAlignment="1">
      <alignment horizontal="right" vertical="center" indent="1"/>
    </xf>
    <xf numFmtId="0" fontId="4" fillId="0" borderId="0" xfId="2" applyFont="1" applyFill="1" applyBorder="1" applyAlignment="1">
      <alignment horizontal="left" vertical="center" indent="1"/>
    </xf>
    <xf numFmtId="2" fontId="0" fillId="0" borderId="0" xfId="0" applyNumberFormat="1">
      <alignment horizontal="left" vertical="center" indent="1"/>
    </xf>
    <xf numFmtId="2" fontId="4" fillId="0" borderId="0" xfId="0" applyNumberFormat="1" applyFont="1">
      <alignment horizontal="left" vertical="center" indent="1"/>
    </xf>
    <xf numFmtId="0" fontId="6" fillId="0" borderId="0" xfId="0" applyFont="1">
      <alignment horizontal="left" vertical="center" indent="1"/>
    </xf>
    <xf numFmtId="0" fontId="7" fillId="0" borderId="0" xfId="3" applyBorder="1" applyAlignment="1">
      <alignment horizontal="left" vertical="center" indent="1"/>
    </xf>
    <xf numFmtId="2" fontId="0" fillId="0" borderId="0" xfId="0" applyNumberFormat="1" applyAlignment="1">
      <alignment horizontal="right" vertical="center" indent="1"/>
    </xf>
    <xf numFmtId="1" fontId="0" fillId="0" borderId="0" xfId="0" applyNumberFormat="1">
      <alignment horizontal="left" vertical="center" indent="1"/>
    </xf>
    <xf numFmtId="1" fontId="2" fillId="0" borderId="0" xfId="2" applyNumberFormat="1" applyFont="1" applyFill="1" applyBorder="1" applyAlignment="1">
      <alignment horizontal="left" vertical="center" indent="1"/>
    </xf>
    <xf numFmtId="0" fontId="3" fillId="0" borderId="0" xfId="0" applyFont="1">
      <alignment horizontal="left" vertical="center" indent="1"/>
    </xf>
    <xf numFmtId="0" fontId="8" fillId="0" borderId="0" xfId="0" applyFont="1">
      <alignment horizontal="left" vertical="center" indent="1"/>
    </xf>
    <xf numFmtId="165" fontId="0" fillId="0" borderId="0" xfId="0" applyNumberFormat="1" applyAlignment="1">
      <alignment horizontal="right" vertical="center" indent="1"/>
    </xf>
    <xf numFmtId="4" fontId="0" fillId="0" borderId="0" xfId="0" applyNumberFormat="1" applyAlignment="1">
      <alignment horizontal="right" vertical="center" indent="1"/>
    </xf>
    <xf numFmtId="0" fontId="9" fillId="0" borderId="0" xfId="3" applyFont="1" applyBorder="1" applyAlignment="1">
      <alignment horizontal="left" vertical="center" indent="1"/>
    </xf>
    <xf numFmtId="3" fontId="4" fillId="0" borderId="0" xfId="0" applyNumberFormat="1" applyFont="1" applyAlignment="1">
      <alignment horizontal="right" vertical="center" indent="1"/>
    </xf>
    <xf numFmtId="2" fontId="4" fillId="0" borderId="0" xfId="0" applyNumberFormat="1" applyFont="1" applyAlignment="1">
      <alignment horizontal="right" vertical="center" indent="1"/>
    </xf>
    <xf numFmtId="0" fontId="12" fillId="0" borderId="0" xfId="7" applyFont="1" applyBorder="1">
      <alignment horizontal="left" vertical="center" indent="1"/>
    </xf>
    <xf numFmtId="165" fontId="0" fillId="0" borderId="0" xfId="5" applyFont="1" applyAlignment="1">
      <alignment horizontal="right" vertical="center" indent="1"/>
    </xf>
    <xf numFmtId="165" fontId="0" fillId="0" borderId="0" xfId="5" applyFont="1" applyBorder="1" applyAlignment="1">
      <alignment horizontal="right" vertical="center" indent="1"/>
    </xf>
    <xf numFmtId="10" fontId="0" fillId="0" borderId="0" xfId="1" applyNumberFormat="1" applyFont="1" applyBorder="1" applyAlignment="1">
      <alignment horizontal="right" vertical="center" indent="1"/>
    </xf>
    <xf numFmtId="4" fontId="0" fillId="0" borderId="0" xfId="4" applyNumberFormat="1" applyFont="1" applyAlignment="1">
      <alignment horizontal="right" vertical="center" indent="1"/>
    </xf>
    <xf numFmtId="165" fontId="4" fillId="0" borderId="0" xfId="5" applyFont="1" applyFill="1" applyBorder="1" applyAlignment="1">
      <alignment horizontal="right" vertical="center" indent="1"/>
    </xf>
    <xf numFmtId="165" fontId="0" fillId="0" borderId="0" xfId="5" applyFont="1" applyFill="1" applyBorder="1" applyAlignment="1">
      <alignment horizontal="right" vertical="center" indent="1"/>
    </xf>
    <xf numFmtId="1" fontId="0" fillId="0" borderId="0" xfId="0" applyNumberFormat="1" applyAlignment="1">
      <alignment horizontal="right" vertical="center" indent="1"/>
    </xf>
    <xf numFmtId="165" fontId="4" fillId="0" borderId="0" xfId="5" applyFont="1" applyBorder="1" applyAlignment="1">
      <alignment horizontal="right" vertical="center" indent="1"/>
    </xf>
    <xf numFmtId="164" fontId="0" fillId="0" borderId="0" xfId="5" applyNumberFormat="1" applyFont="1" applyBorder="1" applyAlignment="1">
      <alignment horizontal="right" vertical="center" indent="1"/>
    </xf>
    <xf numFmtId="0" fontId="5" fillId="0" borderId="0" xfId="8" applyAlignment="1">
      <alignment horizontal="left" vertical="center" indent="1"/>
    </xf>
    <xf numFmtId="0" fontId="8" fillId="3" borderId="0" xfId="9" applyBorder="1" applyAlignment="1">
      <alignment horizontal="left" vertical="center" indent="1"/>
    </xf>
    <xf numFmtId="1" fontId="4" fillId="6" borderId="0" xfId="13" applyNumberFormat="1" applyAlignment="1">
      <alignment horizontal="right" vertical="center" indent="1"/>
    </xf>
    <xf numFmtId="0" fontId="4" fillId="6" borderId="0" xfId="13" applyNumberFormat="1">
      <alignment horizontal="left" vertical="center" indent="1"/>
    </xf>
    <xf numFmtId="0" fontId="4" fillId="6" borderId="0" xfId="13" applyNumberFormat="1" applyAlignment="1">
      <alignment horizontal="right" vertical="center" indent="1"/>
    </xf>
    <xf numFmtId="0" fontId="4" fillId="6" borderId="0" xfId="13" applyNumberFormat="1" applyBorder="1">
      <alignment horizontal="left" vertical="center" indent="1"/>
    </xf>
    <xf numFmtId="0" fontId="12" fillId="0" borderId="0" xfId="7" applyFont="1" applyFill="1" applyBorder="1">
      <alignment horizontal="left" vertical="center" indent="1"/>
    </xf>
    <xf numFmtId="3" fontId="0" fillId="0" borderId="0" xfId="4" applyFont="1" applyBorder="1" applyAlignment="1">
      <alignment horizontal="right" vertical="center" indent="1"/>
    </xf>
    <xf numFmtId="0" fontId="15" fillId="0" borderId="0" xfId="0" applyFont="1" applyAlignment="1">
      <alignment horizontal="left" vertical="top" indent="1"/>
    </xf>
    <xf numFmtId="0" fontId="15" fillId="0" borderId="0" xfId="0" applyFont="1" applyAlignment="1">
      <alignment horizontal="left" vertical="top" indent="5"/>
    </xf>
    <xf numFmtId="4" fontId="4" fillId="0" borderId="0" xfId="0" applyNumberFormat="1" applyFont="1" applyAlignment="1">
      <alignment horizontal="right" vertical="center" indent="1"/>
    </xf>
    <xf numFmtId="4" fontId="0" fillId="0" borderId="0" xfId="4" applyNumberFormat="1" applyFont="1" applyBorder="1" applyAlignment="1">
      <alignment horizontal="right" vertical="center" indent="1"/>
    </xf>
    <xf numFmtId="4" fontId="0" fillId="0" borderId="0" xfId="4" applyNumberFormat="1" applyFont="1" applyFill="1" applyBorder="1" applyAlignment="1">
      <alignment horizontal="right" vertical="center" indent="1"/>
    </xf>
    <xf numFmtId="165" fontId="10" fillId="0" borderId="0" xfId="5" applyFont="1" applyFill="1" applyBorder="1" applyAlignment="1">
      <alignment horizontal="right" vertical="center" indent="1"/>
    </xf>
    <xf numFmtId="0" fontId="15" fillId="0" borderId="0" xfId="0" applyFont="1">
      <alignment horizontal="left" vertical="center" indent="1"/>
    </xf>
    <xf numFmtId="172" fontId="0" fillId="0" borderId="0" xfId="0" applyNumberFormat="1" applyAlignment="1">
      <alignment horizontal="right" vertical="center" indent="1"/>
    </xf>
    <xf numFmtId="0" fontId="21" fillId="0" borderId="0" xfId="0" applyFont="1" applyAlignment="1">
      <alignment horizontal="right" vertical="center" indent="1"/>
    </xf>
    <xf numFmtId="0" fontId="0" fillId="0" borderId="0" xfId="0" applyAlignment="1"/>
    <xf numFmtId="168" fontId="0" fillId="0" borderId="0" xfId="0" applyNumberFormat="1">
      <alignment horizontal="left" vertical="center" indent="1"/>
    </xf>
    <xf numFmtId="0" fontId="0" fillId="0" borderId="3" xfId="0" applyBorder="1">
      <alignment horizontal="left" vertical="center" indent="1"/>
    </xf>
    <xf numFmtId="171" fontId="0" fillId="0" borderId="0" xfId="0" applyNumberFormat="1" applyAlignment="1">
      <alignment horizontal="right" vertical="center" indent="1"/>
    </xf>
    <xf numFmtId="172" fontId="0" fillId="0" borderId="3" xfId="4" applyNumberFormat="1" applyFont="1" applyBorder="1" applyAlignment="1">
      <alignment horizontal="right" vertical="center" indent="1"/>
    </xf>
    <xf numFmtId="0" fontId="4" fillId="0" borderId="3" xfId="0" applyFont="1" applyBorder="1">
      <alignment horizontal="left" vertical="center" indent="1"/>
    </xf>
    <xf numFmtId="3" fontId="4" fillId="0" borderId="3" xfId="0" applyNumberFormat="1" applyFont="1" applyBorder="1" applyAlignment="1">
      <alignment horizontal="right" vertical="center" indent="1"/>
    </xf>
    <xf numFmtId="3" fontId="0" fillId="0" borderId="3" xfId="0" applyNumberFormat="1" applyBorder="1" applyAlignment="1">
      <alignment horizontal="right" vertical="center" indent="1"/>
    </xf>
    <xf numFmtId="0" fontId="4" fillId="0" borderId="4" xfId="0" applyFont="1" applyBorder="1">
      <alignment horizontal="left" vertical="center" indent="1"/>
    </xf>
    <xf numFmtId="3" fontId="4" fillId="0" borderId="4" xfId="0" applyNumberFormat="1" applyFont="1" applyBorder="1" applyAlignment="1">
      <alignment horizontal="right" vertical="center" indent="1"/>
    </xf>
    <xf numFmtId="4" fontId="0" fillId="0" borderId="3" xfId="0" applyNumberFormat="1" applyBorder="1" applyAlignment="1">
      <alignment horizontal="right" vertical="center" indent="1"/>
    </xf>
    <xf numFmtId="4" fontId="4" fillId="0" borderId="4" xfId="0" applyNumberFormat="1" applyFont="1" applyBorder="1" applyAlignment="1">
      <alignment horizontal="right" vertical="center" indent="1"/>
    </xf>
    <xf numFmtId="0" fontId="5" fillId="0" borderId="0" xfId="15" applyAlignment="1">
      <alignment horizontal="left" vertical="center" indent="1"/>
    </xf>
    <xf numFmtId="165" fontId="4" fillId="0" borderId="4" xfId="5" applyFont="1" applyBorder="1" applyAlignment="1">
      <alignment horizontal="right" vertical="center" indent="1"/>
    </xf>
    <xf numFmtId="9" fontId="0" fillId="7" borderId="0" xfId="1" applyFont="1" applyFill="1" applyBorder="1" applyAlignment="1">
      <alignment horizontal="left" vertical="center" indent="2"/>
    </xf>
    <xf numFmtId="167" fontId="0" fillId="0" borderId="0" xfId="0" applyNumberFormat="1">
      <alignment horizontal="left" vertical="center" indent="1"/>
    </xf>
    <xf numFmtId="0" fontId="15" fillId="0" borderId="0" xfId="0" applyFont="1" applyAlignment="1">
      <alignment horizontal="left" indent="1"/>
    </xf>
    <xf numFmtId="0" fontId="6" fillId="0" borderId="0" xfId="0" applyFont="1" applyAlignment="1">
      <alignment horizontal="left" vertical="center" wrapText="1" indent="1"/>
    </xf>
    <xf numFmtId="0" fontId="28" fillId="0" borderId="9" xfId="0" applyFont="1" applyBorder="1" applyAlignment="1">
      <alignment horizontal="left" vertical="center"/>
    </xf>
    <xf numFmtId="0" fontId="29" fillId="0" borderId="10" xfId="0" applyFont="1" applyBorder="1" applyAlignment="1">
      <alignment horizontal="left" vertical="center"/>
    </xf>
    <xf numFmtId="0" fontId="30" fillId="0" borderId="11" xfId="0" applyFont="1" applyBorder="1" applyAlignment="1">
      <alignment vertical="center"/>
    </xf>
    <xf numFmtId="0" fontId="28" fillId="0" borderId="12" xfId="0" applyFont="1" applyBorder="1" applyAlignment="1">
      <alignment horizontal="left" vertical="center"/>
    </xf>
    <xf numFmtId="0" fontId="31" fillId="0" borderId="0" xfId="0" applyFont="1" applyAlignment="1">
      <alignment horizontal="centerContinuous"/>
    </xf>
    <xf numFmtId="0" fontId="29" fillId="0" borderId="0" xfId="0" applyFont="1" applyAlignment="1">
      <alignment horizontal="centerContinuous"/>
    </xf>
    <xf numFmtId="0" fontId="29" fillId="0" borderId="13" xfId="0" applyFont="1" applyBorder="1" applyAlignment="1">
      <alignment vertical="center"/>
    </xf>
    <xf numFmtId="0" fontId="29" fillId="0" borderId="12" xfId="0" applyFont="1" applyBorder="1" applyAlignment="1">
      <alignment vertical="center"/>
    </xf>
    <xf numFmtId="0" fontId="30" fillId="0" borderId="0" xfId="0" applyFont="1" applyAlignment="1">
      <alignment horizontal="centerContinuous"/>
    </xf>
    <xf numFmtId="0" fontId="29" fillId="0" borderId="0" xfId="0" applyFont="1" applyAlignment="1"/>
    <xf numFmtId="0" fontId="32" fillId="8" borderId="14" xfId="0" applyFont="1" applyFill="1" applyBorder="1" applyAlignment="1">
      <alignment horizontal="center"/>
    </xf>
    <xf numFmtId="0" fontId="32" fillId="8" borderId="15" xfId="0" applyFont="1" applyFill="1" applyBorder="1" applyAlignment="1">
      <alignment horizontal="centerContinuous"/>
    </xf>
    <xf numFmtId="0" fontId="32" fillId="8" borderId="16" xfId="0" applyFont="1" applyFill="1" applyBorder="1" applyAlignment="1">
      <alignment horizontal="centerContinuous"/>
    </xf>
    <xf numFmtId="0" fontId="32" fillId="8" borderId="17" xfId="0" applyFont="1" applyFill="1" applyBorder="1" applyAlignment="1"/>
    <xf numFmtId="0" fontId="32" fillId="8" borderId="18" xfId="0" applyFont="1" applyFill="1" applyBorder="1" applyAlignment="1"/>
    <xf numFmtId="0" fontId="32" fillId="8" borderId="19" xfId="0" applyFont="1" applyFill="1" applyBorder="1" applyAlignment="1">
      <alignment horizontal="center"/>
    </xf>
    <xf numFmtId="0" fontId="32" fillId="8" borderId="20" xfId="0" applyFont="1" applyFill="1" applyBorder="1" applyAlignment="1">
      <alignment horizontal="centerContinuous"/>
    </xf>
    <xf numFmtId="0" fontId="32" fillId="8" borderId="21" xfId="0" applyFont="1" applyFill="1" applyBorder="1" applyAlignment="1">
      <alignment horizontal="centerContinuous"/>
    </xf>
    <xf numFmtId="0" fontId="32" fillId="8" borderId="22" xfId="0" applyFont="1" applyFill="1" applyBorder="1" applyAlignment="1">
      <alignment horizontal="centerContinuous"/>
    </xf>
    <xf numFmtId="0" fontId="32" fillId="8" borderId="23" xfId="0" applyFont="1" applyFill="1" applyBorder="1" applyAlignment="1">
      <alignment horizontal="centerContinuous"/>
    </xf>
    <xf numFmtId="0" fontId="32" fillId="8" borderId="24" xfId="0" applyFont="1" applyFill="1" applyBorder="1" applyAlignment="1">
      <alignment horizontal="center"/>
    </xf>
    <xf numFmtId="0" fontId="32" fillId="8" borderId="25" xfId="0" applyFont="1" applyFill="1" applyBorder="1" applyAlignment="1">
      <alignment horizontal="center"/>
    </xf>
    <xf numFmtId="0" fontId="32" fillId="8" borderId="26" xfId="0" applyFont="1" applyFill="1" applyBorder="1" applyAlignment="1">
      <alignment horizontal="center"/>
    </xf>
    <xf numFmtId="0" fontId="32" fillId="8" borderId="27" xfId="0" applyFont="1" applyFill="1" applyBorder="1" applyAlignment="1">
      <alignment horizontal="center"/>
    </xf>
    <xf numFmtId="0" fontId="30" fillId="0" borderId="14" xfId="0" applyFont="1" applyBorder="1" applyAlignment="1">
      <alignment horizontal="center"/>
    </xf>
    <xf numFmtId="166" fontId="29" fillId="0" borderId="28" xfId="0" applyNumberFormat="1" applyFont="1" applyBorder="1" applyAlignment="1">
      <alignment horizontal="center"/>
    </xf>
    <xf numFmtId="166" fontId="29" fillId="0" borderId="29" xfId="0" applyNumberFormat="1" applyFont="1" applyBorder="1" applyAlignment="1">
      <alignment horizontal="center"/>
    </xf>
    <xf numFmtId="166" fontId="29" fillId="0" borderId="30" xfId="0" applyNumberFormat="1" applyFont="1" applyBorder="1" applyAlignment="1">
      <alignment horizontal="center"/>
    </xf>
    <xf numFmtId="0" fontId="30" fillId="0" borderId="19" xfId="0" applyFont="1" applyBorder="1" applyAlignment="1">
      <alignment horizontal="center"/>
    </xf>
    <xf numFmtId="166" fontId="29" fillId="0" borderId="31" xfId="0" applyNumberFormat="1" applyFont="1" applyBorder="1" applyAlignment="1">
      <alignment horizontal="center"/>
    </xf>
    <xf numFmtId="166" fontId="29" fillId="0" borderId="32" xfId="0" applyNumberFormat="1" applyFont="1" applyBorder="1" applyAlignment="1">
      <alignment horizontal="center"/>
    </xf>
    <xf numFmtId="166" fontId="29" fillId="0" borderId="33" xfId="0" applyNumberFormat="1" applyFont="1" applyBorder="1" applyAlignment="1">
      <alignment horizontal="center"/>
    </xf>
    <xf numFmtId="0" fontId="30" fillId="0" borderId="24" xfId="0" applyFont="1" applyBorder="1" applyAlignment="1">
      <alignment horizontal="center"/>
    </xf>
    <xf numFmtId="166" fontId="29" fillId="0" borderId="34" xfId="0" applyNumberFormat="1" applyFont="1" applyBorder="1" applyAlignment="1">
      <alignment horizontal="center"/>
    </xf>
    <xf numFmtId="166" fontId="29" fillId="0" borderId="35" xfId="0" applyNumberFormat="1" applyFont="1" applyBorder="1" applyAlignment="1">
      <alignment horizontal="center"/>
    </xf>
    <xf numFmtId="166" fontId="29" fillId="0" borderId="36" xfId="0" applyNumberFormat="1" applyFont="1" applyBorder="1" applyAlignment="1">
      <alignment horizontal="center"/>
    </xf>
    <xf numFmtId="0" fontId="29" fillId="0" borderId="37" xfId="0" applyFont="1" applyBorder="1" applyAlignment="1"/>
    <xf numFmtId="0" fontId="29" fillId="0" borderId="38" xfId="0" applyFont="1" applyBorder="1" applyAlignment="1"/>
    <xf numFmtId="0" fontId="29" fillId="0" borderId="39" xfId="0" applyFont="1" applyBorder="1" applyAlignment="1"/>
    <xf numFmtId="10" fontId="33" fillId="0" borderId="0" xfId="17" applyNumberFormat="1" applyFont="1" applyFill="1" applyBorder="1" applyAlignment="1">
      <alignment horizontal="left"/>
    </xf>
    <xf numFmtId="0" fontId="33" fillId="0" borderId="0" xfId="0" applyFont="1" applyAlignment="1"/>
    <xf numFmtId="172" fontId="0" fillId="0" borderId="3" xfId="0" applyNumberFormat="1" applyBorder="1" applyAlignment="1">
      <alignment horizontal="right" vertical="center" indent="1"/>
    </xf>
    <xf numFmtId="3" fontId="0" fillId="0" borderId="0" xfId="4" applyFont="1" applyAlignment="1">
      <alignment horizontal="left" vertical="center" indent="1"/>
    </xf>
    <xf numFmtId="165" fontId="0" fillId="0" borderId="3" xfId="5" applyFont="1" applyBorder="1" applyAlignment="1">
      <alignment horizontal="right" vertical="center" indent="1"/>
    </xf>
    <xf numFmtId="166" fontId="29" fillId="0" borderId="0" xfId="0" applyNumberFormat="1" applyFont="1" applyAlignment="1">
      <alignment horizontal="center"/>
    </xf>
    <xf numFmtId="0" fontId="34" fillId="0" borderId="0" xfId="3" applyFont="1" applyBorder="1" applyAlignment="1">
      <alignment horizontal="left" vertical="center" indent="1"/>
    </xf>
    <xf numFmtId="165" fontId="4" fillId="0" borderId="3" xfId="5" applyFont="1" applyFill="1" applyBorder="1" applyAlignment="1">
      <alignment horizontal="right" vertical="center" indent="1"/>
    </xf>
    <xf numFmtId="44" fontId="14" fillId="0" borderId="0" xfId="0" applyNumberFormat="1" applyFont="1" applyAlignment="1"/>
    <xf numFmtId="0" fontId="6" fillId="0" borderId="0" xfId="18" applyBorder="1" applyAlignment="1">
      <alignment horizontal="left" vertical="center" indent="1"/>
    </xf>
    <xf numFmtId="165" fontId="0" fillId="0" borderId="0" xfId="5" applyFont="1" applyAlignment="1">
      <alignment horizontal="left" vertical="center" indent="1"/>
    </xf>
    <xf numFmtId="0" fontId="8" fillId="0" borderId="0" xfId="0" applyFont="1" applyAlignment="1">
      <alignment horizontal="right" vertical="center" indent="1"/>
    </xf>
    <xf numFmtId="1" fontId="6" fillId="0" borderId="0" xfId="18" applyNumberFormat="1" applyBorder="1" applyAlignment="1">
      <alignment horizontal="left" vertical="center" indent="1"/>
    </xf>
    <xf numFmtId="165" fontId="0" fillId="0" borderId="0" xfId="1" applyNumberFormat="1" applyFont="1" applyAlignment="1">
      <alignment horizontal="right" vertical="center" indent="1"/>
    </xf>
    <xf numFmtId="3" fontId="4" fillId="6" borderId="0" xfId="13" applyNumberFormat="1" applyBorder="1" applyAlignment="1">
      <alignment horizontal="right" vertical="center" indent="1"/>
    </xf>
    <xf numFmtId="166" fontId="0" fillId="0" borderId="0" xfId="1" applyNumberFormat="1" applyFont="1" applyBorder="1" applyAlignment="1">
      <alignment horizontal="right" vertical="center" indent="1"/>
    </xf>
    <xf numFmtId="3" fontId="0" fillId="0" borderId="0" xfId="0" applyNumberFormat="1">
      <alignment horizontal="left" vertical="center" indent="1"/>
    </xf>
    <xf numFmtId="0" fontId="11" fillId="0" borderId="0" xfId="7" applyBorder="1" applyAlignment="1">
      <alignment horizontal="left" vertical="center" indent="1"/>
    </xf>
    <xf numFmtId="0" fontId="11" fillId="0" borderId="0" xfId="7" applyAlignment="1">
      <alignment horizontal="left" vertical="center" indent="1"/>
    </xf>
    <xf numFmtId="172" fontId="0" fillId="0" borderId="0" xfId="4" applyNumberFormat="1" applyFont="1" applyBorder="1" applyAlignment="1">
      <alignment horizontal="right" vertical="center" indent="1"/>
    </xf>
    <xf numFmtId="4" fontId="0" fillId="0" borderId="3" xfId="4" applyNumberFormat="1" applyFont="1" applyBorder="1" applyAlignment="1">
      <alignment horizontal="right" vertical="center" indent="1"/>
    </xf>
    <xf numFmtId="0" fontId="36" fillId="0" borderId="0" xfId="0" applyFont="1">
      <alignment horizontal="left" vertical="center" indent="1"/>
    </xf>
    <xf numFmtId="4" fontId="4" fillId="0" borderId="3" xfId="0" applyNumberFormat="1" applyFont="1" applyBorder="1" applyAlignment="1">
      <alignment horizontal="right" vertical="center" indent="1"/>
    </xf>
    <xf numFmtId="0" fontId="36" fillId="0" borderId="3" xfId="0" applyFont="1" applyBorder="1" applyAlignment="1">
      <alignment horizontal="left" vertical="center" wrapText="1" indent="1"/>
    </xf>
    <xf numFmtId="0" fontId="36" fillId="0" borderId="3" xfId="0" applyFont="1" applyBorder="1">
      <alignment horizontal="left" vertical="center" indent="1"/>
    </xf>
    <xf numFmtId="3" fontId="0" fillId="0" borderId="0" xfId="4" applyFont="1" applyFill="1" applyBorder="1" applyAlignment="1">
      <alignment horizontal="right" vertical="center" indent="1"/>
    </xf>
    <xf numFmtId="165" fontId="4" fillId="0" borderId="3" xfId="5" applyFont="1" applyBorder="1" applyAlignment="1">
      <alignment horizontal="right" vertical="center" indent="1"/>
    </xf>
    <xf numFmtId="3" fontId="0" fillId="0" borderId="3" xfId="0" applyNumberFormat="1" applyBorder="1">
      <alignment horizontal="left" vertical="center" indent="1"/>
    </xf>
    <xf numFmtId="0" fontId="6" fillId="0" borderId="3" xfId="0" applyFont="1" applyBorder="1">
      <alignment horizontal="left" vertical="center" indent="1"/>
    </xf>
    <xf numFmtId="165" fontId="10" fillId="0" borderId="0" xfId="5" applyFont="1" applyAlignment="1">
      <alignment horizontal="right" vertical="center" indent="1"/>
    </xf>
    <xf numFmtId="165" fontId="0" fillId="0" borderId="3" xfId="5" applyFont="1" applyBorder="1" applyAlignment="1">
      <alignment horizontal="left" vertical="center" indent="1"/>
    </xf>
    <xf numFmtId="165" fontId="4" fillId="0" borderId="0" xfId="5" applyFont="1" applyFill="1" applyBorder="1" applyAlignment="1">
      <alignment horizontal="left" vertical="center" indent="1"/>
    </xf>
    <xf numFmtId="165" fontId="10" fillId="0" borderId="3" xfId="5" applyFont="1" applyFill="1" applyBorder="1" applyAlignment="1">
      <alignment horizontal="right" vertical="center" indent="1"/>
    </xf>
    <xf numFmtId="9" fontId="0" fillId="0" borderId="0" xfId="1" applyFont="1" applyFill="1" applyBorder="1" applyAlignment="1">
      <alignment horizontal="left" vertical="center" indent="1"/>
    </xf>
    <xf numFmtId="165" fontId="10" fillId="0" borderId="0" xfId="5" applyFont="1" applyAlignment="1">
      <alignment horizontal="left" vertical="center" indent="1"/>
    </xf>
    <xf numFmtId="0" fontId="0" fillId="0" borderId="0" xfId="0" applyAlignment="1">
      <alignment wrapText="1"/>
    </xf>
    <xf numFmtId="172" fontId="0" fillId="0" borderId="0" xfId="0" applyNumberFormat="1">
      <alignment horizontal="left" vertical="center" indent="1"/>
    </xf>
    <xf numFmtId="172" fontId="0" fillId="0" borderId="3" xfId="0" applyNumberFormat="1" applyBorder="1">
      <alignment horizontal="left" vertical="center" indent="1"/>
    </xf>
    <xf numFmtId="0" fontId="0" fillId="0" borderId="0" xfId="0" applyAlignment="1">
      <alignment horizontal="center" vertical="center"/>
    </xf>
    <xf numFmtId="4" fontId="0" fillId="0" borderId="3" xfId="4" applyNumberFormat="1" applyFont="1" applyFill="1" applyBorder="1" applyAlignment="1">
      <alignment horizontal="right" vertical="center" indent="1"/>
    </xf>
    <xf numFmtId="0" fontId="0" fillId="0" borderId="0" xfId="0" applyAlignment="1">
      <alignment horizontal="left" indent="1"/>
    </xf>
    <xf numFmtId="0" fontId="17" fillId="0" borderId="0" xfId="0" applyFont="1">
      <alignment horizontal="left" vertical="center" indent="1"/>
    </xf>
    <xf numFmtId="0" fontId="16" fillId="0" borderId="0" xfId="0" applyFont="1">
      <alignment horizontal="left" vertical="center" indent="1"/>
    </xf>
    <xf numFmtId="0" fontId="18" fillId="0" borderId="0" xfId="0" applyFont="1">
      <alignment horizontal="left" vertical="center" indent="1"/>
    </xf>
    <xf numFmtId="0" fontId="17" fillId="0" borderId="0" xfId="0" applyFont="1" applyAlignment="1">
      <alignment horizontal="left" vertical="center" indent="2"/>
    </xf>
    <xf numFmtId="0" fontId="16" fillId="0" borderId="0" xfId="0" applyFont="1" applyAlignment="1">
      <alignment horizontal="left" vertical="center" indent="2"/>
    </xf>
    <xf numFmtId="0" fontId="18" fillId="0" borderId="0" xfId="0" applyFont="1" applyAlignment="1">
      <alignment horizontal="left" vertical="center" indent="2"/>
    </xf>
    <xf numFmtId="0" fontId="0" fillId="0" borderId="3" xfId="0"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165" fontId="0" fillId="0" borderId="0" xfId="0" applyNumberFormat="1">
      <alignment horizontal="left" vertical="center" indent="1"/>
    </xf>
    <xf numFmtId="165" fontId="0" fillId="0" borderId="0" xfId="5" applyFont="1" applyAlignment="1"/>
    <xf numFmtId="0" fontId="37" fillId="0" borderId="0" xfId="0" applyFont="1" applyAlignment="1">
      <alignment horizontal="left" vertical="center" indent="2"/>
    </xf>
    <xf numFmtId="0" fontId="37" fillId="0" borderId="0" xfId="0" applyFont="1">
      <alignment horizontal="left" vertical="center" indent="1"/>
    </xf>
    <xf numFmtId="165" fontId="38" fillId="0" borderId="0" xfId="5" applyFont="1" applyFill="1" applyBorder="1" applyAlignment="1">
      <alignment horizontal="left" vertical="center" indent="1"/>
    </xf>
    <xf numFmtId="0" fontId="39" fillId="0" borderId="0" xfId="0" applyFont="1">
      <alignment horizontal="left" vertical="center" indent="1"/>
    </xf>
    <xf numFmtId="0" fontId="40" fillId="0" borderId="0" xfId="0" applyFont="1">
      <alignment horizontal="left" vertical="center" indent="1"/>
    </xf>
    <xf numFmtId="165" fontId="0" fillId="0" borderId="3" xfId="5" applyFont="1" applyFill="1" applyBorder="1" applyAlignment="1">
      <alignment horizontal="right" vertical="center" indent="1"/>
    </xf>
    <xf numFmtId="165" fontId="4" fillId="0" borderId="3" xfId="5" applyFont="1" applyBorder="1" applyAlignment="1">
      <alignment horizontal="left" vertical="center" indent="1"/>
    </xf>
    <xf numFmtId="165" fontId="10" fillId="0" borderId="0" xfId="5" applyFont="1" applyBorder="1" applyAlignment="1">
      <alignment horizontal="right" vertical="center" indent="1"/>
    </xf>
    <xf numFmtId="165" fontId="10" fillId="0" borderId="3" xfId="5" applyFont="1" applyBorder="1" applyAlignment="1">
      <alignment horizontal="right" vertical="center" indent="1"/>
    </xf>
    <xf numFmtId="10" fontId="0" fillId="0" borderId="0" xfId="1" applyNumberFormat="1" applyFont="1" applyAlignment="1">
      <alignment horizontal="left" vertical="center" indent="1"/>
    </xf>
    <xf numFmtId="0" fontId="23" fillId="0" borderId="0" xfId="0" applyFont="1">
      <alignment horizontal="left" vertical="center" indent="1"/>
    </xf>
    <xf numFmtId="171" fontId="0" fillId="0" borderId="0" xfId="0" applyNumberFormat="1">
      <alignment horizontal="left" vertical="center" indent="1"/>
    </xf>
    <xf numFmtId="177" fontId="0" fillId="0" borderId="0" xfId="0" applyNumberFormat="1">
      <alignment horizontal="left" vertical="center" indent="1"/>
    </xf>
    <xf numFmtId="165" fontId="4" fillId="0" borderId="0" xfId="5" applyFont="1" applyAlignment="1">
      <alignment horizontal="left" vertical="center" indent="1"/>
    </xf>
    <xf numFmtId="165" fontId="4" fillId="0" borderId="0" xfId="5" applyFont="1" applyAlignment="1">
      <alignment horizontal="right" vertical="center" indent="1"/>
    </xf>
    <xf numFmtId="0" fontId="19" fillId="0" borderId="0" xfId="0" applyFont="1">
      <alignment horizontal="left" vertical="center" indent="1"/>
    </xf>
    <xf numFmtId="0" fontId="15" fillId="0" borderId="0" xfId="0" quotePrefix="1" applyFont="1">
      <alignment horizontal="left" vertical="center" indent="1"/>
    </xf>
    <xf numFmtId="1" fontId="11" fillId="0" borderId="0" xfId="7" applyNumberFormat="1" applyAlignment="1">
      <alignment horizontal="left" vertical="center" indent="1"/>
    </xf>
    <xf numFmtId="0" fontId="25" fillId="0" borderId="0" xfId="0" applyFont="1" applyAlignment="1">
      <alignment horizontal="left" vertical="center"/>
    </xf>
    <xf numFmtId="0" fontId="22" fillId="0" borderId="0" xfId="0" applyFont="1" applyAlignment="1">
      <alignment horizontal="left" vertical="center"/>
    </xf>
    <xf numFmtId="173" fontId="25" fillId="0" borderId="0" xfId="0" applyNumberFormat="1" applyFont="1" applyAlignment="1">
      <alignment horizontal="left" vertical="center"/>
    </xf>
    <xf numFmtId="0" fontId="0" fillId="0" borderId="0" xfId="0" applyAlignment="1">
      <alignment horizontal="left" vertical="center" indent="2"/>
    </xf>
    <xf numFmtId="0" fontId="21" fillId="0" borderId="0" xfId="0" applyFont="1" applyAlignment="1">
      <alignment horizontal="left" vertical="center"/>
    </xf>
    <xf numFmtId="170" fontId="21" fillId="0" borderId="0" xfId="0" applyNumberFormat="1" applyFont="1" applyAlignment="1">
      <alignment horizontal="left" vertical="center"/>
    </xf>
    <xf numFmtId="170" fontId="21" fillId="0" borderId="0" xfId="0" applyNumberFormat="1" applyFont="1" applyAlignment="1">
      <alignment horizontal="left" vertical="center" wrapText="1"/>
    </xf>
    <xf numFmtId="0" fontId="5" fillId="0" borderId="0" xfId="15" applyAlignment="1">
      <alignment horizontal="left" vertical="center"/>
    </xf>
    <xf numFmtId="0" fontId="19" fillId="0" borderId="0" xfId="18" applyFont="1" applyBorder="1" applyAlignment="1">
      <alignment horizontal="left" vertical="center" indent="1"/>
    </xf>
    <xf numFmtId="180" fontId="0" fillId="0" borderId="0" xfId="0" applyNumberFormat="1">
      <alignment horizontal="left" vertical="center" indent="1"/>
    </xf>
    <xf numFmtId="179" fontId="21" fillId="0" borderId="0" xfId="0" applyNumberFormat="1" applyFont="1" applyAlignment="1">
      <alignment horizontal="left" vertical="center"/>
    </xf>
    <xf numFmtId="1" fontId="21" fillId="0" borderId="0" xfId="0" applyNumberFormat="1" applyFont="1" applyAlignment="1">
      <alignment horizontal="left" vertical="center"/>
    </xf>
    <xf numFmtId="0" fontId="21" fillId="0" borderId="0" xfId="0" applyFont="1" applyAlignment="1">
      <alignment horizontal="left" vertical="center" wrapText="1"/>
    </xf>
    <xf numFmtId="164" fontId="21" fillId="0" borderId="0" xfId="0" applyNumberFormat="1" applyFont="1" applyAlignment="1">
      <alignment horizontal="left" vertical="center"/>
    </xf>
    <xf numFmtId="9" fontId="21" fillId="0" borderId="0" xfId="1" applyFont="1" applyBorder="1" applyAlignment="1">
      <alignment horizontal="left" vertical="center"/>
    </xf>
    <xf numFmtId="3" fontId="21" fillId="0" borderId="0" xfId="4" applyFont="1" applyBorder="1" applyAlignment="1">
      <alignment horizontal="left" vertical="center"/>
    </xf>
    <xf numFmtId="0" fontId="0" fillId="0" borderId="0" xfId="0" applyAlignment="1">
      <alignment horizontal="left"/>
    </xf>
    <xf numFmtId="6" fontId="23" fillId="0" borderId="42" xfId="0" applyNumberFormat="1" applyFont="1" applyBorder="1" applyAlignment="1">
      <alignment horizontal="center" vertical="center"/>
    </xf>
    <xf numFmtId="6" fontId="23" fillId="0" borderId="41" xfId="0" applyNumberFormat="1" applyFont="1" applyBorder="1" applyAlignment="1">
      <alignment horizontal="center" vertical="center"/>
    </xf>
    <xf numFmtId="3" fontId="23" fillId="0" borderId="44" xfId="0" applyNumberFormat="1" applyFont="1" applyBorder="1" applyAlignment="1">
      <alignment horizontal="center" vertical="center"/>
    </xf>
    <xf numFmtId="171" fontId="23" fillId="0" borderId="44" xfId="0" applyNumberFormat="1" applyFont="1" applyBorder="1" applyAlignment="1">
      <alignment horizontal="center" vertical="center"/>
    </xf>
    <xf numFmtId="0" fontId="23" fillId="0" borderId="44" xfId="0" applyFont="1" applyBorder="1" applyAlignment="1">
      <alignment horizontal="center" vertical="center"/>
    </xf>
    <xf numFmtId="2" fontId="23" fillId="0" borderId="44" xfId="0" applyNumberFormat="1" applyFont="1" applyBorder="1" applyAlignment="1">
      <alignment horizontal="center" vertical="center"/>
    </xf>
    <xf numFmtId="0" fontId="45" fillId="0" borderId="0" xfId="0" applyFont="1" applyAlignment="1">
      <alignment horizontal="center" vertical="center" wrapText="1"/>
    </xf>
    <xf numFmtId="0" fontId="45" fillId="0" borderId="0" xfId="0" applyFont="1" applyAlignment="1">
      <alignment horizontal="left" vertical="center" wrapText="1"/>
    </xf>
    <xf numFmtId="10" fontId="45" fillId="0" borderId="0" xfId="0" applyNumberFormat="1" applyFont="1" applyAlignment="1">
      <alignment horizontal="center" vertical="center"/>
    </xf>
    <xf numFmtId="0" fontId="45" fillId="0" borderId="44" xfId="0" applyFont="1" applyBorder="1" applyAlignment="1">
      <alignment horizontal="center" vertical="center"/>
    </xf>
    <xf numFmtId="0" fontId="45" fillId="0" borderId="44" xfId="0" applyFont="1" applyBorder="1" applyAlignment="1">
      <alignment horizontal="center" vertical="center" wrapText="1"/>
    </xf>
    <xf numFmtId="10" fontId="45" fillId="0" borderId="44" xfId="0" applyNumberFormat="1" applyFont="1" applyBorder="1" applyAlignment="1">
      <alignment horizontal="center" vertical="center"/>
    </xf>
    <xf numFmtId="0" fontId="45" fillId="0" borderId="41" xfId="0" applyFont="1" applyBorder="1" applyAlignment="1">
      <alignment horizontal="center" vertical="center"/>
    </xf>
    <xf numFmtId="9" fontId="45" fillId="0" borderId="41" xfId="0" applyNumberFormat="1" applyFont="1" applyBorder="1" applyAlignment="1">
      <alignment horizontal="center" vertical="center"/>
    </xf>
    <xf numFmtId="6" fontId="45" fillId="0" borderId="41" xfId="0" applyNumberFormat="1" applyFont="1" applyBorder="1" applyAlignment="1">
      <alignment horizontal="center" vertical="center"/>
    </xf>
    <xf numFmtId="6" fontId="45" fillId="0" borderId="44" xfId="0" applyNumberFormat="1" applyFont="1" applyBorder="1" applyAlignment="1">
      <alignment horizontal="center" vertical="center"/>
    </xf>
    <xf numFmtId="10" fontId="23" fillId="0" borderId="44" xfId="0" applyNumberFormat="1" applyFont="1" applyBorder="1" applyAlignment="1">
      <alignment horizontal="center" vertical="center"/>
    </xf>
    <xf numFmtId="181" fontId="23" fillId="0" borderId="44" xfId="0" applyNumberFormat="1" applyFont="1" applyBorder="1" applyAlignment="1">
      <alignment horizontal="center" vertical="center"/>
    </xf>
    <xf numFmtId="175" fontId="23" fillId="0" borderId="44" xfId="1" applyNumberFormat="1" applyFont="1" applyFill="1" applyBorder="1" applyAlignment="1">
      <alignment horizontal="center" vertical="center"/>
    </xf>
    <xf numFmtId="0" fontId="5" fillId="0" borderId="0" xfId="15" applyFill="1" applyAlignment="1">
      <alignment horizontal="left" vertical="center"/>
    </xf>
    <xf numFmtId="0" fontId="20" fillId="0" borderId="0" xfId="0" applyFont="1" applyAlignment="1">
      <alignment horizontal="left" vertical="center"/>
    </xf>
    <xf numFmtId="169" fontId="20" fillId="0" borderId="0" xfId="0" applyNumberFormat="1" applyFont="1" applyAlignment="1">
      <alignment horizontal="left" vertical="center"/>
    </xf>
    <xf numFmtId="174" fontId="20" fillId="0" borderId="0" xfId="0" applyNumberFormat="1" applyFont="1" applyAlignment="1">
      <alignment horizontal="left" vertical="center"/>
    </xf>
    <xf numFmtId="183" fontId="0" fillId="0" borderId="0" xfId="19" applyNumberFormat="1" applyFont="1" applyFill="1" applyBorder="1" applyAlignment="1">
      <alignment horizontal="center" vertical="center"/>
    </xf>
    <xf numFmtId="3" fontId="0" fillId="0" borderId="0" xfId="4" applyFont="1" applyBorder="1" applyAlignment="1">
      <alignment horizontal="center" vertical="center"/>
    </xf>
    <xf numFmtId="3" fontId="0" fillId="0" borderId="3" xfId="4" applyFont="1" applyBorder="1" applyAlignment="1">
      <alignment horizontal="center" vertical="center"/>
    </xf>
    <xf numFmtId="183" fontId="23" fillId="0" borderId="3" xfId="19" applyNumberFormat="1" applyFont="1" applyBorder="1" applyAlignment="1">
      <alignment horizontal="center" vertical="center"/>
    </xf>
    <xf numFmtId="168" fontId="23" fillId="0" borderId="44" xfId="0" applyNumberFormat="1" applyFont="1" applyBorder="1" applyAlignment="1">
      <alignment horizontal="center" vertical="center"/>
    </xf>
    <xf numFmtId="181" fontId="24" fillId="7" borderId="0" xfId="20" applyNumberFormat="1" applyFont="1" applyFill="1" applyBorder="1" applyAlignment="1">
      <alignment horizontal="center" vertical="center"/>
    </xf>
    <xf numFmtId="9" fontId="24" fillId="7" borderId="0" xfId="20" applyNumberFormat="1" applyFont="1" applyFill="1" applyBorder="1" applyAlignment="1">
      <alignment horizontal="center" vertical="center"/>
    </xf>
    <xf numFmtId="0" fontId="23" fillId="0" borderId="44" xfId="0" applyFont="1" applyBorder="1" applyAlignment="1">
      <alignment horizontal="center" vertical="center" wrapText="1"/>
    </xf>
    <xf numFmtId="0" fontId="23" fillId="0" borderId="0" xfId="0" applyFont="1" applyAlignment="1">
      <alignment horizontal="left" vertical="center"/>
    </xf>
    <xf numFmtId="3" fontId="23" fillId="0" borderId="0" xfId="0" applyNumberFormat="1" applyFont="1" applyAlignment="1">
      <alignment horizontal="center" vertical="center"/>
    </xf>
    <xf numFmtId="0" fontId="23" fillId="0" borderId="0" xfId="0" applyFont="1" applyAlignment="1">
      <alignment horizontal="left" vertical="center" wrapText="1"/>
    </xf>
    <xf numFmtId="184" fontId="4" fillId="0" borderId="0" xfId="0" applyNumberFormat="1" applyFont="1" applyAlignment="1">
      <alignment horizontal="right" vertical="center" indent="1"/>
    </xf>
    <xf numFmtId="9" fontId="25" fillId="0" borderId="0" xfId="1" applyFont="1" applyAlignment="1">
      <alignment horizontal="left" vertical="center"/>
    </xf>
    <xf numFmtId="0" fontId="23" fillId="0" borderId="46" xfId="0" applyFont="1" applyBorder="1" applyAlignment="1">
      <alignment horizontal="center" vertical="center"/>
    </xf>
    <xf numFmtId="0" fontId="23" fillId="0" borderId="46" xfId="0" applyFont="1" applyBorder="1" applyAlignment="1">
      <alignment horizontal="center" vertical="center" wrapText="1"/>
    </xf>
    <xf numFmtId="0" fontId="23" fillId="0" borderId="47" xfId="0" applyFont="1" applyBorder="1" applyAlignment="1">
      <alignment horizontal="center" vertical="center"/>
    </xf>
    <xf numFmtId="0" fontId="23" fillId="0" borderId="47" xfId="0" applyFont="1" applyBorder="1" applyAlignment="1">
      <alignment horizontal="center" vertical="center" wrapText="1"/>
    </xf>
    <xf numFmtId="6" fontId="23" fillId="0" borderId="47" xfId="0" applyNumberFormat="1" applyFont="1" applyBorder="1" applyAlignment="1">
      <alignment horizontal="center" vertical="center" wrapText="1"/>
    </xf>
    <xf numFmtId="6" fontId="23" fillId="0" borderId="47" xfId="0" applyNumberFormat="1" applyFont="1" applyBorder="1" applyAlignment="1">
      <alignment horizontal="center" vertical="center"/>
    </xf>
    <xf numFmtId="6" fontId="23" fillId="0" borderId="48" xfId="0" applyNumberFormat="1" applyFont="1" applyBorder="1" applyAlignment="1">
      <alignment horizontal="center" vertical="center" wrapText="1"/>
    </xf>
    <xf numFmtId="6" fontId="23" fillId="0" borderId="49" xfId="0" applyNumberFormat="1" applyFont="1" applyBorder="1" applyAlignment="1">
      <alignment horizontal="center" vertical="center" wrapText="1"/>
    </xf>
    <xf numFmtId="0" fontId="23" fillId="0" borderId="0" xfId="0" applyFont="1" applyAlignment="1">
      <alignment horizontal="left" vertical="center" wrapText="1" indent="1"/>
    </xf>
    <xf numFmtId="0" fontId="0" fillId="0" borderId="55" xfId="0" applyBorder="1">
      <alignment horizontal="left" vertical="center" indent="1"/>
    </xf>
    <xf numFmtId="1" fontId="4" fillId="0" borderId="0" xfId="13" applyNumberFormat="1" applyFill="1" applyAlignment="1">
      <alignment horizontal="right" vertical="center" indent="1"/>
    </xf>
    <xf numFmtId="3" fontId="50" fillId="0" borderId="0" xfId="4" applyFont="1" applyFill="1" applyBorder="1" applyAlignment="1">
      <alignment horizontal="left" vertical="center" indent="1"/>
    </xf>
    <xf numFmtId="3" fontId="51" fillId="0" borderId="0" xfId="4" applyFont="1" applyAlignment="1">
      <alignment horizontal="left" vertical="center" indent="1"/>
    </xf>
    <xf numFmtId="2" fontId="29" fillId="0" borderId="0" xfId="0" applyNumberFormat="1" applyFont="1" applyAlignment="1"/>
    <xf numFmtId="0" fontId="54" fillId="0" borderId="0" xfId="3" applyFont="1" applyBorder="1" applyAlignment="1">
      <alignment horizontal="left" vertical="center" indent="1"/>
    </xf>
    <xf numFmtId="0" fontId="55" fillId="0" borderId="0" xfId="8" applyFont="1" applyAlignment="1">
      <alignment horizontal="left" vertical="center" indent="2"/>
    </xf>
    <xf numFmtId="0" fontId="8" fillId="13" borderId="0" xfId="9" applyFill="1" applyBorder="1" applyAlignment="1">
      <alignment horizontal="left" vertical="center" indent="1"/>
    </xf>
    <xf numFmtId="0" fontId="8" fillId="13" borderId="0" xfId="9" applyFill="1" applyAlignment="1">
      <alignment horizontal="left" vertical="center" indent="1"/>
    </xf>
    <xf numFmtId="0" fontId="8" fillId="13" borderId="0" xfId="9" applyFill="1" applyAlignment="1">
      <alignment horizontal="right" vertical="center" indent="1"/>
    </xf>
    <xf numFmtId="0" fontId="55" fillId="0" borderId="0" xfId="8" applyFont="1" applyAlignment="1">
      <alignment horizontal="left" vertical="center" indent="1"/>
    </xf>
    <xf numFmtId="0" fontId="7" fillId="7" borderId="50" xfId="3" applyFill="1" applyBorder="1" applyAlignment="1">
      <alignment horizontal="left" vertical="center" indent="1"/>
    </xf>
    <xf numFmtId="0" fontId="0" fillId="7" borderId="57" xfId="0" applyFill="1" applyBorder="1">
      <alignment horizontal="left" vertical="center" indent="1"/>
    </xf>
    <xf numFmtId="0" fontId="0" fillId="7" borderId="18" xfId="0" applyFill="1" applyBorder="1">
      <alignment horizontal="left" vertical="center" indent="1"/>
    </xf>
    <xf numFmtId="0" fontId="19" fillId="7" borderId="51" xfId="0" applyFont="1" applyFill="1" applyBorder="1" applyAlignment="1">
      <alignment horizontal="left" vertical="center" indent="2"/>
    </xf>
    <xf numFmtId="0" fontId="0" fillId="7" borderId="0" xfId="0" applyFill="1" applyAlignment="1">
      <alignment horizontal="left" vertical="center" indent="2"/>
    </xf>
    <xf numFmtId="0" fontId="0" fillId="7" borderId="52" xfId="0" applyFill="1" applyBorder="1" applyAlignment="1">
      <alignment horizontal="left" vertical="center" indent="2"/>
    </xf>
    <xf numFmtId="0" fontId="0" fillId="7" borderId="51" xfId="0" applyFill="1" applyBorder="1" applyAlignment="1">
      <alignment horizontal="left" vertical="center" indent="2"/>
    </xf>
    <xf numFmtId="1" fontId="0" fillId="7" borderId="0" xfId="0" applyNumberFormat="1" applyFill="1" applyAlignment="1">
      <alignment horizontal="left" vertical="center" indent="2"/>
    </xf>
    <xf numFmtId="1" fontId="0" fillId="7" borderId="52" xfId="0" applyNumberFormat="1" applyFill="1" applyBorder="1" applyAlignment="1">
      <alignment horizontal="right" vertical="center" indent="2"/>
    </xf>
    <xf numFmtId="1" fontId="0" fillId="7" borderId="51" xfId="0" applyNumberFormat="1" applyFill="1" applyBorder="1" applyAlignment="1">
      <alignment horizontal="left" vertical="center" indent="2"/>
    </xf>
    <xf numFmtId="0" fontId="0" fillId="7" borderId="52" xfId="0" applyFill="1" applyBorder="1" applyAlignment="1">
      <alignment horizontal="right" vertical="center" indent="2"/>
    </xf>
    <xf numFmtId="9" fontId="0" fillId="7" borderId="52" xfId="1" applyFont="1" applyFill="1" applyBorder="1" applyAlignment="1">
      <alignment horizontal="right" vertical="center" indent="2"/>
    </xf>
    <xf numFmtId="0" fontId="0" fillId="7" borderId="55" xfId="0" applyFill="1" applyBorder="1" applyAlignment="1">
      <alignment horizontal="left" vertical="center" indent="2"/>
    </xf>
    <xf numFmtId="164" fontId="0" fillId="7" borderId="58" xfId="5" applyNumberFormat="1" applyFont="1" applyFill="1" applyBorder="1" applyAlignment="1">
      <alignment horizontal="left" vertical="center" indent="2"/>
    </xf>
    <xf numFmtId="164" fontId="0" fillId="7" borderId="56" xfId="5" applyNumberFormat="1" applyFont="1" applyFill="1" applyBorder="1" applyAlignment="1">
      <alignment horizontal="right" vertical="center" indent="2"/>
    </xf>
    <xf numFmtId="0" fontId="15" fillId="0" borderId="50" xfId="0" applyFont="1" applyBorder="1" applyAlignment="1">
      <alignment horizontal="left" indent="2"/>
    </xf>
    <xf numFmtId="0" fontId="0" fillId="0" borderId="57" xfId="0" applyBorder="1" applyAlignment="1">
      <alignment horizontal="left" indent="1"/>
    </xf>
    <xf numFmtId="0" fontId="15" fillId="0" borderId="57" xfId="0" applyFont="1" applyBorder="1" applyAlignment="1">
      <alignment horizontal="left" indent="1"/>
    </xf>
    <xf numFmtId="0" fontId="15" fillId="0" borderId="18" xfId="0" applyFont="1" applyBorder="1" applyAlignment="1">
      <alignment horizontal="left" indent="1"/>
    </xf>
    <xf numFmtId="0" fontId="39" fillId="0" borderId="0" xfId="0" applyFont="1" applyAlignment="1">
      <alignment horizontal="right" vertical="center" indent="1"/>
    </xf>
    <xf numFmtId="0" fontId="40" fillId="0" borderId="0" xfId="0" applyFont="1" applyAlignment="1">
      <alignment horizontal="right" vertical="center" indent="1"/>
    </xf>
    <xf numFmtId="0" fontId="37" fillId="0" borderId="55" xfId="0" applyFont="1" applyBorder="1" applyAlignment="1">
      <alignment horizontal="left" vertical="center" indent="2"/>
    </xf>
    <xf numFmtId="2" fontId="4" fillId="0" borderId="58" xfId="0" applyNumberFormat="1" applyFont="1" applyBorder="1" applyAlignment="1">
      <alignment horizontal="right" vertical="center" indent="1"/>
    </xf>
    <xf numFmtId="0" fontId="37" fillId="0" borderId="58" xfId="0" applyFont="1" applyBorder="1" applyAlignment="1">
      <alignment horizontal="left" vertical="center" indent="2"/>
    </xf>
    <xf numFmtId="165" fontId="4" fillId="0" borderId="56" xfId="5" applyFont="1" applyBorder="1" applyAlignment="1">
      <alignment horizontal="right" vertical="center" indent="1"/>
    </xf>
    <xf numFmtId="0" fontId="4" fillId="0" borderId="51" xfId="0" applyFont="1" applyBorder="1" applyAlignment="1">
      <alignment horizontal="center" vertical="center"/>
    </xf>
    <xf numFmtId="0" fontId="4" fillId="0" borderId="0" xfId="0" applyFont="1" applyAlignment="1">
      <alignment horizontal="center" vertical="center"/>
    </xf>
    <xf numFmtId="165" fontId="0" fillId="0" borderId="0" xfId="5" applyFont="1" applyFill="1" applyBorder="1" applyAlignment="1">
      <alignment horizontal="center" vertical="center"/>
    </xf>
    <xf numFmtId="165" fontId="0" fillId="0" borderId="52" xfId="5" applyFont="1" applyFill="1" applyBorder="1" applyAlignment="1">
      <alignment horizontal="center" vertical="center"/>
    </xf>
    <xf numFmtId="0" fontId="0" fillId="0" borderId="51" xfId="0" applyBorder="1" applyAlignment="1">
      <alignment horizontal="center" vertical="center"/>
    </xf>
    <xf numFmtId="165" fontId="0" fillId="0" borderId="0" xfId="5" applyFont="1" applyBorder="1" applyAlignment="1">
      <alignment horizontal="center" vertical="center"/>
    </xf>
    <xf numFmtId="165" fontId="0" fillId="0" borderId="52" xfId="5" applyFont="1" applyBorder="1" applyAlignment="1">
      <alignment horizontal="center" vertical="center"/>
    </xf>
    <xf numFmtId="0" fontId="0" fillId="0" borderId="53" xfId="0" applyBorder="1" applyAlignment="1">
      <alignment horizontal="center" vertical="center"/>
    </xf>
    <xf numFmtId="165" fontId="0" fillId="0" borderId="3" xfId="5" applyFont="1" applyBorder="1" applyAlignment="1">
      <alignment horizontal="center" vertical="center"/>
    </xf>
    <xf numFmtId="165" fontId="4" fillId="0" borderId="0" xfId="5" applyFont="1" applyBorder="1" applyAlignment="1">
      <alignment horizontal="center" vertical="center"/>
    </xf>
    <xf numFmtId="165" fontId="14" fillId="0" borderId="0" xfId="5" applyFont="1" applyFill="1" applyBorder="1" applyAlignment="1">
      <alignment horizontal="center" vertical="center"/>
    </xf>
    <xf numFmtId="165" fontId="4" fillId="0" borderId="0" xfId="5" applyFont="1" applyFill="1" applyBorder="1" applyAlignment="1">
      <alignment horizontal="center" vertical="center"/>
    </xf>
    <xf numFmtId="0" fontId="4" fillId="0" borderId="53" xfId="0" applyFont="1" applyBorder="1" applyAlignment="1">
      <alignment horizontal="center" vertical="center"/>
    </xf>
    <xf numFmtId="2" fontId="4" fillId="0" borderId="3" xfId="0" applyNumberFormat="1" applyFont="1" applyBorder="1" applyAlignment="1">
      <alignment horizontal="center" vertical="center"/>
    </xf>
    <xf numFmtId="2" fontId="0" fillId="0" borderId="52" xfId="5" applyNumberFormat="1" applyFont="1" applyBorder="1" applyAlignment="1">
      <alignment horizontal="center" vertical="center"/>
    </xf>
    <xf numFmtId="172" fontId="0" fillId="0" borderId="0" xfId="0" applyNumberFormat="1" applyAlignment="1">
      <alignment horizontal="center" vertical="center"/>
    </xf>
    <xf numFmtId="172" fontId="0" fillId="0" borderId="52" xfId="0" applyNumberFormat="1" applyBorder="1" applyAlignment="1">
      <alignment horizontal="center" vertical="center"/>
    </xf>
    <xf numFmtId="0" fontId="0" fillId="0" borderId="55" xfId="0" applyBorder="1" applyAlignment="1">
      <alignment horizontal="center" vertical="center"/>
    </xf>
    <xf numFmtId="0" fontId="0" fillId="0" borderId="58" xfId="0" applyBorder="1" applyAlignment="1">
      <alignment horizontal="center" vertical="center"/>
    </xf>
    <xf numFmtId="166" fontId="10" fillId="0" borderId="58" xfId="1" applyNumberFormat="1" applyFont="1" applyFill="1" applyBorder="1" applyAlignment="1">
      <alignment horizontal="center" vertical="center"/>
    </xf>
    <xf numFmtId="166" fontId="10" fillId="0" borderId="56" xfId="1" applyNumberFormat="1" applyFont="1" applyFill="1" applyBorder="1" applyAlignment="1">
      <alignment horizontal="center" vertical="center"/>
    </xf>
    <xf numFmtId="0" fontId="56" fillId="0" borderId="0" xfId="0" applyFont="1">
      <alignment horizontal="left" vertical="center" indent="1"/>
    </xf>
    <xf numFmtId="0" fontId="0" fillId="0" borderId="52" xfId="0" applyBorder="1" applyAlignment="1">
      <alignment horizontal="center" vertical="center"/>
    </xf>
    <xf numFmtId="165" fontId="0" fillId="0" borderId="54" xfId="5" applyFont="1" applyBorder="1" applyAlignment="1">
      <alignment horizontal="center" vertical="center"/>
    </xf>
    <xf numFmtId="165" fontId="4" fillId="0" borderId="52" xfId="5" applyFont="1" applyBorder="1" applyAlignment="1">
      <alignment horizontal="center" vertical="center"/>
    </xf>
    <xf numFmtId="165" fontId="4" fillId="0" borderId="52" xfId="5" applyFont="1" applyFill="1" applyBorder="1" applyAlignment="1">
      <alignment horizontal="center" vertical="center"/>
    </xf>
    <xf numFmtId="2" fontId="4" fillId="0" borderId="54" xfId="0" applyNumberFormat="1" applyFont="1" applyBorder="1" applyAlignment="1">
      <alignment horizontal="center" vertical="center"/>
    </xf>
    <xf numFmtId="4" fontId="0" fillId="0" borderId="0" xfId="0" applyNumberFormat="1" applyAlignment="1">
      <alignment horizontal="center" vertical="center"/>
    </xf>
    <xf numFmtId="4" fontId="0" fillId="0" borderId="52" xfId="0" applyNumberFormat="1" applyBorder="1" applyAlignment="1">
      <alignment horizontal="center" vertical="center"/>
    </xf>
    <xf numFmtId="166" fontId="10" fillId="0" borderId="0" xfId="1" applyNumberFormat="1" applyFont="1" applyFill="1" applyBorder="1" applyAlignment="1">
      <alignment horizontal="center" vertical="center"/>
    </xf>
    <xf numFmtId="166" fontId="10" fillId="0" borderId="52" xfId="1" applyNumberFormat="1" applyFont="1" applyFill="1" applyBorder="1" applyAlignment="1">
      <alignment horizontal="center" vertical="center"/>
    </xf>
    <xf numFmtId="1" fontId="4" fillId="6" borderId="40" xfId="13" applyNumberFormat="1" applyBorder="1" applyAlignment="1">
      <alignment horizontal="center" vertical="center"/>
    </xf>
    <xf numFmtId="0" fontId="4" fillId="0" borderId="52" xfId="0" applyFont="1" applyBorder="1" applyAlignment="1">
      <alignment horizontal="center" vertical="center"/>
    </xf>
    <xf numFmtId="165" fontId="0" fillId="0" borderId="40" xfId="5" applyFont="1" applyFill="1" applyBorder="1" applyAlignment="1">
      <alignment horizontal="center" vertical="center"/>
    </xf>
    <xf numFmtId="0" fontId="0" fillId="0" borderId="40" xfId="0" applyBorder="1" applyAlignment="1">
      <alignment horizontal="center" vertical="center"/>
    </xf>
    <xf numFmtId="185" fontId="0" fillId="0" borderId="40" xfId="5" applyNumberFormat="1" applyFont="1" applyBorder="1" applyAlignment="1">
      <alignment horizontal="center" vertical="center"/>
    </xf>
    <xf numFmtId="0" fontId="0" fillId="0" borderId="54" xfId="0" applyBorder="1" applyAlignment="1">
      <alignment horizontal="center" vertical="center"/>
    </xf>
    <xf numFmtId="185" fontId="4" fillId="0" borderId="40" xfId="5" applyNumberFormat="1" applyFont="1" applyBorder="1" applyAlignment="1">
      <alignment horizontal="center" vertical="center"/>
    </xf>
    <xf numFmtId="0" fontId="4" fillId="0" borderId="54" xfId="0" applyFont="1" applyBorder="1" applyAlignment="1">
      <alignment horizontal="center" vertical="center"/>
    </xf>
    <xf numFmtId="2" fontId="4" fillId="0" borderId="40" xfId="0" applyNumberFormat="1" applyFont="1" applyBorder="1" applyAlignment="1">
      <alignment horizontal="center" vertical="center"/>
    </xf>
    <xf numFmtId="171" fontId="4" fillId="0" borderId="40" xfId="0" applyNumberFormat="1" applyFont="1" applyBorder="1" applyAlignment="1">
      <alignment horizontal="center" vertical="center"/>
    </xf>
    <xf numFmtId="0" fontId="0" fillId="0" borderId="56" xfId="0" applyBorder="1" applyAlignment="1">
      <alignment horizontal="center" vertical="center"/>
    </xf>
    <xf numFmtId="172" fontId="0" fillId="0" borderId="40" xfId="0" applyNumberFormat="1" applyBorder="1" applyAlignment="1">
      <alignment horizontal="center" vertical="center"/>
    </xf>
    <xf numFmtId="0" fontId="0" fillId="0" borderId="57" xfId="0" applyBorder="1" applyAlignment="1">
      <alignment horizontal="center" vertical="center"/>
    </xf>
    <xf numFmtId="166" fontId="0" fillId="0" borderId="18" xfId="0" applyNumberFormat="1" applyBorder="1" applyAlignment="1">
      <alignment horizontal="center" vertical="center"/>
    </xf>
    <xf numFmtId="166" fontId="0" fillId="0" borderId="56" xfId="0" applyNumberFormat="1" applyBorder="1" applyAlignment="1">
      <alignment horizontal="center" vertical="center"/>
    </xf>
    <xf numFmtId="0" fontId="4" fillId="0" borderId="60" xfId="0" applyFont="1" applyBorder="1" applyAlignment="1">
      <alignment horizontal="center" vertical="center"/>
    </xf>
    <xf numFmtId="0" fontId="0" fillId="0" borderId="63" xfId="0" applyBorder="1" applyAlignment="1">
      <alignment horizontal="center" vertical="center"/>
    </xf>
    <xf numFmtId="0" fontId="4" fillId="0" borderId="8" xfId="0" applyFont="1" applyBorder="1" applyAlignment="1">
      <alignment horizontal="center" vertical="center"/>
    </xf>
    <xf numFmtId="0" fontId="0" fillId="0" borderId="60" xfId="0" applyBorder="1" applyAlignment="1">
      <alignment horizontal="center" vertical="center"/>
    </xf>
    <xf numFmtId="0" fontId="0" fillId="0" borderId="8" xfId="0" applyBorder="1" applyAlignment="1">
      <alignment horizontal="center" vertical="center"/>
    </xf>
    <xf numFmtId="185" fontId="0" fillId="0" borderId="40" xfId="0" applyNumberFormat="1" applyBorder="1" applyAlignment="1">
      <alignment horizontal="center" vertical="center"/>
    </xf>
    <xf numFmtId="171" fontId="0" fillId="0" borderId="40" xfId="0" applyNumberFormat="1" applyBorder="1" applyAlignment="1">
      <alignment horizontal="center" vertical="center"/>
    </xf>
    <xf numFmtId="166" fontId="0" fillId="0" borderId="14" xfId="0" applyNumberFormat="1" applyBorder="1" applyAlignment="1">
      <alignment horizontal="center" vertical="center"/>
    </xf>
    <xf numFmtId="166" fontId="0" fillId="0" borderId="24" xfId="0" applyNumberFormat="1" applyBorder="1" applyAlignment="1">
      <alignment horizontal="center" vertical="center"/>
    </xf>
    <xf numFmtId="165" fontId="10" fillId="0" borderId="0" xfId="5" applyFont="1" applyBorder="1" applyAlignment="1">
      <alignment horizontal="center" vertical="center"/>
    </xf>
    <xf numFmtId="165" fontId="4" fillId="0" borderId="3" xfId="5" applyFont="1" applyFill="1" applyBorder="1" applyAlignment="1">
      <alignment horizontal="center" vertical="center"/>
    </xf>
    <xf numFmtId="165" fontId="4" fillId="0" borderId="54" xfId="5" applyFont="1" applyFill="1" applyBorder="1" applyAlignment="1">
      <alignment horizontal="center" vertical="center"/>
    </xf>
    <xf numFmtId="0" fontId="4" fillId="0" borderId="58" xfId="0" applyFont="1" applyBorder="1" applyAlignment="1">
      <alignment horizontal="center" vertical="center"/>
    </xf>
    <xf numFmtId="165" fontId="4" fillId="0" borderId="58" xfId="5" applyFont="1" applyFill="1" applyBorder="1" applyAlignment="1">
      <alignment horizontal="center" vertical="center"/>
    </xf>
    <xf numFmtId="165" fontId="4" fillId="0" borderId="56" xfId="5" applyFont="1" applyFill="1" applyBorder="1" applyAlignment="1">
      <alignment horizontal="center" vertical="center"/>
    </xf>
    <xf numFmtId="165" fontId="4" fillId="0" borderId="8" xfId="5" applyFont="1" applyFill="1" applyBorder="1" applyAlignment="1">
      <alignment horizontal="center" vertical="center"/>
    </xf>
    <xf numFmtId="165" fontId="10" fillId="0" borderId="0" xfId="5" applyFont="1" applyFill="1" applyBorder="1" applyAlignment="1">
      <alignment horizontal="center" vertical="center"/>
    </xf>
    <xf numFmtId="165" fontId="10" fillId="0" borderId="3" xfId="5" applyFont="1" applyFill="1" applyBorder="1" applyAlignment="1">
      <alignment horizontal="center" vertical="center"/>
    </xf>
    <xf numFmtId="0" fontId="55" fillId="0" borderId="0" xfId="0" applyFont="1">
      <alignment horizontal="left" vertical="center" indent="1"/>
    </xf>
    <xf numFmtId="4" fontId="0" fillId="0" borderId="3" xfId="4" applyNumberFormat="1" applyFont="1" applyBorder="1" applyAlignment="1">
      <alignment horizontal="center" vertical="center"/>
    </xf>
    <xf numFmtId="4" fontId="0" fillId="0" borderId="0" xfId="4" applyNumberFormat="1" applyFont="1" applyFill="1" applyBorder="1" applyAlignment="1">
      <alignment horizontal="center" vertical="center"/>
    </xf>
    <xf numFmtId="4" fontId="0" fillId="0" borderId="58" xfId="4" applyNumberFormat="1" applyFont="1" applyBorder="1" applyAlignment="1">
      <alignment horizontal="center" vertical="center"/>
    </xf>
    <xf numFmtId="165" fontId="0" fillId="0" borderId="58" xfId="5" applyFont="1" applyBorder="1" applyAlignment="1">
      <alignment horizontal="center" vertical="center"/>
    </xf>
    <xf numFmtId="165" fontId="0" fillId="0" borderId="56" xfId="5" applyFont="1" applyBorder="1" applyAlignment="1">
      <alignment horizontal="center" vertical="center"/>
    </xf>
    <xf numFmtId="165" fontId="23" fillId="0" borderId="52" xfId="5" applyFont="1" applyBorder="1" applyAlignment="1">
      <alignment horizontal="center" vertical="center"/>
    </xf>
    <xf numFmtId="165" fontId="23" fillId="0" borderId="52" xfId="5" applyFont="1" applyFill="1" applyBorder="1" applyAlignment="1">
      <alignment horizontal="center" vertical="center"/>
    </xf>
    <xf numFmtId="165" fontId="23" fillId="0" borderId="56" xfId="5" applyFont="1" applyBorder="1" applyAlignment="1">
      <alignment horizontal="center" vertical="center"/>
    </xf>
    <xf numFmtId="1" fontId="4" fillId="6" borderId="64" xfId="13" applyNumberFormat="1" applyBorder="1" applyAlignment="1">
      <alignment horizontal="center" vertical="center"/>
    </xf>
    <xf numFmtId="1" fontId="4" fillId="6" borderId="65" xfId="13" applyNumberFormat="1" applyBorder="1" applyAlignment="1">
      <alignment horizontal="center" vertical="center"/>
    </xf>
    <xf numFmtId="1" fontId="4" fillId="6" borderId="66" xfId="13" applyNumberFormat="1" applyBorder="1" applyAlignment="1">
      <alignment horizontal="center" vertical="center"/>
    </xf>
    <xf numFmtId="0" fontId="55" fillId="0" borderId="0" xfId="15" applyFont="1" applyAlignment="1">
      <alignment horizontal="left" vertical="center" indent="1"/>
    </xf>
    <xf numFmtId="9" fontId="0" fillId="0" borderId="3" xfId="1" applyFont="1" applyBorder="1" applyAlignment="1">
      <alignment horizontal="center" vertical="center"/>
    </xf>
    <xf numFmtId="3" fontId="0" fillId="0" borderId="0" xfId="4" applyFont="1" applyFill="1" applyBorder="1" applyAlignment="1">
      <alignment horizontal="center" vertical="center"/>
    </xf>
    <xf numFmtId="3" fontId="0" fillId="0" borderId="3" xfId="4" applyFont="1" applyFill="1" applyBorder="1" applyAlignment="1">
      <alignment horizontal="center" vertical="center"/>
    </xf>
    <xf numFmtId="1" fontId="0" fillId="0" borderId="3" xfId="0" applyNumberFormat="1" applyBorder="1" applyAlignment="1">
      <alignment horizontal="center" vertical="center"/>
    </xf>
    <xf numFmtId="9" fontId="0" fillId="0" borderId="0" xfId="1" applyFont="1" applyBorder="1" applyAlignment="1">
      <alignment horizontal="center" vertical="center"/>
    </xf>
    <xf numFmtId="164" fontId="0" fillId="0" borderId="0" xfId="5" applyNumberFormat="1" applyFont="1" applyBorder="1" applyAlignment="1">
      <alignment horizontal="center" vertical="center"/>
    </xf>
    <xf numFmtId="164" fontId="0" fillId="0" borderId="0" xfId="5" applyNumberFormat="1" applyFont="1" applyFill="1" applyBorder="1" applyAlignment="1">
      <alignment horizontal="center" vertical="center"/>
    </xf>
    <xf numFmtId="2" fontId="0" fillId="0" borderId="3" xfId="0" applyNumberFormat="1" applyBorder="1" applyAlignment="1">
      <alignment horizontal="center" vertical="center"/>
    </xf>
    <xf numFmtId="165" fontId="0" fillId="0" borderId="3" xfId="5" applyFont="1" applyFill="1" applyBorder="1" applyAlignment="1">
      <alignment horizontal="center" vertical="center"/>
    </xf>
    <xf numFmtId="0" fontId="0" fillId="0" borderId="4" xfId="0" applyBorder="1" applyAlignment="1">
      <alignment horizontal="center" vertical="center"/>
    </xf>
    <xf numFmtId="165" fontId="0" fillId="0" borderId="4" xfId="5" applyFont="1" applyBorder="1" applyAlignment="1">
      <alignment horizontal="center" vertical="center"/>
    </xf>
    <xf numFmtId="0" fontId="11" fillId="0" borderId="52" xfId="7" applyFill="1" applyBorder="1" applyAlignment="1">
      <alignment horizontal="center" vertical="center"/>
    </xf>
    <xf numFmtId="0" fontId="0" fillId="0" borderId="61" xfId="0" applyBorder="1" applyAlignment="1">
      <alignment horizontal="center" vertical="center"/>
    </xf>
    <xf numFmtId="0" fontId="11" fillId="0" borderId="54" xfId="7" applyBorder="1" applyAlignment="1">
      <alignment horizontal="center" vertical="center"/>
    </xf>
    <xf numFmtId="171" fontId="0" fillId="0" borderId="0" xfId="0" applyNumberFormat="1" applyAlignment="1">
      <alignment horizontal="center" vertical="center"/>
    </xf>
    <xf numFmtId="1" fontId="0" fillId="0" borderId="0" xfId="0" applyNumberFormat="1" applyAlignment="1">
      <alignment horizontal="center" vertical="center"/>
    </xf>
    <xf numFmtId="0" fontId="4" fillId="0" borderId="62" xfId="0" applyFont="1" applyBorder="1" applyAlignment="1">
      <alignment horizontal="center" vertical="center"/>
    </xf>
    <xf numFmtId="0" fontId="0" fillId="0" borderId="67" xfId="0" applyBorder="1" applyAlignment="1">
      <alignment horizontal="center" vertical="center"/>
    </xf>
    <xf numFmtId="3" fontId="0" fillId="0" borderId="67" xfId="4" applyFont="1" applyFill="1" applyBorder="1" applyAlignment="1">
      <alignment horizontal="center" vertical="center"/>
    </xf>
    <xf numFmtId="0" fontId="57" fillId="0" borderId="0" xfId="0" applyFont="1">
      <alignment horizontal="left" vertical="center" indent="1"/>
    </xf>
    <xf numFmtId="9" fontId="0" fillId="0" borderId="0" xfId="1" applyFont="1" applyFill="1" applyBorder="1" applyAlignment="1">
      <alignment horizontal="center" vertical="center"/>
    </xf>
    <xf numFmtId="9" fontId="0" fillId="0" borderId="3" xfId="1" applyFont="1" applyFill="1" applyBorder="1" applyAlignment="1">
      <alignment horizontal="center" vertical="center"/>
    </xf>
    <xf numFmtId="3" fontId="0" fillId="0" borderId="8" xfId="4" applyFont="1" applyBorder="1" applyAlignment="1">
      <alignment horizontal="center" vertical="center"/>
    </xf>
    <xf numFmtId="3" fontId="0" fillId="0" borderId="8" xfId="4" applyFont="1" applyFill="1" applyBorder="1" applyAlignment="1">
      <alignment horizontal="center" vertical="center"/>
    </xf>
    <xf numFmtId="166" fontId="0" fillId="0" borderId="8" xfId="1" applyNumberFormat="1" applyFont="1" applyBorder="1" applyAlignment="1">
      <alignment horizontal="center" vertical="center"/>
    </xf>
    <xf numFmtId="166" fontId="0" fillId="0" borderId="8" xfId="1" applyNumberFormat="1" applyFont="1" applyFill="1" applyBorder="1" applyAlignment="1">
      <alignment horizontal="center" vertical="center"/>
    </xf>
    <xf numFmtId="10" fontId="0" fillId="0" borderId="3" xfId="1" applyNumberFormat="1" applyFont="1" applyBorder="1" applyAlignment="1">
      <alignment horizontal="center" vertical="center"/>
    </xf>
    <xf numFmtId="2" fontId="0" fillId="0" borderId="4" xfId="0" applyNumberFormat="1" applyBorder="1" applyAlignment="1">
      <alignment horizontal="center" vertical="center"/>
    </xf>
    <xf numFmtId="171" fontId="0" fillId="0" borderId="3" xfId="0" applyNumberFormat="1" applyBorder="1" applyAlignment="1">
      <alignment horizontal="center" vertical="center"/>
    </xf>
    <xf numFmtId="168" fontId="0" fillId="0" borderId="3" xfId="0" applyNumberFormat="1" applyBorder="1" applyAlignment="1">
      <alignment horizontal="center" vertical="center"/>
    </xf>
    <xf numFmtId="0" fontId="4" fillId="6" borderId="50" xfId="13" applyNumberFormat="1" applyBorder="1" applyAlignment="1">
      <alignment horizontal="center" vertical="center"/>
    </xf>
    <xf numFmtId="0" fontId="11" fillId="0" borderId="68" xfId="7" applyFill="1" applyBorder="1" applyAlignment="1">
      <alignment horizontal="center" vertical="center"/>
    </xf>
    <xf numFmtId="168" fontId="0" fillId="0" borderId="0" xfId="0" applyNumberFormat="1" applyAlignment="1">
      <alignment horizontal="center" vertical="center"/>
    </xf>
    <xf numFmtId="2" fontId="0" fillId="0" borderId="0" xfId="0" applyNumberFormat="1" applyAlignment="1">
      <alignment horizontal="center" vertical="center"/>
    </xf>
    <xf numFmtId="0" fontId="4" fillId="0" borderId="55" xfId="0" applyFont="1" applyBorder="1" applyAlignment="1">
      <alignment horizontal="center" vertical="center"/>
    </xf>
    <xf numFmtId="2" fontId="0" fillId="0" borderId="58" xfId="0" applyNumberFormat="1" applyBorder="1" applyAlignment="1">
      <alignment horizontal="center" vertical="center"/>
    </xf>
    <xf numFmtId="171" fontId="0" fillId="0" borderId="58" xfId="0" applyNumberFormat="1" applyBorder="1" applyAlignment="1">
      <alignment horizontal="center" vertical="center"/>
    </xf>
    <xf numFmtId="0" fontId="0" fillId="0" borderId="18" xfId="0" applyBorder="1" applyAlignment="1">
      <alignment horizontal="center" vertical="center"/>
    </xf>
    <xf numFmtId="0" fontId="55" fillId="0" borderId="0" xfId="15" applyFont="1" applyAlignment="1">
      <alignment horizontal="left" vertical="center"/>
    </xf>
    <xf numFmtId="0" fontId="57" fillId="0" borderId="0" xfId="0" applyFont="1" applyAlignment="1">
      <alignment horizontal="left" vertical="center"/>
    </xf>
    <xf numFmtId="0" fontId="23" fillId="0" borderId="43" xfId="0" applyFont="1" applyBorder="1" applyAlignment="1">
      <alignment horizontal="center" vertical="center" wrapText="1"/>
    </xf>
    <xf numFmtId="6" fontId="24" fillId="0" borderId="70" xfId="0" applyNumberFormat="1" applyFont="1" applyBorder="1" applyAlignment="1">
      <alignment horizontal="center" vertical="center"/>
    </xf>
    <xf numFmtId="0" fontId="23" fillId="0" borderId="72" xfId="0" applyFont="1" applyBorder="1" applyAlignment="1">
      <alignment horizontal="center" vertical="center" wrapText="1"/>
    </xf>
    <xf numFmtId="6" fontId="24" fillId="0" borderId="73" xfId="0" applyNumberFormat="1" applyFont="1" applyBorder="1" applyAlignment="1">
      <alignment horizontal="center" vertical="center"/>
    </xf>
    <xf numFmtId="0" fontId="23" fillId="0" borderId="74" xfId="0" applyFont="1" applyBorder="1" applyAlignment="1">
      <alignment horizontal="center" vertical="center"/>
    </xf>
    <xf numFmtId="6" fontId="23" fillId="0" borderId="70" xfId="0" applyNumberFormat="1" applyFont="1" applyBorder="1" applyAlignment="1">
      <alignment horizontal="center" vertical="center"/>
    </xf>
    <xf numFmtId="0" fontId="23" fillId="0" borderId="75" xfId="0" applyFont="1" applyBorder="1" applyAlignment="1">
      <alignment horizontal="center" vertical="center"/>
    </xf>
    <xf numFmtId="6" fontId="23" fillId="0" borderId="76" xfId="0" applyNumberFormat="1" applyFont="1" applyBorder="1" applyAlignment="1">
      <alignment horizontal="center" vertical="center"/>
    </xf>
    <xf numFmtId="0" fontId="43" fillId="13" borderId="77" xfId="0" applyFont="1" applyFill="1" applyBorder="1" applyAlignment="1">
      <alignment horizontal="center" vertical="center"/>
    </xf>
    <xf numFmtId="6" fontId="43" fillId="13" borderId="78" xfId="0" applyNumberFormat="1" applyFont="1" applyFill="1" applyBorder="1" applyAlignment="1">
      <alignment horizontal="center" vertical="center"/>
    </xf>
    <xf numFmtId="6" fontId="43" fillId="13" borderId="73" xfId="0" applyNumberFormat="1" applyFont="1" applyFill="1" applyBorder="1" applyAlignment="1">
      <alignment horizontal="center" vertical="center"/>
    </xf>
    <xf numFmtId="7" fontId="23" fillId="0" borderId="79" xfId="0" applyNumberFormat="1" applyFont="1" applyBorder="1" applyAlignment="1">
      <alignment horizontal="center" vertical="center" wrapText="1"/>
    </xf>
    <xf numFmtId="7" fontId="23" fillId="0" borderId="80" xfId="0" applyNumberFormat="1" applyFont="1" applyBorder="1" applyAlignment="1">
      <alignment horizontal="center" vertical="center" wrapText="1"/>
    </xf>
    <xf numFmtId="1" fontId="26" fillId="0" borderId="69" xfId="0" applyNumberFormat="1" applyFont="1" applyBorder="1" applyAlignment="1">
      <alignment horizontal="center" vertical="center" wrapText="1"/>
    </xf>
    <xf numFmtId="0" fontId="23" fillId="0" borderId="69" xfId="0" applyFont="1" applyBorder="1" applyAlignment="1">
      <alignment horizontal="center" vertical="center"/>
    </xf>
    <xf numFmtId="0" fontId="23" fillId="0" borderId="83" xfId="0" applyFont="1" applyBorder="1" applyAlignment="1">
      <alignment horizontal="center" vertical="center"/>
    </xf>
    <xf numFmtId="0" fontId="23" fillId="0" borderId="84" xfId="0" applyFont="1" applyBorder="1" applyAlignment="1">
      <alignment horizontal="center" vertical="center" wrapText="1"/>
    </xf>
    <xf numFmtId="0" fontId="23" fillId="0" borderId="71" xfId="0" applyFont="1" applyBorder="1" applyAlignment="1">
      <alignment horizontal="center" vertical="center"/>
    </xf>
    <xf numFmtId="0" fontId="23" fillId="0" borderId="72" xfId="0" applyFont="1" applyBorder="1" applyAlignment="1">
      <alignment horizontal="center" vertical="center"/>
    </xf>
    <xf numFmtId="171" fontId="23" fillId="0" borderId="72" xfId="0" applyNumberFormat="1" applyFont="1" applyBorder="1" applyAlignment="1">
      <alignment horizontal="center" vertical="center"/>
    </xf>
    <xf numFmtId="0" fontId="4" fillId="6" borderId="65" xfId="13" applyNumberFormat="1" applyBorder="1" applyAlignment="1">
      <alignment horizontal="center" vertical="center"/>
    </xf>
    <xf numFmtId="0" fontId="4" fillId="6" borderId="64" xfId="13" applyNumberFormat="1" applyBorder="1" applyAlignment="1">
      <alignment horizontal="center" vertical="center"/>
    </xf>
    <xf numFmtId="3" fontId="4" fillId="6" borderId="65" xfId="13" applyNumberFormat="1" applyBorder="1" applyAlignment="1">
      <alignment horizontal="center" vertical="center"/>
    </xf>
    <xf numFmtId="6" fontId="24" fillId="0" borderId="76" xfId="0" applyNumberFormat="1" applyFont="1" applyBorder="1" applyAlignment="1">
      <alignment horizontal="center" vertical="center"/>
    </xf>
    <xf numFmtId="0" fontId="20" fillId="13" borderId="65" xfId="0" applyFont="1" applyFill="1" applyBorder="1" applyAlignment="1">
      <alignment horizontal="center" vertical="center" wrapText="1"/>
    </xf>
    <xf numFmtId="0" fontId="20" fillId="13" borderId="65" xfId="0" applyFont="1" applyFill="1" applyBorder="1" applyAlignment="1">
      <alignment horizontal="center" vertical="center"/>
    </xf>
    <xf numFmtId="0" fontId="20" fillId="13" borderId="66" xfId="0" applyFont="1" applyFill="1" applyBorder="1" applyAlignment="1">
      <alignment horizontal="center" vertical="center" wrapText="1"/>
    </xf>
    <xf numFmtId="0" fontId="43" fillId="13" borderId="64" xfId="0" applyFont="1" applyFill="1" applyBorder="1" applyAlignment="1">
      <alignment horizontal="center" vertical="center"/>
    </xf>
    <xf numFmtId="0" fontId="43" fillId="13" borderId="65" xfId="0" applyFont="1" applyFill="1" applyBorder="1" applyAlignment="1">
      <alignment horizontal="center" vertical="center"/>
    </xf>
    <xf numFmtId="0" fontId="43" fillId="13" borderId="66" xfId="0" applyFont="1" applyFill="1" applyBorder="1" applyAlignment="1">
      <alignment horizontal="center" vertical="center"/>
    </xf>
    <xf numFmtId="7" fontId="23" fillId="0" borderId="82" xfId="0" applyNumberFormat="1" applyFont="1" applyBorder="1" applyAlignment="1">
      <alignment horizontal="center" vertical="center" wrapText="1"/>
    </xf>
    <xf numFmtId="171" fontId="25" fillId="0" borderId="0" xfId="0" applyNumberFormat="1" applyFont="1" applyAlignment="1">
      <alignment horizontal="center" vertical="center"/>
    </xf>
    <xf numFmtId="3" fontId="23" fillId="0" borderId="72" xfId="0" applyNumberFormat="1" applyFont="1" applyBorder="1" applyAlignment="1">
      <alignment horizontal="center" vertical="center"/>
    </xf>
    <xf numFmtId="0" fontId="45" fillId="0" borderId="72" xfId="0" applyFont="1" applyBorder="1" applyAlignment="1">
      <alignment horizontal="center" vertical="center" wrapText="1"/>
    </xf>
    <xf numFmtId="10" fontId="45" fillId="0" borderId="72" xfId="0" applyNumberFormat="1" applyFont="1" applyBorder="1" applyAlignment="1">
      <alignment horizontal="center" vertical="center"/>
    </xf>
    <xf numFmtId="0" fontId="45" fillId="0" borderId="58" xfId="0" applyFont="1" applyBorder="1" applyAlignment="1">
      <alignment horizontal="center" vertical="center"/>
    </xf>
    <xf numFmtId="9" fontId="45" fillId="0" borderId="58" xfId="0" applyNumberFormat="1" applyFont="1" applyBorder="1" applyAlignment="1">
      <alignment horizontal="center" vertical="center"/>
    </xf>
    <xf numFmtId="0" fontId="45" fillId="0" borderId="69" xfId="0" applyFont="1" applyBorder="1" applyAlignment="1">
      <alignment horizontal="center" vertical="center"/>
    </xf>
    <xf numFmtId="0" fontId="45" fillId="0" borderId="83" xfId="0" applyFont="1" applyBorder="1" applyAlignment="1">
      <alignment horizontal="center" vertical="center" wrapText="1"/>
    </xf>
    <xf numFmtId="0" fontId="45" fillId="0" borderId="69" xfId="0" applyFont="1" applyBorder="1" applyAlignment="1">
      <alignment horizontal="center" vertical="center" wrapText="1"/>
    </xf>
    <xf numFmtId="0" fontId="45" fillId="0" borderId="71" xfId="0" applyFont="1" applyBorder="1" applyAlignment="1">
      <alignment horizontal="center" vertical="center" wrapText="1"/>
    </xf>
    <xf numFmtId="0" fontId="45" fillId="0" borderId="85" xfId="0" applyFont="1" applyBorder="1" applyAlignment="1">
      <alignment horizontal="center" vertical="center" wrapText="1"/>
    </xf>
    <xf numFmtId="0" fontId="45" fillId="0" borderId="55" xfId="0" applyFont="1" applyBorder="1" applyAlignment="1">
      <alignment horizontal="center" vertical="center"/>
    </xf>
    <xf numFmtId="6" fontId="45" fillId="0" borderId="76" xfId="0" applyNumberFormat="1" applyFont="1" applyBorder="1" applyAlignment="1">
      <alignment horizontal="center" vertical="center"/>
    </xf>
    <xf numFmtId="6" fontId="45" fillId="0" borderId="0" xfId="0" applyNumberFormat="1" applyFont="1" applyAlignment="1">
      <alignment horizontal="center" vertical="center"/>
    </xf>
    <xf numFmtId="6" fontId="45" fillId="0" borderId="52" xfId="0" applyNumberFormat="1" applyFont="1" applyBorder="1" applyAlignment="1">
      <alignment horizontal="center" vertical="center"/>
    </xf>
    <xf numFmtId="6" fontId="43" fillId="13" borderId="58" xfId="0" applyNumberFormat="1" applyFont="1" applyFill="1" applyBorder="1" applyAlignment="1">
      <alignment horizontal="center" vertical="center"/>
    </xf>
    <xf numFmtId="6" fontId="43" fillId="13" borderId="56" xfId="0" applyNumberFormat="1" applyFont="1" applyFill="1" applyBorder="1" applyAlignment="1">
      <alignment horizontal="center" vertical="center"/>
    </xf>
    <xf numFmtId="0" fontId="43" fillId="13" borderId="50" xfId="0" applyFont="1" applyFill="1" applyBorder="1" applyAlignment="1">
      <alignment horizontal="center" vertical="center" wrapText="1"/>
    </xf>
    <xf numFmtId="0" fontId="45" fillId="0" borderId="75" xfId="0" applyFont="1" applyBorder="1" applyAlignment="1">
      <alignment horizontal="center" vertical="center"/>
    </xf>
    <xf numFmtId="0" fontId="45" fillId="0" borderId="51" xfId="0" applyFont="1" applyBorder="1" applyAlignment="1">
      <alignment horizontal="center" vertical="center"/>
    </xf>
    <xf numFmtId="0" fontId="43" fillId="13" borderId="55" xfId="0" applyFont="1" applyFill="1" applyBorder="1" applyAlignment="1">
      <alignment horizontal="center" vertical="center"/>
    </xf>
    <xf numFmtId="0" fontId="45" fillId="0" borderId="89" xfId="0" applyFont="1" applyBorder="1" applyAlignment="1">
      <alignment horizontal="center" vertical="center" wrapText="1"/>
    </xf>
    <xf numFmtId="0" fontId="45" fillId="0" borderId="72" xfId="0" applyFont="1" applyBorder="1" applyAlignment="1">
      <alignment horizontal="center" vertical="center"/>
    </xf>
    <xf numFmtId="0" fontId="23" fillId="0" borderId="90" xfId="0" applyFont="1" applyBorder="1" applyAlignment="1">
      <alignment horizontal="center" vertical="center" wrapText="1"/>
    </xf>
    <xf numFmtId="0" fontId="23" fillId="0" borderId="92" xfId="0" applyFont="1" applyBorder="1" applyAlignment="1">
      <alignment horizontal="center" vertical="center" wrapText="1"/>
    </xf>
    <xf numFmtId="0" fontId="23" fillId="0" borderId="93"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44" xfId="0" applyFont="1" applyBorder="1" applyAlignment="1">
      <alignment horizontal="center" vertical="center"/>
    </xf>
    <xf numFmtId="165" fontId="21" fillId="0" borderId="44" xfId="5" applyFont="1" applyBorder="1" applyAlignment="1">
      <alignment horizontal="center" vertical="center"/>
    </xf>
    <xf numFmtId="0" fontId="21" fillId="0" borderId="83" xfId="0" applyFont="1" applyBorder="1" applyAlignment="1">
      <alignment horizontal="center" vertical="center" wrapText="1"/>
    </xf>
    <xf numFmtId="165" fontId="21" fillId="0" borderId="44"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1" fontId="21" fillId="0" borderId="72" xfId="0" applyNumberFormat="1" applyFont="1" applyBorder="1" applyAlignment="1">
      <alignment horizontal="center" vertical="center"/>
    </xf>
    <xf numFmtId="0" fontId="21" fillId="0" borderId="85" xfId="0" applyFont="1" applyBorder="1" applyAlignment="1">
      <alignment horizontal="center" vertical="center" wrapText="1"/>
    </xf>
    <xf numFmtId="0" fontId="23" fillId="0" borderId="95" xfId="0" applyFont="1" applyBorder="1" applyAlignment="1">
      <alignment horizontal="center" vertical="center"/>
    </xf>
    <xf numFmtId="6" fontId="23" fillId="0" borderId="96" xfId="0" applyNumberFormat="1" applyFont="1" applyBorder="1" applyAlignment="1">
      <alignment horizontal="center" vertical="center" wrapText="1"/>
    </xf>
    <xf numFmtId="0" fontId="23" fillId="0" borderId="90" xfId="0" applyFont="1" applyBorder="1" applyAlignment="1">
      <alignment horizontal="center" vertical="center"/>
    </xf>
    <xf numFmtId="6" fontId="23" fillId="0" borderId="97" xfId="0" applyNumberFormat="1" applyFont="1" applyBorder="1" applyAlignment="1">
      <alignment horizontal="center" vertical="center" wrapText="1"/>
    </xf>
    <xf numFmtId="6" fontId="43" fillId="13" borderId="52" xfId="0" applyNumberFormat="1" applyFont="1" applyFill="1" applyBorder="1" applyAlignment="1">
      <alignment horizontal="center" vertical="center"/>
    </xf>
    <xf numFmtId="0" fontId="43" fillId="13" borderId="51" xfId="0" applyFont="1" applyFill="1" applyBorder="1" applyAlignment="1">
      <alignment horizontal="center" vertical="center"/>
    </xf>
    <xf numFmtId="6" fontId="43" fillId="13" borderId="0" xfId="0" applyNumberFormat="1" applyFont="1" applyFill="1" applyAlignment="1">
      <alignment horizontal="center" vertical="center"/>
    </xf>
    <xf numFmtId="0" fontId="58" fillId="0" borderId="0" xfId="0" applyFont="1" applyAlignment="1">
      <alignment horizontal="left" vertical="center"/>
    </xf>
    <xf numFmtId="181" fontId="23" fillId="0" borderId="79" xfId="0" applyNumberFormat="1" applyFont="1" applyBorder="1" applyAlignment="1">
      <alignment horizontal="center" vertical="center"/>
    </xf>
    <xf numFmtId="181" fontId="20" fillId="13" borderId="72" xfId="0" applyNumberFormat="1" applyFont="1" applyFill="1" applyBorder="1" applyAlignment="1">
      <alignment horizontal="center" vertical="center"/>
    </xf>
    <xf numFmtId="181" fontId="20" fillId="13" borderId="80" xfId="0" applyNumberFormat="1" applyFont="1" applyFill="1" applyBorder="1" applyAlignment="1">
      <alignment horizontal="center" vertical="center"/>
    </xf>
    <xf numFmtId="171" fontId="23" fillId="0" borderId="79" xfId="0" applyNumberFormat="1" applyFont="1" applyBorder="1" applyAlignment="1">
      <alignment horizontal="center" vertical="center"/>
    </xf>
    <xf numFmtId="175" fontId="23" fillId="0" borderId="79" xfId="1" applyNumberFormat="1" applyFont="1" applyFill="1" applyBorder="1" applyAlignment="1">
      <alignment horizontal="center" vertical="center"/>
    </xf>
    <xf numFmtId="0" fontId="23" fillId="4" borderId="44" xfId="0" applyFont="1" applyFill="1" applyBorder="1" applyAlignment="1">
      <alignment horizontal="center" vertical="center"/>
    </xf>
    <xf numFmtId="0" fontId="24" fillId="4" borderId="69" xfId="0" applyFont="1" applyFill="1" applyBorder="1" applyAlignment="1">
      <alignment horizontal="center" vertical="center"/>
    </xf>
    <xf numFmtId="0" fontId="20" fillId="13" borderId="55" xfId="0" applyFont="1" applyFill="1" applyBorder="1" applyAlignment="1">
      <alignment horizontal="center" vertical="center"/>
    </xf>
    <xf numFmtId="169" fontId="20" fillId="13" borderId="58" xfId="0" applyNumberFormat="1" applyFont="1" applyFill="1" applyBorder="1" applyAlignment="1">
      <alignment horizontal="center" vertical="center"/>
    </xf>
    <xf numFmtId="0" fontId="23" fillId="4" borderId="69" xfId="0" applyFont="1" applyFill="1" applyBorder="1" applyAlignment="1">
      <alignment horizontal="center" vertical="center"/>
    </xf>
    <xf numFmtId="0" fontId="23" fillId="4" borderId="71" xfId="0" applyFont="1" applyFill="1" applyBorder="1" applyAlignment="1">
      <alignment horizontal="center" vertical="center"/>
    </xf>
    <xf numFmtId="171" fontId="24" fillId="7" borderId="52" xfId="20" applyNumberFormat="1" applyFont="1" applyFill="1" applyBorder="1" applyAlignment="1">
      <alignment horizontal="center" vertical="center"/>
    </xf>
    <xf numFmtId="181" fontId="23" fillId="0" borderId="72" xfId="0" applyNumberFormat="1" applyFont="1" applyBorder="1" applyAlignment="1">
      <alignment horizontal="center" vertical="center"/>
    </xf>
    <xf numFmtId="175" fontId="23" fillId="0" borderId="72" xfId="1" applyNumberFormat="1" applyFont="1" applyFill="1" applyBorder="1" applyAlignment="1">
      <alignment horizontal="center" vertical="center"/>
    </xf>
    <xf numFmtId="171" fontId="23" fillId="0" borderId="80" xfId="0" applyNumberFormat="1" applyFont="1" applyBorder="1" applyAlignment="1">
      <alignment horizontal="center" vertical="center"/>
    </xf>
    <xf numFmtId="0" fontId="24" fillId="7" borderId="51" xfId="20" applyFont="1" applyFill="1" applyBorder="1" applyAlignment="1">
      <alignment horizontal="center" vertical="center"/>
    </xf>
    <xf numFmtId="0" fontId="24" fillId="7" borderId="0" xfId="20" applyFont="1" applyFill="1" applyBorder="1" applyAlignment="1">
      <alignment horizontal="center" vertical="center"/>
    </xf>
    <xf numFmtId="0" fontId="23" fillId="4" borderId="81" xfId="0" applyFont="1" applyFill="1" applyBorder="1" applyAlignment="1">
      <alignment horizontal="center" vertical="center"/>
    </xf>
    <xf numFmtId="0" fontId="23" fillId="4" borderId="72" xfId="0" applyFont="1" applyFill="1" applyBorder="1" applyAlignment="1">
      <alignment horizontal="center" vertical="center"/>
    </xf>
    <xf numFmtId="0" fontId="45" fillId="0" borderId="81" xfId="0" applyFont="1" applyBorder="1" applyAlignment="1">
      <alignment horizontal="center" vertical="center"/>
    </xf>
    <xf numFmtId="0" fontId="45" fillId="0" borderId="43" xfId="0" applyFont="1" applyBorder="1" applyAlignment="1">
      <alignment horizontal="center" vertical="center"/>
    </xf>
    <xf numFmtId="0" fontId="43" fillId="13" borderId="65" xfId="0" applyFont="1" applyFill="1" applyBorder="1" applyAlignment="1">
      <alignment horizontal="center" vertical="center" wrapText="1"/>
    </xf>
    <xf numFmtId="0" fontId="43" fillId="13" borderId="66" xfId="0" applyFont="1" applyFill="1" applyBorder="1" applyAlignment="1">
      <alignment horizontal="center" vertical="center" wrapText="1"/>
    </xf>
    <xf numFmtId="0" fontId="43" fillId="13" borderId="55" xfId="0" applyFont="1" applyFill="1" applyBorder="1" applyAlignment="1">
      <alignment horizontal="center" vertical="center" wrapText="1"/>
    </xf>
    <xf numFmtId="0" fontId="43" fillId="13" borderId="58" xfId="0" applyFont="1" applyFill="1" applyBorder="1" applyAlignment="1">
      <alignment horizontal="center" vertical="center" wrapText="1"/>
    </xf>
    <xf numFmtId="0" fontId="43" fillId="13" borderId="56" xfId="0" applyFont="1" applyFill="1" applyBorder="1" applyAlignment="1">
      <alignment horizontal="center" vertical="center"/>
    </xf>
    <xf numFmtId="0" fontId="45" fillId="0" borderId="81" xfId="0" applyFont="1" applyBorder="1" applyAlignment="1">
      <alignment horizontal="center" vertical="center" wrapText="1"/>
    </xf>
    <xf numFmtId="0" fontId="45" fillId="0" borderId="43" xfId="0" applyFont="1" applyBorder="1" applyAlignment="1">
      <alignment horizontal="center" vertical="center" wrapText="1"/>
    </xf>
    <xf numFmtId="6" fontId="45" fillId="0" borderId="43" xfId="0" applyNumberFormat="1" applyFont="1" applyBorder="1" applyAlignment="1">
      <alignment horizontal="center" vertical="center"/>
    </xf>
    <xf numFmtId="0" fontId="23" fillId="0" borderId="95" xfId="0" applyFont="1" applyBorder="1" applyAlignment="1">
      <alignment horizontal="center" vertical="center" wrapText="1"/>
    </xf>
    <xf numFmtId="0" fontId="23" fillId="13" borderId="64" xfId="0" applyFont="1" applyFill="1" applyBorder="1" applyAlignment="1">
      <alignment horizontal="center" vertical="center" wrapText="1"/>
    </xf>
    <xf numFmtId="0" fontId="21" fillId="0" borderId="81" xfId="0" applyFont="1" applyBorder="1" applyAlignment="1">
      <alignment horizontal="center" vertical="center" wrapText="1"/>
    </xf>
    <xf numFmtId="0" fontId="21" fillId="0" borderId="43" xfId="0" applyFont="1" applyBorder="1" applyAlignment="1">
      <alignment horizontal="center" vertical="center"/>
    </xf>
    <xf numFmtId="165" fontId="21" fillId="0" borderId="43" xfId="5" applyFont="1" applyBorder="1" applyAlignment="1">
      <alignment horizontal="center" vertical="center"/>
    </xf>
    <xf numFmtId="0" fontId="21" fillId="0" borderId="99" xfId="0" applyFont="1" applyBorder="1" applyAlignment="1">
      <alignment horizontal="center" vertical="center" wrapText="1"/>
    </xf>
    <xf numFmtId="0" fontId="43" fillId="13" borderId="58" xfId="0" applyFont="1" applyFill="1" applyBorder="1" applyAlignment="1">
      <alignment horizontal="center" vertical="center"/>
    </xf>
    <xf numFmtId="0" fontId="43" fillId="13" borderId="56" xfId="0" applyFont="1" applyFill="1" applyBorder="1" applyAlignment="1">
      <alignment horizontal="center" vertical="center" wrapText="1"/>
    </xf>
    <xf numFmtId="0" fontId="23" fillId="4" borderId="43" xfId="0" applyFont="1" applyFill="1" applyBorder="1" applyAlignment="1">
      <alignment horizontal="center" vertical="center"/>
    </xf>
    <xf numFmtId="181" fontId="23" fillId="0" borderId="43" xfId="0" applyNumberFormat="1" applyFont="1" applyBorder="1" applyAlignment="1">
      <alignment horizontal="center" vertical="center"/>
    </xf>
    <xf numFmtId="181" fontId="23" fillId="0" borderId="82" xfId="0" applyNumberFormat="1" applyFont="1" applyBorder="1" applyAlignment="1">
      <alignment horizontal="center" vertical="center"/>
    </xf>
    <xf numFmtId="0" fontId="20" fillId="13" borderId="64" xfId="0" applyFont="1" applyFill="1" applyBorder="1" applyAlignment="1">
      <alignment horizontal="center" vertical="center"/>
    </xf>
    <xf numFmtId="0" fontId="3" fillId="13" borderId="0" xfId="0" applyFont="1" applyFill="1">
      <alignment horizontal="left" vertical="center" indent="1"/>
    </xf>
    <xf numFmtId="0" fontId="8" fillId="13" borderId="0" xfId="0" applyFont="1" applyFill="1">
      <alignment horizontal="left" vertical="center" indent="1"/>
    </xf>
    <xf numFmtId="183" fontId="0" fillId="0" borderId="52" xfId="19" applyNumberFormat="1" applyFont="1" applyFill="1" applyBorder="1" applyAlignment="1">
      <alignment horizontal="center" vertical="center"/>
    </xf>
    <xf numFmtId="183" fontId="23" fillId="0" borderId="0" xfId="19" applyNumberFormat="1" applyFont="1" applyBorder="1" applyAlignment="1">
      <alignment horizontal="center" vertical="center"/>
    </xf>
    <xf numFmtId="183" fontId="23" fillId="0" borderId="52" xfId="19" applyNumberFormat="1" applyFont="1" applyBorder="1" applyAlignment="1">
      <alignment horizontal="center" vertical="center"/>
    </xf>
    <xf numFmtId="183" fontId="23" fillId="0" borderId="54" xfId="19" applyNumberFormat="1" applyFont="1" applyBorder="1" applyAlignment="1">
      <alignment horizontal="center" vertical="center"/>
    </xf>
    <xf numFmtId="3" fontId="0" fillId="0" borderId="58" xfId="4" applyFont="1" applyBorder="1" applyAlignment="1">
      <alignment horizontal="center" vertical="center"/>
    </xf>
    <xf numFmtId="183" fontId="23" fillId="0" borderId="58" xfId="19" applyNumberFormat="1" applyFont="1" applyBorder="1" applyAlignment="1">
      <alignment horizontal="center" vertical="center"/>
    </xf>
    <xf numFmtId="183" fontId="23" fillId="0" borderId="56" xfId="19" applyNumberFormat="1" applyFont="1" applyBorder="1" applyAlignment="1">
      <alignment horizontal="center" vertical="center"/>
    </xf>
    <xf numFmtId="0" fontId="10" fillId="6" borderId="57" xfId="13" applyNumberFormat="1" applyFont="1" applyBorder="1" applyAlignment="1">
      <alignment horizontal="center" vertical="center"/>
    </xf>
    <xf numFmtId="0" fontId="4" fillId="6" borderId="18" xfId="13" applyNumberFormat="1" applyBorder="1" applyAlignment="1">
      <alignment horizontal="center" vertical="center"/>
    </xf>
    <xf numFmtId="1" fontId="0" fillId="0" borderId="52" xfId="0" applyNumberFormat="1" applyBorder="1" applyAlignment="1">
      <alignment horizontal="center" vertical="center"/>
    </xf>
    <xf numFmtId="1" fontId="0" fillId="0" borderId="54" xfId="0" applyNumberFormat="1" applyBorder="1" applyAlignment="1">
      <alignment horizontal="center" vertical="center"/>
    </xf>
    <xf numFmtId="1" fontId="0" fillId="0" borderId="55" xfId="0" applyNumberFormat="1" applyBorder="1" applyAlignment="1">
      <alignment horizontal="center" vertical="center"/>
    </xf>
    <xf numFmtId="1" fontId="0" fillId="0" borderId="58" xfId="0" applyNumberFormat="1" applyBorder="1" applyAlignment="1">
      <alignment horizontal="center" vertical="center"/>
    </xf>
    <xf numFmtId="166" fontId="0" fillId="0" borderId="56" xfId="1" applyNumberFormat="1" applyFont="1" applyBorder="1" applyAlignment="1">
      <alignment horizontal="center" vertical="center"/>
    </xf>
    <xf numFmtId="2" fontId="4" fillId="0" borderId="51" xfId="0" applyNumberFormat="1" applyFont="1" applyBorder="1" applyAlignment="1">
      <alignment horizontal="center" vertical="center"/>
    </xf>
    <xf numFmtId="3" fontId="0" fillId="0" borderId="0" xfId="0" applyNumberFormat="1" applyAlignment="1">
      <alignment horizontal="center" vertical="center"/>
    </xf>
    <xf numFmtId="3" fontId="0" fillId="0" borderId="52" xfId="0" applyNumberFormat="1" applyBorder="1" applyAlignment="1">
      <alignment horizontal="center" vertical="center"/>
    </xf>
    <xf numFmtId="0" fontId="6" fillId="0" borderId="51" xfId="0" applyFont="1" applyBorder="1" applyAlignment="1">
      <alignment horizontal="center" vertical="center"/>
    </xf>
    <xf numFmtId="0" fontId="6" fillId="0" borderId="0" xfId="0" applyFont="1" applyAlignment="1">
      <alignment horizontal="center" vertical="center"/>
    </xf>
    <xf numFmtId="3" fontId="52" fillId="0" borderId="0" xfId="0" applyNumberFormat="1" applyFont="1" applyAlignment="1">
      <alignment horizontal="center" vertical="center"/>
    </xf>
    <xf numFmtId="3" fontId="4" fillId="0" borderId="4" xfId="0" applyNumberFormat="1" applyFont="1" applyBorder="1" applyAlignment="1">
      <alignment horizontal="center" vertical="center"/>
    </xf>
    <xf numFmtId="3" fontId="4" fillId="0" borderId="68" xfId="0" applyNumberFormat="1" applyFont="1" applyBorder="1" applyAlignment="1">
      <alignment horizontal="center" vertical="center"/>
    </xf>
    <xf numFmtId="2" fontId="4" fillId="0" borderId="0" xfId="0" applyNumberFormat="1" applyFont="1" applyAlignment="1">
      <alignment horizontal="center" vertical="center"/>
    </xf>
    <xf numFmtId="0" fontId="6" fillId="0" borderId="51" xfId="0" applyFont="1" applyBorder="1" applyAlignment="1">
      <alignment horizontal="center" vertical="center" wrapText="1"/>
    </xf>
    <xf numFmtId="0" fontId="36" fillId="0" borderId="0" xfId="0" applyFont="1" applyAlignment="1">
      <alignment horizontal="center" vertical="center"/>
    </xf>
    <xf numFmtId="0" fontId="6" fillId="0" borderId="51" xfId="0" applyFont="1" applyBorder="1" applyAlignment="1">
      <alignment horizontal="center" vertical="top" wrapText="1"/>
    </xf>
    <xf numFmtId="0" fontId="6" fillId="0" borderId="55" xfId="0" applyFont="1" applyBorder="1" applyAlignment="1">
      <alignment horizontal="center" vertical="top" wrapText="1"/>
    </xf>
    <xf numFmtId="0" fontId="4" fillId="0" borderId="67" xfId="0" applyFont="1" applyBorder="1" applyAlignment="1">
      <alignment horizontal="center" vertical="center"/>
    </xf>
    <xf numFmtId="3" fontId="4" fillId="0" borderId="67" xfId="0" applyNumberFormat="1" applyFont="1" applyBorder="1" applyAlignment="1">
      <alignment horizontal="center" vertical="center"/>
    </xf>
    <xf numFmtId="3" fontId="4" fillId="0" borderId="63" xfId="0" applyNumberFormat="1" applyFont="1" applyBorder="1" applyAlignment="1">
      <alignment horizontal="center" vertical="center"/>
    </xf>
    <xf numFmtId="172" fontId="0" fillId="0" borderId="3" xfId="0" applyNumberFormat="1" applyBorder="1" applyAlignment="1">
      <alignment horizontal="center" vertical="center"/>
    </xf>
    <xf numFmtId="172" fontId="0" fillId="0" borderId="54" xfId="0" applyNumberFormat="1" applyBorder="1" applyAlignment="1">
      <alignment horizontal="center" vertical="center"/>
    </xf>
    <xf numFmtId="0" fontId="11" fillId="0" borderId="53" xfId="7" applyBorder="1" applyAlignment="1">
      <alignment horizontal="center" vertical="center"/>
    </xf>
    <xf numFmtId="3" fontId="0" fillId="0" borderId="3" xfId="0" applyNumberFormat="1" applyBorder="1" applyAlignment="1">
      <alignment horizontal="center" vertical="center"/>
    </xf>
    <xf numFmtId="3" fontId="4" fillId="0" borderId="3" xfId="0" applyNumberFormat="1" applyFont="1" applyBorder="1" applyAlignment="1">
      <alignment horizontal="center" vertical="center"/>
    </xf>
    <xf numFmtId="3" fontId="4" fillId="0" borderId="58" xfId="0" applyNumberFormat="1" applyFont="1" applyBorder="1" applyAlignment="1">
      <alignment horizontal="center" vertical="center"/>
    </xf>
    <xf numFmtId="0" fontId="10" fillId="6" borderId="58" xfId="13" applyNumberFormat="1" applyFont="1" applyBorder="1" applyAlignment="1">
      <alignment horizontal="center" vertical="center"/>
    </xf>
    <xf numFmtId="0" fontId="4" fillId="6" borderId="58" xfId="13" applyNumberFormat="1" applyBorder="1" applyAlignment="1">
      <alignment horizontal="center" vertical="center"/>
    </xf>
    <xf numFmtId="1" fontId="4" fillId="6" borderId="58" xfId="13" applyNumberFormat="1" applyBorder="1" applyAlignment="1">
      <alignment horizontal="center" vertical="center"/>
    </xf>
    <xf numFmtId="1" fontId="4" fillId="6" borderId="56" xfId="13" applyNumberFormat="1" applyBorder="1" applyAlignment="1">
      <alignment horizontal="center" vertical="center"/>
    </xf>
    <xf numFmtId="0" fontId="4" fillId="6" borderId="66" xfId="13" applyNumberFormat="1" applyBorder="1" applyAlignment="1">
      <alignment horizontal="center" vertical="center"/>
    </xf>
    <xf numFmtId="1" fontId="4" fillId="0" borderId="0" xfId="13" applyNumberFormat="1" applyFill="1" applyBorder="1" applyAlignment="1">
      <alignment horizontal="center" vertical="center"/>
    </xf>
    <xf numFmtId="172" fontId="0" fillId="0" borderId="3" xfId="4" applyNumberFormat="1" applyFont="1" applyBorder="1" applyAlignment="1">
      <alignment horizontal="center" vertical="center"/>
    </xf>
    <xf numFmtId="172" fontId="0" fillId="0" borderId="0" xfId="4" applyNumberFormat="1" applyFont="1" applyBorder="1" applyAlignment="1">
      <alignment horizontal="center" vertical="center"/>
    </xf>
    <xf numFmtId="1" fontId="4" fillId="0" borderId="52" xfId="13" applyNumberFormat="1" applyFill="1" applyBorder="1" applyAlignment="1">
      <alignment horizontal="center" vertical="center"/>
    </xf>
    <xf numFmtId="172" fontId="0" fillId="0" borderId="52" xfId="4" applyNumberFormat="1" applyFont="1" applyBorder="1" applyAlignment="1">
      <alignment horizontal="center" vertical="center"/>
    </xf>
    <xf numFmtId="172" fontId="0" fillId="0" borderId="54" xfId="4" applyNumberFormat="1" applyFont="1" applyBorder="1" applyAlignment="1">
      <alignment horizontal="center" vertical="center"/>
    </xf>
    <xf numFmtId="172" fontId="0" fillId="0" borderId="58" xfId="4" applyNumberFormat="1" applyFont="1" applyBorder="1" applyAlignment="1">
      <alignment horizontal="center" vertical="center"/>
    </xf>
    <xf numFmtId="172" fontId="0" fillId="0" borderId="56" xfId="4" applyNumberFormat="1" applyFont="1" applyBorder="1" applyAlignment="1">
      <alignment horizontal="center" vertical="center"/>
    </xf>
    <xf numFmtId="164" fontId="0" fillId="0" borderId="3" xfId="5" applyNumberFormat="1" applyFont="1" applyBorder="1" applyAlignment="1">
      <alignment horizontal="center" vertical="center"/>
    </xf>
    <xf numFmtId="1" fontId="0" fillId="0" borderId="53" xfId="0" applyNumberFormat="1" applyBorder="1" applyAlignment="1">
      <alignment horizontal="center" vertical="center"/>
    </xf>
    <xf numFmtId="166" fontId="0" fillId="0" borderId="54" xfId="1" applyNumberFormat="1" applyFont="1" applyBorder="1" applyAlignment="1">
      <alignment horizontal="center" vertical="center"/>
    </xf>
    <xf numFmtId="2" fontId="0" fillId="0" borderId="52" xfId="0" applyNumberFormat="1" applyBorder="1" applyAlignment="1">
      <alignment horizontal="center" vertical="center"/>
    </xf>
    <xf numFmtId="2" fontId="0" fillId="0" borderId="54" xfId="0" applyNumberFormat="1" applyBorder="1" applyAlignment="1">
      <alignment horizontal="center" vertical="center"/>
    </xf>
    <xf numFmtId="164" fontId="0" fillId="0" borderId="61" xfId="5" applyNumberFormat="1" applyFont="1" applyBorder="1" applyAlignment="1">
      <alignment horizontal="center" vertical="center"/>
    </xf>
    <xf numFmtId="164" fontId="0" fillId="0" borderId="56" xfId="5" applyNumberFormat="1" applyFont="1" applyBorder="1" applyAlignment="1">
      <alignment horizontal="center" vertical="center"/>
    </xf>
    <xf numFmtId="9" fontId="0" fillId="0" borderId="56" xfId="1" applyFont="1" applyBorder="1" applyAlignment="1">
      <alignment horizontal="right" vertical="center" indent="1"/>
    </xf>
    <xf numFmtId="3" fontId="4" fillId="6" borderId="18" xfId="13" applyNumberFormat="1" applyBorder="1" applyAlignment="1">
      <alignment horizontal="center" vertical="center"/>
    </xf>
    <xf numFmtId="9" fontId="0" fillId="0" borderId="52" xfId="1" applyFont="1" applyBorder="1" applyAlignment="1">
      <alignment horizontal="center" vertical="center"/>
    </xf>
    <xf numFmtId="9" fontId="0" fillId="0" borderId="56" xfId="1" applyFont="1" applyBorder="1" applyAlignment="1">
      <alignment horizontal="center" vertical="center"/>
    </xf>
    <xf numFmtId="0" fontId="36" fillId="0" borderId="3" xfId="0" applyFont="1" applyBorder="1" applyAlignment="1">
      <alignment horizontal="center" vertical="center"/>
    </xf>
    <xf numFmtId="3" fontId="0" fillId="0" borderId="54" xfId="0" applyNumberFormat="1" applyBorder="1" applyAlignment="1">
      <alignment horizontal="center" vertical="center"/>
    </xf>
    <xf numFmtId="3" fontId="4" fillId="0" borderId="54" xfId="0" applyNumberFormat="1" applyFont="1" applyBorder="1" applyAlignment="1">
      <alignment horizontal="center" vertical="center"/>
    </xf>
    <xf numFmtId="3" fontId="4" fillId="0" borderId="56" xfId="0" applyNumberFormat="1" applyFont="1" applyBorder="1" applyAlignment="1">
      <alignment horizontal="center" vertical="center"/>
    </xf>
    <xf numFmtId="165" fontId="4" fillId="0" borderId="4" xfId="5" applyFont="1" applyBorder="1" applyAlignment="1">
      <alignment horizontal="center" vertical="center"/>
    </xf>
    <xf numFmtId="0" fontId="6" fillId="0" borderId="53" xfId="0" applyFont="1" applyBorder="1" applyAlignment="1">
      <alignment horizontal="center" vertical="center" wrapText="1"/>
    </xf>
    <xf numFmtId="0" fontId="36" fillId="0" borderId="51" xfId="0" applyFont="1" applyBorder="1" applyAlignment="1">
      <alignment horizontal="center" vertical="center" wrapText="1"/>
    </xf>
    <xf numFmtId="0" fontId="36" fillId="0" borderId="53" xfId="0" applyFont="1" applyBorder="1" applyAlignment="1">
      <alignment horizontal="center" vertical="center" wrapText="1"/>
    </xf>
    <xf numFmtId="0" fontId="36" fillId="0" borderId="55" xfId="0" applyFont="1" applyBorder="1" applyAlignment="1">
      <alignment horizontal="center" vertical="center" wrapText="1"/>
    </xf>
    <xf numFmtId="0" fontId="36" fillId="0" borderId="58" xfId="0" applyFont="1" applyBorder="1" applyAlignment="1">
      <alignment horizontal="center" vertical="center"/>
    </xf>
    <xf numFmtId="165" fontId="4" fillId="0" borderId="67" xfId="5" applyFont="1" applyBorder="1" applyAlignment="1">
      <alignment horizontal="center" vertical="center"/>
    </xf>
    <xf numFmtId="165" fontId="4" fillId="0" borderId="63" xfId="5" applyFont="1" applyBorder="1" applyAlignment="1">
      <alignment horizontal="center" vertical="center"/>
    </xf>
    <xf numFmtId="4" fontId="0" fillId="0" borderId="3" xfId="0" applyNumberFormat="1" applyBorder="1" applyAlignment="1">
      <alignment horizontal="center" vertical="center"/>
    </xf>
    <xf numFmtId="4" fontId="4" fillId="0" borderId="4" xfId="0" applyNumberFormat="1" applyFont="1" applyBorder="1" applyAlignment="1">
      <alignment horizontal="center" vertical="center"/>
    </xf>
    <xf numFmtId="4" fontId="0" fillId="0" borderId="54" xfId="0" applyNumberFormat="1" applyBorder="1" applyAlignment="1">
      <alignment horizontal="center" vertical="center"/>
    </xf>
    <xf numFmtId="4" fontId="4" fillId="0" borderId="68" xfId="0" applyNumberFormat="1" applyFont="1" applyBorder="1" applyAlignment="1">
      <alignment horizontal="center" vertical="center"/>
    </xf>
    <xf numFmtId="0" fontId="6" fillId="0" borderId="53" xfId="0" applyFont="1" applyBorder="1" applyAlignment="1">
      <alignment horizontal="center" vertical="center"/>
    </xf>
    <xf numFmtId="3" fontId="4" fillId="0" borderId="0" xfId="0" applyNumberFormat="1" applyFont="1" applyAlignment="1">
      <alignment horizontal="center" vertical="center"/>
    </xf>
    <xf numFmtId="165" fontId="4" fillId="0" borderId="68" xfId="5" applyFont="1" applyBorder="1" applyAlignment="1">
      <alignment horizontal="center" vertical="center"/>
    </xf>
    <xf numFmtId="1" fontId="4" fillId="6" borderId="65" xfId="13" applyNumberFormat="1" applyBorder="1" applyAlignment="1">
      <alignment horizontal="center" vertical="center" wrapText="1"/>
    </xf>
    <xf numFmtId="3" fontId="4" fillId="6" borderId="66" xfId="13" applyNumberFormat="1" applyBorder="1" applyAlignment="1">
      <alignment horizontal="center" vertical="center"/>
    </xf>
    <xf numFmtId="172" fontId="0" fillId="0" borderId="0" xfId="4" applyNumberFormat="1" applyFont="1" applyFill="1" applyBorder="1" applyAlignment="1">
      <alignment horizontal="center" vertical="center"/>
    </xf>
    <xf numFmtId="172" fontId="0" fillId="0" borderId="3" xfId="4" applyNumberFormat="1" applyFont="1" applyFill="1" applyBorder="1" applyAlignment="1">
      <alignment horizontal="center" vertical="center"/>
    </xf>
    <xf numFmtId="3" fontId="0" fillId="0" borderId="52" xfId="4" applyFont="1" applyFill="1" applyBorder="1" applyAlignment="1">
      <alignment horizontal="center" vertical="center"/>
    </xf>
    <xf numFmtId="3" fontId="0" fillId="0" borderId="58" xfId="4" applyFont="1" applyFill="1" applyBorder="1" applyAlignment="1">
      <alignment horizontal="center" vertical="center"/>
    </xf>
    <xf numFmtId="3" fontId="0" fillId="0" borderId="56" xfId="0" applyNumberFormat="1" applyBorder="1" applyAlignment="1">
      <alignment horizontal="center" vertical="center"/>
    </xf>
    <xf numFmtId="4" fontId="0" fillId="0" borderId="0" xfId="4" applyNumberFormat="1" applyFont="1" applyBorder="1" applyAlignment="1">
      <alignment horizontal="center" vertical="center"/>
    </xf>
    <xf numFmtId="4" fontId="0" fillId="0" borderId="52" xfId="4" applyNumberFormat="1" applyFont="1" applyBorder="1" applyAlignment="1">
      <alignment horizontal="center" vertical="center"/>
    </xf>
    <xf numFmtId="0" fontId="11" fillId="0" borderId="51" xfId="7" applyBorder="1" applyAlignment="1">
      <alignment horizontal="center" vertical="center"/>
    </xf>
    <xf numFmtId="4" fontId="0" fillId="0" borderId="54" xfId="4" applyNumberFormat="1" applyFont="1" applyBorder="1" applyAlignment="1">
      <alignment horizontal="center" vertical="center"/>
    </xf>
    <xf numFmtId="4" fontId="0" fillId="0" borderId="56" xfId="4" applyNumberFormat="1" applyFont="1" applyBorder="1" applyAlignment="1">
      <alignment horizontal="center" vertical="center"/>
    </xf>
    <xf numFmtId="10" fontId="0" fillId="0" borderId="52" xfId="0" applyNumberFormat="1" applyBorder="1" applyAlignment="1">
      <alignment horizontal="center" vertical="center"/>
    </xf>
    <xf numFmtId="10" fontId="0" fillId="0" borderId="54" xfId="0" applyNumberFormat="1" applyBorder="1" applyAlignment="1">
      <alignment horizontal="center" vertical="center"/>
    </xf>
    <xf numFmtId="10" fontId="0" fillId="0" borderId="0" xfId="1" applyNumberFormat="1" applyFont="1" applyBorder="1" applyAlignment="1">
      <alignment horizontal="center" vertical="center"/>
    </xf>
    <xf numFmtId="1" fontId="0" fillId="0" borderId="51" xfId="0" applyNumberFormat="1" applyBorder="1" applyAlignment="1">
      <alignment horizontal="center" vertical="center"/>
    </xf>
    <xf numFmtId="10" fontId="0" fillId="0" borderId="52" xfId="1" applyNumberFormat="1" applyFont="1" applyBorder="1" applyAlignment="1">
      <alignment horizontal="center" vertical="center"/>
    </xf>
    <xf numFmtId="10" fontId="0" fillId="0" borderId="54" xfId="1" applyNumberFormat="1" applyFont="1" applyBorder="1" applyAlignment="1">
      <alignment horizontal="center" vertical="center"/>
    </xf>
    <xf numFmtId="165" fontId="0" fillId="0" borderId="61" xfId="5" applyFont="1" applyBorder="1" applyAlignment="1">
      <alignment horizontal="center" vertical="center"/>
    </xf>
    <xf numFmtId="1" fontId="0" fillId="0" borderId="62" xfId="0" applyNumberFormat="1" applyBorder="1" applyAlignment="1">
      <alignment horizontal="center" vertical="center"/>
    </xf>
    <xf numFmtId="1" fontId="0" fillId="0" borderId="67" xfId="0" applyNumberFormat="1" applyBorder="1" applyAlignment="1">
      <alignment horizontal="center" vertical="center"/>
    </xf>
    <xf numFmtId="4" fontId="0" fillId="0" borderId="67" xfId="0" applyNumberFormat="1" applyBorder="1" applyAlignment="1">
      <alignment horizontal="center" vertical="center"/>
    </xf>
    <xf numFmtId="4" fontId="0" fillId="0" borderId="63" xfId="0" applyNumberFormat="1" applyBorder="1" applyAlignment="1">
      <alignment horizontal="center" vertical="center"/>
    </xf>
    <xf numFmtId="4" fontId="4" fillId="0" borderId="3" xfId="0" applyNumberFormat="1" applyFont="1" applyBorder="1" applyAlignment="1">
      <alignment horizontal="center" vertical="center"/>
    </xf>
    <xf numFmtId="165" fontId="4" fillId="0" borderId="3" xfId="5" applyFont="1" applyBorder="1" applyAlignment="1">
      <alignment horizontal="center" vertical="center"/>
    </xf>
    <xf numFmtId="165" fontId="4" fillId="0" borderId="54" xfId="5" applyFont="1" applyBorder="1" applyAlignment="1">
      <alignment horizontal="center" vertical="center"/>
    </xf>
    <xf numFmtId="1" fontId="4" fillId="0" borderId="67" xfId="0" applyNumberFormat="1" applyFont="1" applyBorder="1" applyAlignment="1">
      <alignment horizontal="center" vertical="center"/>
    </xf>
    <xf numFmtId="2" fontId="4" fillId="0" borderId="62" xfId="0" applyNumberFormat="1" applyFont="1" applyBorder="1" applyAlignment="1">
      <alignment horizontal="center" vertical="center"/>
    </xf>
    <xf numFmtId="2" fontId="4" fillId="0" borderId="67" xfId="0" applyNumberFormat="1" applyFont="1" applyBorder="1" applyAlignment="1">
      <alignment horizontal="center" vertical="center"/>
    </xf>
    <xf numFmtId="4" fontId="4" fillId="0" borderId="67" xfId="0" applyNumberFormat="1" applyFont="1" applyBorder="1" applyAlignment="1">
      <alignment horizontal="center" vertical="center"/>
    </xf>
    <xf numFmtId="4" fontId="4" fillId="0" borderId="63" xfId="0" applyNumberFormat="1" applyFont="1" applyBorder="1" applyAlignment="1">
      <alignment horizontal="center" vertical="center"/>
    </xf>
    <xf numFmtId="164" fontId="4" fillId="0" borderId="67" xfId="5" applyNumberFormat="1" applyFont="1" applyFill="1" applyBorder="1" applyAlignment="1">
      <alignment horizontal="center" vertical="center"/>
    </xf>
    <xf numFmtId="165" fontId="4" fillId="0" borderId="67" xfId="5" applyFont="1" applyFill="1" applyBorder="1" applyAlignment="1">
      <alignment horizontal="center" vertical="center"/>
    </xf>
    <xf numFmtId="0" fontId="8" fillId="13" borderId="0" xfId="14" applyFill="1" applyBorder="1" applyAlignment="1">
      <alignment horizontal="left" vertical="center" indent="1"/>
    </xf>
    <xf numFmtId="165" fontId="0" fillId="5" borderId="52" xfId="5" applyFont="1" applyFill="1" applyBorder="1" applyAlignment="1">
      <alignment horizontal="center" vertical="center"/>
    </xf>
    <xf numFmtId="0" fontId="0" fillId="0" borderId="0" xfId="0" applyAlignment="1">
      <alignment horizontal="center"/>
    </xf>
    <xf numFmtId="0" fontId="53" fillId="4" borderId="51" xfId="0" applyFont="1" applyFill="1" applyBorder="1" applyAlignment="1">
      <alignment horizontal="center" vertical="center"/>
    </xf>
    <xf numFmtId="165" fontId="0" fillId="5" borderId="52" xfId="5" applyFont="1" applyFill="1" applyBorder="1" applyAlignment="1">
      <alignment horizontal="center"/>
    </xf>
    <xf numFmtId="165" fontId="14" fillId="5" borderId="52" xfId="0" applyNumberFormat="1" applyFont="1" applyFill="1" applyBorder="1" applyAlignment="1">
      <alignment horizontal="center"/>
    </xf>
    <xf numFmtId="0" fontId="0" fillId="0" borderId="55" xfId="0" applyBorder="1" applyAlignment="1">
      <alignment horizontal="center"/>
    </xf>
    <xf numFmtId="0" fontId="0" fillId="0" borderId="58" xfId="0" applyBorder="1" applyAlignment="1">
      <alignment horizontal="center"/>
    </xf>
    <xf numFmtId="165" fontId="14" fillId="9" borderId="56" xfId="0" applyNumberFormat="1" applyFont="1" applyFill="1" applyBorder="1" applyAlignment="1">
      <alignment horizontal="center"/>
    </xf>
    <xf numFmtId="0" fontId="8" fillId="13" borderId="0" xfId="14" applyFill="1" applyAlignment="1">
      <alignment horizontal="left" vertical="center" indent="1"/>
    </xf>
    <xf numFmtId="0" fontId="0" fillId="0" borderId="40" xfId="0" applyBorder="1" applyAlignment="1">
      <alignment horizontal="center" wrapText="1"/>
    </xf>
    <xf numFmtId="178" fontId="0" fillId="0" borderId="40" xfId="5" applyNumberFormat="1" applyFont="1" applyBorder="1" applyAlignment="1">
      <alignment horizontal="center"/>
    </xf>
    <xf numFmtId="165" fontId="0" fillId="0" borderId="40" xfId="5" applyFont="1" applyBorder="1" applyAlignment="1">
      <alignment horizontal="center"/>
    </xf>
    <xf numFmtId="6" fontId="0" fillId="0" borderId="40" xfId="5" applyNumberFormat="1" applyFont="1" applyBorder="1" applyAlignment="1">
      <alignment horizontal="center"/>
    </xf>
    <xf numFmtId="165" fontId="0" fillId="0" borderId="0" xfId="0" applyNumberFormat="1" applyAlignment="1">
      <alignment horizontal="center"/>
    </xf>
    <xf numFmtId="178" fontId="0" fillId="0" borderId="0" xfId="0" applyNumberFormat="1" applyAlignment="1">
      <alignment horizontal="center"/>
    </xf>
    <xf numFmtId="0" fontId="0" fillId="0" borderId="64"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165" fontId="0" fillId="0" borderId="54" xfId="5" applyFont="1" applyFill="1" applyBorder="1" applyAlignment="1">
      <alignment horizontal="center" vertical="center"/>
    </xf>
    <xf numFmtId="165" fontId="4" fillId="0" borderId="58" xfId="5" applyFont="1" applyBorder="1" applyAlignment="1">
      <alignment horizontal="center" vertical="center"/>
    </xf>
    <xf numFmtId="165" fontId="10" fillId="0" borderId="52" xfId="5" applyFont="1" applyFill="1" applyBorder="1" applyAlignment="1">
      <alignment horizontal="center" vertical="center"/>
    </xf>
    <xf numFmtId="165" fontId="10" fillId="0" borderId="3" xfId="5" applyFont="1" applyBorder="1" applyAlignment="1">
      <alignment horizontal="center" vertical="center"/>
    </xf>
    <xf numFmtId="165" fontId="10" fillId="0" borderId="54" xfId="5" applyFont="1" applyFill="1" applyBorder="1" applyAlignment="1">
      <alignment horizontal="center" vertical="center"/>
    </xf>
    <xf numFmtId="165" fontId="4" fillId="0" borderId="8" xfId="5" applyFont="1" applyBorder="1" applyAlignment="1">
      <alignment horizontal="center" vertical="center"/>
    </xf>
    <xf numFmtId="165" fontId="4" fillId="0" borderId="61" xfId="5" applyFont="1" applyBorder="1" applyAlignment="1">
      <alignment horizontal="center" vertical="center"/>
    </xf>
    <xf numFmtId="165" fontId="4" fillId="0" borderId="56" xfId="5" applyFont="1" applyBorder="1" applyAlignment="1">
      <alignment horizontal="center" vertical="center"/>
    </xf>
    <xf numFmtId="165" fontId="0" fillId="0" borderId="3" xfId="0" applyNumberFormat="1" applyBorder="1" applyAlignment="1">
      <alignment horizontal="center" vertical="center"/>
    </xf>
    <xf numFmtId="165" fontId="0" fillId="0" borderId="0" xfId="0" applyNumberFormat="1" applyAlignment="1">
      <alignment horizontal="center" vertical="center"/>
    </xf>
    <xf numFmtId="165" fontId="0" fillId="0" borderId="52" xfId="0" applyNumberFormat="1" applyBorder="1" applyAlignment="1">
      <alignment horizontal="center" vertical="center"/>
    </xf>
    <xf numFmtId="165" fontId="0" fillId="0" borderId="54" xfId="0" applyNumberFormat="1" applyBorder="1" applyAlignment="1">
      <alignment horizontal="center" vertical="center"/>
    </xf>
    <xf numFmtId="165" fontId="4" fillId="0" borderId="67" xfId="0" applyNumberFormat="1" applyFont="1" applyBorder="1" applyAlignment="1">
      <alignment horizontal="center" vertical="center"/>
    </xf>
    <xf numFmtId="165" fontId="4" fillId="0" borderId="63" xfId="0" applyNumberFormat="1" applyFont="1" applyBorder="1" applyAlignment="1">
      <alignment horizontal="center" vertical="center"/>
    </xf>
    <xf numFmtId="0" fontId="54" fillId="0" borderId="0" xfId="3" applyFont="1" applyFill="1" applyBorder="1" applyAlignment="1">
      <alignment horizontal="left" vertical="center" indent="1"/>
    </xf>
    <xf numFmtId="1" fontId="4" fillId="0" borderId="62" xfId="0" applyNumberFormat="1" applyFont="1" applyBorder="1" applyAlignment="1">
      <alignment horizontal="center" vertical="center"/>
    </xf>
    <xf numFmtId="9" fontId="0" fillId="0" borderId="54" xfId="1" applyFont="1" applyBorder="1" applyAlignment="1">
      <alignment horizontal="center" vertical="center"/>
    </xf>
    <xf numFmtId="9" fontId="0" fillId="0" borderId="58" xfId="1" applyFont="1" applyBorder="1" applyAlignment="1">
      <alignment horizontal="center" vertical="center"/>
    </xf>
    <xf numFmtId="0" fontId="55" fillId="0" borderId="0" xfId="15" applyFont="1" applyFill="1" applyAlignment="1">
      <alignment horizontal="left" vertical="center" indent="1"/>
    </xf>
    <xf numFmtId="165" fontId="4" fillId="0" borderId="65" xfId="5" applyFont="1" applyBorder="1" applyAlignment="1">
      <alignment horizontal="center" vertical="center"/>
    </xf>
    <xf numFmtId="165" fontId="0" fillId="0" borderId="3" xfId="1" applyNumberFormat="1" applyFont="1" applyBorder="1" applyAlignment="1">
      <alignment horizontal="center" vertical="center"/>
    </xf>
    <xf numFmtId="165" fontId="0" fillId="0" borderId="0" xfId="1" applyNumberFormat="1" applyFont="1" applyBorder="1" applyAlignment="1">
      <alignment horizontal="center" vertical="center"/>
    </xf>
    <xf numFmtId="165" fontId="0" fillId="0" borderId="52" xfId="1" applyNumberFormat="1" applyFont="1" applyBorder="1" applyAlignment="1">
      <alignment horizontal="center" vertical="center"/>
    </xf>
    <xf numFmtId="165" fontId="0" fillId="0" borderId="54" xfId="1" applyNumberFormat="1" applyFont="1" applyBorder="1" applyAlignment="1">
      <alignment horizontal="center" vertical="center"/>
    </xf>
    <xf numFmtId="165" fontId="4" fillId="0" borderId="67" xfId="1" applyNumberFormat="1" applyFont="1" applyBorder="1" applyAlignment="1">
      <alignment horizontal="center" vertical="center"/>
    </xf>
    <xf numFmtId="165" fontId="4" fillId="0" borderId="63" xfId="1" applyNumberFormat="1" applyFont="1" applyBorder="1" applyAlignment="1">
      <alignment horizontal="center" vertical="center"/>
    </xf>
    <xf numFmtId="1" fontId="0" fillId="0" borderId="56" xfId="0" applyNumberFormat="1" applyBorder="1" applyAlignment="1">
      <alignment horizontal="center" vertical="center"/>
    </xf>
    <xf numFmtId="0" fontId="4" fillId="6" borderId="65" xfId="13" applyNumberFormat="1" applyBorder="1" applyAlignment="1">
      <alignment horizontal="center" vertical="center" wrapText="1"/>
    </xf>
    <xf numFmtId="1" fontId="4" fillId="12" borderId="66" xfId="0" applyNumberFormat="1" applyFont="1" applyFill="1" applyBorder="1" applyAlignment="1">
      <alignment horizontal="center" vertical="center"/>
    </xf>
    <xf numFmtId="0" fontId="4" fillId="0" borderId="105" xfId="0" applyFont="1" applyBorder="1" applyAlignment="1">
      <alignment horizontal="center" vertical="center"/>
    </xf>
    <xf numFmtId="0" fontId="4" fillId="0" borderId="68" xfId="0" applyFont="1" applyBorder="1" applyAlignment="1">
      <alignment horizontal="center" vertical="center"/>
    </xf>
    <xf numFmtId="166" fontId="0" fillId="0" borderId="58" xfId="1" applyNumberFormat="1" applyFont="1" applyBorder="1" applyAlignment="1">
      <alignment horizontal="center" vertical="center"/>
    </xf>
    <xf numFmtId="166" fontId="4" fillId="0" borderId="56" xfId="1" applyNumberFormat="1" applyFont="1" applyBorder="1" applyAlignment="1">
      <alignment horizontal="center" vertical="center"/>
    </xf>
    <xf numFmtId="166" fontId="0" fillId="0" borderId="52" xfId="0" applyNumberFormat="1" applyBorder="1" applyAlignment="1">
      <alignment horizontal="center" vertical="center"/>
    </xf>
    <xf numFmtId="166" fontId="0" fillId="0" borderId="54" xfId="0" applyNumberFormat="1" applyBorder="1" applyAlignment="1">
      <alignment horizontal="center" vertical="center"/>
    </xf>
    <xf numFmtId="3" fontId="0" fillId="0" borderId="6" xfId="4" applyFont="1" applyBorder="1" applyAlignment="1">
      <alignment horizontal="center" vertical="center"/>
    </xf>
    <xf numFmtId="3" fontId="0" fillId="0" borderId="5" xfId="4" applyFont="1" applyBorder="1" applyAlignment="1">
      <alignment horizontal="center" vertical="center"/>
    </xf>
    <xf numFmtId="171" fontId="0" fillId="0" borderId="6" xfId="0" applyNumberFormat="1" applyBorder="1" applyAlignment="1">
      <alignment horizontal="center" vertical="center"/>
    </xf>
    <xf numFmtId="2" fontId="0" fillId="0" borderId="5" xfId="0" applyNumberFormat="1" applyBorder="1" applyAlignment="1">
      <alignment horizontal="center" vertical="center"/>
    </xf>
    <xf numFmtId="3" fontId="0" fillId="0" borderId="7" xfId="4" applyFont="1" applyBorder="1" applyAlignment="1">
      <alignment horizontal="center" vertical="center"/>
    </xf>
    <xf numFmtId="2" fontId="0" fillId="0" borderId="7" xfId="0" applyNumberFormat="1" applyBorder="1" applyAlignment="1">
      <alignment horizontal="center" vertical="center"/>
    </xf>
    <xf numFmtId="2" fontId="0" fillId="0" borderId="59" xfId="0" applyNumberFormat="1" applyBorder="1" applyAlignment="1">
      <alignment horizontal="center" vertical="center"/>
    </xf>
    <xf numFmtId="168" fontId="0" fillId="0" borderId="58" xfId="0" applyNumberFormat="1" applyBorder="1" applyAlignment="1">
      <alignment horizontal="center" vertical="center"/>
    </xf>
    <xf numFmtId="3" fontId="0" fillId="0" borderId="104" xfId="4" applyFont="1" applyBorder="1" applyAlignment="1">
      <alignment horizontal="center" vertical="center"/>
    </xf>
    <xf numFmtId="3" fontId="0" fillId="0" borderId="59" xfId="4" applyFont="1" applyBorder="1" applyAlignment="1">
      <alignment horizontal="center" vertical="center"/>
    </xf>
    <xf numFmtId="2" fontId="0" fillId="0" borderId="104" xfId="0" applyNumberFormat="1" applyBorder="1" applyAlignment="1">
      <alignment horizontal="center" vertical="center"/>
    </xf>
    <xf numFmtId="2" fontId="0" fillId="0" borderId="56" xfId="0" applyNumberFormat="1" applyBorder="1" applyAlignment="1">
      <alignment horizontal="center" vertical="center"/>
    </xf>
    <xf numFmtId="1" fontId="4" fillId="6" borderId="104" xfId="13" applyNumberFormat="1" applyBorder="1" applyAlignment="1">
      <alignment horizontal="center" vertical="center"/>
    </xf>
    <xf numFmtId="1" fontId="4" fillId="6" borderId="59" xfId="13" applyNumberFormat="1" applyBorder="1" applyAlignment="1">
      <alignment horizontal="center" vertical="center"/>
    </xf>
    <xf numFmtId="176" fontId="0" fillId="0" borderId="0" xfId="4" applyNumberFormat="1" applyFont="1" applyBorder="1" applyAlignment="1">
      <alignment horizontal="center" vertical="center"/>
    </xf>
    <xf numFmtId="176" fontId="4" fillId="6" borderId="51" xfId="4" applyNumberFormat="1" applyFont="1" applyFill="1" applyBorder="1" applyAlignment="1">
      <alignment horizontal="center" vertical="center"/>
    </xf>
    <xf numFmtId="176" fontId="4" fillId="6" borderId="55" xfId="4" applyNumberFormat="1" applyFont="1" applyFill="1" applyBorder="1" applyAlignment="1">
      <alignment horizontal="center" vertical="center"/>
    </xf>
    <xf numFmtId="3" fontId="0" fillId="0" borderId="56" xfId="4" applyFont="1" applyBorder="1" applyAlignment="1">
      <alignment horizontal="center" vertical="center"/>
    </xf>
    <xf numFmtId="0" fontId="56" fillId="0" borderId="0" xfId="0" applyFont="1" applyAlignment="1">
      <alignment horizontal="right" vertical="center" indent="1"/>
    </xf>
    <xf numFmtId="176" fontId="0" fillId="0" borderId="58" xfId="4" applyNumberFormat="1" applyFont="1" applyBorder="1" applyAlignment="1">
      <alignment horizontal="center" vertical="center"/>
    </xf>
    <xf numFmtId="176" fontId="0" fillId="0" borderId="65" xfId="4" applyNumberFormat="1" applyFont="1" applyBorder="1"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3" fontId="0" fillId="0" borderId="52" xfId="4" applyFont="1" applyBorder="1" applyAlignment="1">
      <alignment horizontal="center" vertical="center"/>
    </xf>
    <xf numFmtId="164" fontId="0" fillId="0" borderId="0" xfId="5" applyNumberFormat="1" applyFont="1" applyAlignment="1">
      <alignment horizontal="left" vertical="center" indent="1"/>
    </xf>
    <xf numFmtId="186" fontId="23" fillId="0" borderId="44" xfId="1" applyNumberFormat="1" applyFont="1" applyFill="1" applyBorder="1" applyAlignment="1">
      <alignment horizontal="center" vertical="center"/>
    </xf>
    <xf numFmtId="0" fontId="0" fillId="0" borderId="0" xfId="0" quotePrefix="1" applyAlignment="1"/>
    <xf numFmtId="0" fontId="62" fillId="0" borderId="0" xfId="0" applyFont="1" applyAlignment="1">
      <alignment vertical="top" wrapText="1"/>
    </xf>
    <xf numFmtId="0" fontId="63" fillId="0" borderId="0" xfId="0" applyFont="1" applyAlignment="1">
      <alignment vertical="top" wrapText="1"/>
    </xf>
    <xf numFmtId="3" fontId="4" fillId="14" borderId="65" xfId="13" applyNumberFormat="1" applyFill="1" applyBorder="1" applyAlignment="1">
      <alignment horizontal="center" vertical="center"/>
    </xf>
    <xf numFmtId="4" fontId="0" fillId="0" borderId="3" xfId="4" applyNumberFormat="1" applyFont="1" applyFill="1" applyBorder="1" applyAlignment="1">
      <alignment horizontal="center" vertical="center"/>
    </xf>
    <xf numFmtId="0" fontId="0" fillId="0" borderId="51" xfId="0" applyBorder="1">
      <alignment horizontal="left" vertical="center" indent="1"/>
    </xf>
    <xf numFmtId="165" fontId="47" fillId="15" borderId="0" xfId="5" applyFont="1" applyFill="1" applyBorder="1" applyAlignment="1">
      <alignment horizontal="center"/>
    </xf>
    <xf numFmtId="165" fontId="0" fillId="15" borderId="0" xfId="5" applyFont="1" applyFill="1" applyBorder="1" applyAlignment="1">
      <alignment horizontal="center"/>
    </xf>
    <xf numFmtId="165" fontId="14" fillId="15" borderId="0" xfId="0" applyNumberFormat="1" applyFont="1" applyFill="1" applyAlignment="1">
      <alignment horizontal="center"/>
    </xf>
    <xf numFmtId="44" fontId="35" fillId="15" borderId="58" xfId="0" applyNumberFormat="1" applyFont="1" applyFill="1" applyBorder="1" applyAlignment="1">
      <alignment horizontal="center"/>
    </xf>
    <xf numFmtId="165" fontId="49" fillId="15" borderId="58" xfId="0" applyNumberFormat="1" applyFont="1" applyFill="1" applyBorder="1" applyAlignment="1">
      <alignment horizontal="center"/>
    </xf>
    <xf numFmtId="0" fontId="14" fillId="15" borderId="52" xfId="0" applyFont="1" applyFill="1" applyBorder="1" applyAlignment="1"/>
    <xf numFmtId="165" fontId="0" fillId="15" borderId="52" xfId="5" applyFont="1" applyFill="1" applyBorder="1" applyAlignment="1">
      <alignment horizontal="center" vertical="center"/>
    </xf>
    <xf numFmtId="165" fontId="0" fillId="15" borderId="52" xfId="5" applyFont="1" applyFill="1" applyBorder="1" applyAlignment="1">
      <alignment horizontal="center"/>
    </xf>
    <xf numFmtId="165" fontId="14" fillId="15" borderId="52" xfId="0" applyNumberFormat="1" applyFont="1" applyFill="1" applyBorder="1" applyAlignment="1">
      <alignment horizontal="center"/>
    </xf>
    <xf numFmtId="165" fontId="0" fillId="15" borderId="56" xfId="5" applyFont="1" applyFill="1" applyBorder="1" applyAlignment="1">
      <alignment horizontal="center" vertical="center"/>
    </xf>
    <xf numFmtId="0" fontId="14" fillId="5" borderId="50" xfId="0" applyFont="1" applyFill="1" applyBorder="1" applyAlignment="1"/>
    <xf numFmtId="0" fontId="14" fillId="5" borderId="18" xfId="0" applyFont="1" applyFill="1" applyBorder="1" applyAlignment="1"/>
    <xf numFmtId="165" fontId="47" fillId="5" borderId="51" xfId="5" applyFont="1" applyFill="1" applyBorder="1" applyAlignment="1">
      <alignment horizontal="center"/>
    </xf>
    <xf numFmtId="165" fontId="0" fillId="5" borderId="51" xfId="5" applyFont="1" applyFill="1" applyBorder="1" applyAlignment="1">
      <alignment horizontal="center"/>
    </xf>
    <xf numFmtId="165" fontId="14" fillId="5" borderId="51" xfId="0" applyNumberFormat="1" applyFont="1" applyFill="1" applyBorder="1" applyAlignment="1">
      <alignment horizontal="center"/>
    </xf>
    <xf numFmtId="165" fontId="35" fillId="5" borderId="55" xfId="0" applyNumberFormat="1" applyFont="1" applyFill="1" applyBorder="1" applyAlignment="1">
      <alignment horizontal="center"/>
    </xf>
    <xf numFmtId="44" fontId="14" fillId="5" borderId="56" xfId="0" applyNumberFormat="1" applyFont="1" applyFill="1" applyBorder="1" applyAlignment="1">
      <alignment horizontal="center"/>
    </xf>
    <xf numFmtId="0" fontId="0" fillId="0" borderId="66" xfId="0" applyBorder="1" applyAlignment="1">
      <alignment horizontal="center" wrapText="1"/>
    </xf>
    <xf numFmtId="185" fontId="56" fillId="0" borderId="40" xfId="5" applyNumberFormat="1" applyFont="1" applyBorder="1" applyAlignment="1">
      <alignment horizontal="center" vertical="center"/>
    </xf>
    <xf numFmtId="0" fontId="6" fillId="0" borderId="0" xfId="18" applyFill="1" applyAlignment="1">
      <alignment horizontal="left" vertical="center" indent="1"/>
    </xf>
    <xf numFmtId="0" fontId="60" fillId="0" borderId="0" xfId="0" applyFont="1" applyAlignment="1">
      <alignment horizontal="center" vertical="center"/>
    </xf>
    <xf numFmtId="187" fontId="60" fillId="0" borderId="0" xfId="0" applyNumberFormat="1" applyFont="1" applyAlignment="1">
      <alignment horizontal="center" vertical="center"/>
    </xf>
    <xf numFmtId="0" fontId="61" fillId="0" borderId="0" xfId="0" applyFont="1" applyAlignment="1">
      <alignment horizontal="left"/>
    </xf>
    <xf numFmtId="0" fontId="64" fillId="7" borderId="51" xfId="8" applyFont="1" applyFill="1" applyBorder="1" applyAlignment="1">
      <alignment horizontal="left" vertical="center" indent="2"/>
    </xf>
    <xf numFmtId="0" fontId="64" fillId="7" borderId="0" xfId="8" applyFont="1" applyFill="1" applyAlignment="1">
      <alignment horizontal="left" vertical="center" indent="2"/>
    </xf>
    <xf numFmtId="0" fontId="64" fillId="7" borderId="52" xfId="8" applyFont="1" applyFill="1" applyBorder="1" applyAlignment="1">
      <alignment horizontal="left" vertical="center" indent="2"/>
    </xf>
    <xf numFmtId="171" fontId="54" fillId="0" borderId="51" xfId="3" applyNumberFormat="1" applyFont="1" applyFill="1" applyBorder="1" applyAlignment="1">
      <alignment horizontal="left" vertical="center" indent="2"/>
    </xf>
    <xf numFmtId="165" fontId="54" fillId="0" borderId="0" xfId="5" applyFont="1" applyFill="1" applyBorder="1" applyAlignment="1">
      <alignment horizontal="left" vertical="center" indent="1"/>
    </xf>
    <xf numFmtId="165" fontId="54" fillId="0" borderId="52" xfId="5" applyFont="1" applyFill="1" applyBorder="1" applyAlignment="1">
      <alignment horizontal="left" vertical="center" indent="1"/>
    </xf>
    <xf numFmtId="0" fontId="15" fillId="0" borderId="0" xfId="0" applyFont="1" applyAlignment="1">
      <alignment horizontal="left" inden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50" xfId="0" applyBorder="1" applyAlignment="1">
      <alignment horizontal="center" vertical="center"/>
    </xf>
    <xf numFmtId="0" fontId="0" fillId="0" borderId="57" xfId="0" applyBorder="1" applyAlignment="1">
      <alignment horizontal="center" vertical="center"/>
    </xf>
    <xf numFmtId="0" fontId="0" fillId="0" borderId="55" xfId="0" applyBorder="1" applyAlignment="1">
      <alignment horizontal="center" vertical="center"/>
    </xf>
    <xf numFmtId="0" fontId="0" fillId="0" borderId="58" xfId="0"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0" fillId="0" borderId="60" xfId="0" applyBorder="1" applyAlignment="1">
      <alignment horizontal="center" vertical="center"/>
    </xf>
    <xf numFmtId="0" fontId="0" fillId="0" borderId="8" xfId="0" applyBorder="1" applyAlignment="1">
      <alignment horizontal="center" vertical="center"/>
    </xf>
    <xf numFmtId="0" fontId="14" fillId="0" borderId="51" xfId="0" applyFont="1" applyBorder="1" applyAlignment="1">
      <alignment horizontal="center" vertical="center"/>
    </xf>
    <xf numFmtId="0" fontId="14" fillId="0" borderId="0" xfId="0" applyFont="1" applyAlignment="1">
      <alignment horizontal="center" vertical="center"/>
    </xf>
    <xf numFmtId="0" fontId="4" fillId="0" borderId="50"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55" xfId="0" applyFont="1" applyBorder="1" applyAlignment="1">
      <alignment horizontal="center" vertical="center" wrapText="1"/>
    </xf>
    <xf numFmtId="0" fontId="11" fillId="0" borderId="52" xfId="7" applyFill="1" applyBorder="1" applyAlignment="1">
      <alignment horizontal="center" vertical="center"/>
    </xf>
    <xf numFmtId="0" fontId="0" fillId="0" borderId="52" xfId="0" applyBorder="1" applyAlignment="1">
      <alignment horizontal="center" vertical="center" wrapText="1"/>
    </xf>
    <xf numFmtId="0" fontId="0" fillId="0" borderId="56" xfId="0" applyBorder="1" applyAlignment="1">
      <alignment horizontal="center" vertical="center" wrapText="1"/>
    </xf>
    <xf numFmtId="0" fontId="0" fillId="0" borderId="61" xfId="0" applyBorder="1" applyAlignment="1">
      <alignment horizontal="center" vertical="center"/>
    </xf>
    <xf numFmtId="0" fontId="0" fillId="0" borderId="61" xfId="0" applyBorder="1" applyAlignment="1">
      <alignment horizontal="center" vertical="center" wrapText="1"/>
    </xf>
    <xf numFmtId="0" fontId="0" fillId="0" borderId="54" xfId="0" applyBorder="1" applyAlignment="1">
      <alignment horizontal="center" vertical="center" wrapText="1"/>
    </xf>
    <xf numFmtId="0" fontId="23" fillId="4" borderId="98" xfId="0" applyFont="1" applyFill="1" applyBorder="1" applyAlignment="1">
      <alignment horizontal="center" vertical="center"/>
    </xf>
    <xf numFmtId="0" fontId="23" fillId="4" borderId="81" xfId="0" applyFont="1" applyFill="1" applyBorder="1" applyAlignment="1">
      <alignment horizontal="center" vertical="center"/>
    </xf>
    <xf numFmtId="9" fontId="23" fillId="4" borderId="72" xfId="0" applyNumberFormat="1" applyFont="1" applyFill="1" applyBorder="1" applyAlignment="1">
      <alignment horizontal="center" vertical="center"/>
    </xf>
    <xf numFmtId="9" fontId="23" fillId="4" borderId="80" xfId="0" applyNumberFormat="1" applyFont="1" applyFill="1" applyBorder="1" applyAlignment="1">
      <alignment horizontal="center" vertical="center"/>
    </xf>
    <xf numFmtId="0" fontId="43" fillId="13" borderId="87" xfId="0" applyFont="1" applyFill="1" applyBorder="1" applyAlignment="1">
      <alignment horizontal="center" vertical="center"/>
    </xf>
    <xf numFmtId="0" fontId="43" fillId="13" borderId="88" xfId="0" applyFont="1" applyFill="1" applyBorder="1" applyAlignment="1">
      <alignment horizontal="center" vertical="center"/>
    </xf>
    <xf numFmtId="0" fontId="45" fillId="0" borderId="99" xfId="0" applyFont="1" applyBorder="1" applyAlignment="1">
      <alignment horizontal="center" vertical="center" wrapText="1"/>
    </xf>
    <xf numFmtId="0" fontId="45" fillId="0" borderId="83" xfId="0" applyFont="1" applyBorder="1" applyAlignment="1">
      <alignment horizontal="center" vertical="center" wrapText="1"/>
    </xf>
    <xf numFmtId="0" fontId="24" fillId="4" borderId="98" xfId="0" applyFont="1" applyFill="1" applyBorder="1" applyAlignment="1">
      <alignment horizontal="center" vertical="center"/>
    </xf>
    <xf numFmtId="0" fontId="24" fillId="4" borderId="81" xfId="0" applyFont="1" applyFill="1" applyBorder="1" applyAlignment="1">
      <alignment horizontal="center" vertical="center"/>
    </xf>
    <xf numFmtId="0" fontId="43" fillId="13" borderId="50" xfId="0" applyFont="1" applyFill="1" applyBorder="1" applyAlignment="1">
      <alignment horizontal="center" vertical="center"/>
    </xf>
    <xf numFmtId="0" fontId="43" fillId="13" borderId="55" xfId="0" applyFont="1" applyFill="1" applyBorder="1" applyAlignment="1">
      <alignment horizontal="center" vertical="center"/>
    </xf>
    <xf numFmtId="0" fontId="23" fillId="0" borderId="91" xfId="0" applyFont="1" applyBorder="1" applyAlignment="1">
      <alignment horizontal="center" vertical="center" wrapText="1"/>
    </xf>
    <xf numFmtId="0" fontId="23" fillId="0" borderId="94" xfId="0" applyFont="1" applyBorder="1" applyAlignment="1">
      <alignment horizontal="center" vertical="center" wrapText="1"/>
    </xf>
    <xf numFmtId="0" fontId="23" fillId="4" borderId="55" xfId="0" applyFont="1" applyFill="1" applyBorder="1" applyAlignment="1">
      <alignment horizontal="center" vertical="center"/>
    </xf>
    <xf numFmtId="0" fontId="44" fillId="10" borderId="69" xfId="0" applyFont="1" applyFill="1" applyBorder="1" applyAlignment="1">
      <alignment horizontal="left" vertical="center"/>
    </xf>
    <xf numFmtId="0" fontId="44" fillId="10" borderId="44" xfId="0" applyFont="1" applyFill="1" applyBorder="1" applyAlignment="1">
      <alignment horizontal="left" vertical="center"/>
    </xf>
    <xf numFmtId="0" fontId="44" fillId="10" borderId="79" xfId="0" applyFont="1" applyFill="1" applyBorder="1" applyAlignment="1">
      <alignment horizontal="left" vertical="center"/>
    </xf>
    <xf numFmtId="0" fontId="23" fillId="0" borderId="83" xfId="0" applyFont="1" applyBorder="1" applyAlignment="1">
      <alignment horizontal="center" vertical="center" wrapText="1"/>
    </xf>
    <xf numFmtId="0" fontId="44" fillId="10" borderId="81" xfId="0" applyFont="1" applyFill="1" applyBorder="1" applyAlignment="1">
      <alignment horizontal="left" vertical="center"/>
    </xf>
    <xf numFmtId="0" fontId="44" fillId="10" borderId="43" xfId="0" applyFont="1" applyFill="1" applyBorder="1" applyAlignment="1">
      <alignment horizontal="left" vertical="center"/>
    </xf>
    <xf numFmtId="0" fontId="44" fillId="10" borderId="82" xfId="0" applyFont="1" applyFill="1" applyBorder="1" applyAlignment="1">
      <alignment horizontal="left" vertical="center"/>
    </xf>
    <xf numFmtId="0" fontId="24" fillId="4" borderId="51" xfId="0" applyFont="1" applyFill="1" applyBorder="1" applyAlignment="1">
      <alignment horizontal="center" vertical="center"/>
    </xf>
    <xf numFmtId="0" fontId="45" fillId="0" borderId="85" xfId="0" applyFont="1" applyBorder="1" applyAlignment="1">
      <alignment horizontal="center" vertical="center" wrapText="1"/>
    </xf>
    <xf numFmtId="0" fontId="23" fillId="0" borderId="101" xfId="0" applyFont="1" applyBorder="1" applyAlignment="1">
      <alignment horizontal="center" vertical="center" wrapText="1"/>
    </xf>
    <xf numFmtId="1" fontId="26" fillId="0" borderId="69" xfId="0" applyNumberFormat="1" applyFont="1" applyBorder="1" applyAlignment="1">
      <alignment horizontal="center" vertical="center" wrapText="1"/>
    </xf>
    <xf numFmtId="1" fontId="26" fillId="0" borderId="71" xfId="0" applyNumberFormat="1" applyFont="1" applyBorder="1" applyAlignment="1">
      <alignment horizontal="center" vertical="center" wrapText="1"/>
    </xf>
    <xf numFmtId="0" fontId="45" fillId="0" borderId="100" xfId="0" applyFont="1" applyBorder="1" applyAlignment="1">
      <alignment horizontal="center" vertical="center" wrapText="1"/>
    </xf>
    <xf numFmtId="0" fontId="45" fillId="0" borderId="86" xfId="0" applyFont="1" applyBorder="1" applyAlignment="1">
      <alignment horizontal="center" vertical="center" wrapText="1"/>
    </xf>
    <xf numFmtId="0" fontId="23" fillId="0" borderId="85" xfId="0" applyFont="1" applyBorder="1" applyAlignment="1">
      <alignment horizontal="center" vertical="center" wrapText="1"/>
    </xf>
    <xf numFmtId="1" fontId="26" fillId="0" borderId="81" xfId="0" applyNumberFormat="1" applyFont="1" applyBorder="1" applyAlignment="1">
      <alignment horizontal="center" vertical="center" wrapText="1"/>
    </xf>
    <xf numFmtId="0" fontId="46" fillId="10" borderId="69" xfId="0" applyFont="1" applyFill="1" applyBorder="1" applyAlignment="1">
      <alignment horizontal="left" vertical="center"/>
    </xf>
    <xf numFmtId="0" fontId="46" fillId="10" borderId="44" xfId="0" applyFont="1" applyFill="1" applyBorder="1" applyAlignment="1">
      <alignment horizontal="left" vertical="center"/>
    </xf>
    <xf numFmtId="0" fontId="46" fillId="10" borderId="82" xfId="0" applyFont="1" applyFill="1" applyBorder="1" applyAlignment="1">
      <alignment horizontal="left" vertical="center"/>
    </xf>
    <xf numFmtId="0" fontId="46" fillId="10" borderId="79" xfId="0" applyFont="1" applyFill="1" applyBorder="1" applyAlignment="1">
      <alignment horizontal="left" vertical="center"/>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58" xfId="0" applyFont="1" applyBorder="1" applyAlignment="1">
      <alignment horizontal="center" vertical="center" wrapText="1"/>
    </xf>
    <xf numFmtId="1" fontId="4" fillId="6" borderId="102" xfId="13" applyNumberFormat="1" applyBorder="1" applyAlignment="1">
      <alignment horizontal="center" vertical="center"/>
    </xf>
    <xf numFmtId="1" fontId="4" fillId="6" borderId="103" xfId="13" applyNumberFormat="1" applyBorder="1" applyAlignment="1">
      <alignment horizontal="center" vertical="center"/>
    </xf>
    <xf numFmtId="0" fontId="4" fillId="6" borderId="50" xfId="13" applyNumberFormat="1" applyBorder="1" applyAlignment="1">
      <alignment horizontal="center" vertical="center"/>
    </xf>
    <xf numFmtId="0" fontId="4" fillId="6" borderId="55" xfId="13" applyNumberFormat="1" applyBorder="1" applyAlignment="1">
      <alignment horizontal="center" vertical="center"/>
    </xf>
    <xf numFmtId="0" fontId="4" fillId="6" borderId="57" xfId="13" applyNumberFormat="1" applyBorder="1" applyAlignment="1">
      <alignment horizontal="center" vertical="center"/>
    </xf>
    <xf numFmtId="0" fontId="4" fillId="6" borderId="58" xfId="13" applyNumberFormat="1" applyBorder="1" applyAlignment="1">
      <alignment horizontal="center" vertical="center"/>
    </xf>
    <xf numFmtId="0" fontId="4" fillId="6" borderId="57" xfId="13" applyNumberFormat="1" applyBorder="1" applyAlignment="1">
      <alignment horizontal="center" vertical="center" wrapText="1"/>
    </xf>
    <xf numFmtId="0" fontId="4" fillId="6" borderId="58" xfId="13" applyNumberFormat="1" applyBorder="1" applyAlignment="1">
      <alignment horizontal="center" vertical="center" wrapText="1"/>
    </xf>
    <xf numFmtId="0" fontId="4" fillId="6" borderId="56" xfId="13" applyNumberFormat="1" applyBorder="1" applyAlignment="1">
      <alignment horizontal="center" vertical="center"/>
    </xf>
    <xf numFmtId="1" fontId="4" fillId="6" borderId="65" xfId="13" applyNumberFormat="1" applyBorder="1" applyAlignment="1">
      <alignment horizontal="center" vertical="center" wrapText="1"/>
    </xf>
    <xf numFmtId="1" fontId="4" fillId="6" borderId="66" xfId="13" applyNumberFormat="1" applyBorder="1" applyAlignment="1">
      <alignment horizontal="center" vertical="center"/>
    </xf>
    <xf numFmtId="0" fontId="6" fillId="0" borderId="51" xfId="0" applyFont="1" applyBorder="1" applyAlignment="1">
      <alignment horizontal="center" vertical="center" wrapText="1"/>
    </xf>
    <xf numFmtId="0" fontId="14" fillId="15" borderId="0" xfId="0" applyFont="1" applyFill="1" applyAlignment="1">
      <alignment horizontal="center"/>
    </xf>
    <xf numFmtId="0" fontId="0" fillId="0" borderId="40" xfId="0" applyBorder="1" applyAlignment="1">
      <alignment horizontal="center"/>
    </xf>
    <xf numFmtId="0" fontId="59" fillId="0" borderId="0" xfId="7" applyFont="1" applyAlignment="1">
      <alignment horizontal="left" vertical="center" indent="1"/>
    </xf>
    <xf numFmtId="0" fontId="4" fillId="6" borderId="102" xfId="13" applyNumberFormat="1" applyBorder="1" applyAlignment="1">
      <alignment horizontal="center" vertical="center"/>
    </xf>
    <xf numFmtId="0" fontId="4" fillId="6" borderId="18" xfId="13" applyNumberFormat="1" applyBorder="1" applyAlignment="1">
      <alignment horizontal="center" vertical="center"/>
    </xf>
    <xf numFmtId="0" fontId="11" fillId="0" borderId="0" xfId="7" applyBorder="1" applyAlignment="1">
      <alignment horizontal="left" vertical="center" indent="1"/>
    </xf>
    <xf numFmtId="1" fontId="4" fillId="6" borderId="106" xfId="13" applyNumberFormat="1" applyBorder="1" applyAlignment="1">
      <alignment horizontal="center" vertical="center"/>
    </xf>
    <xf numFmtId="1" fontId="4" fillId="6" borderId="107" xfId="13" applyNumberFormat="1" applyBorder="1" applyAlignment="1">
      <alignment horizontal="center" vertical="center"/>
    </xf>
    <xf numFmtId="0" fontId="0" fillId="11" borderId="52" xfId="0" applyFill="1" applyBorder="1" applyAlignment="1">
      <alignment horizontal="center" vertical="top" wrapText="1"/>
    </xf>
  </cellXfs>
  <cellStyles count="21">
    <cellStyle name="Accent1" xfId="2" builtinId="29"/>
    <cellStyle name="Comma" xfId="4" builtinId="3" customBuiltin="1"/>
    <cellStyle name="Comma [0]" xfId="19" builtinId="6" customBuiltin="1"/>
    <cellStyle name="Currency" xfId="5" builtinId="4" customBuiltin="1"/>
    <cellStyle name="Currency [0]" xfId="6" builtinId="7" customBuiltin="1"/>
    <cellStyle name="Explanatory Text" xfId="18" builtinId="53" customBuiltin="1"/>
    <cellStyle name="Hdg1" xfId="15" xr:uid="{CB408DF5-1995-4748-9EB8-7EEEAD89AE90}"/>
    <cellStyle name="Hdg2" xfId="14" xr:uid="{428C100C-E1D2-4B15-ADBF-9E3CF0E5B838}"/>
    <cellStyle name="Heading 1" xfId="8" builtinId="16" customBuiltin="1"/>
    <cellStyle name="Heading 2" xfId="9" builtinId="17" customBuiltin="1"/>
    <cellStyle name="Heading 3" xfId="10" builtinId="18" hidden="1"/>
    <cellStyle name="Heading 4" xfId="11" builtinId="19" hidden="1"/>
    <cellStyle name="Hyperlink" xfId="7" builtinId="8"/>
    <cellStyle name="Hyperlink 2" xfId="16" xr:uid="{65383806-1D57-4966-BDDD-5291951B844F}"/>
    <cellStyle name="Normal" xfId="0" builtinId="0" customBuiltin="1"/>
    <cellStyle name="Normal No Indent" xfId="20" xr:uid="{0BC1605A-6FDB-41AA-BA6F-5CD4520B0880}"/>
    <cellStyle name="Percent" xfId="1" builtinId="5"/>
    <cellStyle name="Percent 3" xfId="17" xr:uid="{F8123C25-985C-4B3C-8791-33E290122B2F}"/>
    <cellStyle name="Table Header" xfId="13" xr:uid="{1C30379B-656C-4BCC-8665-DAAC1F4AB9FE}"/>
    <cellStyle name="Title" xfId="3" builtinId="15" customBuiltin="1"/>
    <cellStyle name="Total" xfId="12" builtinId="25" hidden="1"/>
  </cellStyles>
  <dxfs count="21">
    <dxf>
      <alignment horizontal="center" vertical="center" textRotation="0" wrapText="0" indent="0" justifyLastLine="0" shrinkToFit="0" readingOrder="0"/>
      <border diagonalUp="0" diagonalDown="0">
        <left/>
        <right style="thin">
          <color indexed="64"/>
        </right>
        <top/>
        <bottom/>
        <vertical/>
        <horizontal/>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textRotation="0" indent="0" justifyLastLine="0" shrinkToFit="0" readingOrder="0"/>
      <border diagonalUp="0" diagonalDown="0">
        <left style="thin">
          <color indexed="64"/>
        </left>
        <right/>
        <top/>
        <bottom/>
        <vertical/>
        <horizontal/>
      </border>
    </dxf>
    <dxf>
      <alignment horizontal="center" textRotation="0" indent="0" justifyLastLine="0" shrinkToFit="0" readingOrder="0"/>
    </dxf>
    <dxf>
      <border>
        <bottom style="thin">
          <color indexed="64"/>
        </bottom>
      </border>
    </dxf>
    <dxf>
      <alignment horizontal="center" vertical="center" textRotation="0" wrapText="0" indent="0" justifyLastLine="0" shrinkToFit="0" readingOrder="0"/>
      <border diagonalUp="0" diagonalDown="0">
        <left/>
        <right/>
        <top/>
        <bottom/>
        <vertical/>
        <horizontal/>
      </border>
    </dxf>
    <dxf>
      <numFmt numFmtId="3" formatCode="#,##0"/>
      <alignment horizontal="center" vertical="center" textRotation="0" wrapText="0" indent="0" justifyLastLine="0" shrinkToFit="0" readingOrder="0"/>
    </dxf>
    <dxf>
      <numFmt numFmtId="176" formatCode="#,##0.0000"/>
      <alignment horizontal="center" vertical="center" textRotation="0" wrapText="0" indent="0" justifyLastLine="0" shrinkToFit="0" readingOrder="0"/>
    </dxf>
    <dxf>
      <numFmt numFmtId="176" formatCode="#,##0.0000"/>
      <alignment horizontal="center" vertical="center" textRotation="0" wrapText="0" indent="0" justifyLastLine="0" shrinkToFit="0" readingOrder="0"/>
    </dxf>
    <dxf>
      <numFmt numFmtId="176" formatCode="#,##0.0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bottom style="thin">
          <color indexed="64"/>
        </bottom>
      </border>
    </dxf>
    <dxf>
      <alignment horizontal="center" vertical="center" textRotation="0" wrapText="0" indent="0" justifyLastLine="0" shrinkToFit="0" readingOrder="0"/>
    </dxf>
    <dxf>
      <font>
        <b/>
        <i val="0"/>
        <color auto="1"/>
      </font>
      <fill>
        <patternFill>
          <bgColor theme="2" tint="0.59996337778862885"/>
        </patternFill>
      </fill>
    </dxf>
    <dxf>
      <border>
        <bottom style="thin">
          <color theme="1" tint="-0.24994659260841701"/>
        </bottom>
      </border>
    </dxf>
  </dxfs>
  <tableStyles count="1" defaultTableStyle="TableStyleMedium2" defaultPivotStyle="PivotStyleLight16">
    <tableStyle name="Table Style 1" pivot="0" count="2" xr9:uid="{63DC04B6-0132-4241-8F11-FC71DBB45638}">
      <tableStyleElement type="wholeTable" dxfId="20"/>
      <tableStyleElement type="headerRow" dxfId="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538201904499241"/>
          <c:y val="0.23381428594414458"/>
          <c:w val="0.41804317478561642"/>
          <c:h val="0.59967332324388178"/>
        </c:manualLayout>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4-2D1D-4EBF-83FD-53B9DA0FD351}"/>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286-4641-B6CF-3E80B325CCFC}"/>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286-4641-B6CF-3E80B325CCFC}"/>
              </c:ext>
            </c:extLst>
          </c:dPt>
          <c:dPt>
            <c:idx val="3"/>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7-D286-4641-B6CF-3E80B325CCFC}"/>
              </c:ext>
            </c:extLst>
          </c:dPt>
          <c:dPt>
            <c:idx val="4"/>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5-2D1D-4EBF-83FD-53B9DA0FD351}"/>
              </c:ext>
            </c:extLst>
          </c:dPt>
          <c:dPt>
            <c:idx val="5"/>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3-2D1D-4EBF-83FD-53B9DA0FD351}"/>
              </c:ext>
            </c:extLst>
          </c:dPt>
          <c:dPt>
            <c:idx val="6"/>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0D-4D21-43F5-A324-71488F36B69B}"/>
              </c:ext>
            </c:extLst>
          </c:dPt>
          <c:dLbls>
            <c:dLbl>
              <c:idx val="1"/>
              <c:layout>
                <c:manualLayout>
                  <c:x val="-5.4984992360882744E-2"/>
                  <c:y val="2.44384331885468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286-4641-B6CF-3E80B325CCFC}"/>
                </c:ext>
              </c:extLst>
            </c:dLbl>
            <c:dLbl>
              <c:idx val="2"/>
              <c:layout>
                <c:manualLayout>
                  <c:x val="-5.0732041025507969E-2"/>
                  <c:y val="-1.82722265302358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286-4641-B6CF-3E80B325CCFC}"/>
                </c:ext>
              </c:extLst>
            </c:dLbl>
            <c:dLbl>
              <c:idx val="3"/>
              <c:layout>
                <c:manualLayout>
                  <c:x val="6.3988186591561816E-3"/>
                  <c:y val="-5.487315772842547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286-4641-B6CF-3E80B325CCFC}"/>
                </c:ext>
              </c:extLst>
            </c:dLbl>
            <c:dLbl>
              <c:idx val="4"/>
              <c:layout>
                <c:manualLayout>
                  <c:x val="0.12054008811144339"/>
                  <c:y val="-1.19640713254537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D1D-4EBF-83FD-53B9DA0FD351}"/>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'Results Summary'!$E$141:$E$147</c:f>
              <c:strCache>
                <c:ptCount val="5"/>
                <c:pt idx="0">
                  <c:v>Travel Time</c:v>
                </c:pt>
                <c:pt idx="1">
                  <c:v>Safety</c:v>
                </c:pt>
                <c:pt idx="2">
                  <c:v>Residual Value</c:v>
                </c:pt>
                <c:pt idx="3">
                  <c:v>Environmental</c:v>
                </c:pt>
                <c:pt idx="4">
                  <c:v>O&amp;M</c:v>
                </c:pt>
              </c:strCache>
            </c:strRef>
          </c:cat>
          <c:val>
            <c:numRef>
              <c:f>'Results Summary'!$F$141:$F$147</c:f>
              <c:numCache>
                <c:formatCode>"$"#,##0</c:formatCode>
                <c:ptCount val="7"/>
                <c:pt idx="0">
                  <c:v>155296997.67875656</c:v>
                </c:pt>
                <c:pt idx="1">
                  <c:v>16743177.625827663</c:v>
                </c:pt>
                <c:pt idx="2">
                  <c:v>7083206.1398240654</c:v>
                </c:pt>
                <c:pt idx="3">
                  <c:v>917021.84375982359</c:v>
                </c:pt>
                <c:pt idx="4">
                  <c:v>840344.87871175271</c:v>
                </c:pt>
              </c:numCache>
            </c:numRef>
          </c:val>
          <c:extLst>
            <c:ext xmlns:c16="http://schemas.microsoft.com/office/drawing/2014/chart" uri="{C3380CC4-5D6E-409C-BE32-E72D297353CC}">
              <c16:uniqueId val="{00000000-2D1D-4EBF-83FD-53B9DA0FD351}"/>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'Results Summary'!$C$134</c:f>
              <c:strCache>
                <c:ptCount val="1"/>
                <c:pt idx="0">
                  <c:v>Project Benefits</c:v>
                </c:pt>
              </c:strCache>
            </c:strRef>
          </c:tx>
          <c:spPr>
            <a:solidFill>
              <a:schemeClr val="accent6"/>
            </a:solidFill>
            <a:ln>
              <a:noFill/>
            </a:ln>
            <a:effectLst/>
          </c:spPr>
          <c:invertIfNegative val="0"/>
          <c:cat>
            <c:numRef>
              <c:extLst>
                <c:ext xmlns:c15="http://schemas.microsoft.com/office/drawing/2012/chart" uri="{02D57815-91ED-43cb-92C2-25804820EDAC}">
                  <c15:fullRef>
                    <c15:sqref>'Results Summary'!$F$131:$AD$131</c15:sqref>
                  </c15:fullRef>
                </c:ext>
              </c:extLst>
              <c:f>'Results Summary'!$G$131:$AD$131</c:f>
              <c:numCache>
                <c:formatCode>0</c:formatCode>
                <c:ptCount val="24"/>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numCache>
            </c:numRef>
          </c:cat>
          <c:val>
            <c:numRef>
              <c:extLst>
                <c:ext xmlns:c15="http://schemas.microsoft.com/office/drawing/2012/chart" uri="{02D57815-91ED-43cb-92C2-25804820EDAC}">
                  <c15:fullRef>
                    <c15:sqref>'Results Summary'!$F$134:$AD$134</c15:sqref>
                  </c15:fullRef>
                </c:ext>
              </c:extLst>
              <c:f>'Results Summary'!$G$134:$AD$134</c:f>
              <c:numCache>
                <c:formatCode>"$"#,##0</c:formatCode>
                <c:ptCount val="24"/>
                <c:pt idx="0">
                  <c:v>0</c:v>
                </c:pt>
                <c:pt idx="1">
                  <c:v>0</c:v>
                </c:pt>
                <c:pt idx="2">
                  <c:v>0</c:v>
                </c:pt>
                <c:pt idx="3">
                  <c:v>0</c:v>
                </c:pt>
                <c:pt idx="4">
                  <c:v>0</c:v>
                </c:pt>
                <c:pt idx="5">
                  <c:v>7611119.2734854044</c:v>
                </c:pt>
                <c:pt idx="6">
                  <c:v>7769767.4766896004</c:v>
                </c:pt>
                <c:pt idx="7">
                  <c:v>9009403.0288304258</c:v>
                </c:pt>
                <c:pt idx="8">
                  <c:v>7914608.4370090729</c:v>
                </c:pt>
                <c:pt idx="9">
                  <c:v>8191294.0542717939</c:v>
                </c:pt>
                <c:pt idx="10">
                  <c:v>8089634.9032688718</c:v>
                </c:pt>
                <c:pt idx="11">
                  <c:v>8190552.7378901364</c:v>
                </c:pt>
                <c:pt idx="12">
                  <c:v>8288822.5882213507</c:v>
                </c:pt>
                <c:pt idx="13">
                  <c:v>8398738.6508735158</c:v>
                </c:pt>
                <c:pt idx="14">
                  <c:v>8293852.5293576503</c:v>
                </c:pt>
                <c:pt idx="15">
                  <c:v>8640246.9935417715</c:v>
                </c:pt>
                <c:pt idx="16">
                  <c:v>8774481.1480948552</c:v>
                </c:pt>
                <c:pt idx="17">
                  <c:v>8908881.6602285597</c:v>
                </c:pt>
                <c:pt idx="18">
                  <c:v>9053676.6085045487</c:v>
                </c:pt>
                <c:pt idx="19">
                  <c:v>9191647.8280104399</c:v>
                </c:pt>
                <c:pt idx="20">
                  <c:v>9365146.9630861953</c:v>
                </c:pt>
                <c:pt idx="21">
                  <c:v>9990076.7768659983</c:v>
                </c:pt>
                <c:pt idx="22">
                  <c:v>9709601.2015717998</c:v>
                </c:pt>
                <c:pt idx="23">
                  <c:v>9892337.1440211069</c:v>
                </c:pt>
              </c:numCache>
            </c:numRef>
          </c:val>
          <c:extLst>
            <c:ext xmlns:c16="http://schemas.microsoft.com/office/drawing/2014/chart" uri="{C3380CC4-5D6E-409C-BE32-E72D297353CC}">
              <c16:uniqueId val="{00000000-BC30-40F3-B01F-2FFB1A88CF39}"/>
            </c:ext>
          </c:extLst>
        </c:ser>
        <c:ser>
          <c:idx val="9"/>
          <c:order val="1"/>
          <c:tx>
            <c:strRef>
              <c:f>'Results Summary'!$C$135</c:f>
              <c:strCache>
                <c:ptCount val="1"/>
                <c:pt idx="0">
                  <c:v>Capital Costs</c:v>
                </c:pt>
              </c:strCache>
            </c:strRef>
          </c:tx>
          <c:spPr>
            <a:solidFill>
              <a:schemeClr val="accent2"/>
            </a:solidFill>
            <a:ln>
              <a:noFill/>
            </a:ln>
            <a:effectLst/>
          </c:spPr>
          <c:invertIfNegative val="0"/>
          <c:cat>
            <c:numRef>
              <c:extLst>
                <c:ext xmlns:c15="http://schemas.microsoft.com/office/drawing/2012/chart" uri="{02D57815-91ED-43cb-92C2-25804820EDAC}">
                  <c15:fullRef>
                    <c15:sqref>'Results Summary'!$F$131:$AD$131</c15:sqref>
                  </c15:fullRef>
                </c:ext>
              </c:extLst>
              <c:f>'Results Summary'!$G$131:$AD$131</c:f>
              <c:numCache>
                <c:formatCode>0</c:formatCode>
                <c:ptCount val="24"/>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numCache>
            </c:numRef>
          </c:cat>
          <c:val>
            <c:numRef>
              <c:extLst>
                <c:ext xmlns:c15="http://schemas.microsoft.com/office/drawing/2012/chart" uri="{02D57815-91ED-43cb-92C2-25804820EDAC}">
                  <c15:fullRef>
                    <c15:sqref>'Results Summary'!$F$135:$AD$135</c15:sqref>
                  </c15:fullRef>
                </c:ext>
              </c:extLst>
              <c:f>'Results Summary'!$G$135:$AD$135</c:f>
              <c:numCache>
                <c:formatCode>"$"#,##0</c:formatCode>
                <c:ptCount val="24"/>
                <c:pt idx="0">
                  <c:v>-5564707.0654205615</c:v>
                </c:pt>
                <c:pt idx="1">
                  <c:v>-6776413.1801904095</c:v>
                </c:pt>
                <c:pt idx="2">
                  <c:v>-16754885.012199571</c:v>
                </c:pt>
                <c:pt idx="3">
                  <c:v>-15658771.039438853</c:v>
                </c:pt>
                <c:pt idx="4">
                  <c:v>-14634365.457419489</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9-BC30-40F3-B01F-2FFB1A88CF39}"/>
            </c:ext>
          </c:extLst>
        </c:ser>
        <c:dLbls>
          <c:showLegendKey val="0"/>
          <c:showVal val="0"/>
          <c:showCatName val="0"/>
          <c:showSerName val="0"/>
          <c:showPercent val="0"/>
          <c:showBubbleSize val="0"/>
        </c:dLbls>
        <c:gapWidth val="50"/>
        <c:overlap val="100"/>
        <c:axId val="488357968"/>
        <c:axId val="488359216"/>
      </c:barChart>
      <c:catAx>
        <c:axId val="488357968"/>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crossAx val="488359216"/>
        <c:crosses val="autoZero"/>
        <c:auto val="1"/>
        <c:lblAlgn val="ctr"/>
        <c:lblOffset val="100"/>
        <c:tickMarkSkip val="5"/>
        <c:noMultiLvlLbl val="0"/>
      </c:catAx>
      <c:valAx>
        <c:axId val="488359216"/>
        <c:scaling>
          <c:orientation val="minMax"/>
        </c:scaling>
        <c:delete val="0"/>
        <c:axPos val="l"/>
        <c:majorGridlines>
          <c:spPr>
            <a:ln w="9525" cap="flat" cmpd="sng" algn="ctr">
              <a:noFill/>
              <a:round/>
            </a:ln>
            <a:effectLst/>
          </c:spPr>
        </c:majorGridlines>
        <c:numFmt formatCode="&quot;$&quot;#,##0,,\ &quot;M&quot;;\-&quot;$&quot;#,##0,,\ &quot;M&quot;;&quot;$&quot;\ 0" sourceLinked="0"/>
        <c:majorTickMark val="none"/>
        <c:minorTickMark val="none"/>
        <c:tickLblPos val="nextTo"/>
        <c:spPr>
          <a:noFill/>
          <a:ln w="6350">
            <a:solidFill>
              <a:schemeClr val="bg2">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crossAx val="488357968"/>
        <c:crosses val="autoZero"/>
        <c:crossBetween val="between"/>
        <c:majorUnit val="10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5400000" vert="horz"/>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ustomXml" Target="../ink/ink1.xml"/><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40.png"/></Relationships>
</file>

<file path=xl/drawings/drawing1.xml><?xml version="1.0" encoding="utf-8"?>
<xdr:wsDr xmlns:xdr="http://schemas.openxmlformats.org/drawingml/2006/spreadsheetDrawing" xmlns:a="http://schemas.openxmlformats.org/drawingml/2006/main">
  <xdr:twoCellAnchor editAs="oneCell">
    <xdr:from>
      <xdr:col>1</xdr:col>
      <xdr:colOff>285750</xdr:colOff>
      <xdr:row>8</xdr:row>
      <xdr:rowOff>142081</xdr:rowOff>
    </xdr:from>
    <xdr:to>
      <xdr:col>6</xdr:col>
      <xdr:colOff>657226</xdr:colOff>
      <xdr:row>14</xdr:row>
      <xdr:rowOff>113983</xdr:rowOff>
    </xdr:to>
    <xdr:pic>
      <xdr:nvPicPr>
        <xdr:cNvPr id="2" name="Picture 1" descr="Olsson rebrands without the 'Associates'">
          <a:extLst>
            <a:ext uri="{FF2B5EF4-FFF2-40B4-BE49-F238E27FC236}">
              <a16:creationId xmlns:a16="http://schemas.microsoft.com/office/drawing/2014/main" id="{3D71A789-162B-4A9E-9412-91713890BF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1550" y="1780381"/>
          <a:ext cx="3800476" cy="1076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378743</xdr:colOff>
      <xdr:row>6</xdr:row>
      <xdr:rowOff>141749</xdr:rowOff>
    </xdr:from>
    <xdr:to>
      <xdr:col>10</xdr:col>
      <xdr:colOff>561974</xdr:colOff>
      <xdr:row>17</xdr:row>
      <xdr:rowOff>76200</xdr:rowOff>
    </xdr:to>
    <xdr:pic>
      <xdr:nvPicPr>
        <xdr:cNvPr id="3" name="Picture 2" descr="ODOT logo | | city-sentinel.com">
          <a:extLst>
            <a:ext uri="{FF2B5EF4-FFF2-40B4-BE49-F238E27FC236}">
              <a16:creationId xmlns:a16="http://schemas.microsoft.com/office/drawing/2014/main" id="{0FC63104-40A5-4BDA-A5EC-2296766062A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9343" y="1370474"/>
          <a:ext cx="2240631" cy="199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34888</xdr:colOff>
      <xdr:row>12</xdr:row>
      <xdr:rowOff>157700</xdr:rowOff>
    </xdr:from>
    <xdr:to>
      <xdr:col>9</xdr:col>
      <xdr:colOff>359746</xdr:colOff>
      <xdr:row>28</xdr:row>
      <xdr:rowOff>117294</xdr:rowOff>
    </xdr:to>
    <xdr:graphicFrame macro="">
      <xdr:nvGraphicFramePr>
        <xdr:cNvPr id="6" name="Chart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1187450</xdr:colOff>
      <xdr:row>14</xdr:row>
      <xdr:rowOff>111012</xdr:rowOff>
    </xdr:from>
    <xdr:to>
      <xdr:col>16</xdr:col>
      <xdr:colOff>44449</xdr:colOff>
      <xdr:row>28</xdr:row>
      <xdr:rowOff>0</xdr:rowOff>
    </xdr:to>
    <xdr:graphicFrame macro="">
      <xdr:nvGraphicFramePr>
        <xdr:cNvPr id="11" name="Chart 10">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479243</xdr:colOff>
      <xdr:row>5</xdr:row>
      <xdr:rowOff>3512</xdr:rowOff>
    </xdr:from>
    <xdr:to>
      <xdr:col>8</xdr:col>
      <xdr:colOff>838505</xdr:colOff>
      <xdr:row>29</xdr:row>
      <xdr:rowOff>41424</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735685" y="1410281"/>
          <a:ext cx="6616455" cy="6720066"/>
          <a:chOff x="415291" y="400498"/>
          <a:chExt cx="6800178" cy="6667984"/>
        </a:xfrm>
      </xdr:grpSpPr>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415291" y="400498"/>
            <a:ext cx="6781412" cy="4528515"/>
          </a:xfrm>
          <a:prstGeom prst="rect">
            <a:avLst/>
          </a:prstGeom>
        </xdr:spPr>
      </xdr:pic>
      <xdr:pic>
        <xdr:nvPicPr>
          <xdr:cNvPr id="5" name="Picture 4">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t="3011"/>
          <a:stretch/>
        </xdr:blipFill>
        <xdr:spPr>
          <a:xfrm>
            <a:off x="458471" y="4729027"/>
            <a:ext cx="6756998" cy="2339455"/>
          </a:xfrm>
          <a:prstGeom prst="rect">
            <a:avLst/>
          </a:prstGeom>
        </xdr:spPr>
      </xdr:pic>
    </xdr:grpSp>
    <xdr:clientData/>
  </xdr:twoCellAnchor>
  <xdr:twoCellAnchor editAs="oneCell">
    <xdr:from>
      <xdr:col>1</xdr:col>
      <xdr:colOff>184378</xdr:colOff>
      <xdr:row>35</xdr:row>
      <xdr:rowOff>6500</xdr:rowOff>
    </xdr:from>
    <xdr:to>
      <xdr:col>5</xdr:col>
      <xdr:colOff>711728</xdr:colOff>
      <xdr:row>39</xdr:row>
      <xdr:rowOff>225808</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9" name="Ink 8">
              <a:extLst>
                <a:ext uri="{FF2B5EF4-FFF2-40B4-BE49-F238E27FC236}">
                  <a16:creationId xmlns:a16="http://schemas.microsoft.com/office/drawing/2014/main" id="{00000000-0008-0000-0800-000009000000}"/>
                </a:ext>
              </a:extLst>
            </xdr14:cNvPr>
            <xdr14:cNvContentPartPr/>
          </xdr14:nvContentPartPr>
          <xdr14:nvPr macro=""/>
          <xdr14:xfrm>
            <a:off x="445635" y="9553271"/>
            <a:ext cx="4077000" cy="1307880"/>
          </xdr14:xfrm>
        </xdr:contentPart>
      </mc:Choice>
      <mc:Fallback xmlns="">
        <xdr:pic>
          <xdr:nvPicPr>
            <xdr:cNvPr id="9" name="Ink 8">
              <a:extLst>
                <a:ext uri="{FF2B5EF4-FFF2-40B4-BE49-F238E27FC236}">
                  <a16:creationId xmlns:a16="http://schemas.microsoft.com/office/drawing/2014/main" id="{00000000-0008-0000-0800-000009000000}"/>
                </a:ext>
              </a:extLst>
            </xdr:cNvPr>
            <xdr:cNvPicPr/>
          </xdr:nvPicPr>
          <xdr:blipFill>
            <a:blip xmlns:r="http://schemas.openxmlformats.org/officeDocument/2006/relationships" r:embed="rId4"/>
            <a:stretch>
              <a:fillRect/>
            </a:stretch>
          </xdr:blipFill>
          <xdr:spPr>
            <a:xfrm>
              <a:off x="436632" y="9544261"/>
              <a:ext cx="4094646" cy="1325539"/>
            </a:xfrm>
            <a:prstGeom prst="rect">
              <a:avLst/>
            </a:prstGeom>
          </xdr:spPr>
        </xdr:pic>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aconsulting-my.sharepoint.com/personal/kdiazcorro_olsson_com/Documents/ODOT%20CI-2382F%20TO4.%20MAIP%20MPDG%20Rural%20Grant%20App/BCA/BCA%20-%20Model%20MAIP%20Improvments_V1.2.xlsx" TargetMode="External"/><Relationship Id="rId1" Type="http://schemas.openxmlformats.org/officeDocument/2006/relationships/externalLinkPath" Target="/personal/kdiazcorro_olsson_com/Documents/ODOT%20CI-2382F%20TO4.%20MAIP%20MPDG%20Rural%20Grant%20App/BCA/BCA%20-%20Model%20MAIP%20Improvments_V1.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oaconsulting-my.sharepoint.com/personal/kdiazcorro_olsson_com/Documents/ODOT%20CI-2382F%20TO5.%20I-35%20MPDG%20Grant%20App/BCA/Z_do%20not%20use_2023-08-03_BCA%20-%20Model.xlsx" TargetMode="External"/><Relationship Id="rId1" Type="http://schemas.openxmlformats.org/officeDocument/2006/relationships/externalLinkPath" Target="/personal/kdiazcorro_olsson_com/Documents/ODOT%20I-35%20MPDG%20Rural%20Grant%20App%20(2023)/BCA/Z_do%20not%20use_2023-08-03_BCA%20-%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Results Summary"/>
      <sheetName val="Reporting Tables"/>
      <sheetName val="Reporting Tables (OLD)"/>
      <sheetName val="Inputs"/>
      <sheetName val="Volume and Speed"/>
      <sheetName val="Travel Time"/>
      <sheetName val="Emissions"/>
      <sheetName val="Safety"/>
      <sheetName val="O&amp;M"/>
      <sheetName val="Residual Value"/>
      <sheetName val="Project Costs"/>
      <sheetName val="Project Cost Data"/>
      <sheetName val="Price Deflators"/>
      <sheetName val="Crash Data"/>
      <sheetName val="Traffic Data"/>
      <sheetName val="Speed"/>
      <sheetName val="Emissions Data"/>
    </sheetNames>
    <sheetDataSet>
      <sheetData sheetId="0"/>
      <sheetData sheetId="1">
        <row r="52">
          <cell r="F52">
            <v>2021</v>
          </cell>
        </row>
        <row r="126">
          <cell r="F126">
            <v>1</v>
          </cell>
        </row>
        <row r="127">
          <cell r="F127">
            <v>1</v>
          </cell>
        </row>
      </sheetData>
      <sheetData sheetId="2" refreshError="1"/>
      <sheetData sheetId="3" refreshError="1"/>
      <sheetData sheetId="4">
        <row r="6">
          <cell r="E6">
            <v>2021</v>
          </cell>
        </row>
        <row r="7">
          <cell r="E7">
            <v>2025</v>
          </cell>
        </row>
        <row r="8">
          <cell r="E8">
            <v>2028</v>
          </cell>
        </row>
        <row r="9">
          <cell r="E9">
            <v>4</v>
          </cell>
        </row>
        <row r="10">
          <cell r="E10">
            <v>20</v>
          </cell>
        </row>
        <row r="11">
          <cell r="E11">
            <v>28</v>
          </cell>
        </row>
        <row r="12">
          <cell r="E12">
            <v>7.0000000000000007E-2</v>
          </cell>
        </row>
        <row r="13">
          <cell r="E13">
            <v>0.03</v>
          </cell>
        </row>
        <row r="16">
          <cell r="E16">
            <v>5280</v>
          </cell>
        </row>
        <row r="17">
          <cell r="E17">
            <v>0.92540944965708116</v>
          </cell>
        </row>
        <row r="18">
          <cell r="E18">
            <v>2</v>
          </cell>
        </row>
        <row r="19">
          <cell r="E19">
            <v>2</v>
          </cell>
        </row>
        <row r="20">
          <cell r="E20">
            <v>14</v>
          </cell>
        </row>
        <row r="21">
          <cell r="E21">
            <v>0.32800000000000001</v>
          </cell>
        </row>
        <row r="23">
          <cell r="E23">
            <v>18.8</v>
          </cell>
        </row>
        <row r="24">
          <cell r="E24">
            <v>32.4</v>
          </cell>
        </row>
        <row r="25">
          <cell r="E25">
            <v>1.67</v>
          </cell>
        </row>
        <row r="26">
          <cell r="E26">
            <v>1</v>
          </cell>
        </row>
        <row r="27">
          <cell r="E27">
            <v>13046800</v>
          </cell>
        </row>
        <row r="28">
          <cell r="E28">
            <v>307800</v>
          </cell>
        </row>
        <row r="29">
          <cell r="E29">
            <v>4800</v>
          </cell>
        </row>
        <row r="32">
          <cell r="E32">
            <v>50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CLAIMER"/>
      <sheetName val="Results Summary"/>
      <sheetName val="Reporting Tables"/>
      <sheetName val="Inputs"/>
      <sheetName val="Volume and Speed"/>
      <sheetName val="Travel Time"/>
      <sheetName val="Emissions"/>
      <sheetName val="Safety"/>
      <sheetName val="O&amp;M"/>
      <sheetName val="Residual Value"/>
      <sheetName val="Project Costs"/>
      <sheetName val="Project Cost Data"/>
      <sheetName val="Price Deflators"/>
      <sheetName val="Accident Data"/>
      <sheetName val="Speed"/>
      <sheetName val="Emissions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5">
          <cell r="E35" t="str">
            <v>Segment</v>
          </cell>
          <cell r="F35" t="str">
            <v>Accident Type</v>
          </cell>
          <cell r="H35" t="str">
            <v>Value</v>
          </cell>
        </row>
        <row r="36">
          <cell r="B36" t="str">
            <v>Accident Distribution</v>
          </cell>
        </row>
      </sheetData>
      <sheetData sheetId="14"/>
      <sheetData sheetId="15"/>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5-06T19:31:46.577"/>
    </inkml:context>
    <inkml:brush xml:id="br0">
      <inkml:brushProperty name="width" value="0.05" units="cm"/>
      <inkml:brushProperty name="height" value="0.05" units="cm"/>
      <inkml:brushProperty name="color" value="#004F8B"/>
    </inkml:brush>
  </inkml:definitions>
  <inkml:trace contextRef="#ctx0" brushRef="#br0">338 1239 18460,'0'0'4584,"-15"-2"-4059,10 2-469,-120-6 830,109 6-873,0 0 0,0 2 0,1 0 0,-1 2 0,1-1 1,-28 11-1,38-12-71,0 0-1,0 2 1,1-2 0,-1 1 0,1 0 0,0 1 0,-6 7 0,8-9 48,1-1 0,0 1 0,-1 0 0,1 0-1,0 1 1,0-1 0,0 0 0,0 1 0,1-1 0,-1 1 0,1 0 0,-1-1 0,1 0 0,0 0 0,-1 1 0,1-1 0,1 1 0,-1 5-1,1-5 54,0-1 0,-1 1 0,1-1-1,0 1 1,0-1 0,0 1 0,1-1 0,-1 0-1,0 2 1,1-2 0,0 0 0,-1-1-1,1 1 1,0 0 0,0-1 0,0 1-1,3 2 1,6 4 287,-1-2 0,19 7-1,-10-3 38,42 19 730,77 46 1332,-135-74-2391,0 0-1,-1 1 1,1 0 0,-1 1-1,0 0 1,1-1-1,-1 0 1,0 1 0,0-1-1,0 1 1,0-1-1,-1 1 1,1 1-1,-1-1 1,0 0 0,1 0-1,-1 0 1,0 1-1,-1-2 1,1 2 0,-1-1-1,1 0 1,-1 1-1,0-1 1,0 5-1,-1-2-36,0 0-1,0 0 1,-1 0-1,0 1 1,0-2-1,0 1 1,0-1-1,-1 1 0,0-1 1,0 0-1,0 0 1,-7 8-1,-1 0-15,0-1 1,-1-1-1,-1 1 0,-19 13 1,27-23-20,0 1 0,1 0 0,-1-1 0,0 1 0,0-1 0,-1 0 0,1 0 0,0 0 0,0-1 0,-1 0 0,1-1 0,-1 0 0,1 1 0,-1-2 0,1 1 0,-9-2 0,13 1-6,-1 1 0,1-1 0,-1 1-1,1-2 1,0 1 0,-1 0 0,1 0-1,0 0 1,-1 0 0,1 0-1,0 0 1,0 0 0,0 0 0,0 0-1,0-1 1,0 1 0,0-1 0,0 1-1,1 1 1,-1-2 0,0 0 0,1 1-1,-1-2 1,1 2 0,-1-4 0,-1-15-845,0 1 1,2-4 0,0 3 0,0 0 0,2-2-1,1 2 1,5-27 0,1 21-3960,16-45 1</inkml:trace>
  <inkml:trace contextRef="#ctx0" brushRef="#br0" timeOffset="1">479 1244 14091,'0'0'6460,"-1"32"-6299,-1 9-4,-6 168 1908,19 337 5621,-8-455-7358,-8-172-1528,0 19 924,2-11-554,12-143 1,-4 175 65,1-1 0,3 1-1,1 3 1,28-77 0,-32 99 246,2-1 1,15-27-1,-20 40 501,0 0 1,0 1-1,0 0 0,0-2 0,0 2 0,1 0 0,-1 0 1,1 0-1,0 0 0,0 1 0,0-1 0,0 1 1,0-1-1,0 2 0,5-2 0,-7 2 79,-1 1-1,0 0 1,0 0-1,1-1 1,-1 1 0,0 0-1,1 0 1,-1 0-1,0 0 1,1 1-1,-1-1 1,0 0 0,1 1-1,-1-1 1,0 0-1,0 1 1,0 0-1,1-1 1,-1 1 0,0 0-1,0 0 1,0-1-1,1 2 1,-1-1-1,0 0 1,0 0 0,0 1-1,-1-1 1,1 0-1,0 0 1,0 0 0,-1 0-1,1 1 1,0 2-1,1 4 128,-1-2 0,1 1-1,-1 0 1,-1 2 0,1 8-1,-1-14-150,1 12 145,-1 2-1,0 0 1,-1-3 0,-1 3 0,0-1 0,-1-1-1,-1 2 1,0-2 0,-2 1 0,1-2 0,-13 24 0,7-16-17,-2-2 0,0 1 1,-1-1-1,-28 29 0,34-41-385,-1 1 0,-1-2-1,0 0 1,-15 10-1,17-14-608,0 1 0,0-1 0,0 0 0,0 0 0,-1-1 0,-15 2 0,6-3-7676</inkml:trace>
  <inkml:trace contextRef="#ctx0" brushRef="#br0" timeOffset="2">805 1675 13715,'0'0'4085,"28"-16"-2793,87-55-668,-109 67-584,1 0-1,-1 0 0,0-2 1,1 1-1,-1 0 1,-1-1-1,0-1 1,0 2-1,0-2 0,0 0 1,-1 0-1,5-13 1,-5 13 2,-1 1-24,0 0 0,0-1-1,0 1 1,-1 0 0,0 0 0,0-3 0,-1 3 0,0 0-1,0-2 1,0-5 0,-1 12-9,0 1 0,0-1 0,0 0 0,0 1 0,0-1 0,0 0 0,0 1 0,0-1 0,0 0 0,0 1 0,-1-2 0,1 1 0,0 1 0,0-1 0,-1 1 0,1-1 0,-1 1 0,1-1 0,0 1 0,-1-1 0,1 1 0,-1-1 0,1 1 0,-1-1 0,1 1 0,-1 0 0,1-1 0,-1 1 0,0 0 0,-20-2 315,14 2-279,1 0-25,-1 0 1,1 1-1,-1-1 1,1 2-1,-1-1 1,0 1-1,1 0 0,0 0 1,0 2-1,0-2 1,0 2-1,1-2 1,-1 2-1,1-1 1,0 2-1,0 0 0,-7 5 1,5-1 188,1 0 0,-1-2 0,1 1 1,1 2-1,-1-2 0,1 2 0,1 0 0,0-1 0,0 2 0,1-2 1,0 2-1,0-1 0,1 1 0,0-1 0,1-1 0,0 3 1,1 11-1,0-20-134,0 0 0,1-1 0,-1 1 1,1 0-1,0 0 0,0 0 1,0-1-1,0 1 0,0 0 0,0-1 1,1 1-1,-1-1 0,1 0 0,-1 2 1,1-3-1,0 1 0,0 0 0,0 0 1,0-1-1,0 2 0,1-1 0,-1-1 1,0 1-1,1-1 0,-1 0 0,1 0 1,-1 0-1,1 0 0,4 0 0,9 4 24,-1-4 0,1 1 0,-1-1 0,19-2 0,-18 1-21,-3 0-68,-1 0 0,1-1 0,-1-1 0,0 1 1,1-3-1,-1 1 0,0-1 0,-1 0 0,1-2 1,14-7-1,-7 0-42,0 0 1,0-3-1,-1 2 1,-1-2 0,20-23-1,-26 27-126,-1-1-1,0-1 0,-1-1 1,0 1-1,-2-1 0,1 1 1,-2-2-1,8-25 0,-12 34-23,-1 0-1,0-1 0,0 0 1,-1-10-1,0 18 179,0-1-5,0 1 1,0 0-1,0-1 0,0 1 1,0 0-1,0-1 0,0 1 1,0 0-1,0-1 0,0 1 1,0 0-1,0 0 0,0-1 1,0 1-1,-1 0 0,1-1 1,0 1-1,0 0 0,0 0 1,0-1-1,-1 1 1,1 0-1,0 0 0,0 0 1,-1-1-1,1 1 0,0 0 1,0 0-1,-1 0 0,1 0 1,0 0-1,0-1 0,-1 1 1,1 0-1,0 0 0,-1 0 1,1 0-1,0 0 0,-1 0 1,1 0-1,0 0 1,0 0-1,-1 0 0,1 0 1,0 0-1,-1 1 0,1-1 1,0 0-1,-1 0 0,-4 0-37,-1 1 55,0 0-1,0 0 0,0 1 1,0-1-1,1 1 1,-1 1-1,1-1 1,-1 2-1,1-1 1,0 0-1,0 0 1,-1 1-1,-7 9 1,-2 1 39,2 2 0,-1 0 1,-12 20-1,20-28 54,0 2 0,1-2 0,0 3 0,0 0 0,0-2-1,2 3 1,-1-3 0,1 3 0,0 0 0,1-2 0,1 1 0,-1 0 0,1 0 0,1 19-1,0-27-68,1 0 0,-1 0 0,0 0 0,1 0 0,-1 0 0,1-1 0,0 1 0,0 0 0,0 1 0,0-3 0,0 2 0,1 0 0,-1 0 0,1 0 0,0-1 0,-1 0 0,1 0 0,0 0 0,0 1 0,0-1 0,1-1 0,-1 1 0,0-1 0,1 1 0,-1-1 0,1 0 0,3 2 0,5 0-12,0-1 0,0 0 0,0 1 0,0-3 0,17 0 0,-23 0-16,11 1-54,0-1 0,0-1 0,-1-2-1,1 1 1,-1-1 0,1-1 0,-1-1 0,0 1-1,0-3 1,17-10 0,-5-1-724,0-1 0,30-30 1,11-19-4032,-10 5-5002</inkml:trace>
  <inkml:trace contextRef="#ctx0" brushRef="#br0" timeOffset="3">1912 1458 5945,'0'0'6288,"-32"-10"-5381,-2 3-555,0 0 0,-34-3 0,64 10-278,0 0 0,0 0 0,0 0-1,-1 0 1,1 1 0,1 0 0,-1 0 0,0 0-1,0 0 1,1 2 0,-1-1 0,1 0-1,-1 0 1,1 0 0,0 0 0,-1 0-1,1 0 1,-4 8 0,-7 3 526,2 2 1,0-1-1,1 3 1,-13 22-1,18-28-138,0 1 0,1-1 0,1 1 0,-2 0 0,3 1 1,0 0-1,-3 22 0,5-29-222,1 0 0,-1-1 0,2 2 0,0 6 0,-1-11-189,0-1-1,1 1 1,-1-1 0,0 0 0,1 2 0,-1-2 0,1 1 0,0-1 0,0-1 0,-1 2 0,1-1 0,0 0 0,0 0 0,0 0 0,0 0 0,0 0 0,0 0 0,0 0 0,1 0 0,2 2 0,1-1 29,0 0 0,0 0 0,0 0 0,1-1 0,-1-1 0,0 1 0,7-1 0,0 0-8,0-1 1,19-5-1,-20 3-63,0-2 0,0 1 0,0-1 0,0 1 0,-1-3 0,0 1 0,0-1 1,0 0-1,12-13 0,-2 0-29,0-2 0,32-44 0,-37 43-47,-1 0-1,-1-2 1,-1 0 0,-1-1 0,-1 0 0,-1 0 0,-1 0-1,8-51 1,-7 2-930,-3 5-1,-2-90 1,-5 112 550,1 47 445,0 0 0,0 0 0,0 1 1,0 0-1,0-1 0,0 0 0,0 0 0,-1 0 0,1 0 0,0-1 0,-1 1 0,1 1 0,0-1 0,-1 0 0,1 0 0,-1 0 0,1 1 0,-1-1 0,1 0 1,-1 1-1,1-1 0,-1 0 0,0 1 0,1-1 0,-2 0 0,1 1 41,0 1 0,0-1 0,0 0 0,1 1 0,-1-1 0,0 1 0,0-1 0,0 1 0,1-1 0,-1 1 0,0 0 0,0-1 0,1 1 0,-1 0 0,1 0 0,-1-1 0,1 1 0,-1 0 0,1 1 0,-1-1 0,1 0 0,0 0 0,-1 0 0,1 0 0,0 0 0,-8 24 442,2-3 0,1 2 0,-5 44 0,1 56 1417,6 131 0,5-218-1467,5 43 0,-4-64-318,1 2 0,0-1 0,1 1 0,11 23 0,-8-21-98,1-3 0,13 21 0,-18-32-68,-1-1 1,1 1-1,0-2 1,0 0 0,1 0-1,-1 0 1,1 0 0,0 2-1,0-2 1,0-2 0,7 4-1,-7-4-205,1 0 0,0-1 0,0 0-1,0 1 1,0-1 0,0-1 0,0 0 0,0 0-1,8-3 1,-9 2-543,0 0 0,0 0 1,1-1-1,-2 0 0,1 0 0,0 0 0,5-3 1,-3-1-2108,0-1-1,-1 0 1,1 2 0,7-13 0</inkml:trace>
  <inkml:trace contextRef="#ctx0" brushRef="#br0" timeOffset="4">2587 1378 19492,'0'0'8770,"183"-39"-8770,-144 34-40,-6 5-752,-21 14-1681,-12 20-3208,0 6-2681</inkml:trace>
  <inkml:trace contextRef="#ctx0" brushRef="#br0" timeOffset="5">2560 1561 12307,'0'0'14587,"159"-13"-14347,-93-13-240,20 9-288,-17 7-2753,-15 10-9570</inkml:trace>
  <inkml:trace contextRef="#ctx0" brushRef="#br0" timeOffset="6">4435 938 14635,'0'0'8327,"2"27"-7496,6 85 328,-6-30 1476,-2-57-1604,4-105-327,5-66-869,27-241 44,22 0-441,-35 293 85,-19 80 400,1 2 0,1-1 0,12-23 0,-18 35 65,1 0 1,-1 1 0,1 0 0,-1-2 0,1 1 0,-1 0 0,1 0 0,-1 1-1,1-1 1,0 0 0,-1 1 0,1-1 0,0 1 0,0-1 0,-1 0 0,1 1-1,0 0 1,0-1 0,0 1 0,-1 0 0,1-1 0,0 1 0,0 0 0,0 0 0,0 0-1,0-1 1,0 1 0,0 0 0,0 1 0,0-1 0,-1 0 0,1 0 0,0 0-1,0 0 1,0 1 0,0-1 0,0 0 0,-1 1 0,1-1 0,0 1 0,0-1-1,0 2 1,3 1-259,-2 1 0,1-2-1,0 1 1,0 1 0,-1-1 0,0 2-1,4 6 1,4 11-2076,-1-2 0,-2 2 0,9 32-1,-10-23-3866</inkml:trace>
  <inkml:trace contextRef="#ctx0" brushRef="#br0" timeOffset="7">4775 584 8162,'0'0'15427,"-219"41"-15427,149-28-88,-9 13-2473,19 0-3680,14 1-7146</inkml:trace>
  <inkml:trace contextRef="#ctx0" brushRef="#br0" timeOffset="8">4781 684 8666,'0'0'7563,"0"31"-5205,0 189 3256,0 16 510,2-272-6351,0 1-1,3 0 1,0 1 0,11-36-1,50-132-855,-57 180 687,0 1 1,1-1-1,23-36 1,-31 55 329,1 0 1,-1 0-1,1 1 0,0 0 1,0-1-1,0 1 0,0 0 0,1 0 1,-1-1-1,1 1 0,5-2 1,-8 4-15,0 0 1,1-1-1,-1 1 1,0 0-1,0 0 1,1 0-1,-1 0 1,0 0-1,1 0 1,-1 0-1,0 0 1,0 0 0,1 1-1,-1-1 1,0 0-1,0 1 1,1 0-1,-1-1 1,0 1-1,0-1 1,0 1-1,0 0 1,0 0-1,0 0 1,0 1-1,0-1 1,0 0-1,0 0 1,-1 0 0,1 0-1,0 0 1,0 0-1,-1 1 1,1-1-1,-1 0 1,1 2-1,5 19-2999,-2 1 0,2 23 1,-2-11-4439</inkml:trace>
  <inkml:trace contextRef="#ctx0" brushRef="#br0" timeOffset="9">5117 1101 18036,'0'0'8506,"31"-23"-8501,103-78-8,-121 89 3,-2 3 0,1-4 1,0 2-1,-1-3 0,-1 2 0,-1-2 0,10-18 0,-9 15-2,-9 15 1,5-6-7,-1-1 1,0 1-1,0-1 0,-1 0 0,0 0 0,-1-1 1,0 1-1,0-1 0,2-12 0,-5 21 6,0 1 0,0 0 0,0-1 0,0 1 0,0-1-1,0 1 1,0-1 0,0 1 0,0-2 0,0 2 0,0-1 0,0 1-1,0 0 1,0-1 0,0 1 0,-1-1 0,1 1 0,0-1 0,0 1-1,0 0 1,-1 0 0,1 0 0,0 0 0,0-1 0,-1 1 0,1 0-1,-1-1 1,-4 0 7,-1 0 0,1 0 0,0 1 0,-1-1 0,1 2 1,-1-1-1,1 1 0,-10 1 0,7 0-27,-1 0 1,1 3 0,0-2-1,0 1 1,-1 0 0,1 1-1,1-1 1,0 2 0,-1-1 0,2 2-1,-1-1 1,1 1 0,0 0-1,0 0 1,-7 12 0,7-9 63,0 1 1,0 0 0,1 0 0,1 0-1,-1 1 1,2-1 0,0 1 0,0 0-1,1 0 1,0 1 0,0 19 0,2-29 25,0 0-1,0 0 1,0 0 0,0 0 0,1 0 0,0 3 0,0-3-1,-1 0 1,2-1 0,-1 1 0,0 0 0,1 0 0,-1 0-1,1 1 1,0-2 0,0 1 0,4 3 0,-2-3-26,-1 0 0,1 0 0,1 0 0,-1 0 1,0-1-1,1 1 0,-1-1 0,1-1 0,-1 0 0,1 0 1,6 0-1,4 2-35,0-2 0,1 0 1,26-2-1,-36 1-39,1-1 1,-1-1-1,0 1 0,0-1 0,0 1 0,0-1 1,0-2-1,0 2 0,0-2 0,-1 0 0,11-6 1,-8 2-342,-1-2 1,1 2 0,-1-3 0,11-17-1,6-22-4292,-9 4-5635</inkml:trace>
  <inkml:trace contextRef="#ctx0" brushRef="#br0" timeOffset="10">5510 965 9418,'0'0'15129,"30"-7"-15085,99-31 44,-123 36-80,1-1 1,-1 1-1,0-1 1,0 0-1,-1 0 1,1-2-1,5-4 1,-8 6-3,0 0 1,0 0-1,-1-2 0,1 2 1,-1-1-1,3-7 0,-1 4 0,-1 1-16,0-1 1,0 1-1,-1-2 0,1 1 0,-2 0 0,1 0 1,-1-1-1,0 1 0,0-1 0,-1-8 0,0 15-1,0 0 0,0 0-1,0 1 1,0-1 0,0 0-1,0 0 1,0-1 0,-1 1-1,1 0 1,0 1 0,-1-1 0,1 1-1,0-1 1,-1 0 0,1 1-1,-1-1 1,1 0 0,-1 1-1,1-1 1,-1 0 0,0 1-1,1-1 1,-1 1 0,-1-1 0,1 0-10,-1 0 1,0 1 0,0-1 0,0 1 0,1-1 0,-1 1 0,0 0 0,0 0 0,0 0 0,0 0 0,-1 0 0,-3 1-11,0 0 0,1 1 0,-1-1-1,1 1 1,-1 0 0,1 1 0,-8 4 0,0 3-1,0 0-1,1 1 0,0 1 1,0-1-1,-19 30 1,18-23 258,0 3 1,1 0-1,-15 39 1,23-50 64,0 1 1,1 2-1,0-1 1,1 0-1,0-1 0,1 3 1,0 14-1,0-25-206,1 0 1,0 1-1,1 0 0,-1-1 1,1 0-1,-1 1 0,1-1 1,0 0-1,2 7 0,-2-8-58,1 0 0,-1-1 0,1 1 0,-1 0 0,1-1-1,0 0 1,-1 0 0,1 0 0,0 0 0,0 2 0,0-2 0,0 0-1,0-1 1,0 1 0,4 1 0,7 1-64,0 0 0,0-1 0,0 0 0,0-2 0,1 1 0,0-2 0,-1 1 0,26-7 0,-5-3-1005,61-23 0,-7-9-5359,1-6-11415</inkml:trace>
  <inkml:trace contextRef="#ctx0" brushRef="#br0" timeOffset="11">6633 1188 10906,'0'0'10771,"1"-45"-10477,-1 45-294,8-380 50,-8 336-44,4-167-6,-1 165 9,2 0 1,18-72-1,-21 110 5,6-23 91,12-34 1,-16 57-20,0-2-1,0 0 0,1 3 1,0-3-1,1 2 1,0 0-1,10-12 1,-13 18-16,-1-2 0,1 2 0,0 0 0,0 0 0,1 0 1,-1 0-1,0 0 0,4 0 0,-6 1-38,0 1-1,0 0 1,0-1-1,0 1 1,0 0-1,0 0 1,1 0-1,-1 0 1,0 0-1,0 0 1,0 0-1,0 0 1,0 0-1,0 0 1,0 1-1,0-1 1,1 1-1,-1-1 1,0 0-1,0 1 1,0 0-1,0-1 1,-1 1-1,1 0 1,0 0-1,0-1 1,0 1-1,0 0 1,-1 0-1,2 2 1,0 2-37,1 0 1,-1-2-1,-1 2 0,1 0 0,-1-1 1,0 2-1,0 5 0,3 49-816,-4-31-869,-1 0-1,-2-2 1,-10 50 0,-4-8-5268</inkml:trace>
  <inkml:trace contextRef="#ctx0" brushRef="#br0" timeOffset="12">6958 633 18476,'0'0'5049,"-227"0"-4673,138 5-376,5 11-208,13 16-2096,26-1-3754,21-9-6792</inkml:trace>
  <inkml:trace contextRef="#ctx0" brushRef="#br0" timeOffset="13">7097 265 18724,'0'0'6249,"-57"236"-6241,30-122 48,6 9 120,9-1 320,9-7-135,3-28-73,0-29-288,3-38-576,9-20-2273,0 0-7329</inkml:trace>
  <inkml:trace contextRef="#ctx0" brushRef="#br0" timeOffset="14">7265 654 416,'0'0'20322,"-24"12"-19253,-4-1-704,-44 28 0,68-37-330,1 1 1,-1 0-1,1 0 1,0-1-1,-2 1 1,2 1-1,1 0 1,-1 0-1,0-1 1,1 1 0,0-1-1,-3 9 1,3-4 68,-1 0 1,2 0 0,-1 0-1,0 13 1,1-12-7,-1 28 675,3 41-1,-1-73-691,0 0-1,0 0 1,1-1-1,0 1 0,0-1 1,0 2-1,1-2 0,0 0 1,-1 0-1,1 0 1,1 2-1,-1-2 0,4 4 1,-4-6-63,-1 0 1,1 0-1,0 0 0,0-1 1,0 2-1,0-2 1,1 0-1,-1 1 1,1-1-1,-1 0 0,0 0 1,1 0-1,-1-1 1,0 1-1,1 0 0,-1-1 1,1 0-1,-1 0 1,1 0-1,-1 0 1,1 0-1,-1 0 0,1-1 1,-1 1-1,4-2 1,-3 1-28,0 0 1,1-1-1,-1 0 1,0-1-1,0 1 1,0 0-1,0 0 1,0-1-1,0 0 1,0 2-1,-1-2 1,0 0-1,1 0 1,-1-2-1,0 1 1,0 1-1,2-6 1,2-6-118,-2 1 0,1-1 0,2-19 1,-2 7-640,-1 0 0,0-41 0,-4 42-1749,-4-28 0,3 47 1376,0-1-1,-1 2 1,1 0 0,-4-11 0,-7-4-5225</inkml:trace>
  <inkml:trace contextRef="#ctx0" brushRef="#br0" timeOffset="15">7265 654 12139</inkml:trace>
  <inkml:trace contextRef="#ctx0" brushRef="#br0" timeOffset="16">7277 654 12139,'52'-1'1557,"60"6"1,-110-5-1441,0 0 1,0 1 0,0-1-1,-1 0 1,1 1-1,0 1 1,-1-2-1,1 1 1,0 0 0,-1 0-1,1 0 1,-1 0-1,1 0 1,-1 0-1,3 3 1,-3-3 9,-1 0 0,1 0 1,-1 0-1,0 0 0,1 0 0,-1 0 1,0 1-1,0-1 0,1 0 0,-1 2 0,0-2 1,0 1-1,-1 2 0,-8 99 3545,-2 69-44,11-139-3009,1 43 679,-1-75-1287,0 1 1,0-1-1,0 1 1,1-1-1,-1-1 0,0 2 1,1-1-1,-1 1 1,0-1-1,1 0 1,0 2-1,-1-2 1,1 0-1,0 0 1,0 0-1,-1 0 1,1 0-1,0 1 1,0-1-1,0-1 0,0 1 1,0 0-1,1 0 1,-1 0-1,0-1 1,0 1-1,0 0 1,1-1-1,-1 1 1,0-1-1,1 0 1,-1 1-1,0-1 1,1 0-1,-1 0 0,2 0 1,1 0-28,-1-1 0,1 1 1,-1-1-1,1 0 0,-1 0 1,0 0-1,1-1 0,-1 1 0,0-1 1,0 0-1,0 0 0,0 0 0,4-5 1,2-2-135,0-2 0,-1 2 0,0-3 0,0 0 0,-1 1 0,-1-2 0,8-19 0,-6 10-675,0-2 1,-2 1-1,7-37 0,-10 38-519,-1 16 887,0 7 488,1 6 403,-3-7-427,9 41 900,-6-22-319,11 34 0,-9-38-289,1-1-1,0 0 1,1 1 0,0-3 0,14 21-1,-20-32-288,0 0 0,1 0 0,-1 1 0,0-1 1,0 1-1,1-2 0,-1 1 0,1 0 0,-1 0 0,1-1 0,-1 1 0,1 0 0,-1-1 0,1 0 0,-1 0 0,1 0 0,0 0 0,-1 0 0,1 0 0,0 0 0,-1 0 0,1 0 0,-1 0 0,1 0 0,0 0 0,-1-1 1,1 0-1,-1 1 0,1-1 0,-1 0 0,3-2 0,0-2-36,0 0-1,-1 0 1,1 1 0,-1-1 0,0 0 0,4-10 0,14-39-216,-20 52 228,49-147-1924,-14 44-4874,-12 44-4320</inkml:trace>
  <inkml:trace contextRef="#ctx0" brushRef="#br0" timeOffset="17">8970 495 10506,'0'0'4465,"-32"-3"-3683,-103-2 250,127 5-900,1 0 0,-1 1 1,0 1-1,0-1 0,-7 4 0,11-3 9,-1-1 0,1 1-1,0 1 1,-7 5-1,1 0 111,9-8-245,-3 3 155,0-1 0,-1 0 0,1 1 0,0 1 0,1-1 0,-5 7 0,8-9-78,-1 0 0,0 0 0,0 0 0,1 0 0,-1 0 0,1 0 0,-1 1 0,1-1 0,0 0 0,-1 1 0,1-1 0,0 0 0,0 0 0,0 2 0,0-2 0,0 0 0,0 1 0,0-1 0,0 0 0,1 1 0,-1-1 0,0-1 0,1 2 0,-1-1 0,1 0 0,-1 0 0,1 0 0,0 0 0,-1 1 0,1-1 0,2 2 0,12 14 473,0-1 1,1-3-1,21 18 1,-10-10-53,93 90 1790,-116-107-2223,0-1 0,-1 3 0,2-1 0,-2 0 0,0 0 0,0 1 0,3 7 0,-5-10-51,0 0 1,0 0-1,0 0 0,0 0 0,-1 0 0,0 1 0,1-1 0,-1 0 0,0 0 1,-1 1-1,1-1 0,0 1 0,-1-1 0,0 0 0,-1 5 0,-1-2-27,1-3 0,-1 2-1,0-1 1,0 0-1,0 2 1,-2-3-1,1 0 1,1 1-1,-1 0 1,0-1 0,-1 0-1,-6 5 1,-3-1-62,1 0 1,-30 10 0,38-16-35,-1 1 0,1-1 0,-1 0-1,0-1 1,-7 1 0,12-1 72,1 0 0,0 0 0,0 0 0,-1 0 0,1-1 0,0 1-1,0 0 1,-1 0 0,1 0 0,0 0 0,0 0 0,-1-1 0,1 1 0,0 0 0,0 0 0,0 0-1,-1-1 1,1 1 0,0 0 0,0 0 0,0 0 0,0-1 0,0 1 0,-2 0 0,2 0 0,0-1-1,0 1 1,0 0 0,0-1 0,0 1 0,0 0 0,0 0 0,0-1 0,0 1 0,0 0-1,0 0 1,0-1 0,0 1 0,0 0 0,0-1 0,0 1 0,2-1 0,3-13-619,-2 9 496,0-1 0,1 2 0,0-2-1,0 2 1,0-2 0,10-5 0,35-26-207,154-85 18,-37 28 322,-163 92 13,1 0 0,-1-1 0,0 1 1,1-1-1,-1 0 0,0 0 0,-1-1 1,1 2-1,0-1 0,2-5 0,-3 2-28,0 0-1,0 2 0,-1-1 0,1-2 0,-1 2 1,-1-1-1,1 0 0,-1 0 0,0-7 0,0 13 404,0 2 118,0 2-370,0 40 502,-1-1 0,-12 72 0,-2-35-366,-38 230 761,40-208-240,-1 107 0,13 49 575,2-245-1380,0-17-198,0-23-218,-1-78-148,8-248-588,27 89 69,-19 187 163,34-107-1,-19 105-246,-26 67 858,1 1 0,0-1 1,1 3-1,12-16 0,-13 17 152,1 1 0,1 1-1,-1 0 1,13-10 0,-18 15 260,1 0 1,0-1 0,0 1 0,0-1 0,0-1-1,0 2 1,0 0 0,0 0 0,0 1 0,0-1-1,1 1 1,-1 0 0,0 0 0,0 0 0,1 0 0,2 1-1,-5-1 7,0 0 0,0 1-1,0-1 1,0 0-1,0 1 1,0-1 0,0 1-1,0-1 1,0 3-1,-1-2 1,1-1 0,0 1-1,0 0 1,-1 0-1,1-1 1,0 1 0,-1 0-1,1-1 1,-1 1-1,1 0 1,-1 0 0,1 0-1,-1 0 1,1 1-1,2 13 276,-1-3 0,0 3-1,-1-1 1,-1 0-1,0 0 1,0-1-1,-5 25 1,2-22-261,-1 3 0,-1-2 0,-1-1 0,0 1 0,-1-1 0,-11 20 0,5-16-48,0 0 0,-1 1 0,-32 32 1,36-42-39,-1-2 0,1 0 1,-13 7-1,19-13-25,-1 0 0,1-1 0,-1 3 0,1-3-1,-1 0 1,0-1 0,0 1 0,0-1 0,0 0 0,-7-1-1,10 0-68,0 0 0,1 0-1,-1 0 1,0 0-1,0 0 1,0 0 0,0-1-1,1 1 1,-1-1-1,1 0 1,-1 0 0,1 1-1,-1-1 1,1 0-1,0 0 1,-1-1 0,1 1-1,0-2 1,0 2-1,0-1 1,-1 1 0,0-3-1,0 0-787,0 1 0,0-1 0,1-1 0,-1 1 0,1-1 0,-1-6 0,-1-36-13443</inkml:trace>
  <inkml:trace contextRef="#ctx0" brushRef="#br0" timeOffset="18">9417 900 8810,'0'0'9046,"32"-4"-8669,107-19-231,-122 19-61,-1-1 0,1 0 0,-1-1 0,0-1 0,0 0 0,-1-3 0,18-11 0,-27 17-19,10-6 269,0-1-1,0-1 0,-2-3 1,23-20-1,-31 28-244,-1-2 0,1 3 0,-1-1 0,-1-2 0,1 2 0,-1-1 0,-1-1 0,0 1 0,0-1 0,0 0 0,-1 1 0,2-15 0,-3 17-56,0-3-6,0 2-1,-1 0 1,0 0-1,0-2 0,0 1 1,-1 2-1,-2-12 1,3 18-24,-1-1 0,0 1 1,1 0-1,-1-1 0,0 0 0,0 1 1,1-1-1,-1 0 0,0 1 0,0-1 1,0 1-1,0-1 0,0 1 1,0-2-1,0 2 0,0 0 0,0-1 1,0 1-1,0 0 0,0 0 0,0 0 1,0 0-1,-1 0 0,-26 4 309,24-3-244,0 1 0,0 0 0,0-1 0,-1 0 1,1 1-1,0 1 0,1-1 0,-1 1 1,1 0-1,0 2 0,0-1 0,0-2 1,-4 7-1,-2 6 251,1-2 0,-10 24 0,11-19 42,-1 2 0,2-2 0,0 2 0,2 0 0,0 0 0,1 0 0,-1 28 0,3-43-276,1 0 1,0 0-1,1 1 1,-1-1-1,1 0 1,0 0-1,0 0 0,0 1 1,0-2-1,1 1 1,3 5-1,-3-7-69,-1 0 0,1-2-1,1 3 1,-1-2 0,0 0-1,0 0 1,1 0-1,0 0 1,-1-1 0,1 1-1,0-1 1,-1 1-1,1 0 1,0-1 0,0 0-1,0-1 1,0 1 0,5 0-1,8 0-118,1 0-1,0 0 0,0-1 1,-1-1-1,0-1 0,1 1 1,25-10-1,-10 1-1634,0-3 0,50-25 0,-15 2-5082</inkml:trace>
  <inkml:trace contextRef="#ctx0" brushRef="#br0" timeOffset="19">10187 723 10642,'0'0'14489,"24"-8"-14184,76-31-169,-97 38-134,0 0 1,0-1-1,0 0 0,0 1 0,0-1 0,-1 0 1,1 0-1,-1-2 0,1 2 0,-1-2 1,0 2-1,0 0 0,0-1 0,3-4 1,-4 3-4,0 1 1,0 0 0,-1 0 0,1 1 0,-1-1-1,1 0 1,-1 0 0,0-2 0,0-2 0,-1 1 0,2 5-6,-1 0 0,0 0 0,0 0-1,0 0 1,0 0 0,0 0 0,0-1 0,0 1-1,-1 0 1,1 1 0,0-1 0,0 0 0,-1 0-1,1 0 1,0 0 0,-1 0 0,1 1 0,-1-1-1,1 0 1,-1 0 0,1 1 0,-1-1 0,0 0-1,1 1 1,-1 0 0,-1-1 0,1 1 4,-1-1 1,0 1 0,1 0 0,-1 0-1,0 0 1,1 0 0,-1 0-1,0 1 1,1-1 0,-1 1 0,1-1-1,-1 0 1,-1 1 0,-4 3 68,0 0 1,0 2 0,0-2-1,1 2 1,0-1 0,0 0-1,-1 2 1,-6 9 0,12-15-62,-12 15 174,1 1 1,0-2 0,1 3 0,1 1 0,-8 17 0,12-21-12,1-1 0,1 0 0,0 0 0,1 2-1,0-2 1,1 1 0,0 25 0,1-33-110,2-2-1,-1 2 1,1-1-1,2 11 1,-2-14-54,-1-1-1,1 1 0,0-1 1,0 1-1,0-1 1,1 0-1,-1 0 1,0-1-1,1 0 1,-1 1-1,1 0 0,0-1 1,-1 1-1,1-1 1,3 3-1,0-1-10,0-1 0,0 0 0,0 0 0,0 0 0,0-2 0,0 1 0,9 1 0,42 0-182,-39-2 111,-3 0-60,0 0 0,0-1 1,0-1-1,0 0 1,0 0-1,-1-1 0,1-2 1,0 0-1,0 0 0,16-10 1,3-5-1268,34-31 0,-2-4-3885,-10 4-3846</inkml:trace>
  <inkml:trace contextRef="#ctx0" brushRef="#br0" timeOffset="20">10942 658 16628,'0'0'3231,"-16"-19"-3156,16 19-75,-20-24 63,-32-32 0,49 53-24,-1 0-1,1 1 1,0 0-1,-1 1 1,0-1-1,1 0 0,-1 1 1,0-2-1,0 1 1,0 1-1,0 1 1,0-1-1,0 0 1,0 1-1,0 0 1,0 0-1,0 0 0,0 1 1,0 0-1,0-1 1,0 1-1,0 1 1,-5 3-1,2-2 82,-1 0 0,0 1 0,1 0 0,-1 0 0,1 2-1,0-1 1,0 0 0,1 1 0,0 1 0,-10 13 0,8-9 156,0-1 1,1 2-1,1-1 1,0 2-1,0-2 1,-6 23-1,10-26-85,0-2 0,1 4 0,-1-2 0,2-1 0,-1 2 0,1 0 0,1 14 1,-1-22-171,1 1 1,-1 0 0,1-1-1,-1 1 1,1-1 0,-1 0 0,1 0-1,0 2 1,0-2 0,0 1 0,0-1-1,0 0 1,0 1 0,0-1 0,0 0-1,0 0 1,1 0 0,-1 0 0,0 0-1,1 0 1,-1 0 0,1 0 0,-1-1-1,1 1 1,-1-1 0,1 2-1,2-1 1,4 0-2,0-1 0,1 2 0,0-2 0,10 0 0,-4-2-4,-5 2-10,1 0-1,-2 0 1,1-2 0,0-1 0,-1 1 0,0-1 0,1 0 0,-1 0 0,12-7 0,-8 1-39,0 1 0,0-2 0,0-1 0,0 0 0,13-15 0,-5 0-295,-1 1 1,-2-2-1,0-1 1,-1-1-1,-2 0 1,0-2 0,-2 2-1,18-65 1,-17 39-259,-3-1 0,-2 1 0,-2 0 0,-1-85 0,-6 137 564,0 1 0,0-1 0,0 1 1,0 0-1,-1-1 0,1 0 1,-1 1-1,-1-5 0,2 6 28,0 1 0,-1-1 0,1 1 0,0 0 0,-1-1 0,1 1 0,-1 0 0,1 0 0,-1-1 0,1 1 0,-1 0 0,1 0 0,-1 0 0,1 0 0,-1-1 0,1 1 0,-1 0 0,1 0 0,-1 0 0,1 0 0,-1 0 0,1 0 0,-1 0 0,1 1 0,-1-1 0,1 0 0,-1 0 0,1 0 0,-1 0 0,1 1 0,-1-1 0,1 0 0,-1 1 0,1-1 0,-1 0 0,1 1 0,0-1 0,-1 1 0,-2 1 129,-1 1-1,1 1 1,0-2-1,0 2 0,0-1 1,1 0-1,-1 0 1,1 1-1,0-1 0,0 1 1,-2 5-1,-4 10 428,-6 23 0,0 13 280,1-1-1,-6 84 1,10 112 328,10-231-1165,0 1 0,1-2-1,1 2 1,0-1-1,2 0 1,0-2 0,1 4-1,11 19 1,-14-33-105,1 1 0,0-1 0,0-1 1,0 1-1,1-1 0,-1 0 0,2 0 1,-1 0-1,1-1 0,9 8 0,-8-8-563,0-1-1,1 0 0,-1-2 1,1 1-1,0 0 1,-1-1-1,1 0 0,0-1 1,14 1-1,21 0-7418</inkml:trace>
  <inkml:trace contextRef="#ctx0" brushRef="#br0" timeOffset="21">11394 1450 8194,'0'0'11005,"2"0"-9893,-117-1 5964,-224 3-4742,248 5-1962,-30-1-64,-22-7-299,-110 1 936,2 20 398,90-1-1309,-192 2 1,301-21-35,-295 14 0,232 2 0,-197 15 0,168-29 0,-270 19 0,20 6 0,-59-27 0,356 5 0,-122 21 0,-72 8 0,-120-36 0,-164 7 0,363 7 0,-234-19 0,-186-4 0,610 11 0,-4 1-2,1 0 0,0 1-1,-30 8 1,64-11-1420,1 1 0,17 1 1,-2 0-4518,6-1-10414</inkml:trace>
  <inkml:trace contextRef="#ctx0" brushRef="#br0" timeOffset="22">4646 2266 7562,'0'0'16629,"-5"20"-15568,-10 33-557,-33 135 1471,35-121-599,-4 99 0,12 72 908,1-184-3417,2-42 473,1 1 1,1-2-1,0 2 0,1 17 0,-1-30 590,1 0 0,-1 1 0,0-1 0,0 0 0,0 0 0,0 0-1,0 0 1,0 1 0,0-1 0,0 0 0,0 0 0,1 0 0,-1 0 0,0 0-1,0 1 1,0-1 0,0 0 0,0 0 0,1 0 0,-1 0 0,0 0 0,0 0-1,0 0 1,0 0 0,1 0 0,-1 0 0,0 0 0,0 0 0,0 0 0,0 0-1,1 0 1,-1 0 0,0 0 0,0 0 0,0 0 0,1 0 0,-1 0-1,0 0 1,0 0 0,0 0 0,22-2-5426,5-4-2153</inkml:trace>
  <inkml:trace contextRef="#ctx0" brushRef="#br0" timeOffset="23">5325 2736 8570,'0'0'14867,"-115"0"-14027,82 4-512,-1 0-328,3-4-752,10 0-3289,6 0-5713</inkml:trace>
  <inkml:trace contextRef="#ctx0" brushRef="#br0" timeOffset="24">5270 2543 16131,'0'0'9883,"0"157"-9395,-3-106-440,0-7-48,3-1-1345,0-14-3880,0-7-8954</inkml:trace>
  <inkml:trace contextRef="#ctx0" brushRef="#br0" timeOffset="26">7677 2773 16724,'0'0'16043,"0"31"-16043,0-27-1024,0 0-1321,0 6-4024</inkml:trace>
  <inkml:trace contextRef="#ctx0" brushRef="#br0" timeOffset="27">8578 2252 3545,'0'0'14291,"-179"135"-13467,134-74 1224,5 20 841,10 17-480,15 13-809,15 9-624,6-1-584,36-7-392,19-18-272,5-17-656,17-3-1201,-17-24-3688,-17-19-4945</inkml:trace>
  <inkml:trace contextRef="#ctx0" brushRef="#br0" timeOffset="28">9079 2387 15067,'0'0'6234,"9"26"-3525,30 94-449,-18-50-530,-13-46-716,0 1 1,13 24 0,-21-49-1021,0 0 0,0 0 1,0 1-1,0-1 0,0 0 1,0 0-1,1 1 0,-1-1 0,0 0 1,0 0-1,0 0 0,0 1 0,0-1 1,1 0-1,-1 0 0,0 0 0,0 0 1,1 3-1,-1-3 0,0 0 0,0 0 1,0 0-1,1 0 0,-1 0 0,0 0 1,0 0-1,1 0 0,-1 0 0,0 0 1,0 0-1,1 0 0,-1 0 0,0 0 1,0 0-1,1 0 0,-1 0 1,0 0-1,0 0 0,1 0 0,-1 0 1,0 0-1,0-3 0,0 3 0,1 0 1,-1 0-1,0 0 0,0 0 0,0-1 1,0 1-1,1 0 0,-1 0 0,0 0 1,0-1-1,0 1 0,0 0 0,0 0 1,1 0-1,-1-1 0,0 1 0,9-18-83,-8 14 80,129-257 59,-119 241-197,-4 4-475,1 1 0,0 0 0,3 0 0,-2 2 0,22-25 0,-30 38 423,0-1 0,0 0 0,0 0 0,0 1 0,0-1 0,0 0 0,0 1 0,0-1 0,0 0 0,0 1-1,0 0 1,1-1 0,-1 1 0,2-1 0,-2 1 39,-1 0 0,1 0-1,-1 1 1,1-1 0,-1 0 0,1 0-1,-1 0 1,1 1 0,-1-1 0,1 0 0,-1 0-1,0 1 1,1-1 0,-1 0 0,1 1-1,-1-1 1,0 1 0,1-1 0,-1 0-1,0 1 1,0-1 0,1 1 0,-1-1-1,0 1 1,2 3-788,-1 1 0,0 1-1,-1-1 1,1 1 0,-1 7 0,0-13 937,1 50-8060</inkml:trace>
  <inkml:trace contextRef="#ctx0" brushRef="#br0" timeOffset="29">9564 2951 11618,'0'0'9595,"-157"17"-8483,77-4-480,-4-9-632,5 0-72,-13-4-2337,26 0-3368,18 0-6185</inkml:trace>
  <inkml:trace contextRef="#ctx0" brushRef="#br0" timeOffset="30">9340 3249 12579,'0'0'5738,"-28"5"-4591,-91 22 52,113-24-1006,0-1 0,-1 0-1,1 1 1,0 0 0,-9 6-1,12-7 17,0 1 0,0-1-1,0 1 1,1 0-1,-5 6 1,1 0 189,5-8-332,-2 3 198,0-1 0,1 1-1,0 0 1,-1 1 0,-1 2-1,4-6-228,0-1 0,-1 1 0,1 0 0,0-1-1,0 1 1,0 0 0,0-1 0,-1 1-1,1 0 1,0 0 0,0-1 0,0 1-1,0 0 1,1-1 0,-1 1 0,0 0-1,0-1 1,0 1 0,0 0 0,1-1-1,-1 1 1,0 1 0,1-2 0,-1 1 0,0-1-1,1 1 1,-1-1 0,1 1 0,-1-1-1,1 1 1,-1-1 0,1 1 0,-1-1-1,1 0 1,-1 0 0,1 0 0,0 1-1,-1-1 1,1 0 0,0 0 0,-1 0-1,1 1 1,1-1 0,23 7-173,1-2 0,46 3 1,56-6-2440,-100-2 1516,61 0-8165,-68 0 1201</inkml:trace>
  <inkml:trace contextRef="#ctx0" brushRef="#br0" timeOffset="31">9867 2238 9458,'0'0'14987,"54"246"-12106,-33-127-1393,-6 4-472,-12 6-351,-3 3-353,-15 2-184,-33-10-128,-28-9-504,-15-16-481,-45 4-575,23-26-2993,20-14-10898</inkml:trace>
  <inkml:trace contextRef="#ctx0" brushRef="#br0" timeOffset="32">10214 2591 13355,'0'0'7775,"-4"-7"-8022,1 2 237,1 0-1,-1 0 1,0 1-1,1-2 1,0 1-1,0-1 1,1 1-1,-2-9 1,1 0-3,0-3 0,1-21 0,1 21 19,0 0 0,1-1 0,1 0 1,1 2-1,0-2 0,1 0 0,0 3 1,14-33-1,0 10 33,44-62 0,-52 84-119,1 2 0,1 1 0,0 1 0,1-3 0,0 3 0,23-15 0,-32 24 228,0 1 0,-1-1-1,1 1 1,1 0-1,-1 0 1,0 1 0,0-1-1,1 1 1,-1 0 0,0 1-1,1-2 1,5 2-1,-9 11 1226,-2-9-1335,1 2-1,-1-1 1,0 0 0,1 0 0,-1-1 0,-1 1 0,1 0 0,0-1 0,0 1-1,-1-1 1,1 0 0,-1 1 0,0-1 0,0 0 0,0 0 0,0 0 0,0 0-1,0 0 1,-5 2 0,-8 5-150,1 0 0,-19 7 0,16-8-93,14-6 194,-1 0-273,-1 0 0,1 1 0,0-1 0,-8 8-1,12-10 236,-1 1 1,0-1-1,0 1 0,1-1 0,-1 1 0,1 1 0,-1-1 0,0 0 0,1 0 0,-1 0 0,1 0 0,0 0 0,-1-1 0,1 1 0,0 0 0,0 1 0,0-1 0,-1 0 0,1 0 0,0 0 0,0 1 0,0-1 0,0 0 0,1 0 0,-1 0 1,0 0-1,0-1 0,1 1 0,-1 0 0,0 0 0,1 1 0,2 1 54,-1-1 0,1 1-1,-1 0 1,1 0 0,0-1 0,0 1 0,0-1 0,0-1 0,0 1 0,0-1 0,1 1-1,6 2 1,-5-2 12,43 18 254,-19-9 482,40 22-1,-68-33-705,0 1 0,0-1 0,0 1 0,0 0 0,0-1 0,-1 1 0,1 0 0,0 0 0,0 0 0,0 0 0,-1 0 0,1 0 0,-1 0 0,1 1 0,0-1 0,0 1 0,-1-1-19,0 0 0,0 0 0,0 0-1,-1 0 1,1-1 0,0 1 0,0 0 0,0 0 0,-1 0 0,1 0-1,0-1 1,-1 0 0,1 1 0,0 0 0,-1 0 0,1-1 0,-1 1-1,0 0 1,1-1 0,-1 1 0,1 0 0,-1-1 0,0 1-1,0-1 1,-1 1 0,-11 9 26,-1-2-1,0 1 1,-1-2 0,0-1-1,-28 8 1,16-7-345,0-1-1,-43 4 1,70-10 285,-19-1-1617,18 1 1359,1 0 0,-1-1 0,1 1 0,-1 0 0,1-1 0,0 1 0,-1 0 0,1-2 0,0 2 1,-1-1-1,1 1 0,0-1 0,-1 1 0,1-1 0,0 1 0,0-2 0,0 2 0,-1 0 0,1 0 0,0-1 0,0 1 1,0-1-1,0 0 0,0 1 0,0-1 0,0-20-11681</inkml:trace>
  <inkml:trace contextRef="#ctx0" brushRef="#br0" timeOffset="33">6739 2578 17268,'0'0'5798,"-13"22"-4872,-6 6-480,-6 14 523,-35 40-1,7-12 435,-112 108 0,159-174-1384,0 2-1,-1-1 1,0 0 0,-14 6-1,20-10-26,-1-1 1,0 1-1,0 0 0,0-1 0,0 1 0,0-1 0,0 0 1,0 0-1,1 0 0,-1 0 0,-3 0 0,3 0-5,1-1 0,0 1 0,0 0 0,0-1 0,0 1 0,0-1 0,0 0 0,0 1 0,1-1 0,-1 0 0,0 0 0,0 1 0,0-1 0,1 0 0,-1 1 0,0-1 0,1 0 0,-1 0 0,1 0 0,-1 0 0,0-3 0,-1-6-129,0 1-1,0-4 1,1 3 0,0 0-1,1-19 1,1 16 24,-1-9-36,1 2 0,0-2 1,7-27-1,-6 42 100,0-1 0,0 0-1,1 0 1,0 0 0,0 1 0,1-1-1,0 0 1,0 2 0,1 0 0,0-2 0,8-6-1,-12 13 55,1-1 0,-1 1 0,1 0-1,0-1 1,0-1 0,0 2-1,-1 0 1,1 0 0,0 0 0,0 1-1,0-1 1,-1 0 0,1 1-1,0-1 1,4 1 0,-5 0 15,1 0 0,-1 0 0,1 1 0,-1-1 0,1 1 0,-1-1 0,0 1 0,1-1 0,-1 1 0,0 0 0,0 0 0,1 0 0,-1-1 0,0 3 0,0-2 0,2 2 0,1 4 41,1-2 1,-1 3-1,-1-1 0,1 0 1,-1-1-1,4 15 1,3 12 21,1 5-34,3 0-1,0-2 1,24 43 0,-31-70-118,-1 0 0,1 1-1,1-2 1,-1 0 0,1 2-1,1-3 1,0 0 0,0 1 0,0-3-1,0 1 1,17 9 0,-7-7-1129,36 12 1,21-3-4517,23-6-8237,-95-11 13405</inkml:trace>
</inkml:ink>
</file>

<file path=xl/persons/person.xml><?xml version="1.0" encoding="utf-8"?>
<personList xmlns="http://schemas.microsoft.com/office/spreadsheetml/2018/threadedcomments" xmlns:x="http://schemas.openxmlformats.org/spreadsheetml/2006/main">
  <person displayName="Derick Millican" id="{2FD6F484-D4AF-4278-B106-4F8633ED1F8B}" userId="S::dmillican@olsson.com::11a44a4c-1ba8-42ef-af2b-e95cb9dfa05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F55C11-C89D-4E98-B7AB-2CF3C8742177}" name="EmissionFactors" displayName="EmissionFactors" ref="B11:H1323" totalsRowShown="0" headerRowDxfId="18" dataDxfId="16" headerRowBorderDxfId="17" tableBorderDxfId="15" dataCellStyle="Normal">
  <tableColumns count="7">
    <tableColumn id="10" xr3:uid="{A31CA324-C6FC-41F7-8041-7B7A12A1FAC2}" name="Vehicle" dataDxfId="14" dataCellStyle="Normal"/>
    <tableColumn id="2" xr3:uid="{320857A6-AA36-421C-A62A-512A9A40641E}" name="Speed" dataDxfId="13" dataCellStyle="Normal"/>
    <tableColumn id="1" xr3:uid="{DD3EC8DF-EF23-4797-BBCC-052FC323967B}" name="Year" dataDxfId="12" dataCellStyle="Normal"/>
    <tableColumn id="4" xr3:uid="{DB5C4EB9-85B7-440B-91A8-C847BC2F0DF7}" name="NOx" dataDxfId="11" dataCellStyle="Comma"/>
    <tableColumn id="5" xr3:uid="{A2A6C71D-5BF5-4410-A8E4-0CB0E1D98687}" name="PM2.5" dataDxfId="10" dataCellStyle="Comma"/>
    <tableColumn id="7" xr3:uid="{2BE9294B-6D4B-43BB-8F7A-419D4CA655C8}" name="SO2" dataDxfId="9" dataCellStyle="Comma"/>
    <tableColumn id="8" xr3:uid="{5A5917BB-FDD1-409E-9A88-5494D9416A26}" name="CO2" dataDxfId="8" dataCellStyle="Comma"/>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1FBF497-400B-44B5-A8D6-6EF6D8CE30F6}" name="EmissionCost" displayName="EmissionCost" ref="J11:N42" totalsRowShown="0" headerRowDxfId="7" dataDxfId="5" headerRowBorderDxfId="6" headerRowCellStyle="Table Header" dataCellStyle="Normal">
  <tableColumns count="5">
    <tableColumn id="1" xr3:uid="{E460F98A-1BCE-4FBC-945C-8BDCF360EC3B}" name="Year" dataDxfId="4" dataCellStyle="Normal"/>
    <tableColumn id="2" xr3:uid="{47652CE3-4B48-47B9-AE34-AA16C78D44CA}" name="NOx" dataDxfId="3" dataCellStyle="Comma"/>
    <tableColumn id="3" xr3:uid="{66741F78-8808-4B99-AB73-66AE97A68A27}" name="PM2.5" dataDxfId="2" dataCellStyle="Comma"/>
    <tableColumn id="4" xr3:uid="{DB09AFE6-25DE-489B-B864-ABB9A27CBA23}" name="SO2" dataDxfId="1" dataCellStyle="Comma"/>
    <tableColumn id="5" xr3:uid="{0385F17B-1E18-45E8-A809-E618A8B96856}" name="CO2" dataDxfId="0" dataCellStyle="Comma"/>
  </tableColumns>
  <tableStyleInfo name="Table Style 1" showFirstColumn="0" showLastColumn="0" showRowStripes="1" showColumnStripes="0"/>
</table>
</file>

<file path=xl/theme/theme1.xml><?xml version="1.0" encoding="utf-8"?>
<a:theme xmlns:a="http://schemas.openxmlformats.org/drawingml/2006/main" name="HDR_WordTheme">
  <a:themeElements>
    <a:clrScheme name="HDR_WORD-BrandingBright">
      <a:dk1>
        <a:sysClr val="windowText" lastClr="000000"/>
      </a:dk1>
      <a:lt1>
        <a:sysClr val="window" lastClr="FFFFFF"/>
      </a:lt1>
      <a:dk2>
        <a:srgbClr val="54585A"/>
      </a:dk2>
      <a:lt2>
        <a:srgbClr val="A8A99E"/>
      </a:lt2>
      <a:accent1>
        <a:srgbClr val="4298B5"/>
      </a:accent1>
      <a:accent2>
        <a:srgbClr val="C8102E"/>
      </a:accent2>
      <a:accent3>
        <a:srgbClr val="CA005D"/>
      </a:accent3>
      <a:accent4>
        <a:srgbClr val="FF8200"/>
      </a:accent4>
      <a:accent5>
        <a:srgbClr val="FFC600"/>
      </a:accent5>
      <a:accent6>
        <a:srgbClr val="78BE20"/>
      </a:accent6>
      <a:hlink>
        <a:srgbClr val="00549F"/>
      </a:hlink>
      <a:folHlink>
        <a:srgbClr val="6B1F7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a:noFill/>
        </a:ln>
      </a:spPr>
      <a:bodyPr rtlCol="0" anchor="ctr"/>
      <a:lstStyle/>
      <a:style>
        <a:lnRef idx="2">
          <a:schemeClr val="accent1">
            <a:shade val="50000"/>
          </a:schemeClr>
        </a:lnRef>
        <a:fillRef idx="1">
          <a:schemeClr val="accent1"/>
        </a:fillRef>
        <a:effectRef idx="0">
          <a:schemeClr val="accent1"/>
        </a:effectRef>
        <a:fontRef idx="minor">
          <a:schemeClr val="lt1"/>
        </a:fontRef>
      </a:style>
    </a:spDef>
    <a:txDef>
      <a:spPr>
        <a:noFill/>
        <a:ln w="6350">
          <a:noFill/>
        </a:ln>
        <a:effectLst/>
      </a:spPr>
      <a:bodyPr wrap="square" rtlCol="0"/>
      <a:lstStyle/>
      <a:style>
        <a:lnRef idx="0">
          <a:schemeClr val="accent1"/>
        </a:lnRef>
        <a:fillRef idx="0">
          <a:schemeClr val="accent1"/>
        </a:fillRef>
        <a:effectRef idx="0">
          <a:schemeClr val="accent1"/>
        </a:effectRef>
        <a:fontRef idx="minor">
          <a:schemeClr val="dk1"/>
        </a:fontRef>
      </a: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2" dT="2023-08-09T22:02:33.64" personId="{2FD6F484-D4AF-4278-B106-4F8633ED1F8B}" id="{2A5A35C1-01D4-4753-BAFC-83AC29ED6E01}">
    <text xml:space="preserve">Verify we are benchmarked to 2021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D2338-B7F3-49F3-899E-4EA549A28B09}">
  <dimension ref="B4:R27"/>
  <sheetViews>
    <sheetView showGridLines="0" workbookViewId="0">
      <selection activeCell="B6" sqref="B6:L6"/>
    </sheetView>
  </sheetViews>
  <sheetFormatPr defaultColWidth="9" defaultRowHeight="14.25" x14ac:dyDescent="0.2"/>
  <cols>
    <col min="1" max="16384" width="9" style="48"/>
  </cols>
  <sheetData>
    <row r="4" spans="2:12" ht="18" x14ac:dyDescent="0.2">
      <c r="B4" s="725" t="s">
        <v>642</v>
      </c>
      <c r="C4" s="725"/>
      <c r="D4" s="725"/>
      <c r="E4" s="725"/>
      <c r="F4" s="725"/>
      <c r="G4" s="725"/>
      <c r="H4" s="725"/>
      <c r="I4" s="725"/>
      <c r="J4" s="725"/>
      <c r="K4" s="725"/>
      <c r="L4" s="725"/>
    </row>
    <row r="5" spans="2:12" ht="18" x14ac:dyDescent="0.2">
      <c r="B5" s="725" t="s">
        <v>644</v>
      </c>
      <c r="C5" s="725"/>
      <c r="D5" s="725"/>
      <c r="E5" s="725"/>
      <c r="F5" s="725"/>
      <c r="G5" s="725"/>
      <c r="H5" s="725"/>
      <c r="I5" s="725"/>
      <c r="J5" s="725"/>
      <c r="K5" s="725"/>
      <c r="L5" s="725"/>
    </row>
    <row r="6" spans="2:12" ht="18" x14ac:dyDescent="0.2">
      <c r="B6" s="725" t="s">
        <v>643</v>
      </c>
      <c r="C6" s="725"/>
      <c r="D6" s="725"/>
      <c r="E6" s="725"/>
      <c r="F6" s="725"/>
      <c r="G6" s="725"/>
      <c r="H6" s="725"/>
      <c r="I6" s="725"/>
      <c r="J6" s="725"/>
      <c r="K6" s="725"/>
      <c r="L6" s="725"/>
    </row>
    <row r="7" spans="2:12" ht="18" x14ac:dyDescent="0.2">
      <c r="B7" s="726">
        <v>45159</v>
      </c>
      <c r="C7" s="726"/>
      <c r="D7" s="726"/>
      <c r="E7" s="726"/>
      <c r="F7" s="726"/>
      <c r="G7" s="726"/>
      <c r="H7" s="726"/>
      <c r="I7" s="726"/>
      <c r="J7" s="726"/>
      <c r="K7" s="726"/>
      <c r="L7" s="726"/>
    </row>
    <row r="14" spans="2:12" ht="15.75" x14ac:dyDescent="0.25">
      <c r="B14" s="727"/>
      <c r="C14" s="727"/>
      <c r="E14" s="699"/>
    </row>
    <row r="15" spans="2:12" x14ac:dyDescent="0.2">
      <c r="B15" s="700"/>
      <c r="C15" s="700"/>
      <c r="D15" s="700"/>
      <c r="E15" s="700"/>
      <c r="F15" s="700"/>
      <c r="G15" s="700"/>
      <c r="H15" s="700"/>
      <c r="I15" s="700"/>
      <c r="J15" s="700"/>
      <c r="K15" s="700"/>
      <c r="L15" s="700"/>
    </row>
    <row r="16" spans="2:12" x14ac:dyDescent="0.2">
      <c r="B16" s="700"/>
      <c r="C16" s="700"/>
      <c r="D16" s="700"/>
      <c r="E16" s="700"/>
      <c r="F16" s="700"/>
      <c r="G16" s="700"/>
      <c r="H16" s="700"/>
      <c r="I16" s="700"/>
      <c r="J16" s="700"/>
      <c r="K16" s="700"/>
      <c r="L16" s="700"/>
    </row>
    <row r="17" spans="2:18" x14ac:dyDescent="0.2">
      <c r="B17" s="700"/>
      <c r="C17" s="700"/>
      <c r="D17" s="700"/>
      <c r="E17" s="700"/>
      <c r="F17" s="700"/>
      <c r="G17" s="700"/>
      <c r="H17" s="700"/>
      <c r="I17" s="700"/>
      <c r="J17" s="700"/>
      <c r="K17" s="700"/>
      <c r="L17" s="700"/>
    </row>
    <row r="18" spans="2:18" x14ac:dyDescent="0.2">
      <c r="B18" s="700"/>
      <c r="C18" s="700"/>
      <c r="D18" s="700"/>
      <c r="E18" s="700"/>
      <c r="F18" s="700"/>
      <c r="G18" s="700"/>
      <c r="H18" s="700"/>
      <c r="I18" s="700"/>
      <c r="J18" s="700"/>
      <c r="K18" s="700"/>
      <c r="L18" s="700"/>
      <c r="P18"/>
    </row>
    <row r="19" spans="2:18" x14ac:dyDescent="0.2">
      <c r="B19" s="700"/>
      <c r="C19" s="700"/>
      <c r="D19" s="700"/>
      <c r="E19" s="700"/>
      <c r="F19" s="700"/>
      <c r="G19" s="700"/>
      <c r="H19" s="700"/>
      <c r="I19" s="700"/>
      <c r="J19" s="700"/>
      <c r="K19" s="700"/>
      <c r="L19" s="700"/>
      <c r="R19"/>
    </row>
    <row r="20" spans="2:18" x14ac:dyDescent="0.2">
      <c r="B20" s="700"/>
      <c r="C20" s="700"/>
      <c r="D20" s="700"/>
      <c r="E20" s="700"/>
      <c r="F20" s="700"/>
      <c r="G20" s="700"/>
      <c r="H20" s="700"/>
      <c r="I20" s="700"/>
      <c r="J20" s="700"/>
      <c r="K20" s="700"/>
      <c r="L20" s="700"/>
    </row>
    <row r="21" spans="2:18" x14ac:dyDescent="0.2">
      <c r="B21" s="700"/>
      <c r="C21" s="700"/>
      <c r="D21" s="700"/>
      <c r="E21" s="700"/>
      <c r="F21" s="700"/>
      <c r="G21" s="700"/>
      <c r="H21" s="700"/>
      <c r="I21" s="700"/>
      <c r="J21" s="700"/>
      <c r="K21" s="700"/>
      <c r="L21" s="700"/>
    </row>
    <row r="22" spans="2:18" x14ac:dyDescent="0.2">
      <c r="B22" s="700"/>
      <c r="C22" s="700"/>
      <c r="D22" s="700"/>
      <c r="E22" s="700"/>
      <c r="F22" s="700"/>
      <c r="G22" s="700"/>
      <c r="H22" s="700"/>
      <c r="I22" s="700"/>
      <c r="J22" s="700"/>
      <c r="K22" s="700"/>
      <c r="L22" s="700"/>
    </row>
    <row r="23" spans="2:18" x14ac:dyDescent="0.2">
      <c r="B23" s="700"/>
      <c r="C23" s="700"/>
      <c r="D23" s="700"/>
      <c r="E23" s="700"/>
      <c r="F23" s="700"/>
      <c r="G23" s="700"/>
      <c r="H23" s="700"/>
      <c r="I23" s="700"/>
      <c r="J23" s="700"/>
      <c r="K23" s="700"/>
      <c r="L23" s="700"/>
    </row>
    <row r="24" spans="2:18" x14ac:dyDescent="0.2">
      <c r="B24" s="700"/>
      <c r="C24" s="700"/>
      <c r="D24" s="700"/>
      <c r="E24" s="700"/>
      <c r="F24" s="700"/>
      <c r="G24" s="700"/>
      <c r="H24" s="700"/>
      <c r="I24" s="700"/>
      <c r="J24" s="700"/>
      <c r="K24" s="700"/>
      <c r="L24" s="700"/>
    </row>
    <row r="25" spans="2:18" x14ac:dyDescent="0.2">
      <c r="B25" s="700"/>
      <c r="C25" s="700"/>
      <c r="D25" s="700"/>
      <c r="E25" s="700"/>
      <c r="F25" s="700"/>
      <c r="G25" s="700"/>
      <c r="H25" s="700"/>
      <c r="I25" s="700"/>
      <c r="J25" s="700"/>
      <c r="K25" s="700"/>
      <c r="L25" s="700"/>
    </row>
    <row r="26" spans="2:18" x14ac:dyDescent="0.2">
      <c r="B26" s="700"/>
      <c r="C26" s="700"/>
      <c r="D26" s="700"/>
      <c r="E26" s="700"/>
      <c r="F26" s="700"/>
      <c r="G26" s="700"/>
      <c r="H26" s="700"/>
      <c r="I26" s="700"/>
      <c r="J26" s="700"/>
      <c r="K26" s="700"/>
      <c r="L26" s="700"/>
    </row>
    <row r="27" spans="2:18" x14ac:dyDescent="0.2">
      <c r="B27" s="701"/>
      <c r="C27" s="701"/>
      <c r="D27" s="701"/>
      <c r="E27" s="701"/>
      <c r="F27" s="701"/>
      <c r="G27" s="701"/>
      <c r="H27" s="701"/>
      <c r="I27" s="701"/>
      <c r="J27" s="701"/>
      <c r="K27" s="701"/>
      <c r="L27" s="701"/>
    </row>
  </sheetData>
  <mergeCells count="5">
    <mergeCell ref="B4:L4"/>
    <mergeCell ref="B5:L5"/>
    <mergeCell ref="B6:L6"/>
    <mergeCell ref="B7:L7"/>
    <mergeCell ref="B14:C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1AF03-F9B2-40CB-BD62-3F477850107B}">
  <sheetPr>
    <tabColor theme="9"/>
  </sheetPr>
  <dimension ref="A2:AJ62"/>
  <sheetViews>
    <sheetView showGridLines="0" zoomScale="115" zoomScaleNormal="115" workbookViewId="0">
      <selection activeCell="F61" sqref="F61:G63"/>
    </sheetView>
  </sheetViews>
  <sheetFormatPr defaultColWidth="11.625" defaultRowHeight="21.95" customHeight="1" x14ac:dyDescent="0.2"/>
  <cols>
    <col min="1" max="1" width="3.375" customWidth="1"/>
    <col min="2" max="3" width="25.75" bestFit="1" customWidth="1"/>
    <col min="4" max="6" width="12.75" style="2" customWidth="1"/>
    <col min="7" max="36" width="12.75" customWidth="1"/>
  </cols>
  <sheetData>
    <row r="2" spans="1:36" ht="23.25" x14ac:dyDescent="0.2">
      <c r="B2" s="242" t="s">
        <v>290</v>
      </c>
      <c r="C2" s="10"/>
    </row>
    <row r="4" spans="1:36" ht="21.95" customHeight="1" x14ac:dyDescent="0.2">
      <c r="A4" s="619"/>
      <c r="B4" s="628" t="s">
        <v>0</v>
      </c>
    </row>
    <row r="6" spans="1:36" ht="21.95" customHeight="1" x14ac:dyDescent="0.2">
      <c r="B6" s="369" t="s">
        <v>120</v>
      </c>
    </row>
    <row r="7" spans="1:36" ht="21.95" customHeight="1" x14ac:dyDescent="0.2">
      <c r="B7" s="380" t="s">
        <v>21</v>
      </c>
      <c r="C7" s="515" t="s">
        <v>316</v>
      </c>
    </row>
    <row r="8" spans="1:36" ht="21.95" customHeight="1" x14ac:dyDescent="0.2">
      <c r="B8" s="277" t="s">
        <v>505</v>
      </c>
      <c r="C8" s="565">
        <f>1</f>
        <v>1</v>
      </c>
    </row>
    <row r="9" spans="1:36" ht="21.95" customHeight="1" x14ac:dyDescent="0.2">
      <c r="B9" s="237"/>
      <c r="C9" s="563"/>
    </row>
    <row r="11" spans="1:36" ht="21.95" customHeight="1" x14ac:dyDescent="0.2">
      <c r="B11" s="369" t="s">
        <v>315</v>
      </c>
    </row>
    <row r="12" spans="1:36" ht="21.95" customHeight="1" x14ac:dyDescent="0.2">
      <c r="B12" s="411"/>
      <c r="C12" s="410"/>
      <c r="D12" s="410" cm="1">
        <f t="array" ref="D12:AC12">year</f>
        <v>2022</v>
      </c>
      <c r="E12" s="410">
        <v>2023</v>
      </c>
      <c r="F12" s="410">
        <v>2024</v>
      </c>
      <c r="G12" s="410">
        <v>2025</v>
      </c>
      <c r="H12" s="410">
        <v>2026</v>
      </c>
      <c r="I12" s="410">
        <v>2027</v>
      </c>
      <c r="J12" s="410">
        <v>2028</v>
      </c>
      <c r="K12" s="410">
        <v>2029</v>
      </c>
      <c r="L12" s="410">
        <v>2030</v>
      </c>
      <c r="M12" s="410">
        <v>2031</v>
      </c>
      <c r="N12" s="410">
        <v>2032</v>
      </c>
      <c r="O12" s="410">
        <v>2033</v>
      </c>
      <c r="P12" s="410">
        <v>2034</v>
      </c>
      <c r="Q12" s="410">
        <v>2035</v>
      </c>
      <c r="R12" s="410">
        <v>2036</v>
      </c>
      <c r="S12" s="410">
        <v>2037</v>
      </c>
      <c r="T12" s="410">
        <v>2038</v>
      </c>
      <c r="U12" s="410">
        <v>2039</v>
      </c>
      <c r="V12" s="410">
        <v>2040</v>
      </c>
      <c r="W12" s="410">
        <v>2041</v>
      </c>
      <c r="X12" s="410">
        <v>2042</v>
      </c>
      <c r="Y12" s="410">
        <v>2043</v>
      </c>
      <c r="Z12" s="410">
        <v>2044</v>
      </c>
      <c r="AA12" s="410">
        <v>2045</v>
      </c>
      <c r="AB12" s="410">
        <v>2046</v>
      </c>
      <c r="AC12" s="547">
        <v>2047</v>
      </c>
      <c r="AD12" s="35"/>
      <c r="AE12" s="35"/>
      <c r="AF12" s="35"/>
      <c r="AG12" s="35"/>
      <c r="AH12" s="35"/>
      <c r="AI12" s="35"/>
      <c r="AJ12" s="35"/>
    </row>
    <row r="13" spans="1:36" ht="21.95" customHeight="1" x14ac:dyDescent="0.2">
      <c r="B13" s="277" t="s">
        <v>9</v>
      </c>
      <c r="C13" s="143" t="s">
        <v>302</v>
      </c>
      <c r="D13" s="278" cm="1">
        <f t="array" ref="D13:AC13">_xlfn.XLOOKUP(year, 'Project Cost Data'!$B$26:$B$48, 'Project Cost Data'!H$26:H$48, 0, 0) *0.9</f>
        <v>0</v>
      </c>
      <c r="E13" s="278">
        <v>0</v>
      </c>
      <c r="F13" s="278">
        <v>0</v>
      </c>
      <c r="G13" s="278">
        <v>0</v>
      </c>
      <c r="H13" s="278">
        <v>0</v>
      </c>
      <c r="I13" s="278">
        <v>0</v>
      </c>
      <c r="J13" s="275">
        <v>0</v>
      </c>
      <c r="K13" s="275">
        <v>10730.7</v>
      </c>
      <c r="L13" s="275">
        <v>2017384.2</v>
      </c>
      <c r="M13" s="275">
        <v>0</v>
      </c>
      <c r="N13" s="275">
        <v>0</v>
      </c>
      <c r="O13" s="275">
        <v>0</v>
      </c>
      <c r="P13" s="275">
        <v>10730.7</v>
      </c>
      <c r="Q13" s="275">
        <v>0</v>
      </c>
      <c r="R13" s="275">
        <v>0</v>
      </c>
      <c r="S13" s="275">
        <v>2017384.2</v>
      </c>
      <c r="T13" s="275">
        <v>0</v>
      </c>
      <c r="U13" s="275">
        <v>10730.7</v>
      </c>
      <c r="V13" s="275">
        <v>0</v>
      </c>
      <c r="W13" s="275">
        <v>0</v>
      </c>
      <c r="X13" s="275">
        <v>0</v>
      </c>
      <c r="Y13" s="275">
        <v>0</v>
      </c>
      <c r="Z13" s="275">
        <v>8037346.5</v>
      </c>
      <c r="AA13" s="275">
        <v>0</v>
      </c>
      <c r="AB13" s="275">
        <v>0</v>
      </c>
      <c r="AC13" s="276">
        <v>0</v>
      </c>
      <c r="AD13" s="27"/>
      <c r="AE13" s="27"/>
      <c r="AF13" s="27"/>
      <c r="AG13" s="27"/>
      <c r="AH13" s="27"/>
      <c r="AI13" s="22"/>
      <c r="AJ13" s="22"/>
    </row>
    <row r="14" spans="1:36" ht="21.95" customHeight="1" x14ac:dyDescent="0.2">
      <c r="B14" s="277"/>
      <c r="C14" s="143" t="s">
        <v>303</v>
      </c>
      <c r="D14" s="278" cm="1">
        <f t="array" ref="D14:AC14">_xlfn.XLOOKUP(year, 'Project Cost Data'!$B$26:$B$48, 'Project Cost Data'!I$26:I$48, 0, 0) *0.9</f>
        <v>0</v>
      </c>
      <c r="E14" s="278">
        <v>0</v>
      </c>
      <c r="F14" s="278">
        <v>0</v>
      </c>
      <c r="G14" s="278">
        <v>0</v>
      </c>
      <c r="H14" s="278">
        <v>0</v>
      </c>
      <c r="I14" s="278">
        <v>0</v>
      </c>
      <c r="J14" s="275">
        <v>0</v>
      </c>
      <c r="K14" s="275">
        <v>0</v>
      </c>
      <c r="L14" s="275">
        <v>0</v>
      </c>
      <c r="M14" s="275">
        <v>0</v>
      </c>
      <c r="N14" s="275">
        <v>429230.7</v>
      </c>
      <c r="O14" s="275">
        <v>0</v>
      </c>
      <c r="P14" s="275">
        <v>0</v>
      </c>
      <c r="Q14" s="275">
        <v>0</v>
      </c>
      <c r="R14" s="275">
        <v>0</v>
      </c>
      <c r="S14" s="275">
        <v>429230.7</v>
      </c>
      <c r="T14" s="275">
        <v>0</v>
      </c>
      <c r="U14" s="275">
        <v>0</v>
      </c>
      <c r="V14" s="275">
        <v>0</v>
      </c>
      <c r="W14" s="275">
        <v>0</v>
      </c>
      <c r="X14" s="275">
        <v>0</v>
      </c>
      <c r="Y14" s="275">
        <v>0</v>
      </c>
      <c r="Z14" s="275">
        <v>0</v>
      </c>
      <c r="AA14" s="275">
        <v>0</v>
      </c>
      <c r="AB14" s="275">
        <v>0</v>
      </c>
      <c r="AC14" s="276">
        <v>0</v>
      </c>
      <c r="AD14" s="27"/>
      <c r="AE14" s="27"/>
      <c r="AF14" s="27"/>
      <c r="AG14" s="27"/>
      <c r="AH14" s="27"/>
      <c r="AI14" s="23"/>
      <c r="AJ14" s="23"/>
    </row>
    <row r="15" spans="1:36" ht="21.95" customHeight="1" x14ac:dyDescent="0.2">
      <c r="B15" s="277"/>
      <c r="C15" s="152" t="s">
        <v>317</v>
      </c>
      <c r="D15" s="281" cm="1">
        <f t="array" ref="D15:AC15">_xlfn.SEQUENCE(1, studyDuration, 'Project Cost Data'!J58, 0)*0.9</f>
        <v>229340.7</v>
      </c>
      <c r="E15" s="281">
        <v>229340.7</v>
      </c>
      <c r="F15" s="281">
        <v>229340.7</v>
      </c>
      <c r="G15" s="281">
        <v>229340.7</v>
      </c>
      <c r="H15" s="281">
        <v>229340.7</v>
      </c>
      <c r="I15" s="281">
        <v>229340.7</v>
      </c>
      <c r="J15" s="358">
        <v>229340.7</v>
      </c>
      <c r="K15" s="358">
        <v>229340.7</v>
      </c>
      <c r="L15" s="358">
        <v>229340.7</v>
      </c>
      <c r="M15" s="358">
        <v>229340.7</v>
      </c>
      <c r="N15" s="358">
        <v>229340.7</v>
      </c>
      <c r="O15" s="358">
        <v>229340.7</v>
      </c>
      <c r="P15" s="358">
        <v>229340.7</v>
      </c>
      <c r="Q15" s="358">
        <v>229340.7</v>
      </c>
      <c r="R15" s="358">
        <v>229340.7</v>
      </c>
      <c r="S15" s="358">
        <v>229340.7</v>
      </c>
      <c r="T15" s="358">
        <v>229340.7</v>
      </c>
      <c r="U15" s="358">
        <v>229340.7</v>
      </c>
      <c r="V15" s="358">
        <v>229340.7</v>
      </c>
      <c r="W15" s="358">
        <v>229340.7</v>
      </c>
      <c r="X15" s="358">
        <v>229340.7</v>
      </c>
      <c r="Y15" s="358">
        <v>229340.7</v>
      </c>
      <c r="Z15" s="358">
        <v>229340.7</v>
      </c>
      <c r="AA15" s="358">
        <v>229340.7</v>
      </c>
      <c r="AB15" s="358">
        <v>229340.7</v>
      </c>
      <c r="AC15" s="638">
        <v>229340.7</v>
      </c>
      <c r="AD15" s="162"/>
      <c r="AE15" s="162"/>
      <c r="AF15" s="162"/>
      <c r="AG15" s="162"/>
      <c r="AH15" s="162"/>
      <c r="AI15" s="109"/>
      <c r="AJ15" s="109"/>
    </row>
    <row r="16" spans="1:36" ht="21.95" customHeight="1" x14ac:dyDescent="0.2">
      <c r="B16" s="285"/>
      <c r="C16" s="154" t="s">
        <v>28</v>
      </c>
      <c r="D16" s="610" cm="1">
        <f t="array" ref="D16:AC16">_xlfn.ANCHORARRAY(D13) +_xlfn.ANCHORARRAY( D14) +_xlfn.ANCHORARRAY( D15)</f>
        <v>229340.7</v>
      </c>
      <c r="E16" s="610">
        <v>229340.7</v>
      </c>
      <c r="F16" s="610">
        <v>229340.7</v>
      </c>
      <c r="G16" s="610">
        <v>229340.7</v>
      </c>
      <c r="H16" s="610">
        <v>229340.7</v>
      </c>
      <c r="I16" s="610">
        <v>229340.7</v>
      </c>
      <c r="J16" s="329">
        <v>229340.7</v>
      </c>
      <c r="K16" s="329">
        <v>240071.40000000002</v>
      </c>
      <c r="L16" s="329">
        <v>2246724.9</v>
      </c>
      <c r="M16" s="329">
        <v>229340.7</v>
      </c>
      <c r="N16" s="329">
        <v>658571.4</v>
      </c>
      <c r="O16" s="329">
        <v>229340.7</v>
      </c>
      <c r="P16" s="329">
        <v>240071.40000000002</v>
      </c>
      <c r="Q16" s="329">
        <v>229340.7</v>
      </c>
      <c r="R16" s="329">
        <v>229340.7</v>
      </c>
      <c r="S16" s="329">
        <v>2675955.6</v>
      </c>
      <c r="T16" s="329">
        <v>229340.7</v>
      </c>
      <c r="U16" s="329">
        <v>240071.40000000002</v>
      </c>
      <c r="V16" s="329">
        <v>229340.7</v>
      </c>
      <c r="W16" s="329">
        <v>229340.7</v>
      </c>
      <c r="X16" s="329">
        <v>229340.7</v>
      </c>
      <c r="Y16" s="329">
        <v>229340.7</v>
      </c>
      <c r="Z16" s="329">
        <v>8266687.2000000002</v>
      </c>
      <c r="AA16" s="329">
        <v>229340.7</v>
      </c>
      <c r="AB16" s="329">
        <v>229340.7</v>
      </c>
      <c r="AC16" s="330">
        <v>229340.7</v>
      </c>
      <c r="AD16" s="112"/>
      <c r="AE16" s="112"/>
      <c r="AF16" s="112"/>
      <c r="AG16" s="112"/>
      <c r="AH16" s="112"/>
      <c r="AI16" s="131"/>
      <c r="AJ16" s="131"/>
    </row>
    <row r="17" spans="1:36" ht="21.95" customHeight="1" x14ac:dyDescent="0.2">
      <c r="B17" s="277" t="s">
        <v>10</v>
      </c>
      <c r="C17" s="143" t="s">
        <v>302</v>
      </c>
      <c r="D17" s="278" cm="1">
        <f t="array" ref="D17:AC17">_xlfn.XLOOKUP(year, 'Project Cost Data'!$B$26:$B$48, 'Project Cost Data'!D$26:D$48, 0, 0) *0.9</f>
        <v>0</v>
      </c>
      <c r="E17" s="278">
        <v>0</v>
      </c>
      <c r="F17" s="278">
        <v>0</v>
      </c>
      <c r="G17" s="278">
        <v>0</v>
      </c>
      <c r="H17" s="278">
        <v>0</v>
      </c>
      <c r="I17" s="278">
        <v>0</v>
      </c>
      <c r="J17" s="275">
        <v>0</v>
      </c>
      <c r="K17" s="275">
        <v>0</v>
      </c>
      <c r="L17" s="275">
        <v>0</v>
      </c>
      <c r="M17" s="275">
        <v>0</v>
      </c>
      <c r="N17" s="275">
        <v>53653.5</v>
      </c>
      <c r="O17" s="275">
        <v>0</v>
      </c>
      <c r="P17" s="275">
        <v>0</v>
      </c>
      <c r="Q17" s="275">
        <v>0</v>
      </c>
      <c r="R17" s="275">
        <v>0</v>
      </c>
      <c r="S17" s="275">
        <v>3058269.3000000003</v>
      </c>
      <c r="T17" s="275">
        <v>0</v>
      </c>
      <c r="U17" s="275">
        <v>0</v>
      </c>
      <c r="V17" s="275">
        <v>0</v>
      </c>
      <c r="W17" s="275">
        <v>0</v>
      </c>
      <c r="X17" s="275">
        <v>53653.5</v>
      </c>
      <c r="Y17" s="275">
        <v>0</v>
      </c>
      <c r="Z17" s="275">
        <v>6009230.7000000002</v>
      </c>
      <c r="AA17" s="275">
        <v>0</v>
      </c>
      <c r="AB17" s="275">
        <v>0</v>
      </c>
      <c r="AC17" s="276">
        <v>3058269.3000000003</v>
      </c>
      <c r="AD17" s="27"/>
      <c r="AE17" s="27"/>
      <c r="AF17" s="27"/>
      <c r="AG17" s="27"/>
      <c r="AH17" s="27"/>
      <c r="AI17" s="22"/>
      <c r="AJ17" s="22"/>
    </row>
    <row r="18" spans="1:36" ht="21.95" customHeight="1" x14ac:dyDescent="0.2">
      <c r="B18" s="277"/>
      <c r="C18" s="143" t="s">
        <v>303</v>
      </c>
      <c r="D18" s="278" cm="1">
        <f t="array" ref="D18:AC18">_xlfn.XLOOKUP(year, 'Project Cost Data'!$B$26:$B$48, 'Project Cost Data'!E$26:E$48, 0, 0) *0.9</f>
        <v>0</v>
      </c>
      <c r="E18" s="278">
        <v>0</v>
      </c>
      <c r="F18" s="278">
        <v>0</v>
      </c>
      <c r="G18" s="278">
        <v>0</v>
      </c>
      <c r="H18" s="278">
        <v>0</v>
      </c>
      <c r="I18" s="278">
        <v>0</v>
      </c>
      <c r="J18" s="275">
        <v>128769.3</v>
      </c>
      <c r="K18" s="275">
        <v>0</v>
      </c>
      <c r="L18" s="275">
        <v>0</v>
      </c>
      <c r="M18" s="275">
        <v>0</v>
      </c>
      <c r="N18" s="275">
        <v>0</v>
      </c>
      <c r="O18" s="275">
        <v>0</v>
      </c>
      <c r="P18" s="275">
        <v>0</v>
      </c>
      <c r="Q18" s="275">
        <v>0</v>
      </c>
      <c r="R18" s="275">
        <v>0</v>
      </c>
      <c r="S18" s="275">
        <v>0</v>
      </c>
      <c r="T18" s="275">
        <v>0</v>
      </c>
      <c r="U18" s="275">
        <v>0</v>
      </c>
      <c r="V18" s="275">
        <v>0</v>
      </c>
      <c r="W18" s="275">
        <v>0</v>
      </c>
      <c r="X18" s="275">
        <v>0</v>
      </c>
      <c r="Y18" s="275">
        <v>0</v>
      </c>
      <c r="Z18" s="275">
        <v>0</v>
      </c>
      <c r="AA18" s="275">
        <v>0</v>
      </c>
      <c r="AB18" s="275">
        <v>0</v>
      </c>
      <c r="AC18" s="276">
        <v>0</v>
      </c>
      <c r="AD18" s="27"/>
      <c r="AE18" s="27"/>
      <c r="AF18" s="27"/>
      <c r="AG18" s="27"/>
      <c r="AH18" s="27"/>
      <c r="AI18" s="23"/>
      <c r="AJ18" s="23"/>
    </row>
    <row r="19" spans="1:36" ht="21.95" customHeight="1" x14ac:dyDescent="0.2">
      <c r="B19" s="277"/>
      <c r="C19" s="152" t="s">
        <v>317</v>
      </c>
      <c r="D19" s="281" cm="1">
        <f t="array" ref="D19:AC19">_xlfn.SEQUENCE(1, studyDuration, 'Project Cost Data'!F58, 0) *0.9</f>
        <v>244233</v>
      </c>
      <c r="E19" s="281">
        <v>244233</v>
      </c>
      <c r="F19" s="281">
        <v>244233</v>
      </c>
      <c r="G19" s="281">
        <v>244233</v>
      </c>
      <c r="H19" s="281">
        <v>244233</v>
      </c>
      <c r="I19" s="281">
        <v>244233</v>
      </c>
      <c r="J19" s="358">
        <v>244233</v>
      </c>
      <c r="K19" s="358">
        <v>244233</v>
      </c>
      <c r="L19" s="358">
        <v>244233</v>
      </c>
      <c r="M19" s="358">
        <v>244233</v>
      </c>
      <c r="N19" s="358">
        <v>244233</v>
      </c>
      <c r="O19" s="358">
        <v>244233</v>
      </c>
      <c r="P19" s="358">
        <v>244233</v>
      </c>
      <c r="Q19" s="358">
        <v>244233</v>
      </c>
      <c r="R19" s="358">
        <v>244233</v>
      </c>
      <c r="S19" s="358">
        <v>244233</v>
      </c>
      <c r="T19" s="358">
        <v>244233</v>
      </c>
      <c r="U19" s="358">
        <v>244233</v>
      </c>
      <c r="V19" s="358">
        <v>244233</v>
      </c>
      <c r="W19" s="358">
        <v>244233</v>
      </c>
      <c r="X19" s="358">
        <v>244233</v>
      </c>
      <c r="Y19" s="358">
        <v>244233</v>
      </c>
      <c r="Z19" s="358">
        <v>244233</v>
      </c>
      <c r="AA19" s="358">
        <v>244233</v>
      </c>
      <c r="AB19" s="358">
        <v>244233</v>
      </c>
      <c r="AC19" s="638">
        <v>244233</v>
      </c>
      <c r="AD19" s="162"/>
      <c r="AE19" s="162"/>
      <c r="AF19" s="162"/>
      <c r="AG19" s="162"/>
      <c r="AH19" s="162"/>
      <c r="AI19" s="109"/>
      <c r="AJ19" s="109"/>
    </row>
    <row r="20" spans="1:36" ht="21.95" customHeight="1" x14ac:dyDescent="0.2">
      <c r="B20" s="384"/>
      <c r="C20" s="331" t="s">
        <v>28</v>
      </c>
      <c r="D20" s="639" cm="1">
        <f t="array" ref="D20:AC20">_xlfn.ANCHORARRAY(D17) +_xlfn.ANCHORARRAY( D18) +_xlfn.ANCHORARRAY( D19)</f>
        <v>244233</v>
      </c>
      <c r="E20" s="639">
        <v>244233</v>
      </c>
      <c r="F20" s="639">
        <v>244233</v>
      </c>
      <c r="G20" s="639">
        <v>244233</v>
      </c>
      <c r="H20" s="639">
        <v>244233</v>
      </c>
      <c r="I20" s="639">
        <v>244233</v>
      </c>
      <c r="J20" s="332">
        <v>373002.3</v>
      </c>
      <c r="K20" s="332">
        <v>244233</v>
      </c>
      <c r="L20" s="332">
        <v>244233</v>
      </c>
      <c r="M20" s="332">
        <v>244233</v>
      </c>
      <c r="N20" s="332">
        <v>297886.5</v>
      </c>
      <c r="O20" s="332">
        <v>244233</v>
      </c>
      <c r="P20" s="332">
        <v>244233</v>
      </c>
      <c r="Q20" s="332">
        <v>244233</v>
      </c>
      <c r="R20" s="332">
        <v>244233</v>
      </c>
      <c r="S20" s="332">
        <v>3302502.3000000003</v>
      </c>
      <c r="T20" s="332">
        <v>244233</v>
      </c>
      <c r="U20" s="332">
        <v>244233</v>
      </c>
      <c r="V20" s="332">
        <v>244233</v>
      </c>
      <c r="W20" s="332">
        <v>244233</v>
      </c>
      <c r="X20" s="332">
        <v>297886.5</v>
      </c>
      <c r="Y20" s="332">
        <v>244233</v>
      </c>
      <c r="Z20" s="332">
        <v>6253463.7000000002</v>
      </c>
      <c r="AA20" s="332">
        <v>244233</v>
      </c>
      <c r="AB20" s="332">
        <v>244233</v>
      </c>
      <c r="AC20" s="333">
        <v>3302502.3000000003</v>
      </c>
      <c r="AD20" s="112"/>
      <c r="AE20" s="112"/>
      <c r="AF20" s="112"/>
      <c r="AG20" s="112"/>
      <c r="AH20" s="112"/>
      <c r="AI20" s="131"/>
      <c r="AJ20" s="131"/>
    </row>
    <row r="22" spans="1:36" ht="21.95" customHeight="1" x14ac:dyDescent="0.2">
      <c r="D22" s="16"/>
    </row>
    <row r="23" spans="1:36" ht="21.95" customHeight="1" x14ac:dyDescent="0.2">
      <c r="A23" s="619"/>
      <c r="B23" s="628" t="s">
        <v>9</v>
      </c>
      <c r="D23" s="16"/>
    </row>
    <row r="25" spans="1:36" ht="21.95" customHeight="1" x14ac:dyDescent="0.2">
      <c r="B25" s="411"/>
      <c r="C25" s="410"/>
      <c r="D25" s="410" cm="1">
        <f t="array" ref="D25:AC25">year</f>
        <v>2022</v>
      </c>
      <c r="E25" s="410">
        <v>2023</v>
      </c>
      <c r="F25" s="410">
        <v>2024</v>
      </c>
      <c r="G25" s="410">
        <v>2025</v>
      </c>
      <c r="H25" s="410">
        <v>2026</v>
      </c>
      <c r="I25" s="410">
        <v>2027</v>
      </c>
      <c r="J25" s="410">
        <v>2028</v>
      </c>
      <c r="K25" s="410">
        <v>2029</v>
      </c>
      <c r="L25" s="410">
        <v>2030</v>
      </c>
      <c r="M25" s="410">
        <v>2031</v>
      </c>
      <c r="N25" s="410">
        <v>2032</v>
      </c>
      <c r="O25" s="410">
        <v>2033</v>
      </c>
      <c r="P25" s="410">
        <v>2034</v>
      </c>
      <c r="Q25" s="410">
        <v>2035</v>
      </c>
      <c r="R25" s="410">
        <v>2036</v>
      </c>
      <c r="S25" s="410">
        <v>2037</v>
      </c>
      <c r="T25" s="410">
        <v>2038</v>
      </c>
      <c r="U25" s="410">
        <v>2039</v>
      </c>
      <c r="V25" s="410">
        <v>2040</v>
      </c>
      <c r="W25" s="410">
        <v>2041</v>
      </c>
      <c r="X25" s="410">
        <v>2042</v>
      </c>
      <c r="Y25" s="410">
        <v>2043</v>
      </c>
      <c r="Z25" s="410">
        <v>2044</v>
      </c>
      <c r="AA25" s="410">
        <v>2045</v>
      </c>
      <c r="AB25" s="410">
        <v>2046</v>
      </c>
      <c r="AC25" s="547">
        <v>2047</v>
      </c>
      <c r="AD25" s="35"/>
      <c r="AE25" s="35"/>
      <c r="AF25" s="35"/>
      <c r="AG25" s="35"/>
      <c r="AH25" s="35"/>
      <c r="AI25" s="35"/>
      <c r="AJ25" s="35"/>
    </row>
    <row r="26" spans="1:36" ht="21.95" customHeight="1" x14ac:dyDescent="0.2">
      <c r="B26" s="277" t="s">
        <v>302</v>
      </c>
      <c r="C26" s="143" t="s">
        <v>505</v>
      </c>
      <c r="D26" s="278" cm="1">
        <f t="array" ref="D26:AC26">_xlfn.ANCHORARRAY(D13) * $C$8</f>
        <v>0</v>
      </c>
      <c r="E26" s="278">
        <v>0</v>
      </c>
      <c r="F26" s="278">
        <v>0</v>
      </c>
      <c r="G26" s="278">
        <v>0</v>
      </c>
      <c r="H26" s="278">
        <v>0</v>
      </c>
      <c r="I26" s="278">
        <v>0</v>
      </c>
      <c r="J26" s="275">
        <v>0</v>
      </c>
      <c r="K26" s="275">
        <v>10730.7</v>
      </c>
      <c r="L26" s="275">
        <v>2017384.2</v>
      </c>
      <c r="M26" s="275">
        <v>0</v>
      </c>
      <c r="N26" s="275">
        <v>0</v>
      </c>
      <c r="O26" s="275">
        <v>0</v>
      </c>
      <c r="P26" s="275">
        <v>10730.7</v>
      </c>
      <c r="Q26" s="275">
        <v>0</v>
      </c>
      <c r="R26" s="275">
        <v>0</v>
      </c>
      <c r="S26" s="275">
        <v>2017384.2</v>
      </c>
      <c r="T26" s="275">
        <v>0</v>
      </c>
      <c r="U26" s="275">
        <v>10730.7</v>
      </c>
      <c r="V26" s="275">
        <v>0</v>
      </c>
      <c r="W26" s="275">
        <v>0</v>
      </c>
      <c r="X26" s="275">
        <v>0</v>
      </c>
      <c r="Y26" s="275">
        <v>0</v>
      </c>
      <c r="Z26" s="275">
        <v>8037346.5</v>
      </c>
      <c r="AA26" s="275">
        <v>0</v>
      </c>
      <c r="AB26" s="275">
        <v>0</v>
      </c>
      <c r="AC26" s="276">
        <v>0</v>
      </c>
      <c r="AD26" s="27"/>
      <c r="AE26" s="27"/>
      <c r="AF26" s="27"/>
      <c r="AG26" s="27"/>
      <c r="AH26" s="27"/>
      <c r="AI26" s="23"/>
      <c r="AJ26" s="23"/>
    </row>
    <row r="27" spans="1:36" ht="21.95" customHeight="1" x14ac:dyDescent="0.2">
      <c r="B27" s="280"/>
      <c r="C27" s="152"/>
      <c r="D27" s="281"/>
      <c r="E27" s="281"/>
      <c r="F27" s="281"/>
      <c r="G27" s="281"/>
      <c r="H27" s="281"/>
      <c r="I27" s="281"/>
      <c r="J27" s="358"/>
      <c r="K27" s="358"/>
      <c r="L27" s="358"/>
      <c r="M27" s="358"/>
      <c r="N27" s="358"/>
      <c r="O27" s="358"/>
      <c r="P27" s="358"/>
      <c r="Q27" s="358"/>
      <c r="R27" s="358"/>
      <c r="S27" s="358"/>
      <c r="T27" s="358"/>
      <c r="U27" s="358"/>
      <c r="V27" s="358"/>
      <c r="W27" s="358"/>
      <c r="X27" s="358"/>
      <c r="Y27" s="358"/>
      <c r="Z27" s="358"/>
      <c r="AA27" s="358"/>
      <c r="AB27" s="358"/>
      <c r="AC27" s="638"/>
      <c r="AD27" s="162"/>
      <c r="AE27" s="162"/>
      <c r="AF27" s="162"/>
      <c r="AG27" s="162"/>
      <c r="AH27" s="162"/>
      <c r="AI27" s="109"/>
      <c r="AJ27" s="109"/>
    </row>
    <row r="28" spans="1:36" ht="21.95" customHeight="1" x14ac:dyDescent="0.2">
      <c r="B28" s="277" t="s">
        <v>303</v>
      </c>
      <c r="C28" s="143" t="s">
        <v>505</v>
      </c>
      <c r="D28" s="278" cm="1">
        <f t="array" ref="D28:AC28">_xlfn.ANCHORARRAY(D14) * $C$8</f>
        <v>0</v>
      </c>
      <c r="E28" s="278">
        <v>0</v>
      </c>
      <c r="F28" s="278">
        <v>0</v>
      </c>
      <c r="G28" s="278">
        <v>0</v>
      </c>
      <c r="H28" s="278">
        <v>0</v>
      </c>
      <c r="I28" s="278">
        <v>0</v>
      </c>
      <c r="J28" s="275">
        <v>0</v>
      </c>
      <c r="K28" s="275">
        <v>0</v>
      </c>
      <c r="L28" s="275">
        <v>0</v>
      </c>
      <c r="M28" s="275">
        <v>0</v>
      </c>
      <c r="N28" s="275">
        <v>429230.7</v>
      </c>
      <c r="O28" s="275">
        <v>0</v>
      </c>
      <c r="P28" s="275">
        <v>0</v>
      </c>
      <c r="Q28" s="275">
        <v>0</v>
      </c>
      <c r="R28" s="275">
        <v>0</v>
      </c>
      <c r="S28" s="275">
        <v>429230.7</v>
      </c>
      <c r="T28" s="275">
        <v>0</v>
      </c>
      <c r="U28" s="275">
        <v>0</v>
      </c>
      <c r="V28" s="275">
        <v>0</v>
      </c>
      <c r="W28" s="275">
        <v>0</v>
      </c>
      <c r="X28" s="275">
        <v>0</v>
      </c>
      <c r="Y28" s="275">
        <v>0</v>
      </c>
      <c r="Z28" s="275">
        <v>0</v>
      </c>
      <c r="AA28" s="275">
        <v>0</v>
      </c>
      <c r="AB28" s="275">
        <v>0</v>
      </c>
      <c r="AC28" s="276">
        <v>0</v>
      </c>
      <c r="AD28" s="27"/>
      <c r="AE28" s="27"/>
      <c r="AF28" s="27"/>
      <c r="AG28" s="27"/>
      <c r="AH28" s="27"/>
      <c r="AI28" s="23"/>
      <c r="AJ28" s="23"/>
    </row>
    <row r="29" spans="1:36" ht="21.95" customHeight="1" x14ac:dyDescent="0.2">
      <c r="B29" s="280"/>
      <c r="C29" s="152"/>
      <c r="D29" s="281"/>
      <c r="E29" s="281"/>
      <c r="F29" s="281"/>
      <c r="G29" s="281"/>
      <c r="H29" s="281"/>
      <c r="I29" s="281"/>
      <c r="J29" s="358"/>
      <c r="K29" s="358"/>
      <c r="L29" s="358"/>
      <c r="M29" s="358"/>
      <c r="N29" s="358"/>
      <c r="O29" s="358"/>
      <c r="P29" s="358"/>
      <c r="Q29" s="358"/>
      <c r="R29" s="358"/>
      <c r="S29" s="358"/>
      <c r="T29" s="358"/>
      <c r="U29" s="358"/>
      <c r="V29" s="358"/>
      <c r="W29" s="358"/>
      <c r="X29" s="358"/>
      <c r="Y29" s="358"/>
      <c r="Z29" s="358"/>
      <c r="AA29" s="358"/>
      <c r="AB29" s="358"/>
      <c r="AC29" s="638"/>
      <c r="AD29" s="162"/>
      <c r="AE29" s="162"/>
      <c r="AF29" s="162"/>
      <c r="AG29" s="162"/>
      <c r="AH29" s="162"/>
      <c r="AI29" s="109"/>
      <c r="AJ29" s="109"/>
    </row>
    <row r="30" spans="1:36" ht="21.95" customHeight="1" x14ac:dyDescent="0.2">
      <c r="B30" s="277" t="s">
        <v>317</v>
      </c>
      <c r="C30" s="143" t="s">
        <v>505</v>
      </c>
      <c r="D30" s="278" cm="1">
        <f t="array" ref="D30:AC30">_xlfn.ANCHORARRAY(D15) * $C$8</f>
        <v>229340.7</v>
      </c>
      <c r="E30" s="278">
        <v>229340.7</v>
      </c>
      <c r="F30" s="278">
        <v>229340.7</v>
      </c>
      <c r="G30" s="278">
        <v>229340.7</v>
      </c>
      <c r="H30" s="278">
        <v>229340.7</v>
      </c>
      <c r="I30" s="278">
        <v>229340.7</v>
      </c>
      <c r="J30" s="275">
        <v>229340.7</v>
      </c>
      <c r="K30" s="275">
        <v>229340.7</v>
      </c>
      <c r="L30" s="275">
        <v>229340.7</v>
      </c>
      <c r="M30" s="275">
        <v>229340.7</v>
      </c>
      <c r="N30" s="275">
        <v>229340.7</v>
      </c>
      <c r="O30" s="275">
        <v>229340.7</v>
      </c>
      <c r="P30" s="275">
        <v>229340.7</v>
      </c>
      <c r="Q30" s="275">
        <v>229340.7</v>
      </c>
      <c r="R30" s="275">
        <v>229340.7</v>
      </c>
      <c r="S30" s="275">
        <v>229340.7</v>
      </c>
      <c r="T30" s="275">
        <v>229340.7</v>
      </c>
      <c r="U30" s="275">
        <v>229340.7</v>
      </c>
      <c r="V30" s="275">
        <v>229340.7</v>
      </c>
      <c r="W30" s="275">
        <v>229340.7</v>
      </c>
      <c r="X30" s="275">
        <v>229340.7</v>
      </c>
      <c r="Y30" s="275">
        <v>229340.7</v>
      </c>
      <c r="Z30" s="275">
        <v>229340.7</v>
      </c>
      <c r="AA30" s="275">
        <v>229340.7</v>
      </c>
      <c r="AB30" s="275">
        <v>229340.7</v>
      </c>
      <c r="AC30" s="276">
        <v>229340.7</v>
      </c>
      <c r="AD30" s="27"/>
      <c r="AE30" s="27"/>
      <c r="AF30" s="27"/>
      <c r="AG30" s="27"/>
      <c r="AH30" s="27"/>
      <c r="AI30" s="23"/>
      <c r="AJ30" s="23"/>
    </row>
    <row r="31" spans="1:36" ht="21.95" customHeight="1" x14ac:dyDescent="0.2">
      <c r="B31" s="280"/>
      <c r="C31" s="152"/>
      <c r="D31" s="281"/>
      <c r="E31" s="281"/>
      <c r="F31" s="281"/>
      <c r="G31" s="281"/>
      <c r="H31" s="281"/>
      <c r="I31" s="281"/>
      <c r="J31" s="358"/>
      <c r="K31" s="358"/>
      <c r="L31" s="358"/>
      <c r="M31" s="358"/>
      <c r="N31" s="358"/>
      <c r="O31" s="358"/>
      <c r="P31" s="358"/>
      <c r="Q31" s="358"/>
      <c r="R31" s="358"/>
      <c r="S31" s="358"/>
      <c r="T31" s="358"/>
      <c r="U31" s="358"/>
      <c r="V31" s="358"/>
      <c r="W31" s="358"/>
      <c r="X31" s="358"/>
      <c r="Y31" s="358"/>
      <c r="Z31" s="358"/>
      <c r="AA31" s="358"/>
      <c r="AB31" s="358"/>
      <c r="AC31" s="638"/>
      <c r="AD31" s="162"/>
      <c r="AE31" s="162"/>
      <c r="AF31" s="162"/>
      <c r="AG31" s="162"/>
      <c r="AH31" s="162"/>
      <c r="AI31" s="109"/>
      <c r="AJ31" s="109"/>
    </row>
    <row r="32" spans="1:36" s="1" customFormat="1" ht="21.95" customHeight="1" x14ac:dyDescent="0.2">
      <c r="B32" s="273" t="s">
        <v>28</v>
      </c>
      <c r="C32" s="143" t="s">
        <v>505</v>
      </c>
      <c r="D32" s="282" cm="1">
        <f t="array" ref="D32:AC32">_xlfn.ANCHORARRAY(D26) +_xlfn.ANCHORARRAY( D28) +_xlfn.ANCHORARRAY( D30)</f>
        <v>229340.7</v>
      </c>
      <c r="E32" s="282">
        <v>229340.7</v>
      </c>
      <c r="F32" s="282">
        <v>229340.7</v>
      </c>
      <c r="G32" s="282">
        <v>229340.7</v>
      </c>
      <c r="H32" s="282">
        <v>229340.7</v>
      </c>
      <c r="I32" s="282">
        <v>229340.7</v>
      </c>
      <c r="J32" s="284">
        <v>229340.7</v>
      </c>
      <c r="K32" s="284">
        <v>240071.40000000002</v>
      </c>
      <c r="L32" s="284">
        <v>2246724.9</v>
      </c>
      <c r="M32" s="284">
        <v>229340.7</v>
      </c>
      <c r="N32" s="284">
        <v>658571.4</v>
      </c>
      <c r="O32" s="284">
        <v>229340.7</v>
      </c>
      <c r="P32" s="284">
        <v>240071.40000000002</v>
      </c>
      <c r="Q32" s="284">
        <v>229340.7</v>
      </c>
      <c r="R32" s="284">
        <v>229340.7</v>
      </c>
      <c r="S32" s="284">
        <v>2675955.6</v>
      </c>
      <c r="T32" s="284">
        <v>229340.7</v>
      </c>
      <c r="U32" s="284">
        <v>240071.40000000002</v>
      </c>
      <c r="V32" s="284">
        <v>229340.7</v>
      </c>
      <c r="W32" s="284">
        <v>229340.7</v>
      </c>
      <c r="X32" s="284">
        <v>229340.7</v>
      </c>
      <c r="Y32" s="284">
        <v>229340.7</v>
      </c>
      <c r="Z32" s="284">
        <v>8266687.2000000002</v>
      </c>
      <c r="AA32" s="284">
        <v>229340.7</v>
      </c>
      <c r="AB32" s="284">
        <v>229340.7</v>
      </c>
      <c r="AC32" s="298">
        <v>229340.7</v>
      </c>
      <c r="AD32" s="26"/>
      <c r="AE32" s="26"/>
      <c r="AF32" s="26"/>
      <c r="AG32" s="26"/>
      <c r="AH32" s="26"/>
      <c r="AI32" s="29"/>
      <c r="AJ32" s="29"/>
    </row>
    <row r="33" spans="1:36" s="1" customFormat="1" ht="21.95" customHeight="1" x14ac:dyDescent="0.2">
      <c r="B33" s="273"/>
      <c r="C33" s="154"/>
      <c r="D33" s="610"/>
      <c r="E33" s="610"/>
      <c r="F33" s="610"/>
      <c r="G33" s="610"/>
      <c r="H33" s="610"/>
      <c r="I33" s="610"/>
      <c r="J33" s="329"/>
      <c r="K33" s="329"/>
      <c r="L33" s="329"/>
      <c r="M33" s="329"/>
      <c r="N33" s="329"/>
      <c r="O33" s="329"/>
      <c r="P33" s="329"/>
      <c r="Q33" s="329"/>
      <c r="R33" s="329"/>
      <c r="S33" s="329"/>
      <c r="T33" s="329"/>
      <c r="U33" s="329"/>
      <c r="V33" s="329"/>
      <c r="W33" s="329"/>
      <c r="X33" s="329"/>
      <c r="Y33" s="329"/>
      <c r="Z33" s="329"/>
      <c r="AA33" s="329"/>
      <c r="AB33" s="329"/>
      <c r="AC33" s="330"/>
      <c r="AD33" s="112"/>
      <c r="AE33" s="112"/>
      <c r="AF33" s="112"/>
      <c r="AG33" s="112"/>
      <c r="AH33" s="112"/>
      <c r="AI33" s="131"/>
      <c r="AJ33" s="131"/>
    </row>
    <row r="34" spans="1:36" ht="21.95" customHeight="1" x14ac:dyDescent="0.2">
      <c r="B34" s="384"/>
      <c r="C34" s="331" t="s">
        <v>257</v>
      </c>
      <c r="D34" s="639" cm="1">
        <f t="array" ref="D34:AC34">_xlfn.ANCHORARRAY(D32)</f>
        <v>229340.7</v>
      </c>
      <c r="E34" s="639">
        <v>229340.7</v>
      </c>
      <c r="F34" s="639">
        <v>229340.7</v>
      </c>
      <c r="G34" s="639">
        <v>229340.7</v>
      </c>
      <c r="H34" s="639">
        <v>229340.7</v>
      </c>
      <c r="I34" s="639">
        <v>229340.7</v>
      </c>
      <c r="J34" s="332">
        <v>229340.7</v>
      </c>
      <c r="K34" s="332">
        <v>240071.40000000002</v>
      </c>
      <c r="L34" s="332">
        <v>2246724.9</v>
      </c>
      <c r="M34" s="332">
        <v>229340.7</v>
      </c>
      <c r="N34" s="332">
        <v>658571.4</v>
      </c>
      <c r="O34" s="332">
        <v>229340.7</v>
      </c>
      <c r="P34" s="332">
        <v>240071.40000000002</v>
      </c>
      <c r="Q34" s="332">
        <v>229340.7</v>
      </c>
      <c r="R34" s="332">
        <v>229340.7</v>
      </c>
      <c r="S34" s="332">
        <v>2675955.6</v>
      </c>
      <c r="T34" s="332">
        <v>229340.7</v>
      </c>
      <c r="U34" s="332">
        <v>240071.40000000002</v>
      </c>
      <c r="V34" s="332">
        <v>229340.7</v>
      </c>
      <c r="W34" s="332">
        <v>229340.7</v>
      </c>
      <c r="X34" s="332">
        <v>229340.7</v>
      </c>
      <c r="Y34" s="332">
        <v>229340.7</v>
      </c>
      <c r="Z34" s="332">
        <v>8266687.2000000002</v>
      </c>
      <c r="AA34" s="332">
        <v>229340.7</v>
      </c>
      <c r="AB34" s="332">
        <v>229340.7</v>
      </c>
      <c r="AC34" s="333">
        <v>229340.7</v>
      </c>
      <c r="AD34" s="112"/>
      <c r="AE34" s="112"/>
      <c r="AF34" s="112"/>
      <c r="AG34" s="112"/>
      <c r="AH34" s="112"/>
      <c r="AI34" s="131"/>
      <c r="AJ34" s="131"/>
    </row>
    <row r="36" spans="1:36" ht="21.95" customHeight="1" x14ac:dyDescent="0.2">
      <c r="AE36" s="155"/>
    </row>
    <row r="37" spans="1:36" ht="21.95" customHeight="1" x14ac:dyDescent="0.2">
      <c r="A37" s="619"/>
      <c r="B37" s="628" t="s">
        <v>10</v>
      </c>
    </row>
    <row r="38" spans="1:36" ht="21.95" customHeight="1" x14ac:dyDescent="0.2">
      <c r="B38" s="9"/>
      <c r="C38" s="9"/>
    </row>
    <row r="39" spans="1:36" ht="21.95" customHeight="1" x14ac:dyDescent="0.2">
      <c r="B39" s="411"/>
      <c r="C39" s="410"/>
      <c r="D39" s="410" cm="1">
        <f t="array" ref="D39:AC39">year</f>
        <v>2022</v>
      </c>
      <c r="E39" s="410">
        <v>2023</v>
      </c>
      <c r="F39" s="410">
        <v>2024</v>
      </c>
      <c r="G39" s="410">
        <v>2025</v>
      </c>
      <c r="H39" s="410">
        <v>2026</v>
      </c>
      <c r="I39" s="410">
        <v>2027</v>
      </c>
      <c r="J39" s="410">
        <v>2028</v>
      </c>
      <c r="K39" s="410">
        <v>2029</v>
      </c>
      <c r="L39" s="410">
        <v>2030</v>
      </c>
      <c r="M39" s="410">
        <v>2031</v>
      </c>
      <c r="N39" s="410">
        <v>2032</v>
      </c>
      <c r="O39" s="410">
        <v>2033</v>
      </c>
      <c r="P39" s="410">
        <v>2034</v>
      </c>
      <c r="Q39" s="410">
        <v>2035</v>
      </c>
      <c r="R39" s="410">
        <v>2036</v>
      </c>
      <c r="S39" s="410">
        <v>2037</v>
      </c>
      <c r="T39" s="410">
        <v>2038</v>
      </c>
      <c r="U39" s="410">
        <v>2039</v>
      </c>
      <c r="V39" s="410">
        <v>2040</v>
      </c>
      <c r="W39" s="410">
        <v>2041</v>
      </c>
      <c r="X39" s="410">
        <v>2042</v>
      </c>
      <c r="Y39" s="410">
        <v>2043</v>
      </c>
      <c r="Z39" s="410">
        <v>2044</v>
      </c>
      <c r="AA39" s="410">
        <v>2045</v>
      </c>
      <c r="AB39" s="410">
        <v>2046</v>
      </c>
      <c r="AC39" s="547">
        <v>2047</v>
      </c>
      <c r="AD39" s="35"/>
      <c r="AE39" s="35"/>
      <c r="AF39" s="35"/>
      <c r="AG39" s="35"/>
      <c r="AH39" s="35"/>
      <c r="AI39" s="35"/>
      <c r="AJ39" s="35"/>
    </row>
    <row r="40" spans="1:36" ht="21.95" customHeight="1" x14ac:dyDescent="0.2">
      <c r="B40" s="277" t="s">
        <v>302</v>
      </c>
      <c r="C40" s="143" t="s">
        <v>505</v>
      </c>
      <c r="D40" s="278" cm="1">
        <f t="array" ref="D40:AC40">_xlfn.ANCHORARRAY(D17) * $C$8</f>
        <v>0</v>
      </c>
      <c r="E40" s="278">
        <v>0</v>
      </c>
      <c r="F40" s="278">
        <v>0</v>
      </c>
      <c r="G40" s="278">
        <v>0</v>
      </c>
      <c r="H40" s="278">
        <v>0</v>
      </c>
      <c r="I40" s="278">
        <v>0</v>
      </c>
      <c r="J40" s="275">
        <v>0</v>
      </c>
      <c r="K40" s="275">
        <v>0</v>
      </c>
      <c r="L40" s="275">
        <v>0</v>
      </c>
      <c r="M40" s="275">
        <v>0</v>
      </c>
      <c r="N40" s="275">
        <v>53653.5</v>
      </c>
      <c r="O40" s="275">
        <v>0</v>
      </c>
      <c r="P40" s="275">
        <v>0</v>
      </c>
      <c r="Q40" s="275">
        <v>0</v>
      </c>
      <c r="R40" s="275">
        <v>0</v>
      </c>
      <c r="S40" s="275">
        <v>3058269.3000000003</v>
      </c>
      <c r="T40" s="275">
        <v>0</v>
      </c>
      <c r="U40" s="275">
        <v>0</v>
      </c>
      <c r="V40" s="275">
        <v>0</v>
      </c>
      <c r="W40" s="275">
        <v>0</v>
      </c>
      <c r="X40" s="275">
        <v>53653.5</v>
      </c>
      <c r="Y40" s="275">
        <v>0</v>
      </c>
      <c r="Z40" s="275">
        <v>6009230.7000000002</v>
      </c>
      <c r="AA40" s="275">
        <v>0</v>
      </c>
      <c r="AB40" s="275">
        <v>0</v>
      </c>
      <c r="AC40" s="276">
        <v>3058269.3000000003</v>
      </c>
      <c r="AD40" s="27"/>
      <c r="AE40" s="27"/>
      <c r="AF40" s="27"/>
      <c r="AG40" s="27"/>
      <c r="AH40" s="27"/>
      <c r="AI40" s="23"/>
      <c r="AJ40" s="23"/>
    </row>
    <row r="41" spans="1:36" ht="21.95" customHeight="1" x14ac:dyDescent="0.2">
      <c r="B41" s="280"/>
      <c r="C41" s="152"/>
      <c r="D41" s="281"/>
      <c r="E41" s="281"/>
      <c r="F41" s="281"/>
      <c r="G41" s="281"/>
      <c r="H41" s="281"/>
      <c r="I41" s="281"/>
      <c r="J41" s="358"/>
      <c r="K41" s="358"/>
      <c r="L41" s="358"/>
      <c r="M41" s="358"/>
      <c r="N41" s="358"/>
      <c r="O41" s="358"/>
      <c r="P41" s="358"/>
      <c r="Q41" s="358"/>
      <c r="R41" s="358"/>
      <c r="S41" s="358"/>
      <c r="T41" s="358"/>
      <c r="U41" s="358"/>
      <c r="V41" s="358"/>
      <c r="W41" s="358"/>
      <c r="X41" s="358"/>
      <c r="Y41" s="358"/>
      <c r="Z41" s="358"/>
      <c r="AA41" s="358"/>
      <c r="AB41" s="358"/>
      <c r="AC41" s="638"/>
      <c r="AD41" s="162"/>
      <c r="AE41" s="162"/>
      <c r="AF41" s="162"/>
      <c r="AG41" s="162"/>
      <c r="AH41" s="162"/>
      <c r="AI41" s="109"/>
      <c r="AJ41" s="109"/>
    </row>
    <row r="42" spans="1:36" ht="21.95" customHeight="1" x14ac:dyDescent="0.2">
      <c r="B42" s="277" t="s">
        <v>303</v>
      </c>
      <c r="C42" s="143" t="s">
        <v>505</v>
      </c>
      <c r="D42" s="278" cm="1">
        <f t="array" ref="D42:AC42">_xlfn.ANCHORARRAY(D18) * $C$8</f>
        <v>0</v>
      </c>
      <c r="E42" s="278">
        <v>0</v>
      </c>
      <c r="F42" s="278">
        <v>0</v>
      </c>
      <c r="G42" s="278">
        <v>0</v>
      </c>
      <c r="H42" s="278">
        <v>0</v>
      </c>
      <c r="I42" s="278">
        <v>0</v>
      </c>
      <c r="J42" s="275">
        <v>128769.3</v>
      </c>
      <c r="K42" s="275">
        <v>0</v>
      </c>
      <c r="L42" s="275">
        <v>0</v>
      </c>
      <c r="M42" s="275">
        <v>0</v>
      </c>
      <c r="N42" s="275">
        <v>0</v>
      </c>
      <c r="O42" s="275">
        <v>0</v>
      </c>
      <c r="P42" s="275">
        <v>0</v>
      </c>
      <c r="Q42" s="275">
        <v>0</v>
      </c>
      <c r="R42" s="275">
        <v>0</v>
      </c>
      <c r="S42" s="275">
        <v>0</v>
      </c>
      <c r="T42" s="275">
        <v>0</v>
      </c>
      <c r="U42" s="275">
        <v>0</v>
      </c>
      <c r="V42" s="275">
        <v>0</v>
      </c>
      <c r="W42" s="275">
        <v>0</v>
      </c>
      <c r="X42" s="275">
        <v>0</v>
      </c>
      <c r="Y42" s="275">
        <v>0</v>
      </c>
      <c r="Z42" s="275">
        <v>0</v>
      </c>
      <c r="AA42" s="275">
        <v>0</v>
      </c>
      <c r="AB42" s="275">
        <v>0</v>
      </c>
      <c r="AC42" s="276">
        <v>0</v>
      </c>
      <c r="AD42" s="27"/>
      <c r="AE42" s="27"/>
      <c r="AF42" s="27"/>
      <c r="AG42" s="27"/>
      <c r="AH42" s="27"/>
      <c r="AI42" s="23"/>
      <c r="AJ42" s="23"/>
    </row>
    <row r="43" spans="1:36" ht="21.95" customHeight="1" x14ac:dyDescent="0.2">
      <c r="B43" s="280"/>
      <c r="C43" s="152"/>
      <c r="D43" s="281"/>
      <c r="E43" s="281"/>
      <c r="F43" s="281"/>
      <c r="G43" s="281"/>
      <c r="H43" s="281"/>
      <c r="I43" s="281"/>
      <c r="J43" s="358"/>
      <c r="K43" s="358"/>
      <c r="L43" s="358"/>
      <c r="M43" s="358"/>
      <c r="N43" s="358"/>
      <c r="O43" s="358"/>
      <c r="P43" s="358"/>
      <c r="Q43" s="358"/>
      <c r="R43" s="358"/>
      <c r="S43" s="358"/>
      <c r="T43" s="358"/>
      <c r="U43" s="358"/>
      <c r="V43" s="358"/>
      <c r="W43" s="358"/>
      <c r="X43" s="358"/>
      <c r="Y43" s="358"/>
      <c r="Z43" s="358"/>
      <c r="AA43" s="358"/>
      <c r="AB43" s="358"/>
      <c r="AC43" s="638"/>
      <c r="AD43" s="162"/>
      <c r="AE43" s="162"/>
      <c r="AF43" s="162"/>
      <c r="AG43" s="162"/>
      <c r="AH43" s="162"/>
      <c r="AI43" s="109"/>
      <c r="AJ43" s="109"/>
    </row>
    <row r="44" spans="1:36" ht="21.95" customHeight="1" x14ac:dyDescent="0.2">
      <c r="B44" s="277" t="s">
        <v>317</v>
      </c>
      <c r="C44" s="143" t="s">
        <v>505</v>
      </c>
      <c r="D44" s="355" cm="1">
        <f t="array" ref="D44:AC44">_xlfn.ANCHORARRAY(D19) * $C$8</f>
        <v>244233</v>
      </c>
      <c r="E44" s="278">
        <v>244233</v>
      </c>
      <c r="F44" s="278">
        <v>244233</v>
      </c>
      <c r="G44" s="278">
        <v>244233</v>
      </c>
      <c r="H44" s="278">
        <v>244233</v>
      </c>
      <c r="I44" s="278">
        <v>244233</v>
      </c>
      <c r="J44" s="275">
        <v>244233</v>
      </c>
      <c r="K44" s="275">
        <v>244233</v>
      </c>
      <c r="L44" s="275">
        <v>244233</v>
      </c>
      <c r="M44" s="275">
        <v>244233</v>
      </c>
      <c r="N44" s="275">
        <v>244233</v>
      </c>
      <c r="O44" s="275">
        <v>244233</v>
      </c>
      <c r="P44" s="275">
        <v>244233</v>
      </c>
      <c r="Q44" s="275">
        <v>244233</v>
      </c>
      <c r="R44" s="275">
        <v>244233</v>
      </c>
      <c r="S44" s="275">
        <v>244233</v>
      </c>
      <c r="T44" s="275">
        <v>244233</v>
      </c>
      <c r="U44" s="275">
        <v>244233</v>
      </c>
      <c r="V44" s="275">
        <v>244233</v>
      </c>
      <c r="W44" s="275">
        <v>244233</v>
      </c>
      <c r="X44" s="275">
        <v>244233</v>
      </c>
      <c r="Y44" s="275">
        <v>244233</v>
      </c>
      <c r="Z44" s="275">
        <v>244233</v>
      </c>
      <c r="AA44" s="275">
        <v>244233</v>
      </c>
      <c r="AB44" s="275">
        <v>244233</v>
      </c>
      <c r="AC44" s="276">
        <v>244233</v>
      </c>
      <c r="AD44" s="27"/>
      <c r="AE44" s="27"/>
      <c r="AF44" s="27"/>
      <c r="AG44" s="27"/>
      <c r="AH44" s="27"/>
      <c r="AI44" s="23"/>
      <c r="AJ44" s="23"/>
    </row>
    <row r="45" spans="1:36" ht="21.95" customHeight="1" x14ac:dyDescent="0.2">
      <c r="B45" s="280"/>
      <c r="C45" s="152"/>
      <c r="D45" s="556"/>
      <c r="E45" s="281"/>
      <c r="F45" s="281"/>
      <c r="G45" s="281"/>
      <c r="H45" s="281"/>
      <c r="I45" s="281"/>
      <c r="J45" s="358"/>
      <c r="K45" s="358"/>
      <c r="L45" s="358"/>
      <c r="M45" s="358"/>
      <c r="N45" s="358"/>
      <c r="O45" s="358"/>
      <c r="P45" s="358"/>
      <c r="Q45" s="358"/>
      <c r="R45" s="358"/>
      <c r="S45" s="358"/>
      <c r="T45" s="358"/>
      <c r="U45" s="358"/>
      <c r="V45" s="358"/>
      <c r="W45" s="358"/>
      <c r="X45" s="358"/>
      <c r="Y45" s="358"/>
      <c r="Z45" s="358"/>
      <c r="AA45" s="358"/>
      <c r="AB45" s="358"/>
      <c r="AC45" s="638"/>
      <c r="AD45" s="162"/>
      <c r="AE45" s="162"/>
      <c r="AF45" s="162"/>
      <c r="AG45" s="162"/>
      <c r="AH45" s="162"/>
      <c r="AI45" s="109"/>
      <c r="AJ45" s="109"/>
    </row>
    <row r="46" spans="1:36" s="1" customFormat="1" ht="21.95" customHeight="1" x14ac:dyDescent="0.2">
      <c r="B46" s="273" t="s">
        <v>28</v>
      </c>
      <c r="C46" s="143" t="s">
        <v>505</v>
      </c>
      <c r="D46" s="282" cm="1">
        <f t="array" ref="D46:AC46">_xlfn.ANCHORARRAY(D40) +_xlfn.ANCHORARRAY( D42) +_xlfn.ANCHORARRAY( D44)</f>
        <v>244233</v>
      </c>
      <c r="E46" s="282">
        <v>244233</v>
      </c>
      <c r="F46" s="282">
        <v>244233</v>
      </c>
      <c r="G46" s="282">
        <v>244233</v>
      </c>
      <c r="H46" s="282">
        <v>244233</v>
      </c>
      <c r="I46" s="282">
        <v>244233</v>
      </c>
      <c r="J46" s="284">
        <v>373002.3</v>
      </c>
      <c r="K46" s="284">
        <v>244233</v>
      </c>
      <c r="L46" s="284">
        <v>244233</v>
      </c>
      <c r="M46" s="284">
        <v>244233</v>
      </c>
      <c r="N46" s="284">
        <v>297886.5</v>
      </c>
      <c r="O46" s="284">
        <v>244233</v>
      </c>
      <c r="P46" s="284">
        <v>244233</v>
      </c>
      <c r="Q46" s="284">
        <v>244233</v>
      </c>
      <c r="R46" s="284">
        <v>244233</v>
      </c>
      <c r="S46" s="284">
        <v>3302502.3000000003</v>
      </c>
      <c r="T46" s="284">
        <v>244233</v>
      </c>
      <c r="U46" s="284">
        <v>244233</v>
      </c>
      <c r="V46" s="284">
        <v>244233</v>
      </c>
      <c r="W46" s="284">
        <v>244233</v>
      </c>
      <c r="X46" s="284">
        <v>297886.5</v>
      </c>
      <c r="Y46" s="284">
        <v>244233</v>
      </c>
      <c r="Z46" s="284">
        <v>6253463.7000000002</v>
      </c>
      <c r="AA46" s="284">
        <v>244233</v>
      </c>
      <c r="AB46" s="284">
        <v>244233</v>
      </c>
      <c r="AC46" s="298">
        <v>3302502.3000000003</v>
      </c>
      <c r="AD46" s="26"/>
      <c r="AE46" s="26"/>
      <c r="AF46" s="26"/>
      <c r="AG46" s="26"/>
      <c r="AH46" s="26"/>
      <c r="AI46" s="29"/>
      <c r="AJ46" s="29"/>
    </row>
    <row r="47" spans="1:36" s="1" customFormat="1" ht="21.95" customHeight="1" x14ac:dyDescent="0.2">
      <c r="B47" s="273"/>
      <c r="C47" s="154"/>
      <c r="D47" s="610"/>
      <c r="E47" s="610"/>
      <c r="F47" s="610"/>
      <c r="G47" s="610"/>
      <c r="H47" s="610"/>
      <c r="I47" s="610"/>
      <c r="J47" s="329"/>
      <c r="K47" s="329"/>
      <c r="L47" s="329"/>
      <c r="M47" s="329"/>
      <c r="N47" s="329"/>
      <c r="O47" s="329"/>
      <c r="P47" s="329"/>
      <c r="Q47" s="329"/>
      <c r="R47" s="329"/>
      <c r="S47" s="329"/>
      <c r="T47" s="329"/>
      <c r="U47" s="329"/>
      <c r="V47" s="329"/>
      <c r="W47" s="329"/>
      <c r="X47" s="329"/>
      <c r="Y47" s="329"/>
      <c r="Z47" s="329"/>
      <c r="AA47" s="329"/>
      <c r="AB47" s="329"/>
      <c r="AC47" s="330"/>
      <c r="AD47" s="112"/>
      <c r="AE47" s="112"/>
      <c r="AF47" s="112"/>
      <c r="AG47" s="112"/>
      <c r="AH47" s="112"/>
      <c r="AI47" s="131"/>
      <c r="AJ47" s="131"/>
    </row>
    <row r="48" spans="1:36" ht="21.95" customHeight="1" x14ac:dyDescent="0.2">
      <c r="B48" s="384"/>
      <c r="C48" s="331" t="s">
        <v>257</v>
      </c>
      <c r="D48" s="639" cm="1">
        <f t="array" ref="D48:AC48">_xlfn.ANCHORARRAY(D46)</f>
        <v>244233</v>
      </c>
      <c r="E48" s="639">
        <v>244233</v>
      </c>
      <c r="F48" s="639">
        <v>244233</v>
      </c>
      <c r="G48" s="639">
        <v>244233</v>
      </c>
      <c r="H48" s="639">
        <v>244233</v>
      </c>
      <c r="I48" s="639">
        <v>244233</v>
      </c>
      <c r="J48" s="332">
        <v>373002.3</v>
      </c>
      <c r="K48" s="332">
        <v>244233</v>
      </c>
      <c r="L48" s="332">
        <v>244233</v>
      </c>
      <c r="M48" s="332">
        <v>244233</v>
      </c>
      <c r="N48" s="332">
        <v>297886.5</v>
      </c>
      <c r="O48" s="332">
        <v>244233</v>
      </c>
      <c r="P48" s="332">
        <v>244233</v>
      </c>
      <c r="Q48" s="332">
        <v>244233</v>
      </c>
      <c r="R48" s="332">
        <v>244233</v>
      </c>
      <c r="S48" s="332">
        <v>3302502.3000000003</v>
      </c>
      <c r="T48" s="332">
        <v>244233</v>
      </c>
      <c r="U48" s="332">
        <v>244233</v>
      </c>
      <c r="V48" s="332">
        <v>244233</v>
      </c>
      <c r="W48" s="332">
        <v>244233</v>
      </c>
      <c r="X48" s="332">
        <v>297886.5</v>
      </c>
      <c r="Y48" s="332">
        <v>244233</v>
      </c>
      <c r="Z48" s="332">
        <v>6253463.7000000002</v>
      </c>
      <c r="AA48" s="332">
        <v>244233</v>
      </c>
      <c r="AB48" s="332">
        <v>244233</v>
      </c>
      <c r="AC48" s="333">
        <v>3302502.3000000003</v>
      </c>
      <c r="AD48" s="112"/>
      <c r="AE48" s="112"/>
      <c r="AF48" s="112"/>
      <c r="AG48" s="112"/>
      <c r="AH48" s="112"/>
      <c r="AI48" s="131"/>
      <c r="AJ48" s="131"/>
    </row>
    <row r="49" spans="1:36" ht="21.95" customHeight="1" x14ac:dyDescent="0.2">
      <c r="D49"/>
      <c r="E49"/>
      <c r="F49"/>
    </row>
    <row r="50" spans="1:36" ht="21.95" customHeight="1" x14ac:dyDescent="0.2">
      <c r="D50"/>
      <c r="E50"/>
      <c r="F50"/>
    </row>
    <row r="51" spans="1:36" ht="21.95" customHeight="1" x14ac:dyDescent="0.2">
      <c r="A51" s="619"/>
      <c r="B51" s="628" t="s">
        <v>45</v>
      </c>
    </row>
    <row r="53" spans="1:36" ht="21.95" customHeight="1" x14ac:dyDescent="0.2">
      <c r="B53" s="411" t="s">
        <v>21</v>
      </c>
      <c r="C53" s="410" t="s">
        <v>186</v>
      </c>
      <c r="D53" s="410" cm="1">
        <f t="array" ref="D53:AC53">year</f>
        <v>2022</v>
      </c>
      <c r="E53" s="410">
        <v>2023</v>
      </c>
      <c r="F53" s="410">
        <v>2024</v>
      </c>
      <c r="G53" s="410">
        <v>2025</v>
      </c>
      <c r="H53" s="410">
        <v>2026</v>
      </c>
      <c r="I53" s="410">
        <v>2027</v>
      </c>
      <c r="J53" s="410">
        <v>2028</v>
      </c>
      <c r="K53" s="410">
        <v>2029</v>
      </c>
      <c r="L53" s="410">
        <v>2030</v>
      </c>
      <c r="M53" s="410">
        <v>2031</v>
      </c>
      <c r="N53" s="410">
        <v>2032</v>
      </c>
      <c r="O53" s="410">
        <v>2033</v>
      </c>
      <c r="P53" s="410">
        <v>2034</v>
      </c>
      <c r="Q53" s="410">
        <v>2035</v>
      </c>
      <c r="R53" s="410">
        <v>2036</v>
      </c>
      <c r="S53" s="410">
        <v>2037</v>
      </c>
      <c r="T53" s="410">
        <v>2038</v>
      </c>
      <c r="U53" s="410">
        <v>2039</v>
      </c>
      <c r="V53" s="410">
        <v>2040</v>
      </c>
      <c r="W53" s="410">
        <v>2041</v>
      </c>
      <c r="X53" s="410">
        <v>2042</v>
      </c>
      <c r="Y53" s="410">
        <v>2043</v>
      </c>
      <c r="Z53" s="410">
        <v>2044</v>
      </c>
      <c r="AA53" s="410">
        <v>2045</v>
      </c>
      <c r="AB53" s="410">
        <v>2046</v>
      </c>
      <c r="AC53" s="547">
        <v>2047</v>
      </c>
      <c r="AD53" s="35"/>
      <c r="AE53" s="35"/>
      <c r="AF53" s="35"/>
      <c r="AG53" s="35"/>
      <c r="AH53" s="35"/>
      <c r="AI53" s="35"/>
      <c r="AJ53" s="35"/>
    </row>
    <row r="54" spans="1:36" ht="21.95" customHeight="1" x14ac:dyDescent="0.2">
      <c r="B54" s="277" t="s">
        <v>505</v>
      </c>
      <c r="C54" s="328" cm="1">
        <f t="array" ref="C54">SUM(_xlfn.ANCHORARRAY(D54) * discountAnnual)</f>
        <v>840344.87871175271</v>
      </c>
      <c r="D54" s="328" cm="1">
        <f t="array" ref="D54:AC54">IF(year &gt; endYear,_xlfn.ANCHORARRAY( D32) -_xlfn.ANCHORARRAY( D46), 0)</f>
        <v>0</v>
      </c>
      <c r="E54" s="328">
        <v>0</v>
      </c>
      <c r="F54" s="328">
        <v>0</v>
      </c>
      <c r="G54" s="328">
        <v>0</v>
      </c>
      <c r="H54" s="328">
        <v>0</v>
      </c>
      <c r="I54" s="328">
        <v>0</v>
      </c>
      <c r="J54" s="335">
        <v>-143661.59999999998</v>
      </c>
      <c r="K54" s="335">
        <v>-4161.5999999999767</v>
      </c>
      <c r="L54" s="335">
        <v>2002491.9</v>
      </c>
      <c r="M54" s="335">
        <v>-14892.299999999988</v>
      </c>
      <c r="N54" s="335">
        <v>360684.9</v>
      </c>
      <c r="O54" s="335">
        <v>-14892.299999999988</v>
      </c>
      <c r="P54" s="335">
        <v>-4161.5999999999767</v>
      </c>
      <c r="Q54" s="335">
        <v>-14892.299999999988</v>
      </c>
      <c r="R54" s="335">
        <v>-14892.299999999988</v>
      </c>
      <c r="S54" s="335">
        <v>-626546.70000000019</v>
      </c>
      <c r="T54" s="335">
        <v>-14892.299999999988</v>
      </c>
      <c r="U54" s="335">
        <v>-4161.5999999999767</v>
      </c>
      <c r="V54" s="335">
        <v>-14892.299999999988</v>
      </c>
      <c r="W54" s="335">
        <v>-14892.299999999988</v>
      </c>
      <c r="X54" s="335">
        <v>-68545.799999999988</v>
      </c>
      <c r="Y54" s="335">
        <v>-14892.299999999988</v>
      </c>
      <c r="Z54" s="335">
        <v>2013223.5</v>
      </c>
      <c r="AA54" s="335">
        <v>-14892.299999999988</v>
      </c>
      <c r="AB54" s="335">
        <v>-14892.299999999988</v>
      </c>
      <c r="AC54" s="640">
        <v>-3073161.6</v>
      </c>
      <c r="AD54" s="44"/>
      <c r="AE54" s="44"/>
      <c r="AF54" s="44"/>
      <c r="AG54" s="44"/>
      <c r="AH54" s="44"/>
      <c r="AI54" s="164"/>
      <c r="AJ54" s="164"/>
    </row>
    <row r="55" spans="1:36" ht="21.95" customHeight="1" x14ac:dyDescent="0.2">
      <c r="B55" s="280"/>
      <c r="C55" s="641"/>
      <c r="D55" s="641"/>
      <c r="E55" s="641"/>
      <c r="F55" s="641"/>
      <c r="G55" s="641"/>
      <c r="H55" s="641"/>
      <c r="I55" s="641"/>
      <c r="J55" s="336"/>
      <c r="K55" s="336"/>
      <c r="L55" s="336"/>
      <c r="M55" s="336"/>
      <c r="N55" s="336"/>
      <c r="O55" s="336"/>
      <c r="P55" s="336"/>
      <c r="Q55" s="336"/>
      <c r="R55" s="336"/>
      <c r="S55" s="336"/>
      <c r="T55" s="336"/>
      <c r="U55" s="336"/>
      <c r="V55" s="336"/>
      <c r="W55" s="336"/>
      <c r="X55" s="336"/>
      <c r="Y55" s="336"/>
      <c r="Z55" s="336"/>
      <c r="AA55" s="336"/>
      <c r="AB55" s="336"/>
      <c r="AC55" s="642"/>
      <c r="AD55" s="137"/>
      <c r="AE55" s="137"/>
      <c r="AF55" s="137"/>
      <c r="AG55" s="137"/>
      <c r="AH55" s="137"/>
      <c r="AI55" s="165"/>
      <c r="AJ55" s="165"/>
    </row>
    <row r="56" spans="1:36" ht="21.95" customHeight="1" x14ac:dyDescent="0.2">
      <c r="B56" s="384" t="s">
        <v>28</v>
      </c>
      <c r="C56" s="639" cm="1">
        <f t="array" ref="C56">SUM(_xlfn.ANCHORARRAY(D56) *_xlfn.ANCHORARRAY( 'Results Summary'!F126))</f>
        <v>840344.87871175271</v>
      </c>
      <c r="D56" s="639" cm="1">
        <f t="array" ref="D56:AC56">_xlfn.ANCHORARRAY(D54)</f>
        <v>0</v>
      </c>
      <c r="E56" s="639">
        <v>0</v>
      </c>
      <c r="F56" s="639">
        <v>0</v>
      </c>
      <c r="G56" s="639">
        <v>0</v>
      </c>
      <c r="H56" s="639">
        <v>0</v>
      </c>
      <c r="I56" s="639">
        <v>0</v>
      </c>
      <c r="J56" s="332">
        <v>-143661.59999999998</v>
      </c>
      <c r="K56" s="332">
        <v>-4161.5999999999767</v>
      </c>
      <c r="L56" s="332">
        <v>2002491.9</v>
      </c>
      <c r="M56" s="332">
        <v>-14892.299999999988</v>
      </c>
      <c r="N56" s="332">
        <v>360684.9</v>
      </c>
      <c r="O56" s="332">
        <v>-14892.299999999988</v>
      </c>
      <c r="P56" s="332">
        <v>-4161.5999999999767</v>
      </c>
      <c r="Q56" s="332">
        <v>-14892.299999999988</v>
      </c>
      <c r="R56" s="332">
        <v>-14892.299999999988</v>
      </c>
      <c r="S56" s="332">
        <v>-626546.70000000019</v>
      </c>
      <c r="T56" s="332">
        <v>-14892.299999999988</v>
      </c>
      <c r="U56" s="332">
        <v>-4161.5999999999767</v>
      </c>
      <c r="V56" s="332">
        <v>-14892.299999999988</v>
      </c>
      <c r="W56" s="332">
        <v>-14892.299999999988</v>
      </c>
      <c r="X56" s="332">
        <v>-68545.799999999988</v>
      </c>
      <c r="Y56" s="332">
        <v>-14892.299999999988</v>
      </c>
      <c r="Z56" s="332">
        <v>2013223.5</v>
      </c>
      <c r="AA56" s="332">
        <v>-14892.299999999988</v>
      </c>
      <c r="AB56" s="332">
        <v>-14892.299999999988</v>
      </c>
      <c r="AC56" s="333">
        <v>-3073161.6</v>
      </c>
      <c r="AD56" s="112"/>
      <c r="AE56" s="112"/>
      <c r="AF56" s="112"/>
      <c r="AG56" s="112"/>
      <c r="AH56" s="112"/>
      <c r="AI56" s="131"/>
      <c r="AJ56" s="131"/>
    </row>
    <row r="61" spans="1:36" ht="21.95" customHeight="1" x14ac:dyDescent="0.2">
      <c r="F61" s="16"/>
    </row>
    <row r="62" spans="1:36" ht="21.95" customHeight="1" x14ac:dyDescent="0.2">
      <c r="F62" s="16"/>
    </row>
  </sheetData>
  <pageMargins left="0.7" right="0.7" top="0.75" bottom="0.75" header="0.3" footer="0.3"/>
  <pageSetup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FE09E-2CAA-419E-AF5B-56EC35ECE075}">
  <sheetPr codeName="Sheet12">
    <tabColor theme="9"/>
  </sheetPr>
  <dimension ref="A2:AD21"/>
  <sheetViews>
    <sheetView showGridLines="0" zoomScale="115" zoomScaleNormal="115" workbookViewId="0">
      <selection activeCell="G23" sqref="G23"/>
    </sheetView>
  </sheetViews>
  <sheetFormatPr defaultColWidth="11.625" defaultRowHeight="21.95" customHeight="1" x14ac:dyDescent="0.2"/>
  <cols>
    <col min="1" max="1" width="3.375" customWidth="1"/>
    <col min="2" max="2" width="29.75" customWidth="1"/>
    <col min="3" max="3" width="14.125" bestFit="1" customWidth="1"/>
    <col min="4" max="4" width="14.5" style="2" bestFit="1" customWidth="1"/>
    <col min="5" max="5" width="12.875" style="2" bestFit="1" customWidth="1"/>
    <col min="6" max="6" width="12.75" style="2" customWidth="1"/>
    <col min="7" max="7" width="17.875" style="2" bestFit="1" customWidth="1"/>
    <col min="8" max="8" width="12.75" style="2" customWidth="1"/>
    <col min="9" max="26" width="12.75" customWidth="1"/>
    <col min="27" max="27" width="12.875" bestFit="1" customWidth="1"/>
    <col min="28" max="35" width="12.75" customWidth="1"/>
    <col min="36" max="36" width="12.125" customWidth="1"/>
  </cols>
  <sheetData>
    <row r="2" spans="1:10" ht="23.25" x14ac:dyDescent="0.2">
      <c r="B2" s="10" t="s">
        <v>105</v>
      </c>
      <c r="C2" s="10"/>
    </row>
    <row r="4" spans="1:10" ht="21.95" customHeight="1" x14ac:dyDescent="0.2">
      <c r="A4" s="619"/>
      <c r="B4" s="628" t="s">
        <v>0</v>
      </c>
    </row>
    <row r="6" spans="1:10" ht="21.95" customHeight="1" x14ac:dyDescent="0.2">
      <c r="B6" s="369" t="s">
        <v>135</v>
      </c>
      <c r="G6" s="1" t="s">
        <v>293</v>
      </c>
    </row>
    <row r="7" spans="1:10" ht="21.95" customHeight="1" x14ac:dyDescent="0.2">
      <c r="B7" s="411"/>
      <c r="C7" s="410" t="s">
        <v>224</v>
      </c>
      <c r="D7" s="410" t="s">
        <v>227</v>
      </c>
      <c r="E7" s="547" t="s">
        <v>28</v>
      </c>
      <c r="G7" s="411"/>
      <c r="H7" s="410"/>
      <c r="I7" s="547" t="s">
        <v>295</v>
      </c>
    </row>
    <row r="8" spans="1:10" ht="21.95" customHeight="1" x14ac:dyDescent="0.2">
      <c r="B8" s="277" t="str" cm="1">
        <f t="array" ref="B8:B10">'Project Costs'!B34:B36</f>
        <v>SH-74 Interchange/Bridge</v>
      </c>
      <c r="C8" s="278" cm="1">
        <f t="array" ref="C8:C10">'Project Costs'!C34:C36</f>
        <v>10436400</v>
      </c>
      <c r="D8" s="278" cm="1">
        <f t="array" ref="D8:D10">'Project Costs'!F34:F36</f>
        <v>939276</v>
      </c>
      <c r="E8" s="279" cm="1">
        <f t="array" ref="E8:E10">_xlfn.ANCHORARRAY(C8) +_xlfn.ANCHORARRAY( D8)</f>
        <v>11375676</v>
      </c>
      <c r="F8"/>
      <c r="G8" s="277" t="s">
        <v>294</v>
      </c>
      <c r="H8" s="143"/>
      <c r="I8" s="295">
        <f>usefulLife</f>
        <v>50</v>
      </c>
    </row>
    <row r="9" spans="1:10" ht="21.95" customHeight="1" x14ac:dyDescent="0.2">
      <c r="B9" s="277" t="str">
        <v>I-35 South (Section) Widening</v>
      </c>
      <c r="C9" s="278">
        <v>16704557.1</v>
      </c>
      <c r="D9" s="278">
        <v>1503410.4000000001</v>
      </c>
      <c r="E9" s="279">
        <v>18207967.5</v>
      </c>
      <c r="F9"/>
      <c r="G9" s="290" t="s">
        <v>292</v>
      </c>
      <c r="H9" s="291"/>
      <c r="I9" s="314">
        <f>yearsOfBenefits</f>
        <v>20</v>
      </c>
    </row>
    <row r="10" spans="1:10" ht="21.95" customHeight="1" x14ac:dyDescent="0.2">
      <c r="B10" s="277" t="str">
        <v>I-35 North (Section) Widening</v>
      </c>
      <c r="C10" s="278">
        <v>30949952.400000002</v>
      </c>
      <c r="D10" s="278">
        <v>1146392.1000000001</v>
      </c>
      <c r="E10" s="279">
        <v>32096344.500000004</v>
      </c>
      <c r="I10" s="2"/>
      <c r="J10" s="2"/>
    </row>
    <row r="11" spans="1:10" ht="21.95" customHeight="1" x14ac:dyDescent="0.2">
      <c r="B11" s="280"/>
      <c r="C11" s="281"/>
      <c r="D11" s="281"/>
      <c r="E11" s="296"/>
    </row>
    <row r="12" spans="1:10" ht="21.95" customHeight="1" x14ac:dyDescent="0.2">
      <c r="B12" s="319" t="s">
        <v>28</v>
      </c>
      <c r="C12" s="643">
        <f>C8+C9+C10</f>
        <v>58090909.5</v>
      </c>
      <c r="D12" s="643">
        <f t="shared" ref="D12:E12" si="0">D8+D9+D10</f>
        <v>3589078.5000000005</v>
      </c>
      <c r="E12" s="644">
        <f t="shared" si="0"/>
        <v>61679988</v>
      </c>
    </row>
    <row r="13" spans="1:10" ht="21.95" customHeight="1" x14ac:dyDescent="0.2">
      <c r="B13" s="384"/>
      <c r="C13" s="639"/>
      <c r="D13" s="639"/>
      <c r="E13" s="645"/>
    </row>
    <row r="14" spans="1:10" ht="21.95" customHeight="1" x14ac:dyDescent="0.2">
      <c r="B14" s="1"/>
      <c r="C14" s="29"/>
      <c r="D14" s="29"/>
      <c r="E14" s="29"/>
    </row>
    <row r="16" spans="1:10" ht="21.95" customHeight="1" x14ac:dyDescent="0.2">
      <c r="A16" s="619"/>
      <c r="B16" s="628" t="s">
        <v>136</v>
      </c>
    </row>
    <row r="17" spans="2:30" ht="21.95" customHeight="1" x14ac:dyDescent="0.2">
      <c r="B17" s="9"/>
      <c r="C17" s="9"/>
    </row>
    <row r="18" spans="2:30" ht="21.95" customHeight="1" x14ac:dyDescent="0.2">
      <c r="B18" s="346"/>
      <c r="C18" s="347"/>
      <c r="D18" s="347" t="s">
        <v>186</v>
      </c>
      <c r="E18" s="347" cm="1">
        <f t="array" ref="E18:AD18">year</f>
        <v>2022</v>
      </c>
      <c r="F18" s="347">
        <v>2023</v>
      </c>
      <c r="G18" s="347">
        <v>2024</v>
      </c>
      <c r="H18" s="347">
        <v>2025</v>
      </c>
      <c r="I18" s="347">
        <v>2026</v>
      </c>
      <c r="J18" s="347">
        <v>2027</v>
      </c>
      <c r="K18" s="347">
        <v>2028</v>
      </c>
      <c r="L18" s="347">
        <v>2029</v>
      </c>
      <c r="M18" s="347">
        <v>2030</v>
      </c>
      <c r="N18" s="347">
        <v>2031</v>
      </c>
      <c r="O18" s="347">
        <v>2032</v>
      </c>
      <c r="P18" s="347">
        <v>2033</v>
      </c>
      <c r="Q18" s="347">
        <v>2034</v>
      </c>
      <c r="R18" s="347">
        <v>2035</v>
      </c>
      <c r="S18" s="347">
        <v>2036</v>
      </c>
      <c r="T18" s="347">
        <v>2037</v>
      </c>
      <c r="U18" s="347">
        <v>2038</v>
      </c>
      <c r="V18" s="347">
        <v>2039</v>
      </c>
      <c r="W18" s="347">
        <v>2040</v>
      </c>
      <c r="X18" s="347">
        <v>2041</v>
      </c>
      <c r="Y18" s="347">
        <v>2042</v>
      </c>
      <c r="Z18" s="347">
        <v>2043</v>
      </c>
      <c r="AA18" s="347">
        <v>2044</v>
      </c>
      <c r="AB18" s="347">
        <v>2045</v>
      </c>
      <c r="AC18" s="347">
        <v>2046</v>
      </c>
      <c r="AD18" s="348">
        <v>2047</v>
      </c>
    </row>
    <row r="19" spans="2:30" ht="21.95" customHeight="1" x14ac:dyDescent="0.2">
      <c r="B19" s="273" t="s">
        <v>105</v>
      </c>
      <c r="C19" s="143" t="s">
        <v>505</v>
      </c>
      <c r="D19" s="647" cm="1">
        <f t="array" ref="D19">SUM(_xlfn.ANCHORARRAY(E19) * discountAnnual)</f>
        <v>7083206.1398240654</v>
      </c>
      <c r="E19" s="647" cm="1">
        <f t="array" ref="E19:AD19">IF(year = MAX(year), (C12 * ($I$8 - $I$9) / $I$8) + D12, 0)</f>
        <v>0</v>
      </c>
      <c r="F19" s="647">
        <v>0</v>
      </c>
      <c r="G19" s="647">
        <v>0</v>
      </c>
      <c r="H19" s="647">
        <v>0</v>
      </c>
      <c r="I19" s="647">
        <v>0</v>
      </c>
      <c r="J19" s="647">
        <v>0</v>
      </c>
      <c r="K19" s="647">
        <v>0</v>
      </c>
      <c r="L19" s="647">
        <v>0</v>
      </c>
      <c r="M19" s="647">
        <v>0</v>
      </c>
      <c r="N19" s="647">
        <v>0</v>
      </c>
      <c r="O19" s="647">
        <v>0</v>
      </c>
      <c r="P19" s="647">
        <v>0</v>
      </c>
      <c r="Q19" s="647">
        <v>0</v>
      </c>
      <c r="R19" s="647">
        <v>0</v>
      </c>
      <c r="S19" s="647">
        <v>0</v>
      </c>
      <c r="T19" s="647">
        <v>0</v>
      </c>
      <c r="U19" s="647">
        <v>0</v>
      </c>
      <c r="V19" s="647">
        <v>0</v>
      </c>
      <c r="W19" s="647">
        <v>0</v>
      </c>
      <c r="X19" s="647">
        <v>0</v>
      </c>
      <c r="Y19" s="647">
        <v>0</v>
      </c>
      <c r="Z19" s="647">
        <v>0</v>
      </c>
      <c r="AA19" s="647">
        <v>0</v>
      </c>
      <c r="AB19" s="647">
        <v>0</v>
      </c>
      <c r="AC19" s="647">
        <v>0</v>
      </c>
      <c r="AD19" s="648">
        <v>38443624.200000003</v>
      </c>
    </row>
    <row r="20" spans="2:30" ht="21.95" customHeight="1" x14ac:dyDescent="0.2">
      <c r="B20" s="277"/>
      <c r="C20" s="152"/>
      <c r="D20" s="281"/>
      <c r="E20" s="646"/>
      <c r="F20" s="646"/>
      <c r="G20" s="646"/>
      <c r="H20" s="646"/>
      <c r="I20" s="646"/>
      <c r="J20" s="646"/>
      <c r="K20" s="646"/>
      <c r="L20" s="646"/>
      <c r="M20" s="646"/>
      <c r="N20" s="646"/>
      <c r="O20" s="646"/>
      <c r="P20" s="646"/>
      <c r="Q20" s="646"/>
      <c r="R20" s="646"/>
      <c r="S20" s="646"/>
      <c r="T20" s="646"/>
      <c r="U20" s="646"/>
      <c r="V20" s="646"/>
      <c r="W20" s="646"/>
      <c r="X20" s="646"/>
      <c r="Y20" s="646"/>
      <c r="Z20" s="646"/>
      <c r="AA20" s="646"/>
      <c r="AB20" s="646"/>
      <c r="AC20" s="646"/>
      <c r="AD20" s="649"/>
    </row>
    <row r="21" spans="2:30" ht="21.95" customHeight="1" x14ac:dyDescent="0.2">
      <c r="B21" s="290"/>
      <c r="C21" s="534" t="s">
        <v>28</v>
      </c>
      <c r="D21" s="577" cm="1">
        <f t="array" ref="D21">SUM(_xlfn.ANCHORARRAY(E21) * discountAnnual)</f>
        <v>7083206.1398240654</v>
      </c>
      <c r="E21" s="650" cm="1">
        <f t="array" ref="E21:AD21">_xlfn.ANCHORARRAY(E19)</f>
        <v>0</v>
      </c>
      <c r="F21" s="650">
        <v>0</v>
      </c>
      <c r="G21" s="650">
        <v>0</v>
      </c>
      <c r="H21" s="650">
        <v>0</v>
      </c>
      <c r="I21" s="650">
        <v>0</v>
      </c>
      <c r="J21" s="650">
        <v>0</v>
      </c>
      <c r="K21" s="650">
        <v>0</v>
      </c>
      <c r="L21" s="650">
        <v>0</v>
      </c>
      <c r="M21" s="650">
        <v>0</v>
      </c>
      <c r="N21" s="650">
        <v>0</v>
      </c>
      <c r="O21" s="650">
        <v>0</v>
      </c>
      <c r="P21" s="650">
        <v>0</v>
      </c>
      <c r="Q21" s="650">
        <v>0</v>
      </c>
      <c r="R21" s="650">
        <v>0</v>
      </c>
      <c r="S21" s="650">
        <v>0</v>
      </c>
      <c r="T21" s="650">
        <v>0</v>
      </c>
      <c r="U21" s="650">
        <v>0</v>
      </c>
      <c r="V21" s="650">
        <v>0</v>
      </c>
      <c r="W21" s="650">
        <v>0</v>
      </c>
      <c r="X21" s="650">
        <v>0</v>
      </c>
      <c r="Y21" s="650">
        <v>0</v>
      </c>
      <c r="Z21" s="650">
        <v>0</v>
      </c>
      <c r="AA21" s="650">
        <v>0</v>
      </c>
      <c r="AB21" s="650">
        <v>0</v>
      </c>
      <c r="AC21" s="650">
        <v>0</v>
      </c>
      <c r="AD21" s="651">
        <v>38443624.200000003</v>
      </c>
    </row>
  </sheetData>
  <pageMargins left="0.7" right="0.7" top="0.75" bottom="0.75" header="0.3" footer="0.3"/>
  <pageSetup orientation="portrait" horizontalDpi="90" verticalDpi="9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A48B7-B7A4-4A8B-AE41-0047E8CA06D8}">
  <sheetPr>
    <tabColor theme="9"/>
  </sheetPr>
  <dimension ref="A2:AA56"/>
  <sheetViews>
    <sheetView showGridLines="0" zoomScale="90" zoomScaleNormal="90" workbookViewId="0">
      <selection activeCell="B16" sqref="B16"/>
    </sheetView>
  </sheetViews>
  <sheetFormatPr defaultColWidth="10.625" defaultRowHeight="21.95" customHeight="1" x14ac:dyDescent="0.2"/>
  <cols>
    <col min="1" max="1" width="3.375" customWidth="1"/>
    <col min="2" max="2" width="29.625" customWidth="1"/>
    <col min="3" max="3" width="23.125" style="2" customWidth="1"/>
    <col min="4" max="4" width="14.125" style="28" bestFit="1" customWidth="1"/>
    <col min="5" max="7" width="13.75" style="28" customWidth="1"/>
    <col min="8" max="8" width="13.75" style="12" customWidth="1"/>
    <col min="9" max="9" width="14.5" style="12" customWidth="1"/>
    <col min="10" max="10" width="13.75" style="12" customWidth="1"/>
    <col min="11" max="11" width="14.125" style="12" customWidth="1"/>
    <col min="12" max="12" width="13.375" style="12" customWidth="1"/>
    <col min="13" max="13" width="12.375" style="12" bestFit="1" customWidth="1"/>
    <col min="14" max="18" width="12.25" style="12" customWidth="1"/>
    <col min="19" max="19" width="15.25" style="12" customWidth="1"/>
    <col min="20" max="20" width="16.25" style="12" customWidth="1"/>
    <col min="21" max="27" width="12.25" style="12" customWidth="1"/>
    <col min="28" max="38" width="12.25" customWidth="1"/>
  </cols>
  <sheetData>
    <row r="2" spans="1:27" ht="23.25" x14ac:dyDescent="0.2">
      <c r="B2" s="652" t="s">
        <v>135</v>
      </c>
      <c r="C2"/>
    </row>
    <row r="4" spans="1:27" ht="21.95" customHeight="1" x14ac:dyDescent="0.2">
      <c r="A4" s="619"/>
      <c r="B4" s="628" t="s">
        <v>0</v>
      </c>
    </row>
    <row r="5" spans="1:27" ht="21.95" customHeight="1" x14ac:dyDescent="0.2">
      <c r="C5"/>
    </row>
    <row r="6" spans="1:27" ht="21.95" customHeight="1" x14ac:dyDescent="0.2">
      <c r="B6" s="349" t="s">
        <v>594</v>
      </c>
      <c r="D6" s="2"/>
    </row>
    <row r="7" spans="1:27" ht="45" x14ac:dyDescent="0.2">
      <c r="B7" s="411" t="s">
        <v>74</v>
      </c>
      <c r="C7" s="410" t="s">
        <v>224</v>
      </c>
      <c r="D7" s="665" t="s">
        <v>291</v>
      </c>
      <c r="E7" s="665" t="s">
        <v>598</v>
      </c>
      <c r="F7" s="665" t="s">
        <v>226</v>
      </c>
      <c r="G7" s="665" t="s">
        <v>611</v>
      </c>
      <c r="H7" s="586" t="s">
        <v>235</v>
      </c>
      <c r="I7" s="586" t="s">
        <v>236</v>
      </c>
      <c r="J7" s="348" t="s">
        <v>114</v>
      </c>
    </row>
    <row r="8" spans="1:27" ht="21.95" customHeight="1" x14ac:dyDescent="0.2">
      <c r="B8" s="277" t="s">
        <v>638</v>
      </c>
      <c r="C8" s="278">
        <f>'Project Cost Data'!D11</f>
        <v>11596000</v>
      </c>
      <c r="D8" s="278">
        <f>'Project Cost Data'!E11</f>
        <v>695760</v>
      </c>
      <c r="E8" s="278">
        <f>'Project Cost Data'!F11</f>
        <v>1739400</v>
      </c>
      <c r="F8" s="278">
        <f>'Project Cost Data'!G11</f>
        <v>1043640</v>
      </c>
      <c r="G8" s="278">
        <f>'Project Cost Data'!H11</f>
        <v>1906300</v>
      </c>
      <c r="H8" s="278">
        <f>SUM(C8:E8)</f>
        <v>14031160</v>
      </c>
      <c r="I8" s="278">
        <f>SUM(F8:G8)</f>
        <v>2949940</v>
      </c>
      <c r="J8" s="279">
        <f>I8+H8</f>
        <v>16981100</v>
      </c>
    </row>
    <row r="9" spans="1:27" ht="21.95" customHeight="1" x14ac:dyDescent="0.2">
      <c r="B9" s="277" t="s">
        <v>640</v>
      </c>
      <c r="C9" s="278">
        <f>'Project Cost Data'!D12</f>
        <v>18560619</v>
      </c>
      <c r="D9" s="278">
        <f>'Project Cost Data'!E12</f>
        <v>1113637</v>
      </c>
      <c r="E9" s="278">
        <f>'Project Cost Data'!F12</f>
        <v>2784093</v>
      </c>
      <c r="F9" s="278">
        <f>'Project Cost Data'!G12</f>
        <v>1670456</v>
      </c>
      <c r="G9" s="278">
        <f>'Project Cost Data'!H12</f>
        <v>200000</v>
      </c>
      <c r="H9" s="278">
        <f>SUM(C9:E9)</f>
        <v>22458349</v>
      </c>
      <c r="I9" s="278">
        <f>SUM(F9:G9)</f>
        <v>1870456</v>
      </c>
      <c r="J9" s="279">
        <f>I9+H9</f>
        <v>24328805</v>
      </c>
    </row>
    <row r="10" spans="1:27" ht="21.95" customHeight="1" x14ac:dyDescent="0.2">
      <c r="B10" s="277" t="s">
        <v>639</v>
      </c>
      <c r="C10" s="278">
        <f>'Project Cost Data'!D13</f>
        <v>34388836</v>
      </c>
      <c r="D10" s="278">
        <f>'Project Cost Data'!E13</f>
        <v>2063330</v>
      </c>
      <c r="E10" s="278">
        <f>'Project Cost Data'!F13</f>
        <v>5158325</v>
      </c>
      <c r="F10" s="278">
        <f>'Project Cost Data'!G13</f>
        <v>1273769</v>
      </c>
      <c r="G10" s="278">
        <f>'Project Cost Data'!H13</f>
        <v>500000</v>
      </c>
      <c r="H10" s="278">
        <f>SUM(C10:E10)</f>
        <v>41610491</v>
      </c>
      <c r="I10" s="278">
        <f>SUM(F10:G10)</f>
        <v>1773769</v>
      </c>
      <c r="J10" s="279">
        <f t="shared" ref="J10" si="0">I10+H10</f>
        <v>43384260</v>
      </c>
    </row>
    <row r="11" spans="1:27" ht="21.95" customHeight="1" x14ac:dyDescent="0.2">
      <c r="B11" s="557"/>
      <c r="C11" s="281"/>
      <c r="D11" s="281"/>
      <c r="E11" s="281"/>
      <c r="F11" s="281"/>
      <c r="G11" s="281"/>
      <c r="H11" s="278"/>
      <c r="I11" s="281"/>
      <c r="J11" s="296"/>
    </row>
    <row r="12" spans="1:27" ht="21.95" customHeight="1" x14ac:dyDescent="0.2">
      <c r="B12" s="653" t="s">
        <v>28</v>
      </c>
      <c r="C12" s="577">
        <f>SUM(C8:C11)</f>
        <v>64545455</v>
      </c>
      <c r="D12" s="577">
        <f t="shared" ref="D12" si="1">SUM(D8:D11)</f>
        <v>3872727</v>
      </c>
      <c r="E12" s="577">
        <f t="shared" ref="E12" si="2">SUM(E8:E11)</f>
        <v>9681818</v>
      </c>
      <c r="F12" s="577">
        <f t="shared" ref="F12" si="3">SUM(F8:F11)</f>
        <v>3987865</v>
      </c>
      <c r="G12" s="577">
        <f t="shared" ref="G12" si="4">SUM(G8:G11)</f>
        <v>2606300</v>
      </c>
      <c r="H12" s="657">
        <f t="shared" ref="H12" si="5">SUM(H8:H11)</f>
        <v>78100000</v>
      </c>
      <c r="I12" s="577">
        <f t="shared" ref="I12" si="6">SUM(I8:I11)</f>
        <v>6594165</v>
      </c>
      <c r="J12" s="578">
        <f t="shared" ref="J12" si="7">SUM(J8:J11)</f>
        <v>84694165</v>
      </c>
    </row>
    <row r="13" spans="1:27" ht="21.95" customHeight="1" x14ac:dyDescent="0.2">
      <c r="B13" s="174" t="s">
        <v>230</v>
      </c>
      <c r="C13"/>
    </row>
    <row r="14" spans="1:27" ht="21.95" customHeight="1" x14ac:dyDescent="0.2">
      <c r="B14" s="117" t="s">
        <v>612</v>
      </c>
      <c r="C14"/>
    </row>
    <row r="15" spans="1:27" ht="21.95" customHeight="1" x14ac:dyDescent="0.2">
      <c r="A15" s="14"/>
      <c r="B15" s="15"/>
      <c r="C15" s="116"/>
    </row>
    <row r="16" spans="1:27" ht="21.95" customHeight="1" x14ac:dyDescent="0.2">
      <c r="B16" s="12"/>
      <c r="C16" s="28"/>
      <c r="Q16"/>
      <c r="R16"/>
      <c r="S16"/>
      <c r="T16"/>
      <c r="U16"/>
      <c r="V16"/>
      <c r="W16"/>
      <c r="X16"/>
      <c r="Y16"/>
      <c r="Z16"/>
      <c r="AA16"/>
    </row>
    <row r="17" spans="1:27" ht="21.95" customHeight="1" x14ac:dyDescent="0.2">
      <c r="B17" s="349" t="s">
        <v>232</v>
      </c>
    </row>
    <row r="18" spans="1:27" ht="21.95" customHeight="1" x14ac:dyDescent="0.2">
      <c r="B18" s="411" t="s">
        <v>113</v>
      </c>
      <c r="C18" s="410" t="s">
        <v>74</v>
      </c>
      <c r="D18" s="347">
        <v>2021</v>
      </c>
      <c r="E18" s="347">
        <f t="shared" ref="E18:J18" si="8">D18+1</f>
        <v>2022</v>
      </c>
      <c r="F18" s="347">
        <f t="shared" si="8"/>
        <v>2023</v>
      </c>
      <c r="G18" s="347">
        <f t="shared" si="8"/>
        <v>2024</v>
      </c>
      <c r="H18" s="347">
        <f t="shared" si="8"/>
        <v>2025</v>
      </c>
      <c r="I18" s="347">
        <f t="shared" si="8"/>
        <v>2026</v>
      </c>
      <c r="J18" s="348">
        <f t="shared" si="8"/>
        <v>2027</v>
      </c>
      <c r="K18" s="238"/>
    </row>
    <row r="19" spans="1:27" ht="21.95" customHeight="1" x14ac:dyDescent="0.2">
      <c r="B19" s="277" t="s">
        <v>229</v>
      </c>
      <c r="C19" s="277" t="s">
        <v>638</v>
      </c>
      <c r="D19" s="143"/>
      <c r="E19" s="354"/>
      <c r="F19" s="354">
        <v>0.3</v>
      </c>
      <c r="G19" s="354">
        <v>0.7</v>
      </c>
      <c r="H19" s="354"/>
      <c r="I19" s="365"/>
      <c r="J19" s="565"/>
    </row>
    <row r="20" spans="1:27" ht="21.95" customHeight="1" x14ac:dyDescent="0.2">
      <c r="B20" s="277"/>
      <c r="C20" s="277" t="s">
        <v>640</v>
      </c>
      <c r="D20" s="143"/>
      <c r="E20" s="354"/>
      <c r="F20" s="354">
        <v>0.3</v>
      </c>
      <c r="G20" s="354">
        <v>0.7</v>
      </c>
      <c r="H20" s="354"/>
      <c r="I20" s="365"/>
      <c r="J20" s="565"/>
    </row>
    <row r="21" spans="1:27" ht="21.95" customHeight="1" x14ac:dyDescent="0.2">
      <c r="B21" s="277"/>
      <c r="C21" s="277" t="s">
        <v>639</v>
      </c>
      <c r="D21" s="143"/>
      <c r="E21" s="354">
        <v>0.15</v>
      </c>
      <c r="F21" s="354">
        <v>0.55000000000000004</v>
      </c>
      <c r="G21" s="354">
        <v>0.3</v>
      </c>
      <c r="H21" s="354"/>
      <c r="I21" s="365"/>
      <c r="J21" s="565"/>
    </row>
    <row r="22" spans="1:27" ht="21.95" customHeight="1" x14ac:dyDescent="0.2">
      <c r="B22" s="557"/>
      <c r="C22" s="353"/>
      <c r="D22" s="152"/>
      <c r="E22" s="350"/>
      <c r="F22" s="350"/>
      <c r="G22" s="350"/>
      <c r="H22" s="350"/>
      <c r="I22" s="353"/>
      <c r="J22" s="654"/>
    </row>
    <row r="23" spans="1:27" ht="21.95" customHeight="1" x14ac:dyDescent="0.2">
      <c r="B23" s="277" t="s">
        <v>233</v>
      </c>
      <c r="C23" s="277" t="s">
        <v>638</v>
      </c>
      <c r="D23" s="143"/>
      <c r="E23" s="354"/>
      <c r="F23" s="354"/>
      <c r="G23" s="354"/>
      <c r="H23" s="354">
        <f>1/3</f>
        <v>0.33333333333333331</v>
      </c>
      <c r="I23" s="354">
        <f t="shared" ref="I23:J25" si="9">1/3</f>
        <v>0.33333333333333331</v>
      </c>
      <c r="J23" s="565">
        <f t="shared" si="9"/>
        <v>0.33333333333333331</v>
      </c>
    </row>
    <row r="24" spans="1:27" ht="21.95" customHeight="1" x14ac:dyDescent="0.2">
      <c r="B24" s="277"/>
      <c r="C24" s="277" t="s">
        <v>640</v>
      </c>
      <c r="D24" s="143"/>
      <c r="E24" s="354"/>
      <c r="F24" s="354"/>
      <c r="G24" s="354"/>
      <c r="H24" s="354">
        <f t="shared" ref="H24:H25" si="10">1/3</f>
        <v>0.33333333333333331</v>
      </c>
      <c r="I24" s="354">
        <f t="shared" si="9"/>
        <v>0.33333333333333331</v>
      </c>
      <c r="J24" s="565">
        <f t="shared" si="9"/>
        <v>0.33333333333333331</v>
      </c>
    </row>
    <row r="25" spans="1:27" ht="21.95" customHeight="1" x14ac:dyDescent="0.2">
      <c r="B25" s="277"/>
      <c r="C25" s="277" t="s">
        <v>639</v>
      </c>
      <c r="D25" s="143"/>
      <c r="E25" s="354"/>
      <c r="F25" s="354"/>
      <c r="G25" s="354"/>
      <c r="H25" s="354">
        <f t="shared" si="10"/>
        <v>0.33333333333333331</v>
      </c>
      <c r="I25" s="354">
        <f t="shared" si="9"/>
        <v>0.33333333333333331</v>
      </c>
      <c r="J25" s="565">
        <f t="shared" si="9"/>
        <v>0.33333333333333331</v>
      </c>
    </row>
    <row r="26" spans="1:27" ht="21.95" customHeight="1" x14ac:dyDescent="0.2">
      <c r="B26" s="290"/>
      <c r="C26" s="519"/>
      <c r="D26" s="291"/>
      <c r="E26" s="655"/>
      <c r="F26" s="655"/>
      <c r="G26" s="655"/>
      <c r="H26" s="655"/>
      <c r="I26" s="655"/>
      <c r="J26" s="566"/>
    </row>
    <row r="27" spans="1:27" ht="21.95" customHeight="1" x14ac:dyDescent="0.2">
      <c r="B27" s="724" t="s">
        <v>234</v>
      </c>
      <c r="H27"/>
      <c r="I27" s="28"/>
    </row>
    <row r="30" spans="1:27" ht="21.95" customHeight="1" x14ac:dyDescent="0.2">
      <c r="A30" s="619"/>
      <c r="B30" s="628" t="s">
        <v>136</v>
      </c>
    </row>
    <row r="32" spans="1:27" ht="21.95" customHeight="1" x14ac:dyDescent="0.2">
      <c r="A32" s="14"/>
      <c r="B32" s="656" t="s">
        <v>599</v>
      </c>
      <c r="D32" s="2"/>
      <c r="Q32"/>
      <c r="R32"/>
      <c r="S32"/>
      <c r="T32"/>
      <c r="U32"/>
      <c r="V32"/>
      <c r="W32"/>
      <c r="X32"/>
      <c r="Y32"/>
      <c r="Z32"/>
      <c r="AA32"/>
    </row>
    <row r="33" spans="1:27" ht="45" x14ac:dyDescent="0.2">
      <c r="B33" s="411" t="s">
        <v>74</v>
      </c>
      <c r="C33" s="410" t="s">
        <v>224</v>
      </c>
      <c r="D33" s="665" t="s">
        <v>291</v>
      </c>
      <c r="E33" s="410" t="s">
        <v>226</v>
      </c>
      <c r="F33" s="665" t="s">
        <v>611</v>
      </c>
      <c r="G33" s="665" t="s">
        <v>598</v>
      </c>
      <c r="H33" s="586" t="s">
        <v>235</v>
      </c>
      <c r="I33" s="586" t="s">
        <v>236</v>
      </c>
      <c r="J33" s="348" t="s">
        <v>114</v>
      </c>
      <c r="Q33"/>
      <c r="R33"/>
      <c r="S33"/>
      <c r="T33"/>
      <c r="U33"/>
      <c r="V33"/>
      <c r="W33"/>
      <c r="X33"/>
      <c r="Y33"/>
      <c r="Z33"/>
      <c r="AA33"/>
    </row>
    <row r="34" spans="1:27" s="4" customFormat="1" ht="21.95" customHeight="1" x14ac:dyDescent="0.2">
      <c r="A34"/>
      <c r="B34" s="277" t="s">
        <v>638</v>
      </c>
      <c r="C34" s="216">
        <f t="shared" ref="C34:G36" si="11">C8*0.9</f>
        <v>10436400</v>
      </c>
      <c r="D34" s="216">
        <f t="shared" si="11"/>
        <v>626184</v>
      </c>
      <c r="E34" s="216">
        <f t="shared" si="11"/>
        <v>1565460</v>
      </c>
      <c r="F34" s="216">
        <f t="shared" si="11"/>
        <v>939276</v>
      </c>
      <c r="G34" s="216">
        <f t="shared" si="11"/>
        <v>1715670</v>
      </c>
      <c r="H34" s="278">
        <f>SUM(C34:D34) * Inputs!E62</f>
        <v>11062584</v>
      </c>
      <c r="I34" s="278">
        <f>SUM(E34:G34)  * Inputs!E62</f>
        <v>4220406</v>
      </c>
      <c r="J34" s="279">
        <f>I34+H34</f>
        <v>15282990</v>
      </c>
      <c r="K34" s="13"/>
      <c r="L34" s="239"/>
    </row>
    <row r="35" spans="1:27" ht="21.95" customHeight="1" x14ac:dyDescent="0.2">
      <c r="B35" s="277" t="s">
        <v>640</v>
      </c>
      <c r="C35" s="216">
        <f t="shared" si="11"/>
        <v>16704557.1</v>
      </c>
      <c r="D35" s="216">
        <f t="shared" si="11"/>
        <v>1002273.3</v>
      </c>
      <c r="E35" s="216">
        <f t="shared" si="11"/>
        <v>2505683.7000000002</v>
      </c>
      <c r="F35" s="216">
        <f t="shared" si="11"/>
        <v>1503410.4000000001</v>
      </c>
      <c r="G35" s="216">
        <f t="shared" si="11"/>
        <v>180000</v>
      </c>
      <c r="H35" s="278">
        <f>SUM(C35:D35)  * Inputs!E62</f>
        <v>17706830.399999999</v>
      </c>
      <c r="I35" s="278">
        <f>SUM(E35:G35)  * Inputs!E62</f>
        <v>4189094.1000000006</v>
      </c>
      <c r="J35" s="279">
        <f>I35+H35</f>
        <v>21895924.5</v>
      </c>
      <c r="L35" s="13"/>
      <c r="M35" s="240"/>
      <c r="N35"/>
      <c r="O35"/>
      <c r="P35"/>
      <c r="Q35"/>
      <c r="R35"/>
      <c r="S35"/>
      <c r="T35"/>
      <c r="U35"/>
      <c r="V35"/>
      <c r="W35"/>
      <c r="X35"/>
      <c r="Y35"/>
      <c r="Z35"/>
      <c r="AA35"/>
    </row>
    <row r="36" spans="1:27" ht="21.95" customHeight="1" x14ac:dyDescent="0.2">
      <c r="B36" s="277" t="s">
        <v>639</v>
      </c>
      <c r="C36" s="216">
        <f t="shared" si="11"/>
        <v>30949952.400000002</v>
      </c>
      <c r="D36" s="216">
        <f t="shared" si="11"/>
        <v>1856997</v>
      </c>
      <c r="E36" s="216">
        <f t="shared" si="11"/>
        <v>4642492.5</v>
      </c>
      <c r="F36" s="216">
        <f t="shared" si="11"/>
        <v>1146392.1000000001</v>
      </c>
      <c r="G36" s="216">
        <f t="shared" si="11"/>
        <v>450000</v>
      </c>
      <c r="H36" s="278">
        <f>SUM(C36:D36)  * Inputs!E62</f>
        <v>32806949.400000002</v>
      </c>
      <c r="I36" s="278">
        <f>SUM(E36:G36) * Inputs!E62</f>
        <v>6238884.5999999996</v>
      </c>
      <c r="J36" s="279">
        <f>I36+H36</f>
        <v>39045834</v>
      </c>
      <c r="L36" s="13"/>
      <c r="M36" s="240"/>
      <c r="N36"/>
      <c r="O36"/>
      <c r="P36"/>
      <c r="Q36"/>
      <c r="R36"/>
      <c r="S36"/>
      <c r="T36"/>
      <c r="U36"/>
      <c r="V36"/>
      <c r="W36"/>
      <c r="X36"/>
      <c r="Y36"/>
      <c r="Z36"/>
      <c r="AA36"/>
    </row>
    <row r="37" spans="1:27" ht="21.95" customHeight="1" x14ac:dyDescent="0.2">
      <c r="B37" s="557"/>
      <c r="C37" s="281"/>
      <c r="D37" s="281"/>
      <c r="E37" s="281"/>
      <c r="F37" s="281"/>
      <c r="G37" s="281"/>
      <c r="H37" s="341"/>
      <c r="I37" s="281"/>
      <c r="J37" s="296"/>
      <c r="M37" s="240"/>
      <c r="N37"/>
      <c r="O37"/>
      <c r="P37"/>
      <c r="Q37"/>
      <c r="R37"/>
      <c r="S37"/>
      <c r="T37"/>
      <c r="U37"/>
      <c r="V37"/>
      <c r="W37"/>
      <c r="X37"/>
      <c r="Y37"/>
      <c r="Z37"/>
      <c r="AA37"/>
    </row>
    <row r="38" spans="1:27" ht="21.95" customHeight="1" x14ac:dyDescent="0.2">
      <c r="B38" s="653" t="s">
        <v>28</v>
      </c>
      <c r="C38" s="577">
        <f>SUM(C34:C36)</f>
        <v>58090909.5</v>
      </c>
      <c r="D38" s="577">
        <f t="shared" ref="D38:J38" si="12">SUM(D34:D36)</f>
        <v>3485454.3</v>
      </c>
      <c r="E38" s="577">
        <f t="shared" si="12"/>
        <v>8713636.1999999993</v>
      </c>
      <c r="F38" s="577">
        <f t="shared" si="12"/>
        <v>3589078.5000000005</v>
      </c>
      <c r="G38" s="577">
        <f t="shared" si="12"/>
        <v>2345670</v>
      </c>
      <c r="H38" s="639">
        <f t="shared" si="12"/>
        <v>61576363.799999997</v>
      </c>
      <c r="I38" s="577">
        <f>SUM(I34:I36)</f>
        <v>14648384.700000001</v>
      </c>
      <c r="J38" s="578">
        <f t="shared" si="12"/>
        <v>76224748.5</v>
      </c>
      <c r="L38" s="240"/>
      <c r="M38"/>
      <c r="N38"/>
      <c r="O38"/>
      <c r="P38"/>
      <c r="Q38"/>
      <c r="R38"/>
      <c r="S38"/>
      <c r="T38"/>
      <c r="U38"/>
      <c r="V38"/>
      <c r="W38"/>
      <c r="X38"/>
      <c r="Y38"/>
      <c r="Z38"/>
      <c r="AA38"/>
    </row>
    <row r="39" spans="1:27" ht="21.95" customHeight="1" x14ac:dyDescent="0.2">
      <c r="AA39"/>
    </row>
    <row r="41" spans="1:27" ht="21.95" customHeight="1" x14ac:dyDescent="0.2">
      <c r="B41" s="656" t="s">
        <v>600</v>
      </c>
    </row>
    <row r="42" spans="1:27" ht="21.95" customHeight="1" x14ac:dyDescent="0.2">
      <c r="B42" s="411" t="s">
        <v>113</v>
      </c>
      <c r="C42" s="410" t="s">
        <v>74</v>
      </c>
      <c r="D42" s="347">
        <v>2021</v>
      </c>
      <c r="E42" s="410">
        <v>2022</v>
      </c>
      <c r="F42" s="347">
        <f>E42+1</f>
        <v>2023</v>
      </c>
      <c r="G42" s="347">
        <f t="shared" ref="G42:I42" si="13">F42+1</f>
        <v>2024</v>
      </c>
      <c r="H42" s="347">
        <f t="shared" si="13"/>
        <v>2025</v>
      </c>
      <c r="I42" s="347">
        <f t="shared" si="13"/>
        <v>2026</v>
      </c>
      <c r="J42" s="347">
        <v>2027</v>
      </c>
      <c r="K42" s="666" t="s">
        <v>28</v>
      </c>
    </row>
    <row r="43" spans="1:27" ht="21.95" customHeight="1" x14ac:dyDescent="0.2">
      <c r="B43" s="277" t="s">
        <v>229</v>
      </c>
      <c r="C43" s="277" t="s">
        <v>638</v>
      </c>
      <c r="D43" s="659" cm="1">
        <f t="array" ref="D43:J43">D19:J19*I34</f>
        <v>0</v>
      </c>
      <c r="E43" s="659">
        <v>0</v>
      </c>
      <c r="F43" s="659">
        <v>1266121.8</v>
      </c>
      <c r="G43" s="659">
        <v>2954284.1999999997</v>
      </c>
      <c r="H43" s="659">
        <v>0</v>
      </c>
      <c r="I43" s="659">
        <v>0</v>
      </c>
      <c r="J43" s="659">
        <v>0</v>
      </c>
      <c r="K43" s="660">
        <f>SUM(_xlfn.ANCHORARRAY(D43))</f>
        <v>4220406</v>
      </c>
    </row>
    <row r="44" spans="1:27" ht="21.95" customHeight="1" x14ac:dyDescent="0.2">
      <c r="B44" s="277"/>
      <c r="C44" s="277" t="s">
        <v>640</v>
      </c>
      <c r="D44" s="659" cm="1">
        <f t="array" ref="D44:J44">D20:J20*I35</f>
        <v>0</v>
      </c>
      <c r="E44" s="659">
        <v>0</v>
      </c>
      <c r="F44" s="659">
        <v>1256728.2300000002</v>
      </c>
      <c r="G44" s="659">
        <v>2932365.87</v>
      </c>
      <c r="H44" s="659">
        <v>0</v>
      </c>
      <c r="I44" s="659">
        <v>0</v>
      </c>
      <c r="J44" s="659">
        <v>0</v>
      </c>
      <c r="K44" s="660">
        <f t="shared" ref="K44:K45" si="14">SUM(_xlfn.ANCHORARRAY(D44))</f>
        <v>4189094.1000000006</v>
      </c>
    </row>
    <row r="45" spans="1:27" ht="21.95" customHeight="1" x14ac:dyDescent="0.2">
      <c r="B45" s="277"/>
      <c r="C45" s="277" t="s">
        <v>639</v>
      </c>
      <c r="D45" s="659" cm="1">
        <f t="array" ref="D45:J45">D21:J21*I36</f>
        <v>0</v>
      </c>
      <c r="E45" s="659">
        <v>935832.69</v>
      </c>
      <c r="F45" s="659">
        <v>3431386.5300000003</v>
      </c>
      <c r="G45" s="659">
        <v>1871665.38</v>
      </c>
      <c r="H45" s="659">
        <v>0</v>
      </c>
      <c r="I45" s="659">
        <v>0</v>
      </c>
      <c r="J45" s="659">
        <v>0</v>
      </c>
      <c r="K45" s="660">
        <f t="shared" si="14"/>
        <v>6238884.6000000006</v>
      </c>
    </row>
    <row r="46" spans="1:27" ht="21.95" customHeight="1" x14ac:dyDescent="0.2">
      <c r="B46" s="557"/>
      <c r="C46" s="353"/>
      <c r="D46" s="353"/>
      <c r="E46" s="658"/>
      <c r="F46" s="658"/>
      <c r="G46" s="658"/>
      <c r="H46" s="658"/>
      <c r="I46" s="658"/>
      <c r="J46" s="658"/>
      <c r="K46" s="661"/>
      <c r="L46" s="118"/>
    </row>
    <row r="47" spans="1:27" ht="21.95" customHeight="1" x14ac:dyDescent="0.2">
      <c r="B47" s="277" t="s">
        <v>233</v>
      </c>
      <c r="C47" s="277" t="s">
        <v>638</v>
      </c>
      <c r="D47" s="659" cm="1">
        <f t="array" ref="D47:J47">D23:J23*H34</f>
        <v>0</v>
      </c>
      <c r="E47" s="659">
        <v>0</v>
      </c>
      <c r="F47" s="659">
        <v>0</v>
      </c>
      <c r="G47" s="659">
        <v>0</v>
      </c>
      <c r="H47" s="659">
        <v>3687528</v>
      </c>
      <c r="I47" s="659">
        <v>3687528</v>
      </c>
      <c r="J47" s="659">
        <v>3687528</v>
      </c>
      <c r="K47" s="660">
        <f>SUM(_xlfn.ANCHORARRAY(D47))</f>
        <v>11062584</v>
      </c>
      <c r="L47" s="118"/>
    </row>
    <row r="48" spans="1:27" ht="21.95" customHeight="1" x14ac:dyDescent="0.2">
      <c r="B48" s="277"/>
      <c r="C48" s="277" t="s">
        <v>640</v>
      </c>
      <c r="D48" s="659" cm="1">
        <f t="array" ref="D48:J48">D24:J24*H35</f>
        <v>0</v>
      </c>
      <c r="E48" s="659">
        <v>0</v>
      </c>
      <c r="F48" s="659">
        <v>0</v>
      </c>
      <c r="G48" s="659">
        <v>0</v>
      </c>
      <c r="H48" s="659">
        <v>5902276.7999999989</v>
      </c>
      <c r="I48" s="659">
        <v>5902276.7999999989</v>
      </c>
      <c r="J48" s="659">
        <v>5902276.7999999989</v>
      </c>
      <c r="K48" s="660">
        <f t="shared" ref="K48:K49" si="15">SUM(_xlfn.ANCHORARRAY(D48))</f>
        <v>17706830.399999999</v>
      </c>
      <c r="L48" s="118"/>
    </row>
    <row r="49" spans="2:12" ht="21.95" customHeight="1" x14ac:dyDescent="0.2">
      <c r="B49" s="277"/>
      <c r="C49" s="277" t="s">
        <v>639</v>
      </c>
      <c r="D49" s="659" cm="1">
        <f t="array" ref="D49:J49">D25:J25*H36</f>
        <v>0</v>
      </c>
      <c r="E49" s="659">
        <v>0</v>
      </c>
      <c r="F49" s="659">
        <v>0</v>
      </c>
      <c r="G49" s="659">
        <v>0</v>
      </c>
      <c r="H49" s="659">
        <v>10935649.800000001</v>
      </c>
      <c r="I49" s="659">
        <v>10935649.800000001</v>
      </c>
      <c r="J49" s="659">
        <v>10935649.800000001</v>
      </c>
      <c r="K49" s="660">
        <f t="shared" si="15"/>
        <v>32806949.400000002</v>
      </c>
      <c r="L49" s="118"/>
    </row>
    <row r="50" spans="2:12" ht="21.95" customHeight="1" x14ac:dyDescent="0.2">
      <c r="B50" s="280"/>
      <c r="C50" s="353"/>
      <c r="D50" s="658"/>
      <c r="E50" s="658"/>
      <c r="F50" s="658"/>
      <c r="G50" s="658"/>
      <c r="H50" s="658"/>
      <c r="I50" s="658"/>
      <c r="J50" s="658"/>
      <c r="K50" s="664"/>
      <c r="L50" s="118"/>
    </row>
    <row r="51" spans="2:12" ht="21.95" customHeight="1" x14ac:dyDescent="0.2">
      <c r="B51" s="277" t="s">
        <v>26</v>
      </c>
      <c r="C51" s="277" t="s">
        <v>638</v>
      </c>
      <c r="D51" s="659" cm="1">
        <f t="array" ref="D51:J51">_xlfn.ANCHORARRAY(D47)+_xlfn.ANCHORARRAY(D43)</f>
        <v>0</v>
      </c>
      <c r="E51" s="659">
        <v>0</v>
      </c>
      <c r="F51" s="659">
        <v>1266121.8</v>
      </c>
      <c r="G51" s="659">
        <v>2954284.1999999997</v>
      </c>
      <c r="H51" s="659">
        <v>3687528</v>
      </c>
      <c r="I51" s="659">
        <v>3687528</v>
      </c>
      <c r="J51" s="659">
        <v>3687528</v>
      </c>
      <c r="K51" s="660">
        <f>SUM(_xlfn.ANCHORARRAY(D51))</f>
        <v>15282990</v>
      </c>
      <c r="L51" s="118"/>
    </row>
    <row r="52" spans="2:12" ht="21.95" customHeight="1" x14ac:dyDescent="0.2">
      <c r="B52" s="277"/>
      <c r="C52" s="277" t="s">
        <v>640</v>
      </c>
      <c r="D52" s="659" cm="1">
        <f t="array" ref="D52:J52">_xlfn.ANCHORARRAY(D48)+_xlfn.ANCHORARRAY(D44)</f>
        <v>0</v>
      </c>
      <c r="E52" s="659">
        <v>0</v>
      </c>
      <c r="F52" s="659">
        <v>1256728.2300000002</v>
      </c>
      <c r="G52" s="659">
        <v>2932365.87</v>
      </c>
      <c r="H52" s="659">
        <v>5902276.7999999989</v>
      </c>
      <c r="I52" s="659">
        <v>5902276.7999999989</v>
      </c>
      <c r="J52" s="659">
        <v>5902276.7999999989</v>
      </c>
      <c r="K52" s="660">
        <f t="shared" ref="K52:K53" si="16">SUM(_xlfn.ANCHORARRAY(D52))</f>
        <v>21895924.499999996</v>
      </c>
      <c r="L52" s="118"/>
    </row>
    <row r="53" spans="2:12" ht="21.95" customHeight="1" x14ac:dyDescent="0.2">
      <c r="B53" s="277"/>
      <c r="C53" s="277" t="s">
        <v>639</v>
      </c>
      <c r="D53" s="659" cm="1">
        <f t="array" ref="D53:J53">_xlfn.ANCHORARRAY(D49)+_xlfn.ANCHORARRAY(D45)</f>
        <v>0</v>
      </c>
      <c r="E53" s="659">
        <v>935832.69</v>
      </c>
      <c r="F53" s="659">
        <v>3431386.5300000003</v>
      </c>
      <c r="G53" s="659">
        <v>1871665.38</v>
      </c>
      <c r="H53" s="659">
        <v>10935649.800000001</v>
      </c>
      <c r="I53" s="659">
        <v>10935649.800000001</v>
      </c>
      <c r="J53" s="659">
        <v>10935649.800000001</v>
      </c>
      <c r="K53" s="660">
        <f t="shared" si="16"/>
        <v>39045834</v>
      </c>
      <c r="L53" s="118"/>
    </row>
    <row r="54" spans="2:12" ht="21.95" customHeight="1" x14ac:dyDescent="0.2">
      <c r="B54" s="290"/>
      <c r="C54" s="353"/>
      <c r="D54" s="658"/>
      <c r="E54" s="658"/>
      <c r="F54" s="658"/>
      <c r="G54" s="658"/>
      <c r="H54" s="658"/>
      <c r="I54" s="658"/>
      <c r="J54" s="658"/>
      <c r="K54" s="516"/>
      <c r="L54" s="118"/>
    </row>
    <row r="55" spans="2:12" ht="21.95" customHeight="1" x14ac:dyDescent="0.2">
      <c r="B55" s="384"/>
      <c r="C55" s="534" t="s">
        <v>28</v>
      </c>
      <c r="D55" s="662">
        <f>SUM(D51:D53)</f>
        <v>0</v>
      </c>
      <c r="E55" s="662">
        <f t="shared" ref="E55:K55" si="17">SUM(E51:E53)</f>
        <v>935832.69</v>
      </c>
      <c r="F55" s="662">
        <f t="shared" si="17"/>
        <v>5954236.5600000005</v>
      </c>
      <c r="G55" s="662">
        <f t="shared" si="17"/>
        <v>7758315.4500000002</v>
      </c>
      <c r="H55" s="662">
        <f t="shared" si="17"/>
        <v>20525454.600000001</v>
      </c>
      <c r="I55" s="662">
        <f t="shared" si="17"/>
        <v>20525454.600000001</v>
      </c>
      <c r="J55" s="662">
        <f t="shared" si="17"/>
        <v>20525454.600000001</v>
      </c>
      <c r="K55" s="663">
        <f t="shared" si="17"/>
        <v>76224748.5</v>
      </c>
      <c r="L55" s="118"/>
    </row>
    <row r="56" spans="2:12" ht="21.95" customHeight="1" x14ac:dyDescent="0.2">
      <c r="L56" s="118"/>
    </row>
  </sheetData>
  <hyperlinks>
    <hyperlink ref="B13" location="'Project Cost Data'!A1" display="Source: ODOT" xr:uid="{3997FB3F-A5AE-4335-9BAF-140C4A15E8A1}"/>
  </hyperlinks>
  <pageMargins left="0.7" right="0.7" top="0.75" bottom="0.75" header="0.3" footer="0.3"/>
  <pageSetup paperSize="3" orientation="landscape" horizontalDpi="90" verticalDpi="9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5A865-56E9-4A4F-B015-6CDBEB34C144}">
  <sheetPr>
    <tabColor theme="9"/>
  </sheetPr>
  <dimension ref="A2:AA30"/>
  <sheetViews>
    <sheetView showGridLines="0" zoomScale="85" zoomScaleNormal="85" workbookViewId="0">
      <selection activeCell="H14" sqref="H14"/>
    </sheetView>
  </sheetViews>
  <sheetFormatPr defaultColWidth="10.625" defaultRowHeight="21.95" customHeight="1" x14ac:dyDescent="0.2"/>
  <cols>
    <col min="1" max="1" width="3.375" customWidth="1"/>
    <col min="2" max="2" width="45.375" customWidth="1"/>
    <col min="3" max="3" width="16.75" customWidth="1"/>
    <col min="4" max="9" width="16.75" style="12" customWidth="1"/>
    <col min="10" max="27" width="12.25" style="12" customWidth="1"/>
    <col min="28" max="38" width="12.25" customWidth="1"/>
  </cols>
  <sheetData>
    <row r="2" spans="1:27" ht="21.95" customHeight="1" x14ac:dyDescent="0.2">
      <c r="B2" s="823" t="s">
        <v>349</v>
      </c>
      <c r="C2" s="823"/>
      <c r="D2" s="823"/>
    </row>
    <row r="4" spans="1:27" ht="23.25" x14ac:dyDescent="0.2">
      <c r="B4" s="242" t="s">
        <v>289</v>
      </c>
      <c r="C4" s="111"/>
    </row>
    <row r="5" spans="1:27" ht="23.25" x14ac:dyDescent="0.2">
      <c r="B5" s="10"/>
      <c r="C5" s="111"/>
    </row>
    <row r="6" spans="1:27" ht="21.95" customHeight="1" x14ac:dyDescent="0.2">
      <c r="B6" s="349" t="s">
        <v>287</v>
      </c>
      <c r="D6"/>
      <c r="E6"/>
      <c r="F6"/>
      <c r="G6"/>
      <c r="H6"/>
      <c r="I6"/>
      <c r="J6"/>
      <c r="K6"/>
      <c r="L6" s="48"/>
      <c r="Q6"/>
      <c r="R6"/>
      <c r="S6"/>
      <c r="T6"/>
      <c r="U6"/>
      <c r="V6"/>
      <c r="W6"/>
      <c r="X6"/>
      <c r="Y6"/>
      <c r="Z6"/>
      <c r="AA6"/>
    </row>
    <row r="7" spans="1:27" s="4" customFormat="1" ht="21.95" customHeight="1" x14ac:dyDescent="0.2">
      <c r="A7"/>
      <c r="B7" s="411" t="s">
        <v>11</v>
      </c>
      <c r="C7" s="410" t="s">
        <v>602</v>
      </c>
      <c r="D7" s="410" t="s">
        <v>603</v>
      </c>
      <c r="E7" s="547" t="s">
        <v>604</v>
      </c>
      <c r="F7" s="12"/>
      <c r="G7" s="2"/>
      <c r="H7" s="2"/>
      <c r="I7" s="2"/>
      <c r="J7" s="2"/>
      <c r="K7" s="2"/>
      <c r="M7" s="13"/>
      <c r="N7" s="13"/>
      <c r="O7" s="13"/>
      <c r="P7" s="13"/>
    </row>
    <row r="8" spans="1:27" ht="21.95" customHeight="1" x14ac:dyDescent="0.2">
      <c r="B8" s="290" t="s">
        <v>158</v>
      </c>
      <c r="C8" s="291">
        <v>117.922</v>
      </c>
      <c r="D8" s="291">
        <v>126.907</v>
      </c>
      <c r="E8" s="314">
        <v>131.518</v>
      </c>
      <c r="F8"/>
      <c r="G8" s="2"/>
      <c r="H8" s="2"/>
      <c r="I8" s="2"/>
      <c r="J8" s="2"/>
      <c r="K8" s="2"/>
      <c r="Q8"/>
      <c r="R8"/>
      <c r="S8"/>
      <c r="T8"/>
      <c r="U8"/>
      <c r="V8"/>
      <c r="W8"/>
      <c r="X8"/>
      <c r="Y8"/>
      <c r="Z8"/>
      <c r="AA8"/>
    </row>
    <row r="9" spans="1:27" ht="21.95" customHeight="1" x14ac:dyDescent="0.2">
      <c r="B9" s="114" t="s">
        <v>288</v>
      </c>
      <c r="D9"/>
      <c r="E9"/>
      <c r="F9"/>
      <c r="G9"/>
      <c r="H9"/>
      <c r="I9"/>
      <c r="J9"/>
      <c r="K9"/>
      <c r="Q9"/>
      <c r="R9"/>
      <c r="S9"/>
      <c r="T9"/>
      <c r="U9"/>
      <c r="V9"/>
      <c r="W9"/>
      <c r="X9"/>
      <c r="Y9"/>
      <c r="Z9"/>
      <c r="AA9"/>
    </row>
    <row r="10" spans="1:27" ht="21.95" customHeight="1" x14ac:dyDescent="0.2">
      <c r="B10" s="9" t="s">
        <v>283</v>
      </c>
      <c r="D10"/>
      <c r="E10"/>
      <c r="F10"/>
      <c r="G10"/>
      <c r="H10"/>
      <c r="I10"/>
      <c r="J10"/>
      <c r="K10"/>
      <c r="Q10"/>
      <c r="R10"/>
      <c r="S10"/>
      <c r="T10"/>
      <c r="U10"/>
      <c r="V10"/>
      <c r="W10"/>
      <c r="X10"/>
      <c r="Y10"/>
      <c r="Z10"/>
      <c r="AA10"/>
    </row>
    <row r="11" spans="1:27" ht="21.95" customHeight="1" x14ac:dyDescent="0.2">
      <c r="B11" s="9" t="s">
        <v>601</v>
      </c>
      <c r="D11"/>
      <c r="E11"/>
      <c r="F11"/>
      <c r="G11"/>
      <c r="H11"/>
      <c r="I11"/>
      <c r="J11"/>
      <c r="K11"/>
      <c r="Q11"/>
      <c r="R11"/>
      <c r="S11"/>
      <c r="T11"/>
      <c r="U11"/>
      <c r="V11"/>
      <c r="W11"/>
      <c r="X11"/>
      <c r="Y11"/>
      <c r="Z11"/>
      <c r="AA11"/>
    </row>
    <row r="12" spans="1:27" ht="21.95" customHeight="1" x14ac:dyDescent="0.2">
      <c r="D12"/>
      <c r="E12"/>
      <c r="F12"/>
      <c r="G12"/>
      <c r="H12"/>
      <c r="I12"/>
      <c r="J12"/>
      <c r="K12"/>
      <c r="Q12"/>
      <c r="R12"/>
      <c r="S12"/>
      <c r="T12"/>
      <c r="U12"/>
      <c r="V12"/>
      <c r="W12"/>
      <c r="X12"/>
      <c r="Y12"/>
      <c r="Z12"/>
      <c r="AA12"/>
    </row>
    <row r="13" spans="1:27" ht="21.95" customHeight="1" x14ac:dyDescent="0.2">
      <c r="D13"/>
      <c r="E13"/>
      <c r="F13"/>
      <c r="G13"/>
      <c r="H13"/>
      <c r="I13"/>
      <c r="J13"/>
      <c r="K13"/>
      <c r="Q13"/>
      <c r="R13"/>
      <c r="S13"/>
      <c r="T13"/>
      <c r="U13"/>
      <c r="V13"/>
      <c r="W13"/>
      <c r="X13"/>
      <c r="Y13"/>
      <c r="Z13"/>
      <c r="AA13"/>
    </row>
    <row r="14" spans="1:27" ht="21.95" customHeight="1" x14ac:dyDescent="0.2">
      <c r="B14" s="349" t="s">
        <v>286</v>
      </c>
      <c r="D14"/>
      <c r="E14"/>
      <c r="F14"/>
      <c r="G14"/>
      <c r="H14"/>
      <c r="I14"/>
      <c r="J14"/>
      <c r="K14"/>
    </row>
    <row r="15" spans="1:27" ht="21.95" customHeight="1" x14ac:dyDescent="0.2">
      <c r="B15" s="411" t="s">
        <v>11</v>
      </c>
      <c r="C15" s="410">
        <v>2021</v>
      </c>
      <c r="D15" s="410">
        <v>2022</v>
      </c>
      <c r="E15" s="547">
        <v>2023</v>
      </c>
      <c r="F15"/>
      <c r="G15"/>
      <c r="H15"/>
      <c r="I15"/>
      <c r="J15"/>
      <c r="K15"/>
    </row>
    <row r="16" spans="1:27" ht="21.95" customHeight="1" x14ac:dyDescent="0.2">
      <c r="B16" s="290" t="s">
        <v>605</v>
      </c>
      <c r="C16" s="655">
        <f>$C$8/C8</f>
        <v>1</v>
      </c>
      <c r="D16" s="655">
        <f>C8/D8</f>
        <v>0.92920012292466136</v>
      </c>
      <c r="E16" s="566">
        <f>C8/E8</f>
        <v>0.89662251554920236</v>
      </c>
      <c r="F16"/>
      <c r="G16"/>
      <c r="H16"/>
      <c r="I16"/>
      <c r="J16"/>
      <c r="K16"/>
    </row>
    <row r="17" spans="4:11" ht="21.95" customHeight="1" x14ac:dyDescent="0.2">
      <c r="D17"/>
      <c r="E17"/>
      <c r="F17"/>
      <c r="G17"/>
      <c r="H17"/>
      <c r="I17"/>
      <c r="J17"/>
      <c r="K17"/>
    </row>
    <row r="18" spans="4:11" ht="21.95" customHeight="1" x14ac:dyDescent="0.2">
      <c r="D18"/>
      <c r="E18"/>
      <c r="F18"/>
      <c r="G18"/>
      <c r="H18"/>
      <c r="I18"/>
      <c r="J18"/>
      <c r="K18"/>
    </row>
    <row r="19" spans="4:11" ht="21.95" customHeight="1" x14ac:dyDescent="0.2">
      <c r="D19"/>
      <c r="E19"/>
      <c r="F19"/>
      <c r="G19"/>
      <c r="H19"/>
      <c r="I19"/>
      <c r="J19"/>
      <c r="K19"/>
    </row>
    <row r="20" spans="4:11" ht="21.95" customHeight="1" x14ac:dyDescent="0.2">
      <c r="D20"/>
      <c r="E20"/>
      <c r="F20"/>
      <c r="G20"/>
      <c r="H20"/>
      <c r="I20"/>
      <c r="J20"/>
      <c r="K20"/>
    </row>
    <row r="21" spans="4:11" ht="21.95" customHeight="1" x14ac:dyDescent="0.2">
      <c r="D21"/>
      <c r="E21"/>
      <c r="F21"/>
      <c r="G21"/>
      <c r="H21"/>
      <c r="I21"/>
      <c r="J21"/>
      <c r="K21"/>
    </row>
    <row r="22" spans="4:11" ht="21.95" customHeight="1" x14ac:dyDescent="0.2">
      <c r="D22"/>
      <c r="E22"/>
      <c r="F22"/>
      <c r="G22"/>
      <c r="H22"/>
      <c r="I22"/>
      <c r="J22"/>
      <c r="K22"/>
    </row>
    <row r="23" spans="4:11" ht="21.95" customHeight="1" x14ac:dyDescent="0.2">
      <c r="D23"/>
      <c r="E23"/>
      <c r="F23"/>
      <c r="G23"/>
      <c r="H23"/>
      <c r="I23"/>
      <c r="J23"/>
      <c r="K23"/>
    </row>
    <row r="24" spans="4:11" ht="21.95" customHeight="1" x14ac:dyDescent="0.2">
      <c r="D24"/>
      <c r="E24"/>
      <c r="F24"/>
      <c r="G24"/>
      <c r="H24"/>
      <c r="I24"/>
      <c r="J24"/>
      <c r="K24"/>
    </row>
    <row r="25" spans="4:11" ht="21.95" customHeight="1" x14ac:dyDescent="0.2">
      <c r="D25"/>
      <c r="E25"/>
      <c r="F25"/>
      <c r="G25"/>
      <c r="H25"/>
      <c r="I25"/>
      <c r="J25"/>
      <c r="K25"/>
    </row>
    <row r="26" spans="4:11" ht="21.95" customHeight="1" x14ac:dyDescent="0.2">
      <c r="D26"/>
      <c r="E26"/>
      <c r="F26"/>
      <c r="G26"/>
      <c r="H26"/>
      <c r="I26"/>
      <c r="J26"/>
      <c r="K26"/>
    </row>
    <row r="27" spans="4:11" ht="21.95" customHeight="1" x14ac:dyDescent="0.2">
      <c r="D27"/>
      <c r="E27"/>
      <c r="F27"/>
      <c r="G27"/>
      <c r="H27"/>
      <c r="I27"/>
      <c r="J27"/>
      <c r="K27"/>
    </row>
    <row r="28" spans="4:11" ht="21.95" customHeight="1" x14ac:dyDescent="0.2">
      <c r="D28"/>
      <c r="E28"/>
      <c r="F28"/>
      <c r="G28"/>
      <c r="H28"/>
      <c r="I28"/>
      <c r="J28"/>
      <c r="K28"/>
    </row>
    <row r="29" spans="4:11" ht="21.95" customHeight="1" x14ac:dyDescent="0.2">
      <c r="D29"/>
      <c r="E29"/>
      <c r="F29"/>
      <c r="G29"/>
      <c r="H29"/>
      <c r="I29"/>
      <c r="J29"/>
      <c r="K29"/>
    </row>
    <row r="30" spans="4:11" ht="21.95" customHeight="1" x14ac:dyDescent="0.2">
      <c r="D30"/>
      <c r="E30"/>
      <c r="F30"/>
      <c r="G30"/>
      <c r="H30"/>
      <c r="I30"/>
      <c r="J30"/>
      <c r="K30"/>
    </row>
  </sheetData>
  <mergeCells count="1">
    <mergeCell ref="B2:D2"/>
  </mergeCells>
  <phoneticPr fontId="48" type="noConversion"/>
  <hyperlinks>
    <hyperlink ref="B2" location="Emissions!A1" display="Back to Emissions Tab" xr:uid="{20A91F54-C8EB-47BB-A489-5C2DC987E9CC}"/>
    <hyperlink ref="B2:D2" location="Inputs!A1" display="Back to Inputs Tab" xr:uid="{D664BCB7-507D-4DD9-B720-F4EB9CB43272}"/>
  </hyperlinks>
  <pageMargins left="0.7" right="0.7" top="0.75" bottom="0.75" header="0.3" footer="0.3"/>
  <pageSetup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64E9A-3A62-4C6D-9B90-09F7C5FD1CDC}">
  <sheetPr codeName="Sheet16">
    <tabColor theme="9"/>
  </sheetPr>
  <dimension ref="B2:K29"/>
  <sheetViews>
    <sheetView showGridLines="0" zoomScale="60" zoomScaleNormal="60" workbookViewId="0">
      <selection activeCell="D32" sqref="D32"/>
    </sheetView>
  </sheetViews>
  <sheetFormatPr defaultColWidth="11.625" defaultRowHeight="21.95" customHeight="1" x14ac:dyDescent="0.2"/>
  <cols>
    <col min="1" max="1" width="3.375" customWidth="1"/>
    <col min="2" max="2" width="42.625" bestFit="1" customWidth="1"/>
    <col min="3" max="4" width="9.75" customWidth="1"/>
    <col min="5" max="5" width="10.375" bestFit="1" customWidth="1"/>
    <col min="6" max="6" width="16.375" bestFit="1" customWidth="1"/>
    <col min="7" max="8" width="9.75" customWidth="1"/>
    <col min="9" max="10" width="17.875" bestFit="1" customWidth="1"/>
    <col min="11" max="11" width="9" bestFit="1" customWidth="1"/>
    <col min="12" max="12" width="13.375" bestFit="1" customWidth="1"/>
    <col min="13" max="13" width="8.875" bestFit="1" customWidth="1"/>
    <col min="14" max="14" width="26.375" bestFit="1" customWidth="1"/>
    <col min="15" max="15" width="9.75" bestFit="1" customWidth="1"/>
    <col min="16" max="16" width="11.75" bestFit="1" customWidth="1"/>
    <col min="17" max="17" width="18.375" bestFit="1" customWidth="1"/>
    <col min="18" max="18" width="20.25" bestFit="1" customWidth="1"/>
    <col min="19" max="19" width="23.125" bestFit="1" customWidth="1"/>
    <col min="20" max="20" width="11.875" bestFit="1" customWidth="1"/>
    <col min="21" max="21" width="18.25" customWidth="1"/>
    <col min="23" max="23" width="13.875" customWidth="1"/>
    <col min="25" max="25" width="26.75" customWidth="1"/>
    <col min="28" max="28" width="18.75" customWidth="1"/>
    <col min="29" max="29" width="20.625" customWidth="1"/>
    <col min="30" max="30" width="23.25" customWidth="1"/>
    <col min="31" max="31" width="12.25" customWidth="1"/>
  </cols>
  <sheetData>
    <row r="2" spans="2:11" ht="21.95" customHeight="1" x14ac:dyDescent="0.2">
      <c r="B2" s="823" t="s">
        <v>90</v>
      </c>
      <c r="C2" s="823"/>
      <c r="D2" s="823"/>
    </row>
    <row r="4" spans="2:11" ht="23.25" x14ac:dyDescent="0.2">
      <c r="B4" s="242" t="s">
        <v>72</v>
      </c>
      <c r="C4" s="10"/>
    </row>
    <row r="5" spans="2:11" ht="23.25" x14ac:dyDescent="0.2">
      <c r="B5" s="10"/>
      <c r="C5" s="10"/>
    </row>
    <row r="6" spans="2:11" ht="23.45" customHeight="1" x14ac:dyDescent="0.2">
      <c r="B6" t="s">
        <v>298</v>
      </c>
    </row>
    <row r="7" spans="2:11" ht="23.45" customHeight="1" x14ac:dyDescent="0.2"/>
    <row r="8" spans="2:11" ht="23.45" customHeight="1" x14ac:dyDescent="0.2">
      <c r="B8" s="349" t="s">
        <v>505</v>
      </c>
    </row>
    <row r="9" spans="2:11" ht="23.45" customHeight="1" x14ac:dyDescent="0.2">
      <c r="B9" s="811" t="s">
        <v>11</v>
      </c>
      <c r="C9" s="824" t="s">
        <v>264</v>
      </c>
      <c r="D9" s="824"/>
      <c r="E9" s="824"/>
      <c r="F9" s="824"/>
      <c r="G9" s="824"/>
      <c r="H9" s="825" t="s">
        <v>28</v>
      </c>
    </row>
    <row r="10" spans="2:11" ht="23.45" customHeight="1" x14ac:dyDescent="0.2">
      <c r="B10" s="812"/>
      <c r="C10" s="544">
        <v>1</v>
      </c>
      <c r="D10" s="544">
        <v>2</v>
      </c>
      <c r="E10" s="544">
        <v>3</v>
      </c>
      <c r="F10" s="544">
        <v>4</v>
      </c>
      <c r="G10" s="544">
        <v>5</v>
      </c>
      <c r="H10" s="817"/>
    </row>
    <row r="11" spans="2:11" ht="23.45" customHeight="1" x14ac:dyDescent="0.2">
      <c r="B11" s="277">
        <v>2016</v>
      </c>
      <c r="C11" s="143">
        <v>48</v>
      </c>
      <c r="D11" s="143">
        <v>10</v>
      </c>
      <c r="E11" s="143">
        <v>11</v>
      </c>
      <c r="F11" s="143">
        <v>5</v>
      </c>
      <c r="G11" s="143">
        <v>1</v>
      </c>
      <c r="H11" s="305">
        <v>75</v>
      </c>
    </row>
    <row r="12" spans="2:11" ht="23.45" customHeight="1" x14ac:dyDescent="0.2">
      <c r="B12" s="277">
        <v>2017</v>
      </c>
      <c r="C12" s="143">
        <v>46</v>
      </c>
      <c r="D12" s="143">
        <v>9</v>
      </c>
      <c r="E12" s="143">
        <v>8</v>
      </c>
      <c r="F12" s="143">
        <v>1</v>
      </c>
      <c r="G12" s="143">
        <v>0</v>
      </c>
      <c r="H12" s="305">
        <v>64</v>
      </c>
    </row>
    <row r="13" spans="2:11" ht="23.45" customHeight="1" x14ac:dyDescent="0.2">
      <c r="B13" s="277">
        <v>2018</v>
      </c>
      <c r="C13" s="143">
        <v>60</v>
      </c>
      <c r="D13" s="143">
        <v>24</v>
      </c>
      <c r="E13" s="143">
        <v>5</v>
      </c>
      <c r="F13" s="143">
        <v>4</v>
      </c>
      <c r="G13" s="143">
        <v>0</v>
      </c>
      <c r="H13" s="305">
        <v>93</v>
      </c>
    </row>
    <row r="14" spans="2:11" ht="23.45" customHeight="1" x14ac:dyDescent="0.2">
      <c r="B14" s="277">
        <v>2019</v>
      </c>
      <c r="C14" s="143">
        <v>69</v>
      </c>
      <c r="D14" s="143">
        <v>10</v>
      </c>
      <c r="E14" s="143">
        <v>7</v>
      </c>
      <c r="F14" s="143">
        <v>0</v>
      </c>
      <c r="G14" s="143">
        <v>1</v>
      </c>
      <c r="H14" s="305">
        <v>87</v>
      </c>
    </row>
    <row r="15" spans="2:11" ht="23.45" customHeight="1" x14ac:dyDescent="0.2">
      <c r="B15" s="280">
        <v>2020</v>
      </c>
      <c r="C15" s="152">
        <v>45</v>
      </c>
      <c r="D15" s="152">
        <v>9</v>
      </c>
      <c r="E15" s="152">
        <v>4</v>
      </c>
      <c r="F15" s="152">
        <v>2</v>
      </c>
      <c r="G15" s="152">
        <v>1</v>
      </c>
      <c r="H15" s="311">
        <v>61</v>
      </c>
    </row>
    <row r="16" spans="2:11" ht="23.45" customHeight="1" x14ac:dyDescent="0.2">
      <c r="B16" s="667" t="s">
        <v>257</v>
      </c>
      <c r="C16" s="153">
        <f t="shared" ref="C16:H16" si="0">SUM(C11:C15)</f>
        <v>268</v>
      </c>
      <c r="D16" s="153">
        <f t="shared" si="0"/>
        <v>62</v>
      </c>
      <c r="E16" s="153">
        <f t="shared" si="0"/>
        <v>35</v>
      </c>
      <c r="F16" s="153">
        <f t="shared" si="0"/>
        <v>12</v>
      </c>
      <c r="G16" s="153">
        <f t="shared" si="0"/>
        <v>3</v>
      </c>
      <c r="H16" s="668">
        <f t="shared" si="0"/>
        <v>380</v>
      </c>
      <c r="K16" s="18"/>
    </row>
    <row r="17" spans="2:8" ht="21.95" customHeight="1" x14ac:dyDescent="0.2">
      <c r="B17" s="273" t="s">
        <v>109</v>
      </c>
      <c r="C17" s="364">
        <f>AVERAGE(C11:C15)</f>
        <v>53.6</v>
      </c>
      <c r="D17" s="364">
        <f t="shared" ref="D17:H17" si="1">AVERAGE(D11:D15)</f>
        <v>12.4</v>
      </c>
      <c r="E17" s="364">
        <f t="shared" si="1"/>
        <v>7</v>
      </c>
      <c r="F17" s="364">
        <f t="shared" si="1"/>
        <v>2.4</v>
      </c>
      <c r="G17" s="364">
        <f t="shared" si="1"/>
        <v>0.6</v>
      </c>
      <c r="H17" s="305">
        <f t="shared" si="1"/>
        <v>76</v>
      </c>
    </row>
    <row r="18" spans="2:8" ht="21.95" customHeight="1" x14ac:dyDescent="0.2">
      <c r="B18" s="384" t="s">
        <v>297</v>
      </c>
      <c r="C18" s="669">
        <f t="shared" ref="C18:F18" si="2">C17/$H17</f>
        <v>0.70526315789473681</v>
      </c>
      <c r="D18" s="669">
        <f t="shared" si="2"/>
        <v>0.16315789473684211</v>
      </c>
      <c r="E18" s="669">
        <f t="shared" si="2"/>
        <v>9.2105263157894732E-2</v>
      </c>
      <c r="F18" s="669">
        <f t="shared" si="2"/>
        <v>3.1578947368421054E-2</v>
      </c>
      <c r="G18" s="669">
        <f>G17/$H17</f>
        <v>7.8947368421052634E-3</v>
      </c>
      <c r="H18" s="670">
        <f t="shared" ref="H18" si="3">H16/$H$16</f>
        <v>1</v>
      </c>
    </row>
    <row r="20" spans="2:8" ht="21.95" customHeight="1" x14ac:dyDescent="0.2">
      <c r="B20" s="656" t="s">
        <v>59</v>
      </c>
    </row>
    <row r="21" spans="2:8" ht="21.95" customHeight="1" x14ac:dyDescent="0.2">
      <c r="B21" s="411"/>
      <c r="C21" s="410"/>
      <c r="D21" s="410"/>
      <c r="E21" s="410" t="s">
        <v>21</v>
      </c>
      <c r="F21" s="410" t="s">
        <v>34</v>
      </c>
      <c r="G21" s="410"/>
      <c r="H21" s="547" t="s">
        <v>3</v>
      </c>
    </row>
    <row r="22" spans="2:8" ht="21.95" customHeight="1" x14ac:dyDescent="0.2">
      <c r="B22" s="273" t="s">
        <v>299</v>
      </c>
      <c r="C22" s="143"/>
      <c r="D22" s="143"/>
      <c r="E22" s="143" t="s">
        <v>505</v>
      </c>
      <c r="F22" s="143" t="s">
        <v>38</v>
      </c>
      <c r="G22" s="143"/>
      <c r="H22" s="671">
        <f>G18</f>
        <v>7.8947368421052634E-3</v>
      </c>
    </row>
    <row r="23" spans="2:8" ht="21.95" customHeight="1" x14ac:dyDescent="0.2">
      <c r="B23" s="277"/>
      <c r="C23" s="143"/>
      <c r="D23" s="143"/>
      <c r="E23" s="143"/>
      <c r="F23" s="143" t="s">
        <v>39</v>
      </c>
      <c r="G23" s="143"/>
      <c r="H23" s="671">
        <f>SUM(D18:F18)</f>
        <v>0.2868421052631579</v>
      </c>
    </row>
    <row r="24" spans="2:8" ht="21.95" customHeight="1" x14ac:dyDescent="0.2">
      <c r="B24" s="277"/>
      <c r="C24" s="143"/>
      <c r="D24" s="143"/>
      <c r="E24" s="152"/>
      <c r="F24" s="152" t="s">
        <v>36</v>
      </c>
      <c r="G24" s="152"/>
      <c r="H24" s="672">
        <f>C18</f>
        <v>0.70526315789473681</v>
      </c>
    </row>
    <row r="25" spans="2:8" ht="21.95" customHeight="1" x14ac:dyDescent="0.2">
      <c r="B25" s="277"/>
      <c r="C25" s="143"/>
      <c r="D25" s="143"/>
      <c r="E25" s="143"/>
      <c r="F25" s="143"/>
      <c r="G25" s="143"/>
      <c r="H25" s="671"/>
    </row>
    <row r="26" spans="2:8" ht="21.95" customHeight="1" x14ac:dyDescent="0.2">
      <c r="B26" s="277"/>
      <c r="C26" s="143"/>
      <c r="D26" s="143"/>
      <c r="E26" s="143"/>
      <c r="F26" s="143"/>
      <c r="G26" s="143"/>
      <c r="H26" s="671"/>
    </row>
    <row r="27" spans="2:8" ht="21.95" customHeight="1" x14ac:dyDescent="0.2">
      <c r="B27" s="280"/>
      <c r="C27" s="152"/>
      <c r="D27" s="152"/>
      <c r="E27" s="152"/>
      <c r="F27" s="152"/>
      <c r="G27" s="152"/>
      <c r="H27" s="672"/>
    </row>
    <row r="28" spans="2:8" ht="21.95" customHeight="1" x14ac:dyDescent="0.2">
      <c r="B28" s="273" t="s">
        <v>300</v>
      </c>
      <c r="C28" s="143"/>
      <c r="D28" s="143"/>
      <c r="E28" s="143" t="s">
        <v>505</v>
      </c>
      <c r="F28" s="143" t="s">
        <v>26</v>
      </c>
      <c r="G28" s="143"/>
      <c r="H28" s="295">
        <f>H17</f>
        <v>76</v>
      </c>
    </row>
    <row r="29" spans="2:8" ht="21.95" customHeight="1" x14ac:dyDescent="0.2">
      <c r="B29" s="290"/>
      <c r="C29" s="291"/>
      <c r="D29" s="291"/>
      <c r="E29" s="291"/>
      <c r="F29" s="291"/>
      <c r="G29" s="291"/>
      <c r="H29" s="314"/>
    </row>
  </sheetData>
  <mergeCells count="4">
    <mergeCell ref="C9:G9"/>
    <mergeCell ref="H9:H10"/>
    <mergeCell ref="B2:D2"/>
    <mergeCell ref="B9:B10"/>
  </mergeCells>
  <hyperlinks>
    <hyperlink ref="B2" location="Emissions!A1" display="Back to Emissions Tab" xr:uid="{1E0B82D1-0EFD-4BE2-A756-EA33154C2AED}"/>
    <hyperlink ref="B2:D2" location="Safety!A1" display="Back to Safety Tab" xr:uid="{2B991986-226B-4A03-902D-CBD5563A3759}"/>
  </hyperlinks>
  <pageMargins left="0.7" right="0.7" top="0.75" bottom="0.75" header="0.3" footer="0.3"/>
  <pageSetup orientation="landscape"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82F65-26AA-4EF4-B9E5-B72339EDA7BC}">
  <sheetPr>
    <tabColor theme="9"/>
  </sheetPr>
  <dimension ref="B2:S94"/>
  <sheetViews>
    <sheetView showGridLines="0" zoomScale="130" zoomScaleNormal="130" workbookViewId="0">
      <selection activeCell="G38" sqref="G38"/>
    </sheetView>
  </sheetViews>
  <sheetFormatPr defaultColWidth="11.625" defaultRowHeight="21.95" customHeight="1" x14ac:dyDescent="0.2"/>
  <cols>
    <col min="1" max="1" width="3.375" customWidth="1"/>
    <col min="2" max="3" width="11.75" customWidth="1"/>
    <col min="4" max="8" width="11.75" style="2" customWidth="1"/>
    <col min="9" max="10" width="11.75" customWidth="1"/>
    <col min="11" max="11" width="13" customWidth="1"/>
    <col min="12" max="12" width="13.5" customWidth="1"/>
    <col min="13" max="13" width="14.75" customWidth="1"/>
    <col min="14" max="14" width="14.375" bestFit="1" customWidth="1"/>
    <col min="15" max="15" width="14.75" bestFit="1" customWidth="1"/>
    <col min="17" max="18" width="14.75" bestFit="1" customWidth="1"/>
    <col min="20" max="20" width="14.75" bestFit="1" customWidth="1"/>
    <col min="22" max="22" width="14.75" customWidth="1"/>
  </cols>
  <sheetData>
    <row r="2" spans="2:9" ht="23.25" x14ac:dyDescent="0.2">
      <c r="B2" s="242" t="s">
        <v>206</v>
      </c>
      <c r="C2" s="10"/>
    </row>
    <row r="3" spans="2:9" ht="21.95" customHeight="1" x14ac:dyDescent="0.2">
      <c r="D3"/>
      <c r="E3"/>
      <c r="F3"/>
      <c r="G3"/>
    </row>
    <row r="4" spans="2:9" ht="21.95" customHeight="1" x14ac:dyDescent="0.2">
      <c r="B4" s="247" t="s">
        <v>205</v>
      </c>
      <c r="C4" s="31"/>
      <c r="D4" s="31"/>
      <c r="E4" s="31"/>
      <c r="F4" s="31"/>
      <c r="G4" s="31"/>
    </row>
    <row r="11" spans="2:9" ht="21.95" customHeight="1" x14ac:dyDescent="0.2">
      <c r="G11"/>
      <c r="I11" s="2"/>
    </row>
    <row r="12" spans="2:9" ht="21.95" customHeight="1" x14ac:dyDescent="0.2">
      <c r="G12"/>
      <c r="H12"/>
    </row>
    <row r="13" spans="2:9" ht="21.95" customHeight="1" x14ac:dyDescent="0.2">
      <c r="G13"/>
      <c r="H13"/>
    </row>
    <row r="14" spans="2:9" ht="21.95" customHeight="1" x14ac:dyDescent="0.2">
      <c r="G14"/>
      <c r="H14"/>
    </row>
    <row r="15" spans="2:9" ht="21.95" customHeight="1" x14ac:dyDescent="0.2">
      <c r="G15"/>
      <c r="H15"/>
    </row>
    <row r="16" spans="2:9" ht="21.95" customHeight="1" x14ac:dyDescent="0.2">
      <c r="G16"/>
      <c r="H16"/>
    </row>
    <row r="17" spans="2:8" ht="21.95" customHeight="1" x14ac:dyDescent="0.2">
      <c r="H17"/>
    </row>
    <row r="18" spans="2:8" ht="21.95" customHeight="1" x14ac:dyDescent="0.2">
      <c r="H18"/>
    </row>
    <row r="32" spans="2:8" ht="21.95" customHeight="1" x14ac:dyDescent="0.2">
      <c r="B32" s="247" t="s">
        <v>207</v>
      </c>
      <c r="C32" s="31"/>
      <c r="D32" s="31"/>
      <c r="E32" s="31"/>
      <c r="F32" s="31"/>
      <c r="G32" s="31"/>
    </row>
    <row r="33" spans="2:19" ht="21.95" customHeight="1" x14ac:dyDescent="0.2">
      <c r="B33" s="9" t="s">
        <v>208</v>
      </c>
    </row>
    <row r="34" spans="2:19" ht="21.95" customHeight="1" x14ac:dyDescent="0.2">
      <c r="B34" s="9" t="s">
        <v>209</v>
      </c>
    </row>
    <row r="36" spans="2:19" ht="21.95" customHeight="1" x14ac:dyDescent="0.2">
      <c r="H36"/>
    </row>
    <row r="37" spans="2:19" ht="21.95" customHeight="1" x14ac:dyDescent="0.2">
      <c r="H37"/>
    </row>
    <row r="38" spans="2:19" ht="21.95" customHeight="1" x14ac:dyDescent="0.2">
      <c r="H38"/>
    </row>
    <row r="39" spans="2:19" ht="21.95" customHeight="1" x14ac:dyDescent="0.2">
      <c r="H39"/>
    </row>
    <row r="43" spans="2:19" ht="21.95" customHeight="1" x14ac:dyDescent="0.2">
      <c r="B43" s="247" t="s">
        <v>344</v>
      </c>
      <c r="J43" s="75"/>
      <c r="K43" s="75"/>
      <c r="L43" s="75"/>
      <c r="M43" s="75"/>
      <c r="N43" s="75"/>
      <c r="O43" s="241"/>
      <c r="P43" s="75"/>
      <c r="Q43" s="75"/>
      <c r="R43" s="75"/>
      <c r="S43" s="75"/>
    </row>
    <row r="44" spans="2:19" ht="21.95" customHeight="1" x14ac:dyDescent="0.2">
      <c r="B44" s="294" t="s">
        <v>435</v>
      </c>
    </row>
    <row r="45" spans="2:19" ht="21.95" customHeight="1" x14ac:dyDescent="0.2">
      <c r="B45" s="811" t="s">
        <v>30</v>
      </c>
      <c r="C45" s="813" t="s">
        <v>110</v>
      </c>
      <c r="D45" s="813" t="s">
        <v>450</v>
      </c>
      <c r="E45" s="813" t="s">
        <v>451</v>
      </c>
      <c r="F45" s="813" t="s">
        <v>251</v>
      </c>
      <c r="G45" s="813" t="s">
        <v>252</v>
      </c>
      <c r="H45" s="815" t="s">
        <v>250</v>
      </c>
      <c r="I45" s="815" t="s">
        <v>203</v>
      </c>
      <c r="J45" s="815" t="s">
        <v>346</v>
      </c>
      <c r="K45" s="827" t="s">
        <v>249</v>
      </c>
      <c r="L45" s="809"/>
      <c r="M45" s="828"/>
      <c r="N45" s="827" t="s">
        <v>328</v>
      </c>
      <c r="O45" s="828"/>
      <c r="P45" s="809" t="s">
        <v>329</v>
      </c>
      <c r="Q45" s="810"/>
    </row>
    <row r="46" spans="2:19" ht="21.95" customHeight="1" x14ac:dyDescent="0.2">
      <c r="B46" s="812"/>
      <c r="C46" s="814"/>
      <c r="D46" s="814"/>
      <c r="E46" s="814"/>
      <c r="F46" s="814"/>
      <c r="G46" s="814"/>
      <c r="H46" s="814"/>
      <c r="I46" s="816"/>
      <c r="J46" s="816"/>
      <c r="K46" s="685">
        <v>2022</v>
      </c>
      <c r="L46" s="545">
        <v>2052</v>
      </c>
      <c r="M46" s="686">
        <v>2048</v>
      </c>
      <c r="N46" s="685">
        <v>2022</v>
      </c>
      <c r="O46" s="686" t="s">
        <v>626</v>
      </c>
      <c r="P46" s="545">
        <v>2022</v>
      </c>
      <c r="Q46" s="546" t="s">
        <v>626</v>
      </c>
    </row>
    <row r="47" spans="2:19" ht="21.95" customHeight="1" x14ac:dyDescent="0.2">
      <c r="B47" s="277" t="s">
        <v>9</v>
      </c>
      <c r="C47" s="365" t="s">
        <v>503</v>
      </c>
      <c r="D47" s="382">
        <f>Inputs!$E$48</f>
        <v>0.91</v>
      </c>
      <c r="E47" s="382">
        <f>Inputs!$E$49</f>
        <v>0.9</v>
      </c>
      <c r="F47" s="383">
        <v>0.2</v>
      </c>
      <c r="G47" s="365">
        <v>10</v>
      </c>
      <c r="H47" s="216">
        <f>2400 * D47 * E47</f>
        <v>1965.6000000000001</v>
      </c>
      <c r="I47" s="143">
        <v>4</v>
      </c>
      <c r="J47" s="364">
        <f>Inputs!$E$46</f>
        <v>75</v>
      </c>
      <c r="K47" s="673">
        <f>Inputs!$E$39</f>
        <v>52600</v>
      </c>
      <c r="L47" s="216">
        <f>Inputs!$E$40</f>
        <v>84042.925278219467</v>
      </c>
      <c r="M47" s="674" cm="1">
        <f t="array" ref="M47">GROWTH(K47:L47, $K$46:$L$46, $M$46)</f>
        <v>78952.479147535487</v>
      </c>
      <c r="N47" s="675">
        <f>Inputs!E47</f>
        <v>72.017436974789902</v>
      </c>
      <c r="O47" s="676">
        <f>ROUND(MIN(J47, N47 / (1 + F47 * (M47 * 0.328 / (H47 * I47 * (2 + 2)))^G47)),0)</f>
        <v>70</v>
      </c>
      <c r="P47" s="383">
        <f>N47</f>
        <v>72.017436974789902</v>
      </c>
      <c r="Q47" s="559">
        <f>MIN(P47, J47 / (1 + F47 * (M47 * (1- percentPeak) / (H47 * 4 *nonpeakHours))^G47))</f>
        <v>72.017436974789902</v>
      </c>
    </row>
    <row r="48" spans="2:19" ht="21.95" customHeight="1" x14ac:dyDescent="0.2">
      <c r="B48" s="280"/>
      <c r="C48" s="353"/>
      <c r="D48" s="379"/>
      <c r="E48" s="379"/>
      <c r="F48" s="357"/>
      <c r="G48" s="353"/>
      <c r="H48" s="217"/>
      <c r="I48" s="152"/>
      <c r="J48" s="378"/>
      <c r="K48" s="677"/>
      <c r="L48" s="217"/>
      <c r="M48" s="217"/>
      <c r="N48" s="678"/>
      <c r="O48" s="679"/>
      <c r="P48" s="357"/>
      <c r="Q48" s="560"/>
    </row>
    <row r="49" spans="2:17" ht="21.95" customHeight="1" x14ac:dyDescent="0.2">
      <c r="B49" s="277" t="s">
        <v>10</v>
      </c>
      <c r="C49" s="365" t="s">
        <v>503</v>
      </c>
      <c r="D49" s="382">
        <f>Inputs!$E$48</f>
        <v>0.91</v>
      </c>
      <c r="E49" s="382">
        <f>Inputs!$E$49</f>
        <v>0.9</v>
      </c>
      <c r="F49" s="383">
        <v>0.2</v>
      </c>
      <c r="G49" s="365">
        <v>10</v>
      </c>
      <c r="H49" s="216">
        <f>2400 * D49 * E49</f>
        <v>1965.6000000000001</v>
      </c>
      <c r="I49" s="143">
        <v>6</v>
      </c>
      <c r="J49" s="364">
        <f>Inputs!$E$46</f>
        <v>75</v>
      </c>
      <c r="K49" s="673">
        <f>K47</f>
        <v>52600</v>
      </c>
      <c r="L49" s="216">
        <f>L47</f>
        <v>84042.925278219467</v>
      </c>
      <c r="M49" s="674" cm="1">
        <f t="array" ref="M49">GROWTH(K49:L49, $K$46:$L$46, $M$46)</f>
        <v>78952.479147535487</v>
      </c>
      <c r="N49" s="675">
        <f>Inputs!E46</f>
        <v>75</v>
      </c>
      <c r="O49" s="676">
        <f>ROUND(MIN(N49, J49 / (1 + F49 * (M49 * percentPeak / (H49 * I49 * (peakHoursAM + peakHoursPM)))^G49)),0)</f>
        <v>75</v>
      </c>
      <c r="P49" s="383">
        <f>J49 / (1 + F49 * (K49 * (1 - percentPeak) / (H49 * I49 * nonpeakHours))^G49)</f>
        <v>74.999996966827439</v>
      </c>
      <c r="Q49" s="559">
        <f>ROUND(MIN(P49, J49 / (1 + F49 * (M49 * (1- percentPeak) / (H49 * 4 * nonpeakHours))^G49)),0)</f>
        <v>75</v>
      </c>
    </row>
    <row r="50" spans="2:17" ht="21.95" customHeight="1" x14ac:dyDescent="0.2">
      <c r="B50" s="290"/>
      <c r="C50" s="519"/>
      <c r="D50" s="680"/>
      <c r="E50" s="680"/>
      <c r="F50" s="385"/>
      <c r="G50" s="519"/>
      <c r="H50" s="511"/>
      <c r="I50" s="291"/>
      <c r="J50" s="386"/>
      <c r="K50" s="681"/>
      <c r="L50" s="511"/>
      <c r="M50" s="682"/>
      <c r="N50" s="683"/>
      <c r="O50" s="679"/>
      <c r="P50" s="385"/>
      <c r="Q50" s="684"/>
    </row>
    <row r="51" spans="2:17" ht="21.95" customHeight="1" x14ac:dyDescent="0.2">
      <c r="B51" s="826" t="s">
        <v>318</v>
      </c>
      <c r="C51" s="826"/>
      <c r="D51" s="826"/>
      <c r="E51" s="826"/>
    </row>
    <row r="52" spans="2:17" ht="21.95" customHeight="1" x14ac:dyDescent="0.2">
      <c r="B52" s="9" t="s">
        <v>345</v>
      </c>
      <c r="C52" s="122"/>
      <c r="D52" s="122"/>
      <c r="E52" s="122"/>
      <c r="L52" s="184"/>
      <c r="N52" s="11"/>
      <c r="O52" s="11"/>
      <c r="P52" s="11"/>
      <c r="Q52" s="11"/>
    </row>
    <row r="53" spans="2:17" ht="21.95" customHeight="1" x14ac:dyDescent="0.2">
      <c r="B53" s="122"/>
      <c r="C53" s="122"/>
      <c r="D53" s="122"/>
      <c r="E53" s="122"/>
      <c r="L53" s="184"/>
      <c r="N53" s="11"/>
      <c r="O53" s="11"/>
      <c r="P53" s="11"/>
      <c r="Q53" s="11"/>
    </row>
    <row r="54" spans="2:17" ht="21.95" customHeight="1" x14ac:dyDescent="0.2">
      <c r="B54" s="122"/>
      <c r="C54" s="122"/>
      <c r="D54" s="122"/>
      <c r="E54" s="122"/>
    </row>
    <row r="55" spans="2:17" ht="21.95" customHeight="1" x14ac:dyDescent="0.2">
      <c r="B55" s="349" t="s">
        <v>348</v>
      </c>
    </row>
    <row r="56" spans="2:17" ht="21.95" customHeight="1" x14ac:dyDescent="0.2">
      <c r="B56" s="294" t="s">
        <v>213</v>
      </c>
    </row>
    <row r="57" spans="2:17" ht="21.95" customHeight="1" thickBot="1" x14ac:dyDescent="0.25">
      <c r="B57" s="294" t="s">
        <v>218</v>
      </c>
    </row>
    <row r="58" spans="2:17" ht="21.95" customHeight="1" thickTop="1" x14ac:dyDescent="0.2">
      <c r="B58" s="66"/>
      <c r="C58" s="67"/>
      <c r="D58" s="67"/>
      <c r="E58" s="67"/>
      <c r="F58" s="67"/>
      <c r="G58" s="67"/>
      <c r="H58" s="67"/>
      <c r="I58" s="67"/>
      <c r="J58" s="68"/>
    </row>
    <row r="59" spans="2:17" ht="21.95" customHeight="1" x14ac:dyDescent="0.2">
      <c r="B59" s="69"/>
      <c r="C59" s="70" t="s">
        <v>189</v>
      </c>
      <c r="D59" s="71"/>
      <c r="E59" s="71"/>
      <c r="F59" s="71"/>
      <c r="G59" s="71"/>
      <c r="H59" s="71"/>
      <c r="I59" s="71"/>
      <c r="J59" s="72"/>
    </row>
    <row r="60" spans="2:17" ht="21.95" customHeight="1" x14ac:dyDescent="0.2">
      <c r="B60" s="73"/>
      <c r="C60" s="74" t="s">
        <v>190</v>
      </c>
      <c r="D60" s="71"/>
      <c r="E60" s="71"/>
      <c r="F60" s="71"/>
      <c r="G60" s="71"/>
      <c r="H60" s="71"/>
      <c r="I60" s="71"/>
      <c r="J60" s="72"/>
    </row>
    <row r="61" spans="2:17" ht="21.95" customHeight="1" x14ac:dyDescent="0.2">
      <c r="B61" s="73"/>
      <c r="C61" s="75"/>
      <c r="D61" s="75"/>
      <c r="E61" s="75"/>
      <c r="F61" s="75"/>
      <c r="G61" s="75"/>
      <c r="H61" s="75"/>
      <c r="I61" s="75"/>
      <c r="J61" s="72"/>
    </row>
    <row r="62" spans="2:17" ht="21.95" customHeight="1" x14ac:dyDescent="0.2">
      <c r="B62" s="73"/>
      <c r="C62" s="76" t="s">
        <v>191</v>
      </c>
      <c r="D62" s="77" t="s">
        <v>192</v>
      </c>
      <c r="E62" s="78"/>
      <c r="F62" s="78"/>
      <c r="G62" s="78"/>
      <c r="H62" s="79"/>
      <c r="I62" s="80"/>
      <c r="J62" s="72"/>
    </row>
    <row r="63" spans="2:17" ht="21.95" customHeight="1" x14ac:dyDescent="0.2">
      <c r="B63" s="73"/>
      <c r="C63" s="81" t="s">
        <v>193</v>
      </c>
      <c r="D63" s="82" t="s">
        <v>194</v>
      </c>
      <c r="E63" s="83"/>
      <c r="F63" s="83" t="s">
        <v>195</v>
      </c>
      <c r="G63" s="83"/>
      <c r="H63" s="84" t="s">
        <v>196</v>
      </c>
      <c r="I63" s="85"/>
      <c r="J63" s="72"/>
    </row>
    <row r="64" spans="2:17" ht="21.95" customHeight="1" x14ac:dyDescent="0.2">
      <c r="B64" s="73"/>
      <c r="C64" s="86" t="s">
        <v>197</v>
      </c>
      <c r="D64" s="87" t="s">
        <v>198</v>
      </c>
      <c r="E64" s="88" t="s">
        <v>199</v>
      </c>
      <c r="F64" s="88" t="s">
        <v>198</v>
      </c>
      <c r="G64" s="88" t="s">
        <v>199</v>
      </c>
      <c r="H64" s="88" t="s">
        <v>198</v>
      </c>
      <c r="I64" s="89" t="s">
        <v>199</v>
      </c>
      <c r="J64" s="72"/>
    </row>
    <row r="65" spans="2:10" ht="21.95" customHeight="1" x14ac:dyDescent="0.2">
      <c r="B65" s="73"/>
      <c r="C65" s="90">
        <v>1</v>
      </c>
      <c r="D65" s="91">
        <v>8.5000000000000006E-2</v>
      </c>
      <c r="E65" s="92">
        <v>8.5000000000000006E-2</v>
      </c>
      <c r="F65" s="92">
        <v>8.5000000000000006E-2</v>
      </c>
      <c r="G65" s="92">
        <v>8.5000000000000006E-2</v>
      </c>
      <c r="H65" s="92">
        <v>8.5000000000000006E-2</v>
      </c>
      <c r="I65" s="93">
        <v>8.5000000000000006E-2</v>
      </c>
      <c r="J65" s="72"/>
    </row>
    <row r="66" spans="2:10" ht="21.95" customHeight="1" x14ac:dyDescent="0.2">
      <c r="B66" s="73"/>
      <c r="C66" s="94">
        <v>2</v>
      </c>
      <c r="D66" s="95">
        <v>0.16800000000000001</v>
      </c>
      <c r="E66" s="96">
        <v>0.16800000000000001</v>
      </c>
      <c r="F66" s="96">
        <v>0.16800000000000001</v>
      </c>
      <c r="G66" s="96">
        <v>0.16800000000000001</v>
      </c>
      <c r="H66" s="96">
        <v>0.16800000000000001</v>
      </c>
      <c r="I66" s="97">
        <v>0.16800000000000001</v>
      </c>
      <c r="J66" s="72"/>
    </row>
    <row r="67" spans="2:10" ht="21.95" customHeight="1" x14ac:dyDescent="0.2">
      <c r="B67" s="73"/>
      <c r="C67" s="94">
        <v>3</v>
      </c>
      <c r="D67" s="95">
        <v>0.25</v>
      </c>
      <c r="E67" s="96">
        <v>0.25</v>
      </c>
      <c r="F67" s="96">
        <v>0.25</v>
      </c>
      <c r="G67" s="96">
        <v>0.25</v>
      </c>
      <c r="H67" s="96">
        <v>0.25</v>
      </c>
      <c r="I67" s="97">
        <v>0.25</v>
      </c>
      <c r="J67" s="72"/>
    </row>
    <row r="68" spans="2:10" ht="21.95" customHeight="1" x14ac:dyDescent="0.2">
      <c r="B68" s="73"/>
      <c r="C68" s="94">
        <v>4</v>
      </c>
      <c r="D68" s="95">
        <v>0.32800000000000001</v>
      </c>
      <c r="E68" s="96">
        <v>0.32800000000000001</v>
      </c>
      <c r="F68" s="96">
        <v>0.32800000000000001</v>
      </c>
      <c r="G68" s="96">
        <v>0.32800000000000001</v>
      </c>
      <c r="H68" s="96">
        <v>0.32800000000000001</v>
      </c>
      <c r="I68" s="97">
        <v>0.32800000000000001</v>
      </c>
      <c r="J68" s="72"/>
    </row>
    <row r="69" spans="2:10" ht="21.95" customHeight="1" x14ac:dyDescent="0.2">
      <c r="B69" s="73"/>
      <c r="C69" s="94">
        <v>5</v>
      </c>
      <c r="D69" s="95">
        <v>0.40300000000000002</v>
      </c>
      <c r="E69" s="96">
        <v>0.40300000000000002</v>
      </c>
      <c r="F69" s="96">
        <v>0.40300000000000002</v>
      </c>
      <c r="G69" s="96">
        <v>0.40300000000000002</v>
      </c>
      <c r="H69" s="96">
        <v>0.40300000000000002</v>
      </c>
      <c r="I69" s="97">
        <v>0.40300000000000002</v>
      </c>
      <c r="J69" s="72"/>
    </row>
    <row r="70" spans="2:10" ht="21.95" customHeight="1" x14ac:dyDescent="0.2">
      <c r="B70" s="73"/>
      <c r="C70" s="94">
        <v>6</v>
      </c>
      <c r="D70" s="95">
        <v>0.47400000000000003</v>
      </c>
      <c r="E70" s="96">
        <v>0.47400000000000003</v>
      </c>
      <c r="F70" s="96">
        <v>0.47400000000000003</v>
      </c>
      <c r="G70" s="96">
        <v>0.47400000000000003</v>
      </c>
      <c r="H70" s="96">
        <v>0.47400000000000003</v>
      </c>
      <c r="I70" s="97">
        <v>0.47400000000000003</v>
      </c>
      <c r="J70" s="72"/>
    </row>
    <row r="71" spans="2:10" ht="21.95" customHeight="1" x14ac:dyDescent="0.2">
      <c r="B71" s="73"/>
      <c r="C71" s="94">
        <v>7</v>
      </c>
      <c r="D71" s="95">
        <v>0.54200000000000004</v>
      </c>
      <c r="E71" s="96">
        <v>0.54200000000000004</v>
      </c>
      <c r="F71" s="96">
        <v>0.54200000000000004</v>
      </c>
      <c r="G71" s="96">
        <v>0.54200000000000004</v>
      </c>
      <c r="H71" s="96">
        <v>0.54200000000000004</v>
      </c>
      <c r="I71" s="97">
        <v>0.54200000000000004</v>
      </c>
      <c r="J71" s="72"/>
    </row>
    <row r="72" spans="2:10" ht="21.95" customHeight="1" x14ac:dyDescent="0.2">
      <c r="B72" s="73"/>
      <c r="C72" s="94">
        <v>8</v>
      </c>
      <c r="D72" s="95">
        <v>0.6080000000000001</v>
      </c>
      <c r="E72" s="96">
        <v>0.6080000000000001</v>
      </c>
      <c r="F72" s="96">
        <v>0.6080000000000001</v>
      </c>
      <c r="G72" s="96">
        <v>0.6080000000000001</v>
      </c>
      <c r="H72" s="96">
        <v>0.6080000000000001</v>
      </c>
      <c r="I72" s="97">
        <v>0.6080000000000001</v>
      </c>
      <c r="J72" s="72"/>
    </row>
    <row r="73" spans="2:10" ht="21.95" customHeight="1" x14ac:dyDescent="0.2">
      <c r="B73" s="73"/>
      <c r="C73" s="94">
        <v>9</v>
      </c>
      <c r="D73" s="95">
        <v>0.67100000000000004</v>
      </c>
      <c r="E73" s="96">
        <v>0.67100000000000004</v>
      </c>
      <c r="F73" s="96">
        <v>0.67100000000000004</v>
      </c>
      <c r="G73" s="96">
        <v>0.67100000000000004</v>
      </c>
      <c r="H73" s="96">
        <v>0.67100000000000004</v>
      </c>
      <c r="I73" s="97">
        <v>0.67100000000000004</v>
      </c>
      <c r="J73" s="72"/>
    </row>
    <row r="74" spans="2:10" ht="21.95" customHeight="1" x14ac:dyDescent="0.2">
      <c r="B74" s="73"/>
      <c r="C74" s="94">
        <v>10</v>
      </c>
      <c r="D74" s="95">
        <v>0.73399999999999999</v>
      </c>
      <c r="E74" s="96">
        <v>0.73399999999999999</v>
      </c>
      <c r="F74" s="96">
        <v>0.73399999999999999</v>
      </c>
      <c r="G74" s="96">
        <v>0.73399999999999999</v>
      </c>
      <c r="H74" s="96">
        <v>0.73399999999999999</v>
      </c>
      <c r="I74" s="97">
        <v>0.73399999999999999</v>
      </c>
      <c r="J74" s="72"/>
    </row>
    <row r="75" spans="2:10" ht="21.95" customHeight="1" x14ac:dyDescent="0.2">
      <c r="B75" s="73"/>
      <c r="C75" s="94">
        <v>11</v>
      </c>
      <c r="D75" s="95">
        <v>0.79</v>
      </c>
      <c r="E75" s="96">
        <v>0.79</v>
      </c>
      <c r="F75" s="96">
        <v>0.79</v>
      </c>
      <c r="G75" s="96">
        <v>0.79</v>
      </c>
      <c r="H75" s="96">
        <v>0.79</v>
      </c>
      <c r="I75" s="97">
        <v>0.79</v>
      </c>
      <c r="J75" s="72"/>
    </row>
    <row r="76" spans="2:10" ht="21.95" customHeight="1" x14ac:dyDescent="0.2">
      <c r="B76" s="73"/>
      <c r="C76" s="94">
        <v>12</v>
      </c>
      <c r="D76" s="95">
        <v>0.84300000000000008</v>
      </c>
      <c r="E76" s="96">
        <v>0.84300000000000008</v>
      </c>
      <c r="F76" s="96">
        <v>0.84300000000000008</v>
      </c>
      <c r="G76" s="96">
        <v>0.84300000000000008</v>
      </c>
      <c r="H76" s="96">
        <v>0.84300000000000008</v>
      </c>
      <c r="I76" s="97">
        <v>0.84300000000000008</v>
      </c>
      <c r="J76" s="72"/>
    </row>
    <row r="77" spans="2:10" ht="21.95" customHeight="1" x14ac:dyDescent="0.2">
      <c r="B77" s="73"/>
      <c r="C77" s="94">
        <v>13</v>
      </c>
      <c r="D77" s="95">
        <v>0.88600000000000012</v>
      </c>
      <c r="E77" s="96">
        <v>0.88600000000000012</v>
      </c>
      <c r="F77" s="96">
        <v>0.88600000000000012</v>
      </c>
      <c r="G77" s="96">
        <v>0.88600000000000012</v>
      </c>
      <c r="H77" s="96">
        <v>0.88600000000000012</v>
      </c>
      <c r="I77" s="97">
        <v>0.88600000000000012</v>
      </c>
      <c r="J77" s="72"/>
    </row>
    <row r="78" spans="2:10" ht="21.95" customHeight="1" x14ac:dyDescent="0.2">
      <c r="B78" s="73"/>
      <c r="C78" s="94">
        <v>14</v>
      </c>
      <c r="D78" s="95">
        <v>0.91600000000000015</v>
      </c>
      <c r="E78" s="96">
        <v>0.91600000000000015</v>
      </c>
      <c r="F78" s="96">
        <v>0.91600000000000015</v>
      </c>
      <c r="G78" s="96">
        <v>0.91600000000000015</v>
      </c>
      <c r="H78" s="96">
        <v>0.91600000000000015</v>
      </c>
      <c r="I78" s="97">
        <v>0.91600000000000015</v>
      </c>
      <c r="J78" s="72"/>
    </row>
    <row r="79" spans="2:10" ht="21.95" customHeight="1" x14ac:dyDescent="0.2">
      <c r="B79" s="73"/>
      <c r="C79" s="94">
        <v>15</v>
      </c>
      <c r="D79" s="95">
        <v>0.94300000000000017</v>
      </c>
      <c r="E79" s="96">
        <v>0.94300000000000017</v>
      </c>
      <c r="F79" s="96">
        <v>0.94300000000000017</v>
      </c>
      <c r="G79" s="96">
        <v>0.94300000000000017</v>
      </c>
      <c r="H79" s="96">
        <v>0.94300000000000017</v>
      </c>
      <c r="I79" s="97">
        <v>0.94300000000000017</v>
      </c>
      <c r="J79" s="72"/>
    </row>
    <row r="80" spans="2:10" ht="21.95" customHeight="1" x14ac:dyDescent="0.2">
      <c r="B80" s="73"/>
      <c r="C80" s="94">
        <v>16</v>
      </c>
      <c r="D80" s="95">
        <v>0.96400000000000019</v>
      </c>
      <c r="E80" s="96">
        <v>0.96400000000000019</v>
      </c>
      <c r="F80" s="96">
        <v>0.96400000000000019</v>
      </c>
      <c r="G80" s="96">
        <v>0.96400000000000019</v>
      </c>
      <c r="H80" s="96">
        <v>0.96400000000000019</v>
      </c>
      <c r="I80" s="97">
        <v>0.96400000000000019</v>
      </c>
      <c r="J80" s="72"/>
    </row>
    <row r="81" spans="2:10" ht="21.95" customHeight="1" x14ac:dyDescent="0.2">
      <c r="B81" s="73"/>
      <c r="C81" s="94">
        <v>17</v>
      </c>
      <c r="D81" s="95">
        <v>0.9760000000000002</v>
      </c>
      <c r="E81" s="96">
        <v>0.9760000000000002</v>
      </c>
      <c r="F81" s="96">
        <v>0.9760000000000002</v>
      </c>
      <c r="G81" s="96">
        <v>0.9760000000000002</v>
      </c>
      <c r="H81" s="96">
        <v>0.9760000000000002</v>
      </c>
      <c r="I81" s="97">
        <v>0.9760000000000002</v>
      </c>
      <c r="J81" s="72"/>
    </row>
    <row r="82" spans="2:10" ht="21.95" customHeight="1" x14ac:dyDescent="0.2">
      <c r="B82" s="73"/>
      <c r="C82" s="94">
        <v>18</v>
      </c>
      <c r="D82" s="95">
        <v>0.98500000000000021</v>
      </c>
      <c r="E82" s="96">
        <v>0.98500000000000021</v>
      </c>
      <c r="F82" s="96">
        <v>0.98500000000000021</v>
      </c>
      <c r="G82" s="96">
        <v>0.98500000000000021</v>
      </c>
      <c r="H82" s="96">
        <v>0.98500000000000021</v>
      </c>
      <c r="I82" s="97">
        <v>0.98500000000000021</v>
      </c>
      <c r="J82" s="72"/>
    </row>
    <row r="83" spans="2:10" ht="21.95" customHeight="1" x14ac:dyDescent="0.2">
      <c r="B83" s="73"/>
      <c r="C83" s="94">
        <v>19</v>
      </c>
      <c r="D83" s="95">
        <v>0.99100000000000021</v>
      </c>
      <c r="E83" s="96">
        <v>0.99100000000000021</v>
      </c>
      <c r="F83" s="96">
        <v>0.99100000000000021</v>
      </c>
      <c r="G83" s="96">
        <v>0.99100000000000021</v>
      </c>
      <c r="H83" s="96">
        <v>0.99100000000000021</v>
      </c>
      <c r="I83" s="97">
        <v>0.99100000000000021</v>
      </c>
      <c r="J83" s="72"/>
    </row>
    <row r="84" spans="2:10" ht="21.95" customHeight="1" x14ac:dyDescent="0.2">
      <c r="B84" s="73"/>
      <c r="C84" s="94">
        <v>20</v>
      </c>
      <c r="D84" s="95">
        <v>0.99400000000000022</v>
      </c>
      <c r="E84" s="96">
        <v>0.99400000000000022</v>
      </c>
      <c r="F84" s="96">
        <v>0.99400000000000022</v>
      </c>
      <c r="G84" s="96">
        <v>0.99400000000000022</v>
      </c>
      <c r="H84" s="96">
        <v>0.99400000000000022</v>
      </c>
      <c r="I84" s="97">
        <v>0.99400000000000022</v>
      </c>
      <c r="J84" s="72"/>
    </row>
    <row r="85" spans="2:10" ht="21.95" customHeight="1" x14ac:dyDescent="0.2">
      <c r="B85" s="73"/>
      <c r="C85" s="94">
        <v>21</v>
      </c>
      <c r="D85" s="95">
        <v>0.99700000000000022</v>
      </c>
      <c r="E85" s="96">
        <v>0.99700000000000022</v>
      </c>
      <c r="F85" s="96">
        <v>0.99700000000000022</v>
      </c>
      <c r="G85" s="96">
        <v>0.99700000000000022</v>
      </c>
      <c r="H85" s="96">
        <v>0.99700000000000022</v>
      </c>
      <c r="I85" s="97">
        <v>0.99700000000000022</v>
      </c>
      <c r="J85" s="72"/>
    </row>
    <row r="86" spans="2:10" ht="21.95" customHeight="1" x14ac:dyDescent="0.2">
      <c r="B86" s="73"/>
      <c r="C86" s="94">
        <v>22</v>
      </c>
      <c r="D86" s="95">
        <v>0.99800000000000022</v>
      </c>
      <c r="E86" s="96">
        <v>0.99800000000000022</v>
      </c>
      <c r="F86" s="96">
        <v>0.99800000000000022</v>
      </c>
      <c r="G86" s="96">
        <v>0.99800000000000022</v>
      </c>
      <c r="H86" s="96">
        <v>0.99800000000000022</v>
      </c>
      <c r="I86" s="97">
        <v>0.99800000000000022</v>
      </c>
      <c r="J86" s="72"/>
    </row>
    <row r="87" spans="2:10" ht="21.95" customHeight="1" x14ac:dyDescent="0.2">
      <c r="B87" s="73"/>
      <c r="C87" s="94">
        <v>23</v>
      </c>
      <c r="D87" s="95">
        <v>0.99900000000000022</v>
      </c>
      <c r="E87" s="96">
        <v>0.99900000000000022</v>
      </c>
      <c r="F87" s="96">
        <v>0.99900000000000022</v>
      </c>
      <c r="G87" s="96">
        <v>0.99900000000000022</v>
      </c>
      <c r="H87" s="96">
        <v>0.99900000000000022</v>
      </c>
      <c r="I87" s="97">
        <v>0.99900000000000022</v>
      </c>
      <c r="J87" s="72"/>
    </row>
    <row r="88" spans="2:10" ht="21.95" customHeight="1" x14ac:dyDescent="0.2">
      <c r="B88" s="73"/>
      <c r="C88" s="98">
        <v>24</v>
      </c>
      <c r="D88" s="99">
        <v>1.0000000000000002</v>
      </c>
      <c r="E88" s="100">
        <v>1.0000000000000002</v>
      </c>
      <c r="F88" s="100">
        <v>1.0000000000000002</v>
      </c>
      <c r="G88" s="100">
        <v>1.0000000000000002</v>
      </c>
      <c r="H88" s="100">
        <v>1.0000000000000002</v>
      </c>
      <c r="I88" s="101">
        <v>1.0000000000000002</v>
      </c>
      <c r="J88" s="72"/>
    </row>
    <row r="89" spans="2:10" ht="21.95" customHeight="1" x14ac:dyDescent="0.2">
      <c r="B89" s="73"/>
      <c r="C89" s="105" t="s">
        <v>200</v>
      </c>
      <c r="D89" s="110"/>
      <c r="E89" s="110"/>
      <c r="F89" s="110"/>
      <c r="G89" s="110"/>
      <c r="H89" s="110"/>
      <c r="I89" s="110"/>
      <c r="J89" s="72"/>
    </row>
    <row r="90" spans="2:10" ht="21.95" customHeight="1" x14ac:dyDescent="0.2">
      <c r="B90" s="73"/>
      <c r="C90" s="106" t="s">
        <v>201</v>
      </c>
      <c r="D90" s="110"/>
      <c r="E90" s="110"/>
      <c r="F90" s="110"/>
      <c r="G90" s="110"/>
      <c r="H90" s="110"/>
      <c r="I90" s="110"/>
      <c r="J90" s="72"/>
    </row>
    <row r="91" spans="2:10" ht="21.95" customHeight="1" thickBot="1" x14ac:dyDescent="0.25">
      <c r="B91" s="102"/>
      <c r="C91" s="103"/>
      <c r="D91" s="103"/>
      <c r="E91" s="103"/>
      <c r="F91" s="103"/>
      <c r="G91" s="103"/>
      <c r="H91" s="103"/>
      <c r="I91" s="103"/>
      <c r="J91" s="104"/>
    </row>
    <row r="92" spans="2:10" ht="21.95" customHeight="1" thickTop="1" x14ac:dyDescent="0.2">
      <c r="B92" s="75"/>
      <c r="C92" s="75"/>
      <c r="D92" s="75"/>
      <c r="E92" s="75"/>
      <c r="F92" s="75"/>
      <c r="G92" s="75"/>
      <c r="H92" s="75"/>
      <c r="I92" s="75"/>
      <c r="J92" s="75"/>
    </row>
    <row r="93" spans="2:10" ht="21.95" customHeight="1" x14ac:dyDescent="0.2">
      <c r="C93" s="75"/>
      <c r="D93" s="75"/>
      <c r="E93" s="75"/>
      <c r="F93" s="75"/>
      <c r="G93" s="75"/>
      <c r="H93" s="75"/>
      <c r="I93" s="75"/>
      <c r="J93" s="75"/>
    </row>
    <row r="94" spans="2:10" ht="21.95" customHeight="1" x14ac:dyDescent="0.2">
      <c r="C94" s="75"/>
      <c r="D94" s="75"/>
      <c r="E94" s="75"/>
      <c r="F94" s="75"/>
      <c r="G94" s="75"/>
      <c r="H94" s="75"/>
      <c r="I94" s="75"/>
      <c r="J94" s="75"/>
    </row>
  </sheetData>
  <mergeCells count="13">
    <mergeCell ref="B51:E51"/>
    <mergeCell ref="N45:O45"/>
    <mergeCell ref="P45:Q45"/>
    <mergeCell ref="K45:M45"/>
    <mergeCell ref="I45:I46"/>
    <mergeCell ref="J45:J46"/>
    <mergeCell ref="H45:H46"/>
    <mergeCell ref="G45:G46"/>
    <mergeCell ref="F45:F46"/>
    <mergeCell ref="C45:C46"/>
    <mergeCell ref="B45:B46"/>
    <mergeCell ref="D45:D46"/>
    <mergeCell ref="E45:E46"/>
  </mergeCells>
  <hyperlinks>
    <hyperlink ref="B51" location="'Vehicle Volume'!J9:J16" display="Referenced in: Vehicle Volume" xr:uid="{F338E8C2-00D8-4691-AA39-F4096E2F0A54}"/>
    <hyperlink ref="B51:E51" location="'Volume and Speed'!J7:L16" display="Used in: Volume and Speed" xr:uid="{BDDC6BF7-EA50-4157-8494-BDB60EB41FFA}"/>
  </hyperlinks>
  <pageMargins left="0.7" right="0.7" top="0.75" bottom="0.75" header="0.3" footer="0.3"/>
  <pageSetup orientation="portrait" horizontalDpi="90" verticalDpi="9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7660D-8FE6-4AE7-B000-B63CB21B261E}">
  <sheetPr codeName="Sheet6">
    <tabColor theme="9"/>
  </sheetPr>
  <dimension ref="A1:AR1323"/>
  <sheetViews>
    <sheetView showGridLines="0" zoomScale="85" zoomScaleNormal="85" workbookViewId="0">
      <pane ySplit="11" topLeftCell="A15" activePane="bottomLeft" state="frozen"/>
      <selection activeCell="B12" sqref="B12:B16"/>
      <selection pane="bottomLeft" activeCell="J11" sqref="J11:O42"/>
    </sheetView>
  </sheetViews>
  <sheetFormatPr defaultColWidth="11.625" defaultRowHeight="21.95" customHeight="1" x14ac:dyDescent="0.2"/>
  <cols>
    <col min="1" max="1" width="3.375" customWidth="1"/>
    <col min="2" max="2" width="31.125" customWidth="1"/>
    <col min="3" max="3" width="13.75" bestFit="1" customWidth="1"/>
    <col min="4" max="10" width="11.625" style="2" customWidth="1"/>
    <col min="12" max="12" width="13.625" bestFit="1" customWidth="1"/>
    <col min="13" max="13" width="15" bestFit="1" customWidth="1"/>
    <col min="14" max="14" width="16" bestFit="1" customWidth="1"/>
    <col min="15" max="15" width="66" customWidth="1"/>
  </cols>
  <sheetData>
    <row r="1" spans="1:15" ht="21.95" customHeight="1" x14ac:dyDescent="0.2">
      <c r="E1" s="48"/>
    </row>
    <row r="2" spans="1:15" ht="21.95" customHeight="1" x14ac:dyDescent="0.2">
      <c r="B2" s="823" t="s">
        <v>88</v>
      </c>
      <c r="C2" s="823"/>
      <c r="D2" s="823"/>
    </row>
    <row r="3" spans="1:15" ht="21.95" customHeight="1" x14ac:dyDescent="0.2">
      <c r="E3" s="48"/>
      <c r="J3"/>
    </row>
    <row r="4" spans="1:15" s="2" customFormat="1" ht="23.25" x14ac:dyDescent="0.2">
      <c r="A4"/>
      <c r="B4" s="242" t="s">
        <v>85</v>
      </c>
      <c r="C4" s="10"/>
      <c r="E4" s="48"/>
      <c r="J4" s="242" t="s">
        <v>57</v>
      </c>
      <c r="L4"/>
      <c r="M4"/>
      <c r="N4"/>
      <c r="O4"/>
    </row>
    <row r="5" spans="1:15" s="2" customFormat="1" ht="23.25" x14ac:dyDescent="0.2">
      <c r="A5"/>
      <c r="B5" s="10"/>
      <c r="C5" s="10"/>
      <c r="E5" s="48"/>
      <c r="J5" s="10"/>
      <c r="L5"/>
      <c r="M5"/>
      <c r="N5"/>
      <c r="O5"/>
    </row>
    <row r="6" spans="1:15" s="2" customFormat="1" ht="23.25" x14ac:dyDescent="0.2">
      <c r="A6"/>
      <c r="B6" t="s">
        <v>262</v>
      </c>
      <c r="C6" s="10"/>
      <c r="E6" s="48"/>
      <c r="J6" t="s">
        <v>260</v>
      </c>
      <c r="L6"/>
      <c r="M6"/>
      <c r="N6"/>
      <c r="O6"/>
    </row>
    <row r="7" spans="1:15" s="2" customFormat="1" ht="23.25" x14ac:dyDescent="0.2">
      <c r="A7"/>
      <c r="B7" t="s">
        <v>263</v>
      </c>
      <c r="C7" s="10"/>
      <c r="E7" s="48"/>
      <c r="H7" s="691"/>
      <c r="J7" t="s">
        <v>261</v>
      </c>
      <c r="L7"/>
      <c r="M7"/>
      <c r="N7"/>
      <c r="O7"/>
    </row>
    <row r="8" spans="1:15" s="2" customFormat="1" ht="23.25" x14ac:dyDescent="0.2">
      <c r="A8"/>
      <c r="B8" t="s">
        <v>275</v>
      </c>
      <c r="C8" s="10"/>
      <c r="J8" s="1" t="s">
        <v>641</v>
      </c>
      <c r="L8"/>
      <c r="M8"/>
      <c r="N8"/>
      <c r="O8"/>
    </row>
    <row r="9" spans="1:15" s="2" customFormat="1" ht="23.25" x14ac:dyDescent="0.2">
      <c r="A9"/>
      <c r="B9" s="10"/>
      <c r="C9" s="10"/>
      <c r="J9"/>
      <c r="L9"/>
      <c r="M9"/>
      <c r="N9"/>
      <c r="O9"/>
    </row>
    <row r="10" spans="1:15" ht="21.95" customHeight="1" x14ac:dyDescent="0.2">
      <c r="B10" s="294" t="s">
        <v>276</v>
      </c>
      <c r="J10" s="294" t="s">
        <v>608</v>
      </c>
    </row>
    <row r="11" spans="1:15" s="2" customFormat="1" ht="21.95" customHeight="1" x14ac:dyDescent="0.2">
      <c r="A11"/>
      <c r="B11" s="291" t="s">
        <v>58</v>
      </c>
      <c r="C11" s="291" t="s">
        <v>17</v>
      </c>
      <c r="D11" s="291" t="s">
        <v>11</v>
      </c>
      <c r="E11" s="692" t="s">
        <v>52</v>
      </c>
      <c r="F11" s="692" t="s">
        <v>49</v>
      </c>
      <c r="G11" s="692" t="s">
        <v>50</v>
      </c>
      <c r="H11" s="692" t="s">
        <v>48</v>
      </c>
      <c r="J11" s="411" t="s">
        <v>11</v>
      </c>
      <c r="K11" s="693" t="s">
        <v>52</v>
      </c>
      <c r="L11" s="693" t="s">
        <v>49</v>
      </c>
      <c r="M11" s="693" t="s">
        <v>50</v>
      </c>
      <c r="N11" s="693" t="s">
        <v>48</v>
      </c>
      <c r="O11" s="547" t="s">
        <v>4</v>
      </c>
    </row>
    <row r="12" spans="1:15" ht="21.95" customHeight="1" x14ac:dyDescent="0.2">
      <c r="B12" s="143" t="s">
        <v>22</v>
      </c>
      <c r="C12" s="143">
        <v>2.5</v>
      </c>
      <c r="D12" s="143">
        <v>2020</v>
      </c>
      <c r="E12" s="687">
        <v>35.233697697499998</v>
      </c>
      <c r="F12" s="687">
        <v>0.63413101400000005</v>
      </c>
      <c r="G12" s="687">
        <v>2.2318899999999999E-2</v>
      </c>
      <c r="H12" s="216">
        <v>6635.2402339999999</v>
      </c>
      <c r="I12"/>
      <c r="J12" s="277">
        <v>2020</v>
      </c>
      <c r="K12" s="216">
        <v>0</v>
      </c>
      <c r="L12" s="216">
        <v>0</v>
      </c>
      <c r="M12" s="216">
        <v>0</v>
      </c>
      <c r="N12" s="216">
        <v>0</v>
      </c>
      <c r="O12" s="829" t="s">
        <v>259</v>
      </c>
    </row>
    <row r="13" spans="1:15" ht="21.95" customHeight="1" x14ac:dyDescent="0.2">
      <c r="B13" s="143" t="s">
        <v>22</v>
      </c>
      <c r="C13" s="143">
        <v>2.5</v>
      </c>
      <c r="D13" s="143">
        <v>2021</v>
      </c>
      <c r="E13" s="687">
        <v>34.649397694249998</v>
      </c>
      <c r="F13" s="687">
        <v>0.5912050821</v>
      </c>
      <c r="G13" s="687">
        <v>2.1918690000000001E-2</v>
      </c>
      <c r="H13" s="216">
        <v>6520.4602046999998</v>
      </c>
      <c r="I13"/>
      <c r="J13" s="277">
        <v>2021</v>
      </c>
      <c r="K13" s="216"/>
      <c r="L13" s="216"/>
      <c r="M13" s="216"/>
      <c r="N13" s="216"/>
      <c r="O13" s="829"/>
    </row>
    <row r="14" spans="1:15" ht="21.95" customHeight="1" x14ac:dyDescent="0.2">
      <c r="B14" s="143" t="s">
        <v>22</v>
      </c>
      <c r="C14" s="143">
        <v>2.5</v>
      </c>
      <c r="D14" s="143">
        <v>2022</v>
      </c>
      <c r="E14" s="687">
        <v>34.065097690999998</v>
      </c>
      <c r="F14" s="687">
        <v>0.54827915019999995</v>
      </c>
      <c r="G14" s="687">
        <v>2.151848E-2</v>
      </c>
      <c r="H14" s="216">
        <v>6405.6801753999998</v>
      </c>
      <c r="I14"/>
      <c r="J14" s="277" t="s">
        <v>508</v>
      </c>
      <c r="K14" s="216" t="s">
        <v>509</v>
      </c>
      <c r="L14" s="216" t="s">
        <v>510</v>
      </c>
      <c r="M14" s="216" t="s">
        <v>511</v>
      </c>
      <c r="N14" s="216" t="s">
        <v>512</v>
      </c>
      <c r="O14" s="829"/>
    </row>
    <row r="15" spans="1:15" ht="21.95" customHeight="1" x14ac:dyDescent="0.2">
      <c r="B15" s="143" t="s">
        <v>22</v>
      </c>
      <c r="C15" s="143">
        <v>2.5</v>
      </c>
      <c r="D15" s="143">
        <v>2023</v>
      </c>
      <c r="E15" s="687">
        <v>33.480797687749998</v>
      </c>
      <c r="F15" s="687">
        <v>0.50535321830000002</v>
      </c>
      <c r="G15" s="687">
        <v>2.1118270000000001E-2</v>
      </c>
      <c r="H15" s="216">
        <v>6290.9001460999998</v>
      </c>
      <c r="I15"/>
      <c r="J15" s="277" t="s">
        <v>513</v>
      </c>
      <c r="K15" s="216" t="s">
        <v>514</v>
      </c>
      <c r="L15" s="216" t="s">
        <v>515</v>
      </c>
      <c r="M15" s="216" t="s">
        <v>516</v>
      </c>
      <c r="N15" s="216" t="s">
        <v>517</v>
      </c>
      <c r="O15" s="829"/>
    </row>
    <row r="16" spans="1:15" ht="21.95" customHeight="1" x14ac:dyDescent="0.2">
      <c r="B16" s="143" t="s">
        <v>22</v>
      </c>
      <c r="C16" s="143">
        <v>2.5</v>
      </c>
      <c r="D16" s="143">
        <v>2024</v>
      </c>
      <c r="E16" s="687">
        <v>32.896497684499998</v>
      </c>
      <c r="F16" s="687">
        <v>0.46242728640000003</v>
      </c>
      <c r="G16" s="687">
        <v>2.071806E-2</v>
      </c>
      <c r="H16" s="216">
        <v>6176.1201167999998</v>
      </c>
      <c r="I16"/>
      <c r="J16" s="277" t="s">
        <v>518</v>
      </c>
      <c r="K16" s="216" t="s">
        <v>519</v>
      </c>
      <c r="L16" s="216" t="s">
        <v>520</v>
      </c>
      <c r="M16" s="216" t="s">
        <v>521</v>
      </c>
      <c r="N16" s="216" t="s">
        <v>522</v>
      </c>
      <c r="O16" s="829"/>
    </row>
    <row r="17" spans="2:15" ht="21.95" customHeight="1" x14ac:dyDescent="0.2">
      <c r="B17" s="143" t="s">
        <v>22</v>
      </c>
      <c r="C17" s="143">
        <v>2.5</v>
      </c>
      <c r="D17" s="143">
        <v>2025</v>
      </c>
      <c r="E17" s="687">
        <v>32.312197681249998</v>
      </c>
      <c r="F17" s="687">
        <v>0.41950135449999998</v>
      </c>
      <c r="G17" s="687">
        <v>2.0317849999999998E-2</v>
      </c>
      <c r="H17" s="216">
        <v>6061.3400874999998</v>
      </c>
      <c r="I17"/>
      <c r="J17" s="277" t="s">
        <v>523</v>
      </c>
      <c r="K17" s="216" t="s">
        <v>524</v>
      </c>
      <c r="L17" s="216" t="s">
        <v>525</v>
      </c>
      <c r="M17" s="216" t="s">
        <v>526</v>
      </c>
      <c r="N17" s="216" t="s">
        <v>527</v>
      </c>
      <c r="O17" s="829"/>
    </row>
    <row r="18" spans="2:15" ht="21.95" customHeight="1" x14ac:dyDescent="0.2">
      <c r="B18" s="143" t="s">
        <v>22</v>
      </c>
      <c r="C18" s="143">
        <v>2.5</v>
      </c>
      <c r="D18" s="143">
        <v>2026</v>
      </c>
      <c r="E18" s="687">
        <v>31.727897678000001</v>
      </c>
      <c r="F18" s="687">
        <v>0.37657542259999999</v>
      </c>
      <c r="G18" s="687">
        <v>1.991764E-2</v>
      </c>
      <c r="H18" s="216">
        <v>5946.5600581999997</v>
      </c>
      <c r="I18"/>
      <c r="J18" s="277" t="s">
        <v>528</v>
      </c>
      <c r="K18" s="216" t="s">
        <v>529</v>
      </c>
      <c r="L18" s="216" t="s">
        <v>530</v>
      </c>
      <c r="M18" s="216" t="s">
        <v>531</v>
      </c>
      <c r="N18" s="216" t="s">
        <v>532</v>
      </c>
      <c r="O18" s="829"/>
    </row>
    <row r="19" spans="2:15" ht="21.95" customHeight="1" x14ac:dyDescent="0.2">
      <c r="B19" s="143" t="s">
        <v>22</v>
      </c>
      <c r="C19" s="143">
        <v>2.5</v>
      </c>
      <c r="D19" s="143">
        <v>2027</v>
      </c>
      <c r="E19" s="687">
        <v>31.143597674750001</v>
      </c>
      <c r="F19" s="687">
        <v>0.3336494907</v>
      </c>
      <c r="G19" s="687">
        <v>1.9517429999999999E-2</v>
      </c>
      <c r="H19" s="216">
        <v>5831.7800288999997</v>
      </c>
      <c r="I19"/>
      <c r="J19" s="277" t="s">
        <v>533</v>
      </c>
      <c r="K19" s="216" t="s">
        <v>534</v>
      </c>
      <c r="L19" s="216" t="s">
        <v>535</v>
      </c>
      <c r="M19" s="216" t="s">
        <v>536</v>
      </c>
      <c r="N19" s="216" t="s">
        <v>537</v>
      </c>
      <c r="O19" s="829"/>
    </row>
    <row r="20" spans="2:15" ht="21.95" customHeight="1" x14ac:dyDescent="0.2">
      <c r="B20" s="143" t="s">
        <v>22</v>
      </c>
      <c r="C20" s="143">
        <v>2.5</v>
      </c>
      <c r="D20" s="143">
        <v>2028</v>
      </c>
      <c r="E20" s="687">
        <v>30.559297671500001</v>
      </c>
      <c r="F20" s="687">
        <v>0.2907235588</v>
      </c>
      <c r="G20" s="687">
        <v>1.9117220000000001E-2</v>
      </c>
      <c r="H20" s="216">
        <v>5716.9999995999997</v>
      </c>
      <c r="I20"/>
      <c r="J20" s="277" t="s">
        <v>538</v>
      </c>
      <c r="K20" s="216" t="s">
        <v>539</v>
      </c>
      <c r="L20" s="216" t="s">
        <v>540</v>
      </c>
      <c r="M20" s="216" t="s">
        <v>541</v>
      </c>
      <c r="N20" s="216" t="s">
        <v>542</v>
      </c>
      <c r="O20" s="829"/>
    </row>
    <row r="21" spans="2:15" ht="21.95" customHeight="1" x14ac:dyDescent="0.2">
      <c r="B21" s="143" t="s">
        <v>22</v>
      </c>
      <c r="C21" s="143">
        <v>2.5</v>
      </c>
      <c r="D21" s="143">
        <v>2029</v>
      </c>
      <c r="E21" s="687">
        <v>29.974997668250001</v>
      </c>
      <c r="F21" s="687">
        <v>0.24779762690000001</v>
      </c>
      <c r="G21" s="687">
        <v>1.8717009999999999E-2</v>
      </c>
      <c r="H21" s="216">
        <v>5602.2199702999997</v>
      </c>
      <c r="I21"/>
      <c r="J21" s="277" t="s">
        <v>543</v>
      </c>
      <c r="K21" s="216" t="s">
        <v>544</v>
      </c>
      <c r="L21" s="216" t="s">
        <v>545</v>
      </c>
      <c r="M21" s="216" t="s">
        <v>546</v>
      </c>
      <c r="N21" s="216" t="s">
        <v>547</v>
      </c>
      <c r="O21" s="829"/>
    </row>
    <row r="22" spans="2:15" ht="21.95" customHeight="1" x14ac:dyDescent="0.2">
      <c r="B22" s="143" t="s">
        <v>22</v>
      </c>
      <c r="C22" s="143">
        <v>2.5</v>
      </c>
      <c r="D22" s="143">
        <v>2030</v>
      </c>
      <c r="E22" s="687">
        <v>29.390697665000001</v>
      </c>
      <c r="F22" s="687">
        <v>0.20487169499999999</v>
      </c>
      <c r="G22" s="687">
        <v>1.8316800000000001E-2</v>
      </c>
      <c r="H22" s="216">
        <v>5487.4399409999996</v>
      </c>
      <c r="I22"/>
      <c r="J22" s="277" t="s">
        <v>548</v>
      </c>
      <c r="K22" s="216" t="s">
        <v>549</v>
      </c>
      <c r="L22" s="216" t="s">
        <v>550</v>
      </c>
      <c r="M22" s="216" t="s">
        <v>551</v>
      </c>
      <c r="N22" s="216" t="s">
        <v>552</v>
      </c>
      <c r="O22" s="829"/>
    </row>
    <row r="23" spans="2:15" ht="21.95" customHeight="1" x14ac:dyDescent="0.2">
      <c r="B23" s="143" t="s">
        <v>22</v>
      </c>
      <c r="C23" s="143">
        <v>2.5</v>
      </c>
      <c r="D23" s="143">
        <v>2031</v>
      </c>
      <c r="E23" s="687">
        <v>29.297887100499999</v>
      </c>
      <c r="F23" s="687">
        <v>0.19922867082500001</v>
      </c>
      <c r="G23" s="687">
        <v>1.81978099E-2</v>
      </c>
      <c r="H23" s="216">
        <v>5452.2699702999998</v>
      </c>
      <c r="I23"/>
      <c r="J23" s="277" t="s">
        <v>553</v>
      </c>
      <c r="K23" s="216" t="s">
        <v>549</v>
      </c>
      <c r="L23" s="216" t="s">
        <v>550</v>
      </c>
      <c r="M23" s="216" t="s">
        <v>551</v>
      </c>
      <c r="N23" s="216" t="s">
        <v>554</v>
      </c>
      <c r="O23" s="829"/>
    </row>
    <row r="24" spans="2:15" ht="21.95" customHeight="1" x14ac:dyDescent="0.2">
      <c r="B24" s="143" t="s">
        <v>22</v>
      </c>
      <c r="C24" s="143">
        <v>2.5</v>
      </c>
      <c r="D24" s="143">
        <v>2032</v>
      </c>
      <c r="E24" s="687">
        <v>29.205076536</v>
      </c>
      <c r="F24" s="687">
        <v>0.19358564665</v>
      </c>
      <c r="G24" s="687">
        <v>1.80788198E-2</v>
      </c>
      <c r="H24" s="216">
        <v>5417.0999996</v>
      </c>
      <c r="I24"/>
      <c r="J24" s="277" t="s">
        <v>555</v>
      </c>
      <c r="K24" s="216" t="s">
        <v>549</v>
      </c>
      <c r="L24" s="216" t="s">
        <v>550</v>
      </c>
      <c r="M24" s="216" t="s">
        <v>551</v>
      </c>
      <c r="N24" s="216" t="s">
        <v>556</v>
      </c>
      <c r="O24" s="829"/>
    </row>
    <row r="25" spans="2:15" ht="21.95" customHeight="1" x14ac:dyDescent="0.2">
      <c r="B25" s="143" t="s">
        <v>22</v>
      </c>
      <c r="C25" s="143">
        <v>2.5</v>
      </c>
      <c r="D25" s="143">
        <v>2033</v>
      </c>
      <c r="E25" s="687">
        <v>29.112265971500001</v>
      </c>
      <c r="F25" s="687">
        <v>0.18794262247499999</v>
      </c>
      <c r="G25" s="687">
        <v>1.7959829699999999E-2</v>
      </c>
      <c r="H25" s="216">
        <v>5381.9300289000003</v>
      </c>
      <c r="I25"/>
      <c r="J25" s="277" t="s">
        <v>557</v>
      </c>
      <c r="K25" s="216" t="s">
        <v>549</v>
      </c>
      <c r="L25" s="216" t="s">
        <v>550</v>
      </c>
      <c r="M25" s="216" t="s">
        <v>551</v>
      </c>
      <c r="N25" s="216" t="s">
        <v>558</v>
      </c>
      <c r="O25" s="829"/>
    </row>
    <row r="26" spans="2:15" ht="21.95" customHeight="1" x14ac:dyDescent="0.2">
      <c r="B26" s="143" t="s">
        <v>22</v>
      </c>
      <c r="C26" s="143">
        <v>2.5</v>
      </c>
      <c r="D26" s="143">
        <v>2034</v>
      </c>
      <c r="E26" s="687">
        <v>29.019455406999999</v>
      </c>
      <c r="F26" s="687">
        <v>0.1822995983</v>
      </c>
      <c r="G26" s="687">
        <v>1.7840839599999998E-2</v>
      </c>
      <c r="H26" s="216">
        <v>5346.7600581999995</v>
      </c>
      <c r="I26"/>
      <c r="J26" s="277" t="s">
        <v>559</v>
      </c>
      <c r="K26" s="216" t="s">
        <v>549</v>
      </c>
      <c r="L26" s="216" t="s">
        <v>550</v>
      </c>
      <c r="M26" s="216" t="s">
        <v>551</v>
      </c>
      <c r="N26" s="216" t="s">
        <v>560</v>
      </c>
      <c r="O26" s="829"/>
    </row>
    <row r="27" spans="2:15" ht="21.95" customHeight="1" x14ac:dyDescent="0.2">
      <c r="B27" s="143" t="s">
        <v>22</v>
      </c>
      <c r="C27" s="143">
        <v>2.5</v>
      </c>
      <c r="D27" s="143">
        <v>2035</v>
      </c>
      <c r="E27" s="687">
        <v>28.9266448425</v>
      </c>
      <c r="F27" s="687">
        <v>0.17665657412499999</v>
      </c>
      <c r="G27" s="687">
        <v>1.7721849500000001E-2</v>
      </c>
      <c r="H27" s="216">
        <v>5311.5900874999998</v>
      </c>
      <c r="I27"/>
      <c r="J27" s="277" t="s">
        <v>561</v>
      </c>
      <c r="K27" s="216" t="s">
        <v>549</v>
      </c>
      <c r="L27" s="216" t="s">
        <v>550</v>
      </c>
      <c r="M27" s="216" t="s">
        <v>551</v>
      </c>
      <c r="N27" s="216" t="s">
        <v>562</v>
      </c>
      <c r="O27" s="829"/>
    </row>
    <row r="28" spans="2:15" ht="21.95" customHeight="1" x14ac:dyDescent="0.2">
      <c r="B28" s="143" t="s">
        <v>22</v>
      </c>
      <c r="C28" s="143">
        <v>2.5</v>
      </c>
      <c r="D28" s="143">
        <v>2036</v>
      </c>
      <c r="E28" s="687">
        <v>28.833834278000001</v>
      </c>
      <c r="F28" s="687">
        <v>0.17101354995000001</v>
      </c>
      <c r="G28" s="687">
        <v>1.76028594E-2</v>
      </c>
      <c r="H28" s="216">
        <v>5276.4201168</v>
      </c>
      <c r="I28"/>
      <c r="J28" s="277" t="s">
        <v>563</v>
      </c>
      <c r="K28" s="216" t="s">
        <v>549</v>
      </c>
      <c r="L28" s="216" t="s">
        <v>550</v>
      </c>
      <c r="M28" s="216" t="s">
        <v>551</v>
      </c>
      <c r="N28" s="216" t="s">
        <v>564</v>
      </c>
      <c r="O28" s="829"/>
    </row>
    <row r="29" spans="2:15" ht="21.95" customHeight="1" x14ac:dyDescent="0.2">
      <c r="B29" s="143" t="s">
        <v>22</v>
      </c>
      <c r="C29" s="143">
        <v>2.5</v>
      </c>
      <c r="D29" s="143">
        <v>2037</v>
      </c>
      <c r="E29" s="687">
        <v>28.741023713499999</v>
      </c>
      <c r="F29" s="687">
        <v>0.165370525775</v>
      </c>
      <c r="G29" s="687">
        <v>1.74838693E-2</v>
      </c>
      <c r="H29" s="216">
        <v>5241.2501461000002</v>
      </c>
      <c r="I29"/>
      <c r="J29" s="277" t="s">
        <v>565</v>
      </c>
      <c r="K29" s="216" t="s">
        <v>549</v>
      </c>
      <c r="L29" s="216" t="s">
        <v>550</v>
      </c>
      <c r="M29" s="216" t="s">
        <v>551</v>
      </c>
      <c r="N29" s="216" t="s">
        <v>566</v>
      </c>
      <c r="O29" s="829"/>
    </row>
    <row r="30" spans="2:15" ht="21.95" customHeight="1" x14ac:dyDescent="0.2">
      <c r="B30" s="143" t="s">
        <v>22</v>
      </c>
      <c r="C30" s="143">
        <v>2.5</v>
      </c>
      <c r="D30" s="143">
        <v>2038</v>
      </c>
      <c r="E30" s="687">
        <v>28.648213149</v>
      </c>
      <c r="F30" s="687">
        <v>0.15972750159999999</v>
      </c>
      <c r="G30" s="687">
        <v>1.7364879199999999E-2</v>
      </c>
      <c r="H30" s="216">
        <v>5206.0801754000004</v>
      </c>
      <c r="I30"/>
      <c r="J30" s="277" t="s">
        <v>567</v>
      </c>
      <c r="K30" s="216" t="s">
        <v>549</v>
      </c>
      <c r="L30" s="216" t="s">
        <v>550</v>
      </c>
      <c r="M30" s="216" t="s">
        <v>551</v>
      </c>
      <c r="N30" s="216" t="s">
        <v>568</v>
      </c>
      <c r="O30" s="829"/>
    </row>
    <row r="31" spans="2:15" ht="21.95" customHeight="1" x14ac:dyDescent="0.2">
      <c r="B31" s="143" t="s">
        <v>22</v>
      </c>
      <c r="C31" s="143">
        <v>2.5</v>
      </c>
      <c r="D31" s="143">
        <v>2039</v>
      </c>
      <c r="E31" s="687">
        <v>28.555402584500001</v>
      </c>
      <c r="F31" s="687">
        <v>0.154084477425</v>
      </c>
      <c r="G31" s="687">
        <v>1.7245889100000002E-2</v>
      </c>
      <c r="H31" s="216">
        <v>5170.9102046999997</v>
      </c>
      <c r="I31"/>
      <c r="J31" s="277" t="s">
        <v>569</v>
      </c>
      <c r="K31" s="216" t="s">
        <v>549</v>
      </c>
      <c r="L31" s="216" t="s">
        <v>550</v>
      </c>
      <c r="M31" s="216" t="s">
        <v>551</v>
      </c>
      <c r="N31" s="216" t="s">
        <v>570</v>
      </c>
      <c r="O31" s="829"/>
    </row>
    <row r="32" spans="2:15" ht="21.95" customHeight="1" x14ac:dyDescent="0.2">
      <c r="B32" s="143" t="s">
        <v>22</v>
      </c>
      <c r="C32" s="143">
        <v>2.5</v>
      </c>
      <c r="D32" s="143">
        <v>2040</v>
      </c>
      <c r="E32" s="687">
        <v>28.462592019999999</v>
      </c>
      <c r="F32" s="687">
        <v>0.14844145324999999</v>
      </c>
      <c r="G32" s="687">
        <v>1.7126899000000001E-2</v>
      </c>
      <c r="H32" s="216">
        <v>5135.7402339999999</v>
      </c>
      <c r="I32"/>
      <c r="J32" s="277" t="s">
        <v>571</v>
      </c>
      <c r="K32" s="216" t="s">
        <v>549</v>
      </c>
      <c r="L32" s="216" t="s">
        <v>550</v>
      </c>
      <c r="M32" s="216" t="s">
        <v>551</v>
      </c>
      <c r="N32" s="216" t="s">
        <v>572</v>
      </c>
      <c r="O32" s="829"/>
    </row>
    <row r="33" spans="2:15" ht="21.95" customHeight="1" x14ac:dyDescent="0.2">
      <c r="B33" s="143" t="s">
        <v>22</v>
      </c>
      <c r="C33" s="143">
        <v>2.5</v>
      </c>
      <c r="D33" s="143">
        <v>2041</v>
      </c>
      <c r="E33" s="687">
        <v>28.4374147895</v>
      </c>
      <c r="F33" s="687">
        <v>0.146838927925</v>
      </c>
      <c r="G33" s="687">
        <v>1.7110869099999999E-2</v>
      </c>
      <c r="H33" s="216">
        <v>5130.9322261999996</v>
      </c>
      <c r="I33"/>
      <c r="J33" s="277" t="s">
        <v>573</v>
      </c>
      <c r="K33" s="216" t="s">
        <v>549</v>
      </c>
      <c r="L33" s="216" t="s">
        <v>550</v>
      </c>
      <c r="M33" s="216" t="s">
        <v>551</v>
      </c>
      <c r="N33" s="216" t="s">
        <v>574</v>
      </c>
      <c r="O33" s="829"/>
    </row>
    <row r="34" spans="2:15" ht="21.95" customHeight="1" x14ac:dyDescent="0.2">
      <c r="B34" s="143" t="s">
        <v>22</v>
      </c>
      <c r="C34" s="143">
        <v>2.5</v>
      </c>
      <c r="D34" s="143">
        <v>2042</v>
      </c>
      <c r="E34" s="687">
        <v>28.412237559000001</v>
      </c>
      <c r="F34" s="687">
        <v>0.14523640260000001</v>
      </c>
      <c r="G34" s="687">
        <v>1.70948392E-2</v>
      </c>
      <c r="H34" s="216">
        <v>5126.1242184000002</v>
      </c>
      <c r="I34"/>
      <c r="J34" s="277" t="s">
        <v>575</v>
      </c>
      <c r="K34" s="216" t="s">
        <v>549</v>
      </c>
      <c r="L34" s="216" t="s">
        <v>550</v>
      </c>
      <c r="M34" s="216" t="s">
        <v>551</v>
      </c>
      <c r="N34" s="216" t="s">
        <v>576</v>
      </c>
      <c r="O34" s="829"/>
    </row>
    <row r="35" spans="2:15" ht="21.95" customHeight="1" x14ac:dyDescent="0.2">
      <c r="B35" s="143" t="s">
        <v>22</v>
      </c>
      <c r="C35" s="143">
        <v>2.5</v>
      </c>
      <c r="D35" s="143">
        <v>2043</v>
      </c>
      <c r="E35" s="687">
        <v>28.387060328499999</v>
      </c>
      <c r="F35" s="687">
        <v>0.14363387727499999</v>
      </c>
      <c r="G35" s="687">
        <v>1.7078809300000001E-2</v>
      </c>
      <c r="H35" s="216">
        <v>5121.3162106</v>
      </c>
      <c r="I35"/>
      <c r="J35" s="277" t="s">
        <v>577</v>
      </c>
      <c r="K35" s="216" t="s">
        <v>549</v>
      </c>
      <c r="L35" s="216" t="s">
        <v>550</v>
      </c>
      <c r="M35" s="216" t="s">
        <v>551</v>
      </c>
      <c r="N35" s="216" t="s">
        <v>578</v>
      </c>
      <c r="O35" s="829"/>
    </row>
    <row r="36" spans="2:15" ht="21.95" customHeight="1" x14ac:dyDescent="0.2">
      <c r="B36" s="143" t="s">
        <v>22</v>
      </c>
      <c r="C36" s="143">
        <v>2.5</v>
      </c>
      <c r="D36" s="143">
        <v>2044</v>
      </c>
      <c r="E36" s="687">
        <v>28.361883098</v>
      </c>
      <c r="F36" s="687">
        <v>0.14203135195</v>
      </c>
      <c r="G36" s="687">
        <v>1.7062779399999999E-2</v>
      </c>
      <c r="H36" s="216">
        <v>5116.5082027999997</v>
      </c>
      <c r="I36"/>
      <c r="J36" s="277" t="s">
        <v>579</v>
      </c>
      <c r="K36" s="216" t="s">
        <v>549</v>
      </c>
      <c r="L36" s="216" t="s">
        <v>550</v>
      </c>
      <c r="M36" s="216" t="s">
        <v>551</v>
      </c>
      <c r="N36" s="216" t="s">
        <v>580</v>
      </c>
      <c r="O36" s="829"/>
    </row>
    <row r="37" spans="2:15" ht="21.95" customHeight="1" x14ac:dyDescent="0.2">
      <c r="B37" s="143" t="s">
        <v>22</v>
      </c>
      <c r="C37" s="143">
        <v>2.5</v>
      </c>
      <c r="D37" s="143">
        <v>2045</v>
      </c>
      <c r="E37" s="687">
        <v>28.336705867500001</v>
      </c>
      <c r="F37" s="687">
        <v>0.140428826625</v>
      </c>
      <c r="G37" s="687">
        <v>1.70467495E-2</v>
      </c>
      <c r="H37" s="216">
        <v>5111.7001950000003</v>
      </c>
      <c r="I37"/>
      <c r="J37" s="277" t="s">
        <v>581</v>
      </c>
      <c r="K37" s="216" t="s">
        <v>549</v>
      </c>
      <c r="L37" s="216" t="s">
        <v>550</v>
      </c>
      <c r="M37" s="216" t="s">
        <v>551</v>
      </c>
      <c r="N37" s="216" t="s">
        <v>582</v>
      </c>
      <c r="O37" s="829"/>
    </row>
    <row r="38" spans="2:15" ht="21.95" customHeight="1" x14ac:dyDescent="0.2">
      <c r="B38" s="143" t="s">
        <v>22</v>
      </c>
      <c r="C38" s="143">
        <v>2.5</v>
      </c>
      <c r="D38" s="143">
        <v>2046</v>
      </c>
      <c r="E38" s="687">
        <v>28.311528636999999</v>
      </c>
      <c r="F38" s="687">
        <v>0.13882630130000001</v>
      </c>
      <c r="G38" s="687">
        <v>1.7030719600000001E-2</v>
      </c>
      <c r="H38" s="216">
        <v>5106.8921872000001</v>
      </c>
      <c r="I38"/>
      <c r="J38" s="277" t="s">
        <v>583</v>
      </c>
      <c r="K38" s="216" t="s">
        <v>549</v>
      </c>
      <c r="L38" s="216" t="s">
        <v>550</v>
      </c>
      <c r="M38" s="216" t="s">
        <v>551</v>
      </c>
      <c r="N38" s="216" t="s">
        <v>584</v>
      </c>
      <c r="O38" s="829"/>
    </row>
    <row r="39" spans="2:15" ht="21.95" customHeight="1" x14ac:dyDescent="0.2">
      <c r="B39" s="143" t="s">
        <v>22</v>
      </c>
      <c r="C39" s="143">
        <v>2.5</v>
      </c>
      <c r="D39" s="143">
        <v>2047</v>
      </c>
      <c r="E39" s="687">
        <v>28.2863514065</v>
      </c>
      <c r="F39" s="687">
        <v>0.13722377597499999</v>
      </c>
      <c r="G39" s="687">
        <v>1.7014689699999998E-2</v>
      </c>
      <c r="H39" s="216">
        <v>5102.0841793999998</v>
      </c>
      <c r="I39"/>
      <c r="J39" s="277" t="s">
        <v>585</v>
      </c>
      <c r="K39" s="216" t="s">
        <v>549</v>
      </c>
      <c r="L39" s="216" t="s">
        <v>550</v>
      </c>
      <c r="M39" s="216" t="s">
        <v>551</v>
      </c>
      <c r="N39" s="216" t="s">
        <v>586</v>
      </c>
      <c r="O39" s="829"/>
    </row>
    <row r="40" spans="2:15" ht="21.95" customHeight="1" x14ac:dyDescent="0.2">
      <c r="B40" s="143" t="s">
        <v>22</v>
      </c>
      <c r="C40" s="143">
        <v>2.5</v>
      </c>
      <c r="D40" s="143">
        <v>2048</v>
      </c>
      <c r="E40" s="687">
        <v>28.261174176000001</v>
      </c>
      <c r="F40" s="687">
        <v>0.13562125065</v>
      </c>
      <c r="G40" s="687">
        <v>1.69986598E-2</v>
      </c>
      <c r="H40" s="216">
        <v>5097.2761716000005</v>
      </c>
      <c r="I40"/>
      <c r="J40" s="277" t="s">
        <v>587</v>
      </c>
      <c r="K40" s="216" t="s">
        <v>549</v>
      </c>
      <c r="L40" s="216" t="s">
        <v>550</v>
      </c>
      <c r="M40" s="216" t="s">
        <v>551</v>
      </c>
      <c r="N40" s="216" t="s">
        <v>588</v>
      </c>
      <c r="O40" s="829"/>
    </row>
    <row r="41" spans="2:15" ht="21.95" customHeight="1" x14ac:dyDescent="0.2">
      <c r="B41" s="143" t="s">
        <v>22</v>
      </c>
      <c r="C41" s="143">
        <v>2.5</v>
      </c>
      <c r="D41" s="143">
        <v>2049</v>
      </c>
      <c r="E41" s="687">
        <v>28.235996945499998</v>
      </c>
      <c r="F41" s="687">
        <v>0.134018725325</v>
      </c>
      <c r="G41" s="687">
        <v>1.6982629900000001E-2</v>
      </c>
      <c r="H41" s="216">
        <v>5092.4681638000002</v>
      </c>
      <c r="I41"/>
      <c r="J41" s="277" t="s">
        <v>589</v>
      </c>
      <c r="K41" s="216" t="s">
        <v>549</v>
      </c>
      <c r="L41" s="216" t="s">
        <v>550</v>
      </c>
      <c r="M41" s="216" t="s">
        <v>551</v>
      </c>
      <c r="N41" s="216" t="s">
        <v>590</v>
      </c>
      <c r="O41" s="829"/>
    </row>
    <row r="42" spans="2:15" ht="21.95" customHeight="1" x14ac:dyDescent="0.2">
      <c r="B42" s="143" t="s">
        <v>22</v>
      </c>
      <c r="C42" s="143">
        <v>2.5</v>
      </c>
      <c r="D42" s="143">
        <v>2050</v>
      </c>
      <c r="E42" s="687">
        <v>28.210819715</v>
      </c>
      <c r="F42" s="687">
        <v>0.13241620000000001</v>
      </c>
      <c r="G42" s="687">
        <v>1.6966599999999998E-2</v>
      </c>
      <c r="H42" s="216">
        <v>5087.6601559999999</v>
      </c>
      <c r="I42"/>
      <c r="J42" s="290" t="s">
        <v>591</v>
      </c>
      <c r="K42" s="511" t="s">
        <v>549</v>
      </c>
      <c r="L42" s="511" t="s">
        <v>550</v>
      </c>
      <c r="M42" s="511" t="s">
        <v>551</v>
      </c>
      <c r="N42" s="511" t="s">
        <v>592</v>
      </c>
      <c r="O42" s="314"/>
    </row>
    <row r="43" spans="2:15" ht="21.95" customHeight="1" x14ac:dyDescent="0.2">
      <c r="B43" s="143" t="s">
        <v>22</v>
      </c>
      <c r="C43" s="143">
        <v>2.5</v>
      </c>
      <c r="D43" s="143">
        <v>2051</v>
      </c>
      <c r="E43" s="687">
        <v>28.192277282999999</v>
      </c>
      <c r="F43" s="687">
        <v>0.13125356990000001</v>
      </c>
      <c r="G43" s="687">
        <v>1.6963220000000001E-2</v>
      </c>
      <c r="H43" s="216">
        <v>5086.6461423999999</v>
      </c>
      <c r="I43"/>
      <c r="J43"/>
    </row>
    <row r="44" spans="2:15" ht="21.95" customHeight="1" x14ac:dyDescent="0.2">
      <c r="B44" s="143" t="s">
        <v>22</v>
      </c>
      <c r="C44" s="143">
        <v>2.5</v>
      </c>
      <c r="D44" s="143">
        <v>2052</v>
      </c>
      <c r="E44" s="687">
        <v>28.173734850999999</v>
      </c>
      <c r="F44" s="687">
        <v>0.1300909398</v>
      </c>
      <c r="G44" s="687">
        <v>1.695984E-2</v>
      </c>
      <c r="H44" s="216">
        <v>5085.6321287999999</v>
      </c>
      <c r="I44"/>
      <c r="J44"/>
    </row>
    <row r="45" spans="2:15" ht="21.95" customHeight="1" x14ac:dyDescent="0.2">
      <c r="B45" s="143" t="s">
        <v>22</v>
      </c>
      <c r="C45" s="143">
        <v>2.5</v>
      </c>
      <c r="D45" s="143">
        <v>2053</v>
      </c>
      <c r="E45" s="687">
        <v>28.155192418999999</v>
      </c>
      <c r="F45" s="687">
        <v>0.12892830969999999</v>
      </c>
      <c r="G45" s="687">
        <v>1.695646E-2</v>
      </c>
      <c r="H45" s="216">
        <v>5084.6181151999999</v>
      </c>
      <c r="I45"/>
      <c r="J45"/>
    </row>
    <row r="46" spans="2:15" ht="21.95" customHeight="1" x14ac:dyDescent="0.2">
      <c r="B46" s="143" t="s">
        <v>22</v>
      </c>
      <c r="C46" s="143">
        <v>2.5</v>
      </c>
      <c r="D46" s="143">
        <v>2054</v>
      </c>
      <c r="E46" s="687">
        <v>28.136649986999998</v>
      </c>
      <c r="F46" s="687">
        <v>0.12776567959999999</v>
      </c>
      <c r="G46" s="687">
        <v>1.6953079999999999E-2</v>
      </c>
      <c r="H46" s="216">
        <v>5083.6041015999999</v>
      </c>
      <c r="I46"/>
      <c r="J46"/>
    </row>
    <row r="47" spans="2:15" ht="21.95" customHeight="1" x14ac:dyDescent="0.2">
      <c r="B47" s="143" t="s">
        <v>22</v>
      </c>
      <c r="C47" s="143">
        <v>2.5</v>
      </c>
      <c r="D47" s="143">
        <v>2055</v>
      </c>
      <c r="E47" s="687">
        <v>28.118107555000002</v>
      </c>
      <c r="F47" s="687">
        <v>0.12660304950000001</v>
      </c>
      <c r="G47" s="687">
        <v>1.6949700000000002E-2</v>
      </c>
      <c r="H47" s="216">
        <v>5082.5900879999999</v>
      </c>
      <c r="I47"/>
      <c r="J47"/>
    </row>
    <row r="48" spans="2:15" ht="21.95" customHeight="1" x14ac:dyDescent="0.2">
      <c r="B48" s="143" t="s">
        <v>22</v>
      </c>
      <c r="C48" s="143">
        <v>2.5</v>
      </c>
      <c r="D48" s="143">
        <v>2056</v>
      </c>
      <c r="E48" s="687">
        <v>28.099565123000001</v>
      </c>
      <c r="F48" s="687">
        <v>0.1254404194</v>
      </c>
      <c r="G48" s="687">
        <v>1.6946320000000001E-2</v>
      </c>
      <c r="H48" s="216">
        <v>5081.5760743999999</v>
      </c>
      <c r="I48"/>
      <c r="J48"/>
    </row>
    <row r="49" spans="2:44" ht="21.95" customHeight="1" x14ac:dyDescent="0.2">
      <c r="B49" s="143" t="s">
        <v>22</v>
      </c>
      <c r="C49" s="143">
        <v>2.5</v>
      </c>
      <c r="D49" s="143">
        <v>2057</v>
      </c>
      <c r="E49" s="687">
        <v>28.081022691000001</v>
      </c>
      <c r="F49" s="687">
        <v>0.1242777893</v>
      </c>
      <c r="G49" s="687">
        <v>1.694294E-2</v>
      </c>
      <c r="H49" s="216">
        <v>5080.5620607999999</v>
      </c>
      <c r="I49"/>
      <c r="J49"/>
    </row>
    <row r="50" spans="2:44" ht="21.95" customHeight="1" x14ac:dyDescent="0.2">
      <c r="B50" s="143" t="s">
        <v>22</v>
      </c>
      <c r="C50" s="143">
        <v>2.5</v>
      </c>
      <c r="D50" s="143">
        <v>2058</v>
      </c>
      <c r="E50" s="687">
        <v>28.062480259000001</v>
      </c>
      <c r="F50" s="687">
        <v>0.1231151592</v>
      </c>
      <c r="G50" s="687">
        <v>1.6939559999999999E-2</v>
      </c>
      <c r="H50" s="216">
        <v>5079.5480471999999</v>
      </c>
      <c r="I50"/>
      <c r="J50"/>
      <c r="M50" s="411" t="s">
        <v>11</v>
      </c>
      <c r="N50" s="694">
        <v>2020</v>
      </c>
      <c r="O50" s="694">
        <v>2021</v>
      </c>
      <c r="P50" s="694" t="s">
        <v>508</v>
      </c>
      <c r="Q50" s="694" t="s">
        <v>513</v>
      </c>
      <c r="R50" s="694" t="s">
        <v>518</v>
      </c>
      <c r="S50" s="694" t="s">
        <v>523</v>
      </c>
      <c r="T50" s="694" t="s">
        <v>528</v>
      </c>
      <c r="U50" s="694" t="s">
        <v>533</v>
      </c>
      <c r="V50" s="694" t="s">
        <v>538</v>
      </c>
      <c r="W50" s="694" t="s">
        <v>543</v>
      </c>
      <c r="X50" s="694" t="s">
        <v>548</v>
      </c>
      <c r="Y50" s="694" t="s">
        <v>553</v>
      </c>
      <c r="Z50" s="694" t="s">
        <v>555</v>
      </c>
      <c r="AA50" s="694" t="s">
        <v>557</v>
      </c>
      <c r="AB50" s="694" t="s">
        <v>559</v>
      </c>
      <c r="AC50" s="694" t="s">
        <v>561</v>
      </c>
      <c r="AD50" s="694" t="s">
        <v>563</v>
      </c>
      <c r="AE50" s="694" t="s">
        <v>565</v>
      </c>
      <c r="AF50" s="694" t="s">
        <v>567</v>
      </c>
      <c r="AG50" s="694" t="s">
        <v>569</v>
      </c>
      <c r="AH50" s="694" t="s">
        <v>571</v>
      </c>
      <c r="AI50" s="694" t="s">
        <v>573</v>
      </c>
      <c r="AJ50" s="694" t="s">
        <v>575</v>
      </c>
      <c r="AK50" s="694" t="s">
        <v>577</v>
      </c>
      <c r="AL50" s="694" t="s">
        <v>579</v>
      </c>
      <c r="AM50" s="694" t="s">
        <v>581</v>
      </c>
      <c r="AN50" s="694" t="s">
        <v>583</v>
      </c>
      <c r="AO50" s="694" t="s">
        <v>585</v>
      </c>
      <c r="AP50" s="694" t="s">
        <v>587</v>
      </c>
      <c r="AQ50" s="694" t="s">
        <v>589</v>
      </c>
      <c r="AR50" s="695" t="s">
        <v>591</v>
      </c>
    </row>
    <row r="51" spans="2:44" ht="21.95" customHeight="1" x14ac:dyDescent="0.2">
      <c r="B51" s="143" t="s">
        <v>22</v>
      </c>
      <c r="C51" s="143">
        <v>2.5</v>
      </c>
      <c r="D51" s="143">
        <v>2059</v>
      </c>
      <c r="E51" s="687">
        <v>28.043937827000001</v>
      </c>
      <c r="F51" s="687">
        <v>0.1219525291</v>
      </c>
      <c r="G51" s="687">
        <v>1.6936179999999999E-2</v>
      </c>
      <c r="H51" s="216">
        <v>5078.5340335999999</v>
      </c>
      <c r="I51"/>
      <c r="J51"/>
      <c r="M51" s="688" t="s">
        <v>52</v>
      </c>
      <c r="N51" s="216">
        <v>0</v>
      </c>
      <c r="O51" s="216"/>
      <c r="P51" s="216" t="s">
        <v>509</v>
      </c>
      <c r="Q51" s="216" t="s">
        <v>514</v>
      </c>
      <c r="R51" s="216" t="s">
        <v>519</v>
      </c>
      <c r="S51" s="216" t="s">
        <v>524</v>
      </c>
      <c r="T51" s="216" t="s">
        <v>529</v>
      </c>
      <c r="U51" s="216" t="s">
        <v>534</v>
      </c>
      <c r="V51" s="216" t="s">
        <v>539</v>
      </c>
      <c r="W51" s="216" t="s">
        <v>544</v>
      </c>
      <c r="X51" s="216" t="s">
        <v>549</v>
      </c>
      <c r="Y51" s="216" t="s">
        <v>549</v>
      </c>
      <c r="Z51" s="216" t="s">
        <v>549</v>
      </c>
      <c r="AA51" s="216" t="s">
        <v>549</v>
      </c>
      <c r="AB51" s="216" t="s">
        <v>549</v>
      </c>
      <c r="AC51" s="216" t="s">
        <v>549</v>
      </c>
      <c r="AD51" s="216" t="s">
        <v>549</v>
      </c>
      <c r="AE51" s="216" t="s">
        <v>549</v>
      </c>
      <c r="AF51" s="216" t="s">
        <v>549</v>
      </c>
      <c r="AG51" s="216" t="s">
        <v>549</v>
      </c>
      <c r="AH51" s="216" t="s">
        <v>549</v>
      </c>
      <c r="AI51" s="216" t="s">
        <v>549</v>
      </c>
      <c r="AJ51" s="216" t="s">
        <v>549</v>
      </c>
      <c r="AK51" s="216" t="s">
        <v>549</v>
      </c>
      <c r="AL51" s="216" t="s">
        <v>549</v>
      </c>
      <c r="AM51" s="216" t="s">
        <v>549</v>
      </c>
      <c r="AN51" s="216" t="s">
        <v>549</v>
      </c>
      <c r="AO51" s="216" t="s">
        <v>549</v>
      </c>
      <c r="AP51" s="216" t="s">
        <v>549</v>
      </c>
      <c r="AQ51" s="216" t="s">
        <v>549</v>
      </c>
      <c r="AR51" s="696" t="s">
        <v>549</v>
      </c>
    </row>
    <row r="52" spans="2:44" ht="21.95" customHeight="1" x14ac:dyDescent="0.2">
      <c r="B52" s="143" t="s">
        <v>22</v>
      </c>
      <c r="C52" s="143">
        <v>2.5</v>
      </c>
      <c r="D52" s="143">
        <v>2060</v>
      </c>
      <c r="E52" s="687">
        <v>28.025395395</v>
      </c>
      <c r="F52" s="687">
        <v>0.12078989900000001</v>
      </c>
      <c r="G52" s="687">
        <v>1.6932800000000001E-2</v>
      </c>
      <c r="H52" s="216">
        <v>5077.5200199999999</v>
      </c>
      <c r="I52"/>
      <c r="J52"/>
      <c r="M52" s="688" t="s">
        <v>49</v>
      </c>
      <c r="N52" s="216">
        <v>0</v>
      </c>
      <c r="O52" s="216"/>
      <c r="P52" s="216" t="s">
        <v>510</v>
      </c>
      <c r="Q52" s="216" t="s">
        <v>515</v>
      </c>
      <c r="R52" s="216" t="s">
        <v>520</v>
      </c>
      <c r="S52" s="216" t="s">
        <v>525</v>
      </c>
      <c r="T52" s="216" t="s">
        <v>530</v>
      </c>
      <c r="U52" s="216" t="s">
        <v>535</v>
      </c>
      <c r="V52" s="216" t="s">
        <v>540</v>
      </c>
      <c r="W52" s="216" t="s">
        <v>545</v>
      </c>
      <c r="X52" s="216" t="s">
        <v>550</v>
      </c>
      <c r="Y52" s="216" t="s">
        <v>550</v>
      </c>
      <c r="Z52" s="216" t="s">
        <v>550</v>
      </c>
      <c r="AA52" s="216" t="s">
        <v>550</v>
      </c>
      <c r="AB52" s="216" t="s">
        <v>550</v>
      </c>
      <c r="AC52" s="216" t="s">
        <v>550</v>
      </c>
      <c r="AD52" s="216" t="s">
        <v>550</v>
      </c>
      <c r="AE52" s="216" t="s">
        <v>550</v>
      </c>
      <c r="AF52" s="216" t="s">
        <v>550</v>
      </c>
      <c r="AG52" s="216" t="s">
        <v>550</v>
      </c>
      <c r="AH52" s="216" t="s">
        <v>550</v>
      </c>
      <c r="AI52" s="216" t="s">
        <v>550</v>
      </c>
      <c r="AJ52" s="216" t="s">
        <v>550</v>
      </c>
      <c r="AK52" s="216" t="s">
        <v>550</v>
      </c>
      <c r="AL52" s="216" t="s">
        <v>550</v>
      </c>
      <c r="AM52" s="216" t="s">
        <v>550</v>
      </c>
      <c r="AN52" s="216" t="s">
        <v>550</v>
      </c>
      <c r="AO52" s="216" t="s">
        <v>550</v>
      </c>
      <c r="AP52" s="216" t="s">
        <v>550</v>
      </c>
      <c r="AQ52" s="216" t="s">
        <v>550</v>
      </c>
      <c r="AR52" s="696" t="s">
        <v>550</v>
      </c>
    </row>
    <row r="53" spans="2:44" ht="21.95" customHeight="1" x14ac:dyDescent="0.2">
      <c r="B53" s="143" t="s">
        <v>22</v>
      </c>
      <c r="C53" s="143">
        <v>5</v>
      </c>
      <c r="D53" s="143">
        <v>2020</v>
      </c>
      <c r="E53" s="687">
        <v>19.3180263225</v>
      </c>
      <c r="F53" s="687">
        <v>0.3404365371875</v>
      </c>
      <c r="G53" s="687">
        <v>1.3094400000000001E-2</v>
      </c>
      <c r="H53" s="216">
        <v>3894.820068</v>
      </c>
      <c r="I53"/>
      <c r="J53"/>
      <c r="M53" s="688" t="s">
        <v>50</v>
      </c>
      <c r="N53" s="216">
        <v>0</v>
      </c>
      <c r="O53" s="216"/>
      <c r="P53" s="216" t="s">
        <v>511</v>
      </c>
      <c r="Q53" s="216" t="s">
        <v>516</v>
      </c>
      <c r="R53" s="216" t="s">
        <v>521</v>
      </c>
      <c r="S53" s="216" t="s">
        <v>526</v>
      </c>
      <c r="T53" s="216" t="s">
        <v>531</v>
      </c>
      <c r="U53" s="216" t="s">
        <v>536</v>
      </c>
      <c r="V53" s="216" t="s">
        <v>541</v>
      </c>
      <c r="W53" s="216" t="s">
        <v>546</v>
      </c>
      <c r="X53" s="216" t="s">
        <v>551</v>
      </c>
      <c r="Y53" s="216" t="s">
        <v>551</v>
      </c>
      <c r="Z53" s="216" t="s">
        <v>551</v>
      </c>
      <c r="AA53" s="216" t="s">
        <v>551</v>
      </c>
      <c r="AB53" s="216" t="s">
        <v>551</v>
      </c>
      <c r="AC53" s="216" t="s">
        <v>551</v>
      </c>
      <c r="AD53" s="216" t="s">
        <v>551</v>
      </c>
      <c r="AE53" s="216" t="s">
        <v>551</v>
      </c>
      <c r="AF53" s="216" t="s">
        <v>551</v>
      </c>
      <c r="AG53" s="216" t="s">
        <v>551</v>
      </c>
      <c r="AH53" s="216" t="s">
        <v>551</v>
      </c>
      <c r="AI53" s="216" t="s">
        <v>551</v>
      </c>
      <c r="AJ53" s="216" t="s">
        <v>551</v>
      </c>
      <c r="AK53" s="216" t="s">
        <v>551</v>
      </c>
      <c r="AL53" s="216" t="s">
        <v>551</v>
      </c>
      <c r="AM53" s="216" t="s">
        <v>551</v>
      </c>
      <c r="AN53" s="216" t="s">
        <v>551</v>
      </c>
      <c r="AO53" s="216" t="s">
        <v>551</v>
      </c>
      <c r="AP53" s="216" t="s">
        <v>551</v>
      </c>
      <c r="AQ53" s="216" t="s">
        <v>551</v>
      </c>
      <c r="AR53" s="696" t="s">
        <v>551</v>
      </c>
    </row>
    <row r="54" spans="2:44" ht="21.95" customHeight="1" x14ac:dyDescent="0.2">
      <c r="B54" s="143" t="s">
        <v>22</v>
      </c>
      <c r="C54" s="143">
        <v>5</v>
      </c>
      <c r="D54" s="143">
        <v>2021</v>
      </c>
      <c r="E54" s="687">
        <v>19.004500474</v>
      </c>
      <c r="F54" s="687">
        <v>0.31782946639999998</v>
      </c>
      <c r="G54" s="687">
        <v>1.288018E-2</v>
      </c>
      <c r="H54" s="216">
        <v>3833.4710690000002</v>
      </c>
      <c r="I54"/>
      <c r="J54"/>
      <c r="M54" s="689" t="s">
        <v>48</v>
      </c>
      <c r="N54" s="511">
        <v>0</v>
      </c>
      <c r="O54" s="511"/>
      <c r="P54" s="511" t="s">
        <v>512</v>
      </c>
      <c r="Q54" s="511" t="s">
        <v>517</v>
      </c>
      <c r="R54" s="511" t="s">
        <v>522</v>
      </c>
      <c r="S54" s="511" t="s">
        <v>527</v>
      </c>
      <c r="T54" s="511" t="s">
        <v>532</v>
      </c>
      <c r="U54" s="511" t="s">
        <v>537</v>
      </c>
      <c r="V54" s="511" t="s">
        <v>542</v>
      </c>
      <c r="W54" s="511" t="s">
        <v>547</v>
      </c>
      <c r="X54" s="511" t="s">
        <v>552</v>
      </c>
      <c r="Y54" s="511" t="s">
        <v>554</v>
      </c>
      <c r="Z54" s="511" t="s">
        <v>556</v>
      </c>
      <c r="AA54" s="511" t="s">
        <v>558</v>
      </c>
      <c r="AB54" s="511" t="s">
        <v>560</v>
      </c>
      <c r="AC54" s="511" t="s">
        <v>562</v>
      </c>
      <c r="AD54" s="511" t="s">
        <v>564</v>
      </c>
      <c r="AE54" s="511" t="s">
        <v>566</v>
      </c>
      <c r="AF54" s="511" t="s">
        <v>568</v>
      </c>
      <c r="AG54" s="511" t="s">
        <v>570</v>
      </c>
      <c r="AH54" s="511" t="s">
        <v>572</v>
      </c>
      <c r="AI54" s="511" t="s">
        <v>574</v>
      </c>
      <c r="AJ54" s="511" t="s">
        <v>576</v>
      </c>
      <c r="AK54" s="511" t="s">
        <v>578</v>
      </c>
      <c r="AL54" s="511" t="s">
        <v>580</v>
      </c>
      <c r="AM54" s="511" t="s">
        <v>582</v>
      </c>
      <c r="AN54" s="511" t="s">
        <v>584</v>
      </c>
      <c r="AO54" s="511" t="s">
        <v>586</v>
      </c>
      <c r="AP54" s="511" t="s">
        <v>588</v>
      </c>
      <c r="AQ54" s="511" t="s">
        <v>590</v>
      </c>
      <c r="AR54" s="690" t="s">
        <v>592</v>
      </c>
    </row>
    <row r="55" spans="2:44" ht="21.95" customHeight="1" x14ac:dyDescent="0.2">
      <c r="B55" s="143" t="s">
        <v>22</v>
      </c>
      <c r="C55" s="143">
        <v>5</v>
      </c>
      <c r="D55" s="143">
        <v>2022</v>
      </c>
      <c r="E55" s="687">
        <v>18.690974625500001</v>
      </c>
      <c r="F55" s="687">
        <v>0.29522239561250002</v>
      </c>
      <c r="G55" s="687">
        <v>1.266596E-2</v>
      </c>
      <c r="H55" s="216">
        <v>3772.1220699999999</v>
      </c>
      <c r="I55"/>
      <c r="J55"/>
    </row>
    <row r="56" spans="2:44" ht="21.95" customHeight="1" x14ac:dyDescent="0.2">
      <c r="B56" s="143" t="s">
        <v>22</v>
      </c>
      <c r="C56" s="143">
        <v>5</v>
      </c>
      <c r="D56" s="143">
        <v>2023</v>
      </c>
      <c r="E56" s="687">
        <v>18.377448777000001</v>
      </c>
      <c r="F56" s="687">
        <v>0.272615324825</v>
      </c>
      <c r="G56" s="687">
        <v>1.2451739999999999E-2</v>
      </c>
      <c r="H56" s="216">
        <v>3710.7730710000001</v>
      </c>
      <c r="I56"/>
      <c r="J56"/>
    </row>
    <row r="57" spans="2:44" ht="21.95" customHeight="1" x14ac:dyDescent="0.2">
      <c r="B57" s="143" t="s">
        <v>22</v>
      </c>
      <c r="C57" s="143">
        <v>5</v>
      </c>
      <c r="D57" s="143">
        <v>2024</v>
      </c>
      <c r="E57" s="687">
        <v>18.063922928499998</v>
      </c>
      <c r="F57" s="687">
        <v>0.25000825403749999</v>
      </c>
      <c r="G57" s="687">
        <v>1.223752E-2</v>
      </c>
      <c r="H57" s="216">
        <v>3649.4240719999998</v>
      </c>
      <c r="I57"/>
      <c r="J57"/>
    </row>
    <row r="58" spans="2:44" ht="21.95" customHeight="1" x14ac:dyDescent="0.2">
      <c r="B58" s="143" t="s">
        <v>22</v>
      </c>
      <c r="C58" s="143">
        <v>5</v>
      </c>
      <c r="D58" s="143">
        <v>2025</v>
      </c>
      <c r="E58" s="687">
        <v>17.750397079999999</v>
      </c>
      <c r="F58" s="687">
        <v>0.22740118325</v>
      </c>
      <c r="G58" s="687">
        <v>1.2023300000000001E-2</v>
      </c>
      <c r="H58" s="216">
        <v>3588.075073</v>
      </c>
      <c r="I58"/>
      <c r="J58"/>
    </row>
    <row r="59" spans="2:44" ht="21.95" customHeight="1" x14ac:dyDescent="0.2">
      <c r="B59" s="143" t="s">
        <v>22</v>
      </c>
      <c r="C59" s="143">
        <v>5</v>
      </c>
      <c r="D59" s="143">
        <v>2026</v>
      </c>
      <c r="E59" s="687">
        <v>17.4368712315</v>
      </c>
      <c r="F59" s="687">
        <v>0.20479411246250001</v>
      </c>
      <c r="G59" s="687">
        <v>1.180908E-2</v>
      </c>
      <c r="H59" s="216">
        <v>3526.7260740000002</v>
      </c>
      <c r="I59"/>
      <c r="J59"/>
    </row>
    <row r="60" spans="2:44" ht="21.95" customHeight="1" x14ac:dyDescent="0.2">
      <c r="B60" s="143" t="s">
        <v>22</v>
      </c>
      <c r="C60" s="143">
        <v>5</v>
      </c>
      <c r="D60" s="143">
        <v>2027</v>
      </c>
      <c r="E60" s="687">
        <v>17.123345383</v>
      </c>
      <c r="F60" s="687">
        <v>0.18218704167499999</v>
      </c>
      <c r="G60" s="687">
        <v>1.159486E-2</v>
      </c>
      <c r="H60" s="216">
        <v>3465.3770749999999</v>
      </c>
      <c r="I60"/>
      <c r="J60"/>
    </row>
    <row r="61" spans="2:44" ht="21.95" customHeight="1" x14ac:dyDescent="0.2">
      <c r="B61" s="143" t="s">
        <v>22</v>
      </c>
      <c r="C61" s="143">
        <v>5</v>
      </c>
      <c r="D61" s="143">
        <v>2028</v>
      </c>
      <c r="E61" s="687">
        <v>16.809819534500001</v>
      </c>
      <c r="F61" s="687">
        <v>0.15957997088750001</v>
      </c>
      <c r="G61" s="687">
        <v>1.1380639999999999E-2</v>
      </c>
      <c r="H61" s="216">
        <v>3404.0280760000001</v>
      </c>
      <c r="I61"/>
      <c r="J61"/>
    </row>
    <row r="62" spans="2:44" ht="21.95" customHeight="1" x14ac:dyDescent="0.2">
      <c r="B62" s="143" t="s">
        <v>22</v>
      </c>
      <c r="C62" s="143">
        <v>5</v>
      </c>
      <c r="D62" s="143">
        <v>2029</v>
      </c>
      <c r="E62" s="687">
        <v>16.496293686000001</v>
      </c>
      <c r="F62" s="687">
        <v>0.13697290009999999</v>
      </c>
      <c r="G62" s="687">
        <v>1.116642E-2</v>
      </c>
      <c r="H62" s="216">
        <v>3342.6790769999998</v>
      </c>
      <c r="I62"/>
      <c r="J62"/>
    </row>
    <row r="63" spans="2:44" ht="21.95" customHeight="1" x14ac:dyDescent="0.2">
      <c r="B63" s="143" t="s">
        <v>22</v>
      </c>
      <c r="C63" s="143">
        <v>5</v>
      </c>
      <c r="D63" s="143">
        <v>2030</v>
      </c>
      <c r="E63" s="687">
        <v>16.182767837499998</v>
      </c>
      <c r="F63" s="687">
        <v>0.1143658293125</v>
      </c>
      <c r="G63" s="687">
        <v>1.09522E-2</v>
      </c>
      <c r="H63" s="216">
        <v>3281.330078</v>
      </c>
      <c r="I63"/>
      <c r="J63"/>
    </row>
    <row r="64" spans="2:44" ht="21.95" customHeight="1" x14ac:dyDescent="0.2">
      <c r="B64" s="143" t="s">
        <v>22</v>
      </c>
      <c r="C64" s="143">
        <v>5</v>
      </c>
      <c r="D64" s="143">
        <v>2031</v>
      </c>
      <c r="E64" s="687">
        <v>16.132038757</v>
      </c>
      <c r="F64" s="687">
        <v>0.111393275375</v>
      </c>
      <c r="G64" s="687">
        <v>1.088252E-2</v>
      </c>
      <c r="H64" s="216">
        <v>3260.7190673</v>
      </c>
      <c r="I64"/>
      <c r="J64"/>
    </row>
    <row r="65" spans="2:10" ht="21.95" customHeight="1" x14ac:dyDescent="0.2">
      <c r="B65" s="143" t="s">
        <v>22</v>
      </c>
      <c r="C65" s="143">
        <v>5</v>
      </c>
      <c r="D65" s="143">
        <v>2032</v>
      </c>
      <c r="E65" s="687">
        <v>16.081309676499998</v>
      </c>
      <c r="F65" s="687">
        <v>0.10842072143750001</v>
      </c>
      <c r="G65" s="687">
        <v>1.0812840000000001E-2</v>
      </c>
      <c r="H65" s="216">
        <v>3240.1080566000001</v>
      </c>
      <c r="I65"/>
      <c r="J65"/>
    </row>
    <row r="66" spans="2:10" ht="21.95" customHeight="1" x14ac:dyDescent="0.2">
      <c r="B66" s="143" t="s">
        <v>22</v>
      </c>
      <c r="C66" s="143">
        <v>5</v>
      </c>
      <c r="D66" s="143">
        <v>2033</v>
      </c>
      <c r="E66" s="687">
        <v>16.030580596</v>
      </c>
      <c r="F66" s="687">
        <v>0.1054481675</v>
      </c>
      <c r="G66" s="687">
        <v>1.074316E-2</v>
      </c>
      <c r="H66" s="216">
        <v>3219.4970459000001</v>
      </c>
      <c r="I66"/>
      <c r="J66"/>
    </row>
    <row r="67" spans="2:10" ht="21.95" customHeight="1" x14ac:dyDescent="0.2">
      <c r="B67" s="143" t="s">
        <v>22</v>
      </c>
      <c r="C67" s="143">
        <v>5</v>
      </c>
      <c r="D67" s="143">
        <v>2034</v>
      </c>
      <c r="E67" s="687">
        <v>15.9798515155</v>
      </c>
      <c r="F67" s="687">
        <v>0.1024756135625</v>
      </c>
      <c r="G67" s="687">
        <v>1.0673480000000001E-2</v>
      </c>
      <c r="H67" s="216">
        <v>3198.8860352000002</v>
      </c>
      <c r="I67"/>
      <c r="J67"/>
    </row>
    <row r="68" spans="2:10" ht="21.95" customHeight="1" x14ac:dyDescent="0.2">
      <c r="B68" s="143" t="s">
        <v>22</v>
      </c>
      <c r="C68" s="143">
        <v>5</v>
      </c>
      <c r="D68" s="143">
        <v>2035</v>
      </c>
      <c r="E68" s="687">
        <v>15.929122435</v>
      </c>
      <c r="F68" s="687">
        <v>9.9503059625000001E-2</v>
      </c>
      <c r="G68" s="687">
        <v>1.06038E-2</v>
      </c>
      <c r="H68" s="216">
        <v>3178.2750245000002</v>
      </c>
      <c r="I68"/>
      <c r="J68"/>
    </row>
    <row r="69" spans="2:10" ht="21.95" customHeight="1" x14ac:dyDescent="0.2">
      <c r="B69" s="143" t="s">
        <v>22</v>
      </c>
      <c r="C69" s="143">
        <v>5</v>
      </c>
      <c r="D69" s="143">
        <v>2036</v>
      </c>
      <c r="E69" s="687">
        <v>15.8783933545</v>
      </c>
      <c r="F69" s="687">
        <v>9.6530505687500004E-2</v>
      </c>
      <c r="G69" s="687">
        <v>1.0534119999999999E-2</v>
      </c>
      <c r="H69" s="216">
        <v>3157.6640137999998</v>
      </c>
      <c r="I69"/>
      <c r="J69"/>
    </row>
    <row r="70" spans="2:10" ht="21.95" customHeight="1" x14ac:dyDescent="0.2">
      <c r="B70" s="143" t="s">
        <v>22</v>
      </c>
      <c r="C70" s="143">
        <v>5</v>
      </c>
      <c r="D70" s="143">
        <v>2037</v>
      </c>
      <c r="E70" s="687">
        <v>15.827664274</v>
      </c>
      <c r="F70" s="687">
        <v>9.3557951750000007E-2</v>
      </c>
      <c r="G70" s="687">
        <v>1.046444E-2</v>
      </c>
      <c r="H70" s="216">
        <v>3137.0530030999998</v>
      </c>
      <c r="I70"/>
      <c r="J70"/>
    </row>
    <row r="71" spans="2:10" ht="21.95" customHeight="1" x14ac:dyDescent="0.2">
      <c r="B71" s="143" t="s">
        <v>22</v>
      </c>
      <c r="C71" s="143">
        <v>5</v>
      </c>
      <c r="D71" s="143">
        <v>2038</v>
      </c>
      <c r="E71" s="687">
        <v>15.7769351935</v>
      </c>
      <c r="F71" s="687">
        <v>9.0585397812499996E-2</v>
      </c>
      <c r="G71" s="687">
        <v>1.0394759999999999E-2</v>
      </c>
      <c r="H71" s="216">
        <v>3116.4419923999999</v>
      </c>
      <c r="I71"/>
      <c r="J71"/>
    </row>
    <row r="72" spans="2:10" ht="21.95" customHeight="1" x14ac:dyDescent="0.2">
      <c r="B72" s="143" t="s">
        <v>22</v>
      </c>
      <c r="C72" s="143">
        <v>5</v>
      </c>
      <c r="D72" s="143">
        <v>2039</v>
      </c>
      <c r="E72" s="687">
        <v>15.726206113</v>
      </c>
      <c r="F72" s="687">
        <v>8.7612843874999999E-2</v>
      </c>
      <c r="G72" s="687">
        <v>1.032508E-2</v>
      </c>
      <c r="H72" s="216">
        <v>3095.8309816999999</v>
      </c>
      <c r="I72"/>
      <c r="J72"/>
    </row>
    <row r="73" spans="2:10" ht="21.95" customHeight="1" x14ac:dyDescent="0.2">
      <c r="B73" s="143" t="s">
        <v>22</v>
      </c>
      <c r="C73" s="143">
        <v>5</v>
      </c>
      <c r="D73" s="143">
        <v>2040</v>
      </c>
      <c r="E73" s="687">
        <v>15.6754770325</v>
      </c>
      <c r="F73" s="687">
        <v>8.4640289937500002E-2</v>
      </c>
      <c r="G73" s="687">
        <v>1.02554E-2</v>
      </c>
      <c r="H73" s="216">
        <v>3075.219971</v>
      </c>
      <c r="I73"/>
      <c r="J73"/>
    </row>
    <row r="74" spans="2:10" ht="21.95" customHeight="1" x14ac:dyDescent="0.2">
      <c r="B74" s="143" t="s">
        <v>22</v>
      </c>
      <c r="C74" s="143">
        <v>5</v>
      </c>
      <c r="D74" s="143">
        <v>2041</v>
      </c>
      <c r="E74" s="687">
        <v>15.662428695999999</v>
      </c>
      <c r="F74" s="687">
        <v>8.3761975362500005E-2</v>
      </c>
      <c r="G74" s="687">
        <v>1.0246099999999999E-2</v>
      </c>
      <c r="H74" s="216">
        <v>3072.4319826999999</v>
      </c>
      <c r="I74"/>
      <c r="J74"/>
    </row>
    <row r="75" spans="2:10" ht="21.95" customHeight="1" x14ac:dyDescent="0.2">
      <c r="B75" s="143" t="s">
        <v>22</v>
      </c>
      <c r="C75" s="143">
        <v>5</v>
      </c>
      <c r="D75" s="143">
        <v>2042</v>
      </c>
      <c r="E75" s="687">
        <v>15.6493803595</v>
      </c>
      <c r="F75" s="687">
        <v>8.2883660787499994E-2</v>
      </c>
      <c r="G75" s="687">
        <v>1.0236800000000001E-2</v>
      </c>
      <c r="H75" s="216">
        <v>3069.6439943999999</v>
      </c>
      <c r="I75"/>
      <c r="J75"/>
    </row>
    <row r="76" spans="2:10" ht="21.95" customHeight="1" x14ac:dyDescent="0.2">
      <c r="B76" s="143" t="s">
        <v>22</v>
      </c>
      <c r="C76" s="143">
        <v>5</v>
      </c>
      <c r="D76" s="143">
        <v>2043</v>
      </c>
      <c r="E76" s="687">
        <v>15.636332023</v>
      </c>
      <c r="F76" s="687">
        <v>8.2005346212499997E-2</v>
      </c>
      <c r="G76" s="687">
        <v>1.02275E-2</v>
      </c>
      <c r="H76" s="216">
        <v>3066.8560060999998</v>
      </c>
      <c r="J76"/>
    </row>
    <row r="77" spans="2:10" ht="21.95" customHeight="1" x14ac:dyDescent="0.2">
      <c r="B77" s="143" t="s">
        <v>22</v>
      </c>
      <c r="C77" s="143">
        <v>5</v>
      </c>
      <c r="D77" s="143">
        <v>2044</v>
      </c>
      <c r="E77" s="687">
        <v>15.623283686500001</v>
      </c>
      <c r="F77" s="687">
        <v>8.1127031637499999E-2</v>
      </c>
      <c r="G77" s="687">
        <v>1.02182E-2</v>
      </c>
      <c r="H77" s="216">
        <v>3064.0680177999998</v>
      </c>
      <c r="J77"/>
    </row>
    <row r="78" spans="2:10" ht="21.95" customHeight="1" x14ac:dyDescent="0.2">
      <c r="B78" s="143" t="s">
        <v>22</v>
      </c>
      <c r="C78" s="143">
        <v>5</v>
      </c>
      <c r="D78" s="143">
        <v>2045</v>
      </c>
      <c r="E78" s="687">
        <v>15.61023535</v>
      </c>
      <c r="F78" s="687">
        <v>8.0248717062500002E-2</v>
      </c>
      <c r="G78" s="687">
        <v>1.02089E-2</v>
      </c>
      <c r="H78" s="216">
        <v>3061.2800295000002</v>
      </c>
      <c r="J78"/>
    </row>
    <row r="79" spans="2:10" ht="21.95" customHeight="1" x14ac:dyDescent="0.2">
      <c r="B79" s="143" t="s">
        <v>22</v>
      </c>
      <c r="C79" s="143">
        <v>5</v>
      </c>
      <c r="D79" s="143">
        <v>2046</v>
      </c>
      <c r="E79" s="687">
        <v>15.597187013499999</v>
      </c>
      <c r="F79" s="687">
        <v>7.9370402487500005E-2</v>
      </c>
      <c r="G79" s="687">
        <v>1.01996E-2</v>
      </c>
      <c r="H79" s="216">
        <v>3058.4920412000001</v>
      </c>
      <c r="J79"/>
    </row>
    <row r="80" spans="2:10" ht="21.95" customHeight="1" x14ac:dyDescent="0.2">
      <c r="B80" s="143" t="s">
        <v>22</v>
      </c>
      <c r="C80" s="143">
        <v>5</v>
      </c>
      <c r="D80" s="143">
        <v>2047</v>
      </c>
      <c r="E80" s="687">
        <v>15.584138677</v>
      </c>
      <c r="F80" s="687">
        <v>7.8492087912499994E-2</v>
      </c>
      <c r="G80" s="687">
        <v>1.0190299999999999E-2</v>
      </c>
      <c r="H80" s="216">
        <v>3055.7040529000001</v>
      </c>
      <c r="J80"/>
    </row>
    <row r="81" spans="2:10" ht="21.95" customHeight="1" x14ac:dyDescent="0.2">
      <c r="B81" s="143" t="s">
        <v>22</v>
      </c>
      <c r="C81" s="143">
        <v>5</v>
      </c>
      <c r="D81" s="143">
        <v>2048</v>
      </c>
      <c r="E81" s="687">
        <v>15.5710903405</v>
      </c>
      <c r="F81" s="687">
        <v>7.7613773337499997E-2</v>
      </c>
      <c r="G81" s="687">
        <v>1.0181000000000001E-2</v>
      </c>
      <c r="H81" s="216">
        <v>3052.9160646</v>
      </c>
      <c r="J81"/>
    </row>
    <row r="82" spans="2:10" ht="21.95" customHeight="1" x14ac:dyDescent="0.2">
      <c r="B82" s="143" t="s">
        <v>22</v>
      </c>
      <c r="C82" s="143">
        <v>5</v>
      </c>
      <c r="D82" s="143">
        <v>2049</v>
      </c>
      <c r="E82" s="687">
        <v>15.558042004000001</v>
      </c>
      <c r="F82" s="687">
        <v>7.67354587625E-2</v>
      </c>
      <c r="G82" s="687">
        <v>1.0171700000000001E-2</v>
      </c>
      <c r="H82" s="216">
        <v>3050.1280763</v>
      </c>
      <c r="J82"/>
    </row>
    <row r="83" spans="2:10" ht="21.95" customHeight="1" x14ac:dyDescent="0.2">
      <c r="B83" s="143" t="s">
        <v>22</v>
      </c>
      <c r="C83" s="143">
        <v>5</v>
      </c>
      <c r="D83" s="143">
        <v>2050</v>
      </c>
      <c r="E83" s="687">
        <v>15.5449936675</v>
      </c>
      <c r="F83" s="687">
        <v>7.5857144187500003E-2</v>
      </c>
      <c r="G83" s="687">
        <v>1.01624E-2</v>
      </c>
      <c r="H83" s="216">
        <v>3047.3400879999999</v>
      </c>
      <c r="J83"/>
    </row>
    <row r="84" spans="2:10" ht="21.95" customHeight="1" x14ac:dyDescent="0.2">
      <c r="B84" s="143" t="s">
        <v>22</v>
      </c>
      <c r="C84" s="143">
        <v>5</v>
      </c>
      <c r="D84" s="143">
        <v>2051</v>
      </c>
      <c r="E84" s="687">
        <v>15.5357173215</v>
      </c>
      <c r="F84" s="687">
        <v>7.5218339768750003E-2</v>
      </c>
      <c r="G84" s="687">
        <v>1.016065E-2</v>
      </c>
      <c r="H84" s="216">
        <v>3046.8140870000002</v>
      </c>
      <c r="J84"/>
    </row>
    <row r="85" spans="2:10" ht="21.95" customHeight="1" x14ac:dyDescent="0.2">
      <c r="B85" s="143" t="s">
        <v>22</v>
      </c>
      <c r="C85" s="143">
        <v>5</v>
      </c>
      <c r="D85" s="143">
        <v>2052</v>
      </c>
      <c r="E85" s="687">
        <v>15.5264409755</v>
      </c>
      <c r="F85" s="687">
        <v>7.4579535350000004E-2</v>
      </c>
      <c r="G85" s="687">
        <v>1.01589E-2</v>
      </c>
      <c r="H85" s="216">
        <v>3046.288086</v>
      </c>
      <c r="J85"/>
    </row>
    <row r="86" spans="2:10" ht="21.95" customHeight="1" x14ac:dyDescent="0.2">
      <c r="B86" s="143" t="s">
        <v>22</v>
      </c>
      <c r="C86" s="143">
        <v>5</v>
      </c>
      <c r="D86" s="143">
        <v>2053</v>
      </c>
      <c r="E86" s="687">
        <v>15.5171646295</v>
      </c>
      <c r="F86" s="687">
        <v>7.3940730931250004E-2</v>
      </c>
      <c r="G86" s="687">
        <v>1.015715E-2</v>
      </c>
      <c r="H86" s="216">
        <v>3045.7620849999998</v>
      </c>
      <c r="J86"/>
    </row>
    <row r="87" spans="2:10" ht="21.95" customHeight="1" x14ac:dyDescent="0.2">
      <c r="B87" s="143" t="s">
        <v>22</v>
      </c>
      <c r="C87" s="143">
        <v>5</v>
      </c>
      <c r="D87" s="143">
        <v>2054</v>
      </c>
      <c r="E87" s="687">
        <v>15.5078882835</v>
      </c>
      <c r="F87" s="687">
        <v>7.3301926512500004E-2</v>
      </c>
      <c r="G87" s="687">
        <v>1.01554E-2</v>
      </c>
      <c r="H87" s="216">
        <v>3045.2360840000001</v>
      </c>
      <c r="J87"/>
    </row>
    <row r="88" spans="2:10" ht="21.95" customHeight="1" x14ac:dyDescent="0.2">
      <c r="B88" s="143" t="s">
        <v>22</v>
      </c>
      <c r="C88" s="143">
        <v>5</v>
      </c>
      <c r="D88" s="143">
        <v>2055</v>
      </c>
      <c r="E88" s="687">
        <v>15.4986119375</v>
      </c>
      <c r="F88" s="687">
        <v>7.2663122093750004E-2</v>
      </c>
      <c r="G88" s="687">
        <v>1.015365E-2</v>
      </c>
      <c r="H88" s="216">
        <v>3044.7100829999999</v>
      </c>
      <c r="J88"/>
    </row>
    <row r="89" spans="2:10" ht="21.95" customHeight="1" x14ac:dyDescent="0.2">
      <c r="B89" s="143" t="s">
        <v>22</v>
      </c>
      <c r="C89" s="143">
        <v>5</v>
      </c>
      <c r="D89" s="143">
        <v>2056</v>
      </c>
      <c r="E89" s="687">
        <v>15.4893355915</v>
      </c>
      <c r="F89" s="687">
        <v>7.2024317675000005E-2</v>
      </c>
      <c r="G89" s="687">
        <v>1.01519E-2</v>
      </c>
      <c r="H89" s="216">
        <v>3044.1840820000002</v>
      </c>
      <c r="J89"/>
    </row>
    <row r="90" spans="2:10" ht="21.95" customHeight="1" x14ac:dyDescent="0.2">
      <c r="B90" s="143" t="s">
        <v>22</v>
      </c>
      <c r="C90" s="143">
        <v>5</v>
      </c>
      <c r="D90" s="143">
        <v>2057</v>
      </c>
      <c r="E90" s="687">
        <v>15.4800592455</v>
      </c>
      <c r="F90" s="687">
        <v>7.1385513256250005E-2</v>
      </c>
      <c r="G90" s="687">
        <v>1.015015E-2</v>
      </c>
      <c r="H90" s="216">
        <v>3043.658081</v>
      </c>
      <c r="J90"/>
    </row>
    <row r="91" spans="2:10" ht="21.95" customHeight="1" x14ac:dyDescent="0.2">
      <c r="B91" s="143" t="s">
        <v>22</v>
      </c>
      <c r="C91" s="143">
        <v>5</v>
      </c>
      <c r="D91" s="143">
        <v>2058</v>
      </c>
      <c r="E91" s="687">
        <v>15.4707828995</v>
      </c>
      <c r="F91" s="687">
        <v>7.0746708837500005E-2</v>
      </c>
      <c r="G91" s="687">
        <v>1.01484E-2</v>
      </c>
      <c r="H91" s="216">
        <v>3043.1320799999999</v>
      </c>
      <c r="J91"/>
    </row>
    <row r="92" spans="2:10" ht="21.95" customHeight="1" x14ac:dyDescent="0.2">
      <c r="B92" s="143" t="s">
        <v>22</v>
      </c>
      <c r="C92" s="143">
        <v>5</v>
      </c>
      <c r="D92" s="143">
        <v>2059</v>
      </c>
      <c r="E92" s="687">
        <v>15.4615065535</v>
      </c>
      <c r="F92" s="687">
        <v>7.0107904418750006E-2</v>
      </c>
      <c r="G92" s="687">
        <v>1.014665E-2</v>
      </c>
      <c r="H92" s="216">
        <v>3042.6060790000001</v>
      </c>
      <c r="J92"/>
    </row>
    <row r="93" spans="2:10" ht="21.95" customHeight="1" x14ac:dyDescent="0.2">
      <c r="B93" s="143" t="s">
        <v>22</v>
      </c>
      <c r="C93" s="143">
        <v>5</v>
      </c>
      <c r="D93" s="143">
        <v>2060</v>
      </c>
      <c r="E93" s="687">
        <v>15.4522302075</v>
      </c>
      <c r="F93" s="687">
        <v>6.9469100000000006E-2</v>
      </c>
      <c r="G93" s="687">
        <v>1.01449E-2</v>
      </c>
      <c r="H93" s="216">
        <v>3042.080078</v>
      </c>
      <c r="J93"/>
    </row>
    <row r="94" spans="2:10" ht="21.95" customHeight="1" x14ac:dyDescent="0.2">
      <c r="B94" s="143" t="s">
        <v>22</v>
      </c>
      <c r="C94" s="143">
        <v>10</v>
      </c>
      <c r="D94" s="143">
        <v>2020</v>
      </c>
      <c r="E94" s="687">
        <v>11.5765298475</v>
      </c>
      <c r="F94" s="687">
        <v>0.21682590199999999</v>
      </c>
      <c r="G94" s="687">
        <v>8.6848193749999997E-3</v>
      </c>
      <c r="H94" s="216">
        <v>2584.0600589999999</v>
      </c>
      <c r="J94"/>
    </row>
    <row r="95" spans="2:10" ht="21.95" customHeight="1" x14ac:dyDescent="0.2">
      <c r="B95" s="143" t="s">
        <v>22</v>
      </c>
      <c r="C95" s="143">
        <v>10</v>
      </c>
      <c r="D95" s="143">
        <v>2021</v>
      </c>
      <c r="E95" s="687">
        <v>11.372716328299999</v>
      </c>
      <c r="F95" s="687">
        <v>0.20261020864375001</v>
      </c>
      <c r="G95" s="687">
        <v>8.5490344375000003E-3</v>
      </c>
      <c r="H95" s="216">
        <v>2545.1830570000002</v>
      </c>
      <c r="J95"/>
    </row>
    <row r="96" spans="2:10" ht="21.95" customHeight="1" x14ac:dyDescent="0.2">
      <c r="B96" s="143" t="s">
        <v>22</v>
      </c>
      <c r="C96" s="143">
        <v>10</v>
      </c>
      <c r="D96" s="143">
        <v>2022</v>
      </c>
      <c r="E96" s="687">
        <v>11.1689028091</v>
      </c>
      <c r="F96" s="687">
        <v>0.18839451528750001</v>
      </c>
      <c r="G96" s="687">
        <v>8.4132495000000009E-3</v>
      </c>
      <c r="H96" s="216">
        <v>2506.306055</v>
      </c>
      <c r="J96"/>
    </row>
    <row r="97" spans="2:10" ht="21.95" customHeight="1" x14ac:dyDescent="0.2">
      <c r="B97" s="143" t="s">
        <v>22</v>
      </c>
      <c r="C97" s="143">
        <v>10</v>
      </c>
      <c r="D97" s="143">
        <v>2023</v>
      </c>
      <c r="E97" s="687">
        <v>10.9650892899</v>
      </c>
      <c r="F97" s="687">
        <v>0.17417882193125001</v>
      </c>
      <c r="G97" s="687">
        <v>8.2774645624999997E-3</v>
      </c>
      <c r="H97" s="216">
        <v>2467.4290529999998</v>
      </c>
      <c r="J97"/>
    </row>
    <row r="98" spans="2:10" ht="21.95" customHeight="1" x14ac:dyDescent="0.2">
      <c r="B98" s="143" t="s">
        <v>22</v>
      </c>
      <c r="C98" s="143">
        <v>10</v>
      </c>
      <c r="D98" s="143">
        <v>2024</v>
      </c>
      <c r="E98" s="687">
        <v>10.761275770699999</v>
      </c>
      <c r="F98" s="687">
        <v>0.159963128575</v>
      </c>
      <c r="G98" s="687">
        <v>8.1416796250000003E-3</v>
      </c>
      <c r="H98" s="216">
        <v>2428.5520510000001</v>
      </c>
      <c r="J98"/>
    </row>
    <row r="99" spans="2:10" ht="21.95" customHeight="1" x14ac:dyDescent="0.2">
      <c r="B99" s="143" t="s">
        <v>22</v>
      </c>
      <c r="C99" s="143">
        <v>10</v>
      </c>
      <c r="D99" s="143">
        <v>2025</v>
      </c>
      <c r="E99" s="687">
        <v>10.557462251500001</v>
      </c>
      <c r="F99" s="687">
        <v>0.14574743521875</v>
      </c>
      <c r="G99" s="687">
        <v>8.0058946874999991E-3</v>
      </c>
      <c r="H99" s="216">
        <v>2389.6750489999999</v>
      </c>
      <c r="J99"/>
    </row>
    <row r="100" spans="2:10" ht="21.95" customHeight="1" x14ac:dyDescent="0.2">
      <c r="B100" s="143" t="s">
        <v>22</v>
      </c>
      <c r="C100" s="143">
        <v>10</v>
      </c>
      <c r="D100" s="143">
        <v>2026</v>
      </c>
      <c r="E100" s="687">
        <v>10.3536487323</v>
      </c>
      <c r="F100" s="687">
        <v>0.1315317418625</v>
      </c>
      <c r="G100" s="687">
        <v>7.8701097499999997E-3</v>
      </c>
      <c r="H100" s="216">
        <v>2350.7980470000002</v>
      </c>
      <c r="J100"/>
    </row>
    <row r="101" spans="2:10" ht="21.95" customHeight="1" x14ac:dyDescent="0.2">
      <c r="B101" s="143" t="s">
        <v>22</v>
      </c>
      <c r="C101" s="143">
        <v>10</v>
      </c>
      <c r="D101" s="143">
        <v>2027</v>
      </c>
      <c r="E101" s="687">
        <v>10.149835213099999</v>
      </c>
      <c r="F101" s="687">
        <v>0.11731604850625001</v>
      </c>
      <c r="G101" s="687">
        <v>7.7343248125000003E-3</v>
      </c>
      <c r="H101" s="216">
        <v>2311.921045</v>
      </c>
      <c r="J101"/>
    </row>
    <row r="102" spans="2:10" ht="21.95" customHeight="1" x14ac:dyDescent="0.2">
      <c r="B102" s="143" t="s">
        <v>22</v>
      </c>
      <c r="C102" s="143">
        <v>10</v>
      </c>
      <c r="D102" s="143">
        <v>2028</v>
      </c>
      <c r="E102" s="687">
        <v>9.9460216939000006</v>
      </c>
      <c r="F102" s="687">
        <v>0.10310035515</v>
      </c>
      <c r="G102" s="687">
        <v>7.598539875E-3</v>
      </c>
      <c r="H102" s="216">
        <v>2273.0440429999999</v>
      </c>
      <c r="J102"/>
    </row>
    <row r="103" spans="2:10" ht="21.95" customHeight="1" x14ac:dyDescent="0.2">
      <c r="B103" s="143" t="s">
        <v>22</v>
      </c>
      <c r="C103" s="143">
        <v>10</v>
      </c>
      <c r="D103" s="143">
        <v>2029</v>
      </c>
      <c r="E103" s="687">
        <v>9.7422081747</v>
      </c>
      <c r="F103" s="687">
        <v>8.888466179375E-2</v>
      </c>
      <c r="G103" s="687">
        <v>7.4627549374999998E-3</v>
      </c>
      <c r="H103" s="216">
        <v>2234.1670410000002</v>
      </c>
      <c r="J103"/>
    </row>
    <row r="104" spans="2:10" ht="21.95" customHeight="1" x14ac:dyDescent="0.2">
      <c r="B104" s="143" t="s">
        <v>22</v>
      </c>
      <c r="C104" s="143">
        <v>10</v>
      </c>
      <c r="D104" s="143">
        <v>2030</v>
      </c>
      <c r="E104" s="687">
        <v>9.5383946554999994</v>
      </c>
      <c r="F104" s="687">
        <v>7.4668968437499997E-2</v>
      </c>
      <c r="G104" s="687">
        <v>7.3269700000000004E-3</v>
      </c>
      <c r="H104" s="216">
        <v>2195.290039</v>
      </c>
      <c r="J104"/>
    </row>
    <row r="105" spans="2:10" ht="21.95" customHeight="1" x14ac:dyDescent="0.2">
      <c r="B105" s="143" t="s">
        <v>22</v>
      </c>
      <c r="C105" s="143">
        <v>10</v>
      </c>
      <c r="D105" s="143">
        <v>2031</v>
      </c>
      <c r="E105" s="687">
        <v>9.5062543745687496</v>
      </c>
      <c r="F105" s="687">
        <v>7.2795875393750001E-2</v>
      </c>
      <c r="G105" s="687">
        <v>7.2811769999999998E-3</v>
      </c>
      <c r="H105" s="216">
        <v>2181.7380370999999</v>
      </c>
      <c r="J105"/>
    </row>
    <row r="106" spans="2:10" ht="21.95" customHeight="1" x14ac:dyDescent="0.2">
      <c r="B106" s="143" t="s">
        <v>22</v>
      </c>
      <c r="C106" s="143">
        <v>10</v>
      </c>
      <c r="D106" s="143">
        <v>2032</v>
      </c>
      <c r="E106" s="687">
        <v>9.4741140936374997</v>
      </c>
      <c r="F106" s="687">
        <v>7.0922782350000005E-2</v>
      </c>
      <c r="G106" s="687">
        <v>7.2353840000000001E-3</v>
      </c>
      <c r="H106" s="216">
        <v>2168.1860351999999</v>
      </c>
      <c r="J106"/>
    </row>
    <row r="107" spans="2:10" ht="21.95" customHeight="1" x14ac:dyDescent="0.2">
      <c r="B107" s="143" t="s">
        <v>22</v>
      </c>
      <c r="C107" s="143">
        <v>10</v>
      </c>
      <c r="D107" s="143">
        <v>2033</v>
      </c>
      <c r="E107" s="687">
        <v>9.4419738127062498</v>
      </c>
      <c r="F107" s="687">
        <v>6.9049689306249995E-2</v>
      </c>
      <c r="G107" s="687">
        <v>7.1895910000000004E-3</v>
      </c>
      <c r="H107" s="216">
        <v>2154.6340332999998</v>
      </c>
      <c r="J107"/>
    </row>
    <row r="108" spans="2:10" ht="21.95" customHeight="1" x14ac:dyDescent="0.2">
      <c r="B108" s="143" t="s">
        <v>22</v>
      </c>
      <c r="C108" s="143">
        <v>10</v>
      </c>
      <c r="D108" s="143">
        <v>2034</v>
      </c>
      <c r="E108" s="687">
        <v>9.4098335317749999</v>
      </c>
      <c r="F108" s="687">
        <v>6.7176596262499999E-2</v>
      </c>
      <c r="G108" s="687">
        <v>7.1437979999999998E-3</v>
      </c>
      <c r="H108" s="216">
        <v>2141.0820313999998</v>
      </c>
      <c r="J108"/>
    </row>
    <row r="109" spans="2:10" ht="21.95" customHeight="1" x14ac:dyDescent="0.2">
      <c r="B109" s="143" t="s">
        <v>22</v>
      </c>
      <c r="C109" s="143">
        <v>10</v>
      </c>
      <c r="D109" s="143">
        <v>2035</v>
      </c>
      <c r="E109" s="687">
        <v>9.3776932508437501</v>
      </c>
      <c r="F109" s="687">
        <v>6.5303503218750003E-2</v>
      </c>
      <c r="G109" s="687">
        <v>7.0980050000000001E-3</v>
      </c>
      <c r="H109" s="216">
        <v>2127.5300295000002</v>
      </c>
      <c r="J109"/>
    </row>
    <row r="110" spans="2:10" ht="21.95" customHeight="1" x14ac:dyDescent="0.2">
      <c r="B110" s="143" t="s">
        <v>22</v>
      </c>
      <c r="C110" s="143">
        <v>10</v>
      </c>
      <c r="D110" s="143">
        <v>2036</v>
      </c>
      <c r="E110" s="687">
        <v>9.3455529699125002</v>
      </c>
      <c r="F110" s="687">
        <v>6.3430410174999993E-2</v>
      </c>
      <c r="G110" s="687">
        <v>7.0522120000000004E-3</v>
      </c>
      <c r="H110" s="216">
        <v>2113.9780276000001</v>
      </c>
      <c r="J110"/>
    </row>
    <row r="111" spans="2:10" ht="21.95" customHeight="1" x14ac:dyDescent="0.2">
      <c r="B111" s="143" t="s">
        <v>22</v>
      </c>
      <c r="C111" s="143">
        <v>10</v>
      </c>
      <c r="D111" s="143">
        <v>2037</v>
      </c>
      <c r="E111" s="687">
        <v>9.3134126889812503</v>
      </c>
      <c r="F111" s="687">
        <v>6.1557317131249997E-2</v>
      </c>
      <c r="G111" s="687">
        <v>7.0064189999999998E-3</v>
      </c>
      <c r="H111" s="216">
        <v>2100.4260257000001</v>
      </c>
      <c r="J111"/>
    </row>
    <row r="112" spans="2:10" ht="21.95" customHeight="1" x14ac:dyDescent="0.2">
      <c r="B112" s="143" t="s">
        <v>22</v>
      </c>
      <c r="C112" s="143">
        <v>10</v>
      </c>
      <c r="D112" s="143">
        <v>2038</v>
      </c>
      <c r="E112" s="687">
        <v>9.2812724080500004</v>
      </c>
      <c r="F112" s="687">
        <v>5.9684224087500001E-2</v>
      </c>
      <c r="G112" s="687">
        <v>6.9606260000000001E-3</v>
      </c>
      <c r="H112" s="216">
        <v>2086.8740238</v>
      </c>
      <c r="J112"/>
    </row>
    <row r="113" spans="2:10" ht="21.95" customHeight="1" x14ac:dyDescent="0.2">
      <c r="B113" s="143" t="s">
        <v>22</v>
      </c>
      <c r="C113" s="143">
        <v>10</v>
      </c>
      <c r="D113" s="143">
        <v>2039</v>
      </c>
      <c r="E113" s="687">
        <v>9.2491321271187505</v>
      </c>
      <c r="F113" s="687">
        <v>5.7811131043749998E-2</v>
      </c>
      <c r="G113" s="687">
        <v>6.9148329999999996E-3</v>
      </c>
      <c r="H113" s="216">
        <v>2073.3220219</v>
      </c>
      <c r="J113"/>
    </row>
    <row r="114" spans="2:10" ht="21.95" customHeight="1" x14ac:dyDescent="0.2">
      <c r="B114" s="143" t="s">
        <v>22</v>
      </c>
      <c r="C114" s="143">
        <v>10</v>
      </c>
      <c r="D114" s="143">
        <v>2040</v>
      </c>
      <c r="E114" s="687">
        <v>9.2169918461875007</v>
      </c>
      <c r="F114" s="687">
        <v>5.5938038000000002E-2</v>
      </c>
      <c r="G114" s="687">
        <v>6.8690399999999999E-3</v>
      </c>
      <c r="H114" s="216">
        <v>2059.7700199999999</v>
      </c>
      <c r="J114"/>
    </row>
    <row r="115" spans="2:10" ht="21.95" customHeight="1" x14ac:dyDescent="0.2">
      <c r="B115" s="143" t="s">
        <v>22</v>
      </c>
      <c r="C115" s="143">
        <v>10</v>
      </c>
      <c r="D115" s="143">
        <v>2041</v>
      </c>
      <c r="E115" s="687">
        <v>9.2090469973562499</v>
      </c>
      <c r="F115" s="687">
        <v>5.5377738000000003E-2</v>
      </c>
      <c r="G115" s="687">
        <v>6.8629737500000001E-3</v>
      </c>
      <c r="H115" s="216">
        <v>2057.9510135999999</v>
      </c>
      <c r="J115"/>
    </row>
    <row r="116" spans="2:10" ht="21.95" customHeight="1" x14ac:dyDescent="0.2">
      <c r="B116" s="143" t="s">
        <v>22</v>
      </c>
      <c r="C116" s="143">
        <v>10</v>
      </c>
      <c r="D116" s="143">
        <v>2042</v>
      </c>
      <c r="E116" s="687">
        <v>9.2011021485250009</v>
      </c>
      <c r="F116" s="687">
        <v>5.4817438000000003E-2</v>
      </c>
      <c r="G116" s="687">
        <v>6.8569075000000004E-3</v>
      </c>
      <c r="H116" s="216">
        <v>2056.1320071999999</v>
      </c>
      <c r="J116"/>
    </row>
    <row r="117" spans="2:10" ht="21.95" customHeight="1" x14ac:dyDescent="0.2">
      <c r="B117" s="143" t="s">
        <v>22</v>
      </c>
      <c r="C117" s="143">
        <v>10</v>
      </c>
      <c r="D117" s="143">
        <v>2043</v>
      </c>
      <c r="E117" s="687">
        <v>9.1931572996937501</v>
      </c>
      <c r="F117" s="687">
        <v>5.4257138000000003E-2</v>
      </c>
      <c r="G117" s="687">
        <v>6.8508412499999997E-3</v>
      </c>
      <c r="H117" s="216">
        <v>2054.3130007999998</v>
      </c>
      <c r="J117"/>
    </row>
    <row r="118" spans="2:10" ht="21.95" customHeight="1" x14ac:dyDescent="0.2">
      <c r="B118" s="143" t="s">
        <v>22</v>
      </c>
      <c r="C118" s="143">
        <v>10</v>
      </c>
      <c r="D118" s="143">
        <v>2044</v>
      </c>
      <c r="E118" s="687">
        <v>9.1852124508624993</v>
      </c>
      <c r="F118" s="687">
        <v>5.3696837999999997E-2</v>
      </c>
      <c r="G118" s="687">
        <v>6.844775E-3</v>
      </c>
      <c r="H118" s="216">
        <v>2052.4939943999998</v>
      </c>
      <c r="J118"/>
    </row>
    <row r="119" spans="2:10" ht="21.95" customHeight="1" x14ac:dyDescent="0.2">
      <c r="B119" s="143" t="s">
        <v>22</v>
      </c>
      <c r="C119" s="143">
        <v>10</v>
      </c>
      <c r="D119" s="143">
        <v>2045</v>
      </c>
      <c r="E119" s="687">
        <v>9.1772676020312502</v>
      </c>
      <c r="F119" s="687">
        <v>5.3136537999999997E-2</v>
      </c>
      <c r="G119" s="687">
        <v>6.8387087500000002E-3</v>
      </c>
      <c r="H119" s="216">
        <v>2050.6749880000002</v>
      </c>
      <c r="J119"/>
    </row>
    <row r="120" spans="2:10" ht="21.95" customHeight="1" x14ac:dyDescent="0.2">
      <c r="B120" s="143" t="s">
        <v>22</v>
      </c>
      <c r="C120" s="143">
        <v>10</v>
      </c>
      <c r="D120" s="143">
        <v>2046</v>
      </c>
      <c r="E120" s="687">
        <v>9.1693227531999995</v>
      </c>
      <c r="F120" s="687">
        <v>5.2576237999999997E-2</v>
      </c>
      <c r="G120" s="687">
        <v>6.8326424999999996E-3</v>
      </c>
      <c r="H120" s="216">
        <v>2048.8559816000002</v>
      </c>
      <c r="J120"/>
    </row>
    <row r="121" spans="2:10" ht="21.95" customHeight="1" x14ac:dyDescent="0.2">
      <c r="B121" s="143" t="s">
        <v>22</v>
      </c>
      <c r="C121" s="143">
        <v>10</v>
      </c>
      <c r="D121" s="143">
        <v>2047</v>
      </c>
      <c r="E121" s="687">
        <v>9.1613779043687504</v>
      </c>
      <c r="F121" s="687">
        <v>5.2015937999999998E-2</v>
      </c>
      <c r="G121" s="687">
        <v>6.8265762499999999E-3</v>
      </c>
      <c r="H121" s="216">
        <v>2047.0369751999999</v>
      </c>
      <c r="J121"/>
    </row>
    <row r="122" spans="2:10" ht="21.95" customHeight="1" x14ac:dyDescent="0.2">
      <c r="B122" s="143" t="s">
        <v>22</v>
      </c>
      <c r="C122" s="143">
        <v>10</v>
      </c>
      <c r="D122" s="143">
        <v>2048</v>
      </c>
      <c r="E122" s="687">
        <v>9.1534330555374996</v>
      </c>
      <c r="F122" s="687">
        <v>5.1455637999999998E-2</v>
      </c>
      <c r="G122" s="687">
        <v>6.8205100000000001E-3</v>
      </c>
      <c r="H122" s="216">
        <v>2045.2179688000001</v>
      </c>
      <c r="J122"/>
    </row>
    <row r="123" spans="2:10" ht="21.95" customHeight="1" x14ac:dyDescent="0.2">
      <c r="B123" s="143" t="s">
        <v>22</v>
      </c>
      <c r="C123" s="143">
        <v>10</v>
      </c>
      <c r="D123" s="143">
        <v>2049</v>
      </c>
      <c r="E123" s="687">
        <v>9.1454882067062506</v>
      </c>
      <c r="F123" s="687">
        <v>5.0895337999999998E-2</v>
      </c>
      <c r="G123" s="687">
        <v>6.8144437500000004E-3</v>
      </c>
      <c r="H123" s="216">
        <v>2043.3989624000001</v>
      </c>
      <c r="J123"/>
    </row>
    <row r="124" spans="2:10" ht="21.95" customHeight="1" x14ac:dyDescent="0.2">
      <c r="B124" s="143" t="s">
        <v>22</v>
      </c>
      <c r="C124" s="143">
        <v>10</v>
      </c>
      <c r="D124" s="143">
        <v>2050</v>
      </c>
      <c r="E124" s="687">
        <v>9.1375433578749998</v>
      </c>
      <c r="F124" s="687">
        <v>5.0335037999999999E-2</v>
      </c>
      <c r="G124" s="687">
        <v>6.8083774999999997E-3</v>
      </c>
      <c r="H124" s="216">
        <v>2041.579956</v>
      </c>
      <c r="J124"/>
    </row>
    <row r="125" spans="2:10" ht="21.95" customHeight="1" x14ac:dyDescent="0.2">
      <c r="B125" s="143" t="s">
        <v>22</v>
      </c>
      <c r="C125" s="143">
        <v>10</v>
      </c>
      <c r="D125" s="143">
        <v>2051</v>
      </c>
      <c r="E125" s="687">
        <v>9.1320731565125008</v>
      </c>
      <c r="F125" s="687">
        <v>4.992681173125E-2</v>
      </c>
      <c r="G125" s="687">
        <v>6.8073307499999999E-3</v>
      </c>
      <c r="H125" s="216">
        <v>2041.2669555</v>
      </c>
      <c r="J125"/>
    </row>
    <row r="126" spans="2:10" ht="21.95" customHeight="1" x14ac:dyDescent="0.2">
      <c r="B126" s="143" t="s">
        <v>22</v>
      </c>
      <c r="C126" s="143">
        <v>10</v>
      </c>
      <c r="D126" s="143">
        <v>2052</v>
      </c>
      <c r="E126" s="687">
        <v>9.1266029551500001</v>
      </c>
      <c r="F126" s="687">
        <v>4.95185854625E-2</v>
      </c>
      <c r="G126" s="687">
        <v>6.8062840000000001E-3</v>
      </c>
      <c r="H126" s="216">
        <v>2040.953955</v>
      </c>
      <c r="J126"/>
    </row>
    <row r="127" spans="2:10" ht="21.95" customHeight="1" x14ac:dyDescent="0.2">
      <c r="B127" s="143" t="s">
        <v>22</v>
      </c>
      <c r="C127" s="143">
        <v>10</v>
      </c>
      <c r="D127" s="143">
        <v>2053</v>
      </c>
      <c r="E127" s="687">
        <v>9.1211327537874993</v>
      </c>
      <c r="F127" s="687">
        <v>4.9110359193750001E-2</v>
      </c>
      <c r="G127" s="687">
        <v>6.8052372500000003E-3</v>
      </c>
      <c r="H127" s="216">
        <v>2040.6409544999999</v>
      </c>
      <c r="J127"/>
    </row>
    <row r="128" spans="2:10" ht="21.95" customHeight="1" x14ac:dyDescent="0.2">
      <c r="B128" s="143" t="s">
        <v>22</v>
      </c>
      <c r="C128" s="143">
        <v>10</v>
      </c>
      <c r="D128" s="143">
        <v>2054</v>
      </c>
      <c r="E128" s="687">
        <v>9.1156625524250003</v>
      </c>
      <c r="F128" s="687">
        <v>4.8702132925000002E-2</v>
      </c>
      <c r="G128" s="687">
        <v>6.8041904999999996E-3</v>
      </c>
      <c r="H128" s="216">
        <v>2040.3279540000001</v>
      </c>
      <c r="J128"/>
    </row>
    <row r="129" spans="2:10" ht="21.95" customHeight="1" x14ac:dyDescent="0.2">
      <c r="B129" s="143" t="s">
        <v>22</v>
      </c>
      <c r="C129" s="143">
        <v>10</v>
      </c>
      <c r="D129" s="143">
        <v>2055</v>
      </c>
      <c r="E129" s="687">
        <v>9.1101923510624996</v>
      </c>
      <c r="F129" s="687">
        <v>4.8293906656250003E-2</v>
      </c>
      <c r="G129" s="687">
        <v>6.8031437499999998E-3</v>
      </c>
      <c r="H129" s="216">
        <v>2040.0149535</v>
      </c>
      <c r="J129"/>
    </row>
    <row r="130" spans="2:10" ht="21.95" customHeight="1" x14ac:dyDescent="0.2">
      <c r="B130" s="143" t="s">
        <v>22</v>
      </c>
      <c r="C130" s="143">
        <v>10</v>
      </c>
      <c r="D130" s="143">
        <v>2056</v>
      </c>
      <c r="E130" s="687">
        <v>9.1047221497000006</v>
      </c>
      <c r="F130" s="687">
        <v>4.7885680387499997E-2</v>
      </c>
      <c r="G130" s="687">
        <v>6.802097E-3</v>
      </c>
      <c r="H130" s="216">
        <v>2039.701953</v>
      </c>
      <c r="J130"/>
    </row>
    <row r="131" spans="2:10" ht="21.95" customHeight="1" x14ac:dyDescent="0.2">
      <c r="B131" s="143" t="s">
        <v>22</v>
      </c>
      <c r="C131" s="143">
        <v>10</v>
      </c>
      <c r="D131" s="143">
        <v>2057</v>
      </c>
      <c r="E131" s="687">
        <v>9.0992519483374998</v>
      </c>
      <c r="F131" s="687">
        <v>4.7477454118749998E-2</v>
      </c>
      <c r="G131" s="687">
        <v>6.8010502500000002E-3</v>
      </c>
      <c r="H131" s="216">
        <v>2039.3889525</v>
      </c>
      <c r="J131"/>
    </row>
    <row r="132" spans="2:10" ht="21.95" customHeight="1" x14ac:dyDescent="0.2">
      <c r="B132" s="143" t="s">
        <v>22</v>
      </c>
      <c r="C132" s="143">
        <v>10</v>
      </c>
      <c r="D132" s="143">
        <v>2058</v>
      </c>
      <c r="E132" s="687">
        <v>9.0937817469750009</v>
      </c>
      <c r="F132" s="687">
        <v>4.7069227849999999E-2</v>
      </c>
      <c r="G132" s="687">
        <v>6.8000035000000004E-3</v>
      </c>
      <c r="H132" s="216">
        <v>2039.0759519999999</v>
      </c>
      <c r="J132"/>
    </row>
    <row r="133" spans="2:10" ht="21.95" customHeight="1" x14ac:dyDescent="0.2">
      <c r="B133" s="143" t="s">
        <v>22</v>
      </c>
      <c r="C133" s="143">
        <v>10</v>
      </c>
      <c r="D133" s="143">
        <v>2059</v>
      </c>
      <c r="E133" s="687">
        <v>9.0883115456125001</v>
      </c>
      <c r="F133" s="687">
        <v>4.666100158125E-2</v>
      </c>
      <c r="G133" s="687">
        <v>6.7989567499999997E-3</v>
      </c>
      <c r="H133" s="216">
        <v>2038.7629515000001</v>
      </c>
      <c r="J133"/>
    </row>
    <row r="134" spans="2:10" ht="21.95" customHeight="1" x14ac:dyDescent="0.2">
      <c r="B134" s="143" t="s">
        <v>22</v>
      </c>
      <c r="C134" s="143">
        <v>10</v>
      </c>
      <c r="D134" s="143">
        <v>2060</v>
      </c>
      <c r="E134" s="687">
        <v>9.0828413442499993</v>
      </c>
      <c r="F134" s="687">
        <v>4.6252775312500001E-2</v>
      </c>
      <c r="G134" s="687">
        <v>6.7979099999999999E-3</v>
      </c>
      <c r="H134" s="216">
        <v>2038.4499510000001</v>
      </c>
      <c r="J134"/>
    </row>
    <row r="135" spans="2:10" ht="21.95" customHeight="1" x14ac:dyDescent="0.2">
      <c r="B135" s="143" t="s">
        <v>22</v>
      </c>
      <c r="C135" s="143">
        <v>15</v>
      </c>
      <c r="D135" s="143">
        <v>2020</v>
      </c>
      <c r="E135" s="687">
        <v>9.1366556195625002</v>
      </c>
      <c r="F135" s="687">
        <v>0.19841539899999999</v>
      </c>
      <c r="G135" s="687">
        <v>7.8009300000000002E-3</v>
      </c>
      <c r="H135" s="216">
        <v>2321.25</v>
      </c>
      <c r="J135"/>
    </row>
    <row r="136" spans="2:10" ht="21.95" customHeight="1" x14ac:dyDescent="0.2">
      <c r="B136" s="143" t="s">
        <v>22</v>
      </c>
      <c r="C136" s="143">
        <v>15</v>
      </c>
      <c r="D136" s="143">
        <v>2021</v>
      </c>
      <c r="E136" s="687">
        <v>8.9463578874187508</v>
      </c>
      <c r="F136" s="687">
        <v>0.18538485900000001</v>
      </c>
      <c r="G136" s="687">
        <v>7.6768549999999998E-3</v>
      </c>
      <c r="H136" s="216">
        <v>2285.6819946000001</v>
      </c>
      <c r="J136"/>
    </row>
    <row r="137" spans="2:10" ht="21.95" customHeight="1" x14ac:dyDescent="0.2">
      <c r="B137" s="143" t="s">
        <v>22</v>
      </c>
      <c r="C137" s="143">
        <v>15</v>
      </c>
      <c r="D137" s="143">
        <v>2022</v>
      </c>
      <c r="E137" s="687">
        <v>8.7560601552749997</v>
      </c>
      <c r="F137" s="687">
        <v>0.17235431900000001</v>
      </c>
      <c r="G137" s="687">
        <v>7.5527800000000003E-3</v>
      </c>
      <c r="H137" s="216">
        <v>2250.1139892000001</v>
      </c>
      <c r="J137"/>
    </row>
    <row r="138" spans="2:10" ht="21.95" customHeight="1" x14ac:dyDescent="0.2">
      <c r="B138" s="143" t="s">
        <v>22</v>
      </c>
      <c r="C138" s="143">
        <v>15</v>
      </c>
      <c r="D138" s="143">
        <v>2023</v>
      </c>
      <c r="E138" s="687">
        <v>8.5657624231312504</v>
      </c>
      <c r="F138" s="687">
        <v>0.159323779</v>
      </c>
      <c r="G138" s="687">
        <v>7.4287049999999999E-3</v>
      </c>
      <c r="H138" s="216">
        <v>2214.5459838000002</v>
      </c>
      <c r="J138"/>
    </row>
    <row r="139" spans="2:10" ht="21.95" customHeight="1" x14ac:dyDescent="0.2">
      <c r="B139" s="143" t="s">
        <v>22</v>
      </c>
      <c r="C139" s="143">
        <v>15</v>
      </c>
      <c r="D139" s="143">
        <v>2024</v>
      </c>
      <c r="E139" s="687">
        <v>8.3754646909874992</v>
      </c>
      <c r="F139" s="687">
        <v>0.14629323899999999</v>
      </c>
      <c r="G139" s="687">
        <v>7.3046300000000003E-3</v>
      </c>
      <c r="H139" s="216">
        <v>2178.9779784000002</v>
      </c>
      <c r="J139"/>
    </row>
    <row r="140" spans="2:10" ht="21.95" customHeight="1" x14ac:dyDescent="0.2">
      <c r="B140" s="143" t="s">
        <v>22</v>
      </c>
      <c r="C140" s="143">
        <v>15</v>
      </c>
      <c r="D140" s="143">
        <v>2025</v>
      </c>
      <c r="E140" s="687">
        <v>8.1851669588437499</v>
      </c>
      <c r="F140" s="687">
        <v>0.13326269900000001</v>
      </c>
      <c r="G140" s="687">
        <v>7.1805549999999999E-3</v>
      </c>
      <c r="H140" s="216">
        <v>2143.4099729999998</v>
      </c>
      <c r="J140"/>
    </row>
    <row r="141" spans="2:10" ht="21.95" customHeight="1" x14ac:dyDescent="0.2">
      <c r="B141" s="143" t="s">
        <v>22</v>
      </c>
      <c r="C141" s="143">
        <v>15</v>
      </c>
      <c r="D141" s="143">
        <v>2026</v>
      </c>
      <c r="E141" s="687">
        <v>7.9948692266999997</v>
      </c>
      <c r="F141" s="687">
        <v>0.12023215900000001</v>
      </c>
      <c r="G141" s="687">
        <v>7.0564800000000004E-3</v>
      </c>
      <c r="H141" s="216">
        <v>2107.8419675999999</v>
      </c>
      <c r="J141"/>
    </row>
    <row r="142" spans="2:10" ht="21.95" customHeight="1" x14ac:dyDescent="0.2">
      <c r="B142" s="143" t="s">
        <v>22</v>
      </c>
      <c r="C142" s="143">
        <v>15</v>
      </c>
      <c r="D142" s="143">
        <v>2027</v>
      </c>
      <c r="E142" s="687">
        <v>7.8045714945562503</v>
      </c>
      <c r="F142" s="687">
        <v>0.107201619</v>
      </c>
      <c r="G142" s="687">
        <v>6.932405E-3</v>
      </c>
      <c r="H142" s="216">
        <v>2072.2739621999999</v>
      </c>
      <c r="J142"/>
    </row>
    <row r="143" spans="2:10" ht="21.95" customHeight="1" x14ac:dyDescent="0.2">
      <c r="B143" s="143" t="s">
        <v>22</v>
      </c>
      <c r="C143" s="143">
        <v>15</v>
      </c>
      <c r="D143" s="143">
        <v>2028</v>
      </c>
      <c r="E143" s="687">
        <v>7.6142737624125001</v>
      </c>
      <c r="F143" s="687">
        <v>9.4171079000000005E-2</v>
      </c>
      <c r="G143" s="687">
        <v>6.8083299999999996E-3</v>
      </c>
      <c r="H143" s="216">
        <v>2036.7059568</v>
      </c>
      <c r="J143"/>
    </row>
    <row r="144" spans="2:10" ht="21.95" customHeight="1" x14ac:dyDescent="0.2">
      <c r="B144" s="143" t="s">
        <v>22</v>
      </c>
      <c r="C144" s="143">
        <v>15</v>
      </c>
      <c r="D144" s="143">
        <v>2029</v>
      </c>
      <c r="E144" s="687">
        <v>7.4239760302687499</v>
      </c>
      <c r="F144" s="687">
        <v>8.1140538999999998E-2</v>
      </c>
      <c r="G144" s="687">
        <v>6.6842550000000001E-3</v>
      </c>
      <c r="H144" s="216">
        <v>2001.1379514</v>
      </c>
      <c r="J144"/>
    </row>
    <row r="145" spans="2:10" ht="21.95" customHeight="1" x14ac:dyDescent="0.2">
      <c r="B145" s="143" t="s">
        <v>22</v>
      </c>
      <c r="C145" s="143">
        <v>15</v>
      </c>
      <c r="D145" s="143">
        <v>2030</v>
      </c>
      <c r="E145" s="687">
        <v>7.2336782981249996</v>
      </c>
      <c r="F145" s="687">
        <v>6.8109999000000004E-2</v>
      </c>
      <c r="G145" s="687">
        <v>6.5601799999999997E-3</v>
      </c>
      <c r="H145" s="216">
        <v>1965.5699460000001</v>
      </c>
      <c r="J145"/>
    </row>
    <row r="146" spans="2:10" ht="21.95" customHeight="1" x14ac:dyDescent="0.2">
      <c r="B146" s="143" t="s">
        <v>22</v>
      </c>
      <c r="C146" s="143">
        <v>15</v>
      </c>
      <c r="D146" s="143">
        <v>2031</v>
      </c>
      <c r="E146" s="687">
        <v>7.2048677685625</v>
      </c>
      <c r="F146" s="687">
        <v>6.6423976568750001E-2</v>
      </c>
      <c r="G146" s="687">
        <v>6.5181759999999997E-3</v>
      </c>
      <c r="H146" s="216">
        <v>1953.1339475</v>
      </c>
      <c r="J146"/>
    </row>
    <row r="147" spans="2:10" ht="21.95" customHeight="1" x14ac:dyDescent="0.2">
      <c r="B147" s="143" t="s">
        <v>22</v>
      </c>
      <c r="C147" s="143">
        <v>15</v>
      </c>
      <c r="D147" s="143">
        <v>2032</v>
      </c>
      <c r="E147" s="687">
        <v>7.1760572390000004</v>
      </c>
      <c r="F147" s="687">
        <v>6.4737954137499998E-2</v>
      </c>
      <c r="G147" s="687">
        <v>6.4761719999999997E-3</v>
      </c>
      <c r="H147" s="216">
        <v>1940.6979490000001</v>
      </c>
      <c r="J147"/>
    </row>
    <row r="148" spans="2:10" ht="21.95" customHeight="1" x14ac:dyDescent="0.2">
      <c r="B148" s="143" t="s">
        <v>22</v>
      </c>
      <c r="C148" s="143">
        <v>15</v>
      </c>
      <c r="D148" s="143">
        <v>2033</v>
      </c>
      <c r="E148" s="687">
        <v>7.1472467094374998</v>
      </c>
      <c r="F148" s="687">
        <v>6.3051931706249995E-2</v>
      </c>
      <c r="G148" s="687">
        <v>6.4341679999999997E-3</v>
      </c>
      <c r="H148" s="216">
        <v>1928.2619505</v>
      </c>
      <c r="J148"/>
    </row>
    <row r="149" spans="2:10" ht="21.95" customHeight="1" x14ac:dyDescent="0.2">
      <c r="B149" s="143" t="s">
        <v>22</v>
      </c>
      <c r="C149" s="143">
        <v>15</v>
      </c>
      <c r="D149" s="143">
        <v>2034</v>
      </c>
      <c r="E149" s="687">
        <v>7.1184361798750002</v>
      </c>
      <c r="F149" s="687">
        <v>6.1365909274999998E-2</v>
      </c>
      <c r="G149" s="687">
        <v>6.3921639999999997E-3</v>
      </c>
      <c r="H149" s="216">
        <v>1915.8259519999999</v>
      </c>
      <c r="J149"/>
    </row>
    <row r="150" spans="2:10" ht="21.95" customHeight="1" x14ac:dyDescent="0.2">
      <c r="B150" s="143" t="s">
        <v>22</v>
      </c>
      <c r="C150" s="143">
        <v>15</v>
      </c>
      <c r="D150" s="143">
        <v>2035</v>
      </c>
      <c r="E150" s="687">
        <v>7.0896256503124997</v>
      </c>
      <c r="F150" s="687">
        <v>5.9679886843750002E-2</v>
      </c>
      <c r="G150" s="687">
        <v>6.3501599999999997E-3</v>
      </c>
      <c r="H150" s="216">
        <v>1903.3899535</v>
      </c>
      <c r="J150"/>
    </row>
    <row r="151" spans="2:10" ht="21.95" customHeight="1" x14ac:dyDescent="0.2">
      <c r="B151" s="143" t="s">
        <v>22</v>
      </c>
      <c r="C151" s="143">
        <v>15</v>
      </c>
      <c r="D151" s="143">
        <v>2036</v>
      </c>
      <c r="E151" s="687">
        <v>7.0608151207500001</v>
      </c>
      <c r="F151" s="687">
        <v>5.7993864412499999E-2</v>
      </c>
      <c r="G151" s="687">
        <v>6.3081559999999997E-3</v>
      </c>
      <c r="H151" s="216">
        <v>1890.953955</v>
      </c>
      <c r="J151"/>
    </row>
    <row r="152" spans="2:10" ht="21.95" customHeight="1" x14ac:dyDescent="0.2">
      <c r="B152" s="143" t="s">
        <v>22</v>
      </c>
      <c r="C152" s="143">
        <v>15</v>
      </c>
      <c r="D152" s="143">
        <v>2037</v>
      </c>
      <c r="E152" s="687">
        <v>7.0320045911875004</v>
      </c>
      <c r="F152" s="687">
        <v>5.6307841981250002E-2</v>
      </c>
      <c r="G152" s="687">
        <v>6.2661519999999997E-3</v>
      </c>
      <c r="H152" s="216">
        <v>1878.5179565000001</v>
      </c>
      <c r="J152"/>
    </row>
    <row r="153" spans="2:10" ht="21.95" customHeight="1" x14ac:dyDescent="0.2">
      <c r="B153" s="143" t="s">
        <v>22</v>
      </c>
      <c r="C153" s="143">
        <v>15</v>
      </c>
      <c r="D153" s="143">
        <v>2038</v>
      </c>
      <c r="E153" s="687">
        <v>7.0031940616249999</v>
      </c>
      <c r="F153" s="687">
        <v>5.4621819549999999E-2</v>
      </c>
      <c r="G153" s="687">
        <v>6.2241479999999997E-3</v>
      </c>
      <c r="H153" s="216">
        <v>1866.081958</v>
      </c>
      <c r="J153"/>
    </row>
    <row r="154" spans="2:10" ht="21.95" customHeight="1" x14ac:dyDescent="0.2">
      <c r="B154" s="143" t="s">
        <v>22</v>
      </c>
      <c r="C154" s="143">
        <v>15</v>
      </c>
      <c r="D154" s="143">
        <v>2039</v>
      </c>
      <c r="E154" s="687">
        <v>6.9743835320625003</v>
      </c>
      <c r="F154" s="687">
        <v>5.2935797118750003E-2</v>
      </c>
      <c r="G154" s="687">
        <v>6.1821439999999997E-3</v>
      </c>
      <c r="H154" s="216">
        <v>1853.6459594999999</v>
      </c>
      <c r="J154"/>
    </row>
    <row r="155" spans="2:10" ht="21.95" customHeight="1" x14ac:dyDescent="0.2">
      <c r="B155" s="143" t="s">
        <v>22</v>
      </c>
      <c r="C155" s="143">
        <v>15</v>
      </c>
      <c r="D155" s="143">
        <v>2040</v>
      </c>
      <c r="E155" s="687">
        <v>6.9455730024999998</v>
      </c>
      <c r="F155" s="687">
        <v>5.1249774687499999E-2</v>
      </c>
      <c r="G155" s="687">
        <v>6.1401399999999997E-3</v>
      </c>
      <c r="H155" s="216">
        <v>1841.209961</v>
      </c>
      <c r="J155"/>
    </row>
    <row r="156" spans="2:10" ht="21.95" customHeight="1" x14ac:dyDescent="0.2">
      <c r="B156" s="143" t="s">
        <v>22</v>
      </c>
      <c r="C156" s="143">
        <v>15</v>
      </c>
      <c r="D156" s="143">
        <v>2041</v>
      </c>
      <c r="E156" s="687">
        <v>6.9382770865875001</v>
      </c>
      <c r="F156" s="687">
        <v>5.073925511875E-2</v>
      </c>
      <c r="G156" s="687">
        <v>6.1345660000000002E-3</v>
      </c>
      <c r="H156" s="216">
        <v>1839.5379639</v>
      </c>
      <c r="J156"/>
    </row>
    <row r="157" spans="2:10" ht="21.95" customHeight="1" x14ac:dyDescent="0.2">
      <c r="B157" s="143" t="s">
        <v>22</v>
      </c>
      <c r="C157" s="143">
        <v>15</v>
      </c>
      <c r="D157" s="143">
        <v>2042</v>
      </c>
      <c r="E157" s="687">
        <v>6.9309811706750004</v>
      </c>
      <c r="F157" s="687">
        <v>5.022873555E-2</v>
      </c>
      <c r="G157" s="687">
        <v>6.1289919999999998E-3</v>
      </c>
      <c r="H157" s="216">
        <v>1837.8659668</v>
      </c>
      <c r="J157"/>
    </row>
    <row r="158" spans="2:10" ht="21.95" customHeight="1" x14ac:dyDescent="0.2">
      <c r="B158" s="143" t="s">
        <v>22</v>
      </c>
      <c r="C158" s="143">
        <v>15</v>
      </c>
      <c r="D158" s="143">
        <v>2043</v>
      </c>
      <c r="E158" s="687">
        <v>6.9236852547624999</v>
      </c>
      <c r="F158" s="687">
        <v>4.9718215981250001E-2</v>
      </c>
      <c r="G158" s="687">
        <v>6.1234180000000003E-3</v>
      </c>
      <c r="H158" s="216">
        <v>1836.1939697</v>
      </c>
      <c r="J158"/>
    </row>
    <row r="159" spans="2:10" ht="21.95" customHeight="1" x14ac:dyDescent="0.2">
      <c r="B159" s="143" t="s">
        <v>22</v>
      </c>
      <c r="C159" s="143">
        <v>15</v>
      </c>
      <c r="D159" s="143">
        <v>2044</v>
      </c>
      <c r="E159" s="687">
        <v>6.9163893388500002</v>
      </c>
      <c r="F159" s="687">
        <v>4.9207696412500002E-2</v>
      </c>
      <c r="G159" s="687">
        <v>6.1178439999999999E-3</v>
      </c>
      <c r="H159" s="216">
        <v>1834.5219726</v>
      </c>
      <c r="J159"/>
    </row>
    <row r="160" spans="2:10" ht="21.95" customHeight="1" x14ac:dyDescent="0.2">
      <c r="B160" s="143" t="s">
        <v>22</v>
      </c>
      <c r="C160" s="143">
        <v>15</v>
      </c>
      <c r="D160" s="143">
        <v>2045</v>
      </c>
      <c r="E160" s="687">
        <v>6.9090934229374996</v>
      </c>
      <c r="F160" s="687">
        <v>4.8697176843750002E-2</v>
      </c>
      <c r="G160" s="687">
        <v>6.1122700000000004E-3</v>
      </c>
      <c r="H160" s="216">
        <v>1832.8499755</v>
      </c>
      <c r="J160"/>
    </row>
    <row r="161" spans="2:10" ht="21.95" customHeight="1" x14ac:dyDescent="0.2">
      <c r="B161" s="143" t="s">
        <v>22</v>
      </c>
      <c r="C161" s="143">
        <v>15</v>
      </c>
      <c r="D161" s="143">
        <v>2046</v>
      </c>
      <c r="E161" s="687">
        <v>6.9017975070249999</v>
      </c>
      <c r="F161" s="687">
        <v>4.8186657275000003E-2</v>
      </c>
      <c r="G161" s="687">
        <v>6.106696E-3</v>
      </c>
      <c r="H161" s="216">
        <v>1831.1779784</v>
      </c>
      <c r="J161"/>
    </row>
    <row r="162" spans="2:10" ht="21.95" customHeight="1" x14ac:dyDescent="0.2">
      <c r="B162" s="143" t="s">
        <v>22</v>
      </c>
      <c r="C162" s="143">
        <v>15</v>
      </c>
      <c r="D162" s="143">
        <v>2047</v>
      </c>
      <c r="E162" s="687">
        <v>6.8945015911125003</v>
      </c>
      <c r="F162" s="687">
        <v>4.7676137706250003E-2</v>
      </c>
      <c r="G162" s="687">
        <v>6.1011219999999996E-3</v>
      </c>
      <c r="H162" s="216">
        <v>1829.5059813</v>
      </c>
      <c r="J162"/>
    </row>
    <row r="163" spans="2:10" ht="21.95" customHeight="1" x14ac:dyDescent="0.2">
      <c r="B163" s="143" t="s">
        <v>22</v>
      </c>
      <c r="C163" s="143">
        <v>15</v>
      </c>
      <c r="D163" s="143">
        <v>2048</v>
      </c>
      <c r="E163" s="687">
        <v>6.8872056751999997</v>
      </c>
      <c r="F163" s="687">
        <v>4.7165618137499997E-2</v>
      </c>
      <c r="G163" s="687">
        <v>6.0955480000000001E-3</v>
      </c>
      <c r="H163" s="216">
        <v>1827.8339842</v>
      </c>
      <c r="J163"/>
    </row>
    <row r="164" spans="2:10" ht="21.95" customHeight="1" x14ac:dyDescent="0.2">
      <c r="B164" s="143" t="s">
        <v>22</v>
      </c>
      <c r="C164" s="143">
        <v>15</v>
      </c>
      <c r="D164" s="143">
        <v>2049</v>
      </c>
      <c r="E164" s="687">
        <v>6.8799097592875</v>
      </c>
      <c r="F164" s="687">
        <v>4.6655098568749998E-2</v>
      </c>
      <c r="G164" s="687">
        <v>6.0899739999999997E-3</v>
      </c>
      <c r="H164" s="216">
        <v>1826.1619871</v>
      </c>
      <c r="J164"/>
    </row>
    <row r="165" spans="2:10" ht="21.95" customHeight="1" x14ac:dyDescent="0.2">
      <c r="B165" s="143" t="s">
        <v>22</v>
      </c>
      <c r="C165" s="143">
        <v>15</v>
      </c>
      <c r="D165" s="143">
        <v>2050</v>
      </c>
      <c r="E165" s="687">
        <v>6.8726138433750004</v>
      </c>
      <c r="F165" s="687">
        <v>4.6144578999999998E-2</v>
      </c>
      <c r="G165" s="687">
        <v>6.0844000000000002E-3</v>
      </c>
      <c r="H165" s="216">
        <v>1824.48999</v>
      </c>
      <c r="J165"/>
    </row>
    <row r="166" spans="2:10" ht="21.95" customHeight="1" x14ac:dyDescent="0.2">
      <c r="B166" s="143" t="s">
        <v>22</v>
      </c>
      <c r="C166" s="143">
        <v>15</v>
      </c>
      <c r="D166" s="143">
        <v>2051</v>
      </c>
      <c r="E166" s="687">
        <v>6.8676859747124999</v>
      </c>
      <c r="F166" s="687">
        <v>4.5770581099999999E-2</v>
      </c>
      <c r="G166" s="687">
        <v>6.0834460000000002E-3</v>
      </c>
      <c r="H166" s="216">
        <v>1824.2039915</v>
      </c>
      <c r="J166"/>
    </row>
    <row r="167" spans="2:10" ht="21.95" customHeight="1" x14ac:dyDescent="0.2">
      <c r="B167" s="143" t="s">
        <v>22</v>
      </c>
      <c r="C167" s="143">
        <v>15</v>
      </c>
      <c r="D167" s="143">
        <v>2052</v>
      </c>
      <c r="E167" s="687">
        <v>6.8627581060500003</v>
      </c>
      <c r="F167" s="687">
        <v>4.53965832E-2</v>
      </c>
      <c r="G167" s="687">
        <v>6.0824920000000001E-3</v>
      </c>
      <c r="H167" s="216">
        <v>1823.917993</v>
      </c>
      <c r="J167"/>
    </row>
    <row r="168" spans="2:10" ht="21.95" customHeight="1" x14ac:dyDescent="0.2">
      <c r="B168" s="143" t="s">
        <v>22</v>
      </c>
      <c r="C168" s="143">
        <v>15</v>
      </c>
      <c r="D168" s="143">
        <v>2053</v>
      </c>
      <c r="E168" s="687">
        <v>6.8578302373874997</v>
      </c>
      <c r="F168" s="687">
        <v>4.5022585300000001E-2</v>
      </c>
      <c r="G168" s="687">
        <v>6.081538E-3</v>
      </c>
      <c r="H168" s="216">
        <v>1823.6319945</v>
      </c>
      <c r="J168"/>
    </row>
    <row r="169" spans="2:10" ht="21.95" customHeight="1" x14ac:dyDescent="0.2">
      <c r="B169" s="143" t="s">
        <v>22</v>
      </c>
      <c r="C169" s="143">
        <v>15</v>
      </c>
      <c r="D169" s="143">
        <v>2054</v>
      </c>
      <c r="E169" s="687">
        <v>6.8529023687250001</v>
      </c>
      <c r="F169" s="687">
        <v>4.4648587400000002E-2</v>
      </c>
      <c r="G169" s="687">
        <v>6.080584E-3</v>
      </c>
      <c r="H169" s="216">
        <v>1823.345996</v>
      </c>
      <c r="J169"/>
    </row>
    <row r="170" spans="2:10" ht="21.95" customHeight="1" x14ac:dyDescent="0.2">
      <c r="B170" s="143" t="s">
        <v>22</v>
      </c>
      <c r="C170" s="143">
        <v>15</v>
      </c>
      <c r="D170" s="143">
        <v>2055</v>
      </c>
      <c r="E170" s="687">
        <v>6.8479745000624996</v>
      </c>
      <c r="F170" s="687">
        <v>4.4274589500000003E-2</v>
      </c>
      <c r="G170" s="687">
        <v>6.0796299999999999E-3</v>
      </c>
      <c r="H170" s="216">
        <v>1823.0599975</v>
      </c>
      <c r="J170"/>
    </row>
    <row r="171" spans="2:10" ht="21.95" customHeight="1" x14ac:dyDescent="0.2">
      <c r="B171" s="143" t="s">
        <v>22</v>
      </c>
      <c r="C171" s="143">
        <v>15</v>
      </c>
      <c r="D171" s="143">
        <v>2056</v>
      </c>
      <c r="E171" s="687">
        <v>6.8430466314</v>
      </c>
      <c r="F171" s="687">
        <v>4.3900591599999997E-2</v>
      </c>
      <c r="G171" s="687">
        <v>6.0786759999999999E-3</v>
      </c>
      <c r="H171" s="216">
        <v>1822.773999</v>
      </c>
      <c r="J171"/>
    </row>
    <row r="172" spans="2:10" ht="21.95" customHeight="1" x14ac:dyDescent="0.2">
      <c r="B172" s="143" t="s">
        <v>22</v>
      </c>
      <c r="C172" s="143">
        <v>15</v>
      </c>
      <c r="D172" s="143">
        <v>2057</v>
      </c>
      <c r="E172" s="687">
        <v>6.8381187627375004</v>
      </c>
      <c r="F172" s="687">
        <v>4.3526593699999998E-2</v>
      </c>
      <c r="G172" s="687">
        <v>6.0777219999999998E-3</v>
      </c>
      <c r="H172" s="216">
        <v>1822.4880005</v>
      </c>
      <c r="J172"/>
    </row>
    <row r="173" spans="2:10" ht="21.95" customHeight="1" x14ac:dyDescent="0.2">
      <c r="B173" s="143" t="s">
        <v>22</v>
      </c>
      <c r="C173" s="143">
        <v>15</v>
      </c>
      <c r="D173" s="143">
        <v>2058</v>
      </c>
      <c r="E173" s="687">
        <v>6.8331908940749999</v>
      </c>
      <c r="F173" s="687">
        <v>4.3152595799999999E-2</v>
      </c>
      <c r="G173" s="687">
        <v>6.0767679999999998E-3</v>
      </c>
      <c r="H173" s="216">
        <v>1822.202002</v>
      </c>
      <c r="J173"/>
    </row>
    <row r="174" spans="2:10" ht="21.95" customHeight="1" x14ac:dyDescent="0.2">
      <c r="B174" s="143" t="s">
        <v>22</v>
      </c>
      <c r="C174" s="143">
        <v>15</v>
      </c>
      <c r="D174" s="143">
        <v>2059</v>
      </c>
      <c r="E174" s="687">
        <v>6.8282630254125003</v>
      </c>
      <c r="F174" s="687">
        <v>4.27785979E-2</v>
      </c>
      <c r="G174" s="687">
        <v>6.0758139999999997E-3</v>
      </c>
      <c r="H174" s="216">
        <v>1821.9160035</v>
      </c>
      <c r="J174"/>
    </row>
    <row r="175" spans="2:10" ht="21.95" customHeight="1" x14ac:dyDescent="0.2">
      <c r="B175" s="143" t="s">
        <v>22</v>
      </c>
      <c r="C175" s="143">
        <v>15</v>
      </c>
      <c r="D175" s="143">
        <v>2060</v>
      </c>
      <c r="E175" s="687">
        <v>6.8233351567499998</v>
      </c>
      <c r="F175" s="687">
        <v>4.2404600000000001E-2</v>
      </c>
      <c r="G175" s="687">
        <v>6.0748599999999996E-3</v>
      </c>
      <c r="H175" s="216">
        <v>1821.630005</v>
      </c>
      <c r="J175"/>
    </row>
    <row r="176" spans="2:10" ht="21.95" customHeight="1" x14ac:dyDescent="0.2">
      <c r="B176" s="143" t="s">
        <v>22</v>
      </c>
      <c r="C176" s="143">
        <v>20</v>
      </c>
      <c r="D176" s="143">
        <v>2020</v>
      </c>
      <c r="E176" s="687">
        <v>7.5048004981250003</v>
      </c>
      <c r="F176" s="687">
        <v>0.177401794</v>
      </c>
      <c r="G176" s="687">
        <v>7.08868E-3</v>
      </c>
      <c r="H176" s="216">
        <v>2109.6899410000001</v>
      </c>
      <c r="J176"/>
    </row>
    <row r="177" spans="2:10" ht="21.95" customHeight="1" x14ac:dyDescent="0.2">
      <c r="B177" s="143" t="s">
        <v>22</v>
      </c>
      <c r="C177" s="143">
        <v>20</v>
      </c>
      <c r="D177" s="143">
        <v>2021</v>
      </c>
      <c r="E177" s="687">
        <v>7.3257127167125002</v>
      </c>
      <c r="F177" s="687">
        <v>0.16568002449999999</v>
      </c>
      <c r="G177" s="687">
        <v>6.9762560000000001E-3</v>
      </c>
      <c r="H177" s="216">
        <v>2077.4309444999999</v>
      </c>
      <c r="J177"/>
    </row>
    <row r="178" spans="2:10" ht="21.95" customHeight="1" x14ac:dyDescent="0.2">
      <c r="B178" s="143" t="s">
        <v>22</v>
      </c>
      <c r="C178" s="143">
        <v>20</v>
      </c>
      <c r="D178" s="143">
        <v>2022</v>
      </c>
      <c r="E178" s="687">
        <v>7.1466249353000002</v>
      </c>
      <c r="F178" s="687">
        <v>0.15395825499999999</v>
      </c>
      <c r="G178" s="687">
        <v>6.8638320000000003E-3</v>
      </c>
      <c r="H178" s="216">
        <v>2045.1719479999999</v>
      </c>
      <c r="J178"/>
    </row>
    <row r="179" spans="2:10" ht="21.95" customHeight="1" x14ac:dyDescent="0.2">
      <c r="B179" s="143" t="s">
        <v>22</v>
      </c>
      <c r="C179" s="143">
        <v>20</v>
      </c>
      <c r="D179" s="143">
        <v>2023</v>
      </c>
      <c r="E179" s="687">
        <v>6.9675371538875002</v>
      </c>
      <c r="F179" s="687">
        <v>0.14223648550000001</v>
      </c>
      <c r="G179" s="687">
        <v>6.7514080000000004E-3</v>
      </c>
      <c r="H179" s="216">
        <v>2012.9129515</v>
      </c>
      <c r="J179"/>
    </row>
    <row r="180" spans="2:10" ht="21.95" customHeight="1" x14ac:dyDescent="0.2">
      <c r="B180" s="143" t="s">
        <v>22</v>
      </c>
      <c r="C180" s="143">
        <v>20</v>
      </c>
      <c r="D180" s="143">
        <v>2024</v>
      </c>
      <c r="E180" s="687">
        <v>6.7884493724750001</v>
      </c>
      <c r="F180" s="687">
        <v>0.130514716</v>
      </c>
      <c r="G180" s="687">
        <v>6.6389839999999997E-3</v>
      </c>
      <c r="H180" s="216">
        <v>1980.653955</v>
      </c>
      <c r="J180"/>
    </row>
    <row r="181" spans="2:10" ht="21.95" customHeight="1" x14ac:dyDescent="0.2">
      <c r="B181" s="143" t="s">
        <v>22</v>
      </c>
      <c r="C181" s="143">
        <v>20</v>
      </c>
      <c r="D181" s="143">
        <v>2025</v>
      </c>
      <c r="E181" s="687">
        <v>6.6093615910625001</v>
      </c>
      <c r="F181" s="687">
        <v>0.1187929465</v>
      </c>
      <c r="G181" s="687">
        <v>6.5265599999999998E-3</v>
      </c>
      <c r="H181" s="216">
        <v>1948.3949585</v>
      </c>
      <c r="J181"/>
    </row>
    <row r="182" spans="2:10" ht="21.95" customHeight="1" x14ac:dyDescent="0.2">
      <c r="B182" s="143" t="s">
        <v>22</v>
      </c>
      <c r="C182" s="143">
        <v>20</v>
      </c>
      <c r="D182" s="143">
        <v>2026</v>
      </c>
      <c r="E182" s="687">
        <v>6.4302738096500001</v>
      </c>
      <c r="F182" s="687">
        <v>0.107071177</v>
      </c>
      <c r="G182" s="687">
        <v>6.414136E-3</v>
      </c>
      <c r="H182" s="216">
        <v>1916.1359620000001</v>
      </c>
      <c r="J182"/>
    </row>
    <row r="183" spans="2:10" ht="21.95" customHeight="1" x14ac:dyDescent="0.2">
      <c r="B183" s="143" t="s">
        <v>22</v>
      </c>
      <c r="C183" s="143">
        <v>20</v>
      </c>
      <c r="D183" s="143">
        <v>2027</v>
      </c>
      <c r="E183" s="687">
        <v>6.2511860282375</v>
      </c>
      <c r="F183" s="687">
        <v>9.5349407499999997E-2</v>
      </c>
      <c r="G183" s="687">
        <v>6.3017120000000001E-3</v>
      </c>
      <c r="H183" s="216">
        <v>1883.8769655000001</v>
      </c>
      <c r="J183"/>
    </row>
    <row r="184" spans="2:10" ht="21.95" customHeight="1" x14ac:dyDescent="0.2">
      <c r="B184" s="143" t="s">
        <v>22</v>
      </c>
      <c r="C184" s="143">
        <v>20</v>
      </c>
      <c r="D184" s="143">
        <v>2028</v>
      </c>
      <c r="E184" s="687">
        <v>6.072098246825</v>
      </c>
      <c r="F184" s="687">
        <v>8.3627638000000004E-2</v>
      </c>
      <c r="G184" s="687">
        <v>6.1892880000000003E-3</v>
      </c>
      <c r="H184" s="216">
        <v>1851.6179689999999</v>
      </c>
      <c r="J184"/>
    </row>
    <row r="185" spans="2:10" ht="21.95" customHeight="1" x14ac:dyDescent="0.2">
      <c r="B185" s="143" t="s">
        <v>22</v>
      </c>
      <c r="C185" s="143">
        <v>20</v>
      </c>
      <c r="D185" s="143">
        <v>2029</v>
      </c>
      <c r="E185" s="687">
        <v>5.8930104654125</v>
      </c>
      <c r="F185" s="687">
        <v>7.1905868499999998E-2</v>
      </c>
      <c r="G185" s="687">
        <v>6.0768640000000004E-3</v>
      </c>
      <c r="H185" s="216">
        <v>1819.3589724999999</v>
      </c>
      <c r="J185"/>
    </row>
    <row r="186" spans="2:10" ht="21.95" customHeight="1" x14ac:dyDescent="0.2">
      <c r="B186" s="143" t="s">
        <v>22</v>
      </c>
      <c r="C186" s="143">
        <v>20</v>
      </c>
      <c r="D186" s="143">
        <v>2030</v>
      </c>
      <c r="E186" s="687">
        <v>5.7139226839999999</v>
      </c>
      <c r="F186" s="687">
        <v>6.0184098999999998E-2</v>
      </c>
      <c r="G186" s="687">
        <v>5.9644399999999997E-3</v>
      </c>
      <c r="H186" s="216">
        <v>1787.099976</v>
      </c>
      <c r="J186"/>
    </row>
    <row r="187" spans="2:10" ht="21.95" customHeight="1" x14ac:dyDescent="0.2">
      <c r="B187" s="143" t="s">
        <v>22</v>
      </c>
      <c r="C187" s="143">
        <v>20</v>
      </c>
      <c r="D187" s="143">
        <v>2031</v>
      </c>
      <c r="E187" s="687">
        <v>5.6868647150999996</v>
      </c>
      <c r="F187" s="687">
        <v>5.8642463200000002E-2</v>
      </c>
      <c r="G187" s="687">
        <v>5.9239399999999999E-3</v>
      </c>
      <c r="H187" s="216">
        <v>1775.0969729999999</v>
      </c>
      <c r="J187"/>
    </row>
    <row r="188" spans="2:10" ht="21.95" customHeight="1" x14ac:dyDescent="0.2">
      <c r="B188" s="143" t="s">
        <v>22</v>
      </c>
      <c r="C188" s="143">
        <v>20</v>
      </c>
      <c r="D188" s="143">
        <v>2032</v>
      </c>
      <c r="E188" s="687">
        <v>5.6598067462000001</v>
      </c>
      <c r="F188" s="687">
        <v>5.7100827399999998E-2</v>
      </c>
      <c r="G188" s="687">
        <v>5.8834400000000002E-3</v>
      </c>
      <c r="H188" s="216">
        <v>1763.0939699999999</v>
      </c>
      <c r="J188"/>
    </row>
    <row r="189" spans="2:10" ht="21.95" customHeight="1" x14ac:dyDescent="0.2">
      <c r="B189" s="143" t="s">
        <v>22</v>
      </c>
      <c r="C189" s="143">
        <v>20</v>
      </c>
      <c r="D189" s="143">
        <v>2033</v>
      </c>
      <c r="E189" s="687">
        <v>5.6327487772999998</v>
      </c>
      <c r="F189" s="687">
        <v>5.5559191600000002E-2</v>
      </c>
      <c r="G189" s="687">
        <v>5.8429399999999996E-3</v>
      </c>
      <c r="H189" s="216">
        <v>1751.0909670000001</v>
      </c>
      <c r="J189"/>
    </row>
    <row r="190" spans="2:10" ht="21.95" customHeight="1" x14ac:dyDescent="0.2">
      <c r="B190" s="143" t="s">
        <v>22</v>
      </c>
      <c r="C190" s="143">
        <v>20</v>
      </c>
      <c r="D190" s="143">
        <v>2034</v>
      </c>
      <c r="E190" s="687">
        <v>5.6056908084000003</v>
      </c>
      <c r="F190" s="687">
        <v>5.4017555799999999E-2</v>
      </c>
      <c r="G190" s="687">
        <v>5.8024399999999999E-3</v>
      </c>
      <c r="H190" s="216">
        <v>1739.0879640000001</v>
      </c>
      <c r="J190"/>
    </row>
    <row r="191" spans="2:10" ht="21.95" customHeight="1" x14ac:dyDescent="0.2">
      <c r="B191" s="143" t="s">
        <v>22</v>
      </c>
      <c r="C191" s="143">
        <v>20</v>
      </c>
      <c r="D191" s="143">
        <v>2035</v>
      </c>
      <c r="E191" s="687">
        <v>5.5786328395</v>
      </c>
      <c r="F191" s="687">
        <v>5.2475920000000002E-2</v>
      </c>
      <c r="G191" s="687">
        <v>5.7619400000000001E-3</v>
      </c>
      <c r="H191" s="216">
        <v>1727.084961</v>
      </c>
      <c r="J191"/>
    </row>
    <row r="192" spans="2:10" ht="21.95" customHeight="1" x14ac:dyDescent="0.2">
      <c r="B192" s="143" t="s">
        <v>22</v>
      </c>
      <c r="C192" s="143">
        <v>20</v>
      </c>
      <c r="D192" s="143">
        <v>2036</v>
      </c>
      <c r="E192" s="687">
        <v>5.5515748705999997</v>
      </c>
      <c r="F192" s="687">
        <v>5.0934284199999999E-2</v>
      </c>
      <c r="G192" s="687">
        <v>5.7214400000000004E-3</v>
      </c>
      <c r="H192" s="216">
        <v>1715.081958</v>
      </c>
      <c r="J192"/>
    </row>
    <row r="193" spans="2:10" ht="21.95" customHeight="1" x14ac:dyDescent="0.2">
      <c r="B193" s="143" t="s">
        <v>22</v>
      </c>
      <c r="C193" s="143">
        <v>20</v>
      </c>
      <c r="D193" s="143">
        <v>2037</v>
      </c>
      <c r="E193" s="687">
        <v>5.5245169017000002</v>
      </c>
      <c r="F193" s="687">
        <v>4.9392648400000003E-2</v>
      </c>
      <c r="G193" s="687">
        <v>5.6809399999999998E-3</v>
      </c>
      <c r="H193" s="216">
        <v>1703.078955</v>
      </c>
      <c r="J193"/>
    </row>
    <row r="194" spans="2:10" ht="21.95" customHeight="1" x14ac:dyDescent="0.2">
      <c r="B194" s="143" t="s">
        <v>22</v>
      </c>
      <c r="C194" s="143">
        <v>20</v>
      </c>
      <c r="D194" s="143">
        <v>2038</v>
      </c>
      <c r="E194" s="687">
        <v>5.4974589327999999</v>
      </c>
      <c r="F194" s="687">
        <v>4.7851012599999999E-2</v>
      </c>
      <c r="G194" s="687">
        <v>5.64044E-3</v>
      </c>
      <c r="H194" s="216">
        <v>1691.0759519999999</v>
      </c>
      <c r="J194"/>
    </row>
    <row r="195" spans="2:10" ht="21.95" customHeight="1" x14ac:dyDescent="0.2">
      <c r="B195" s="143" t="s">
        <v>22</v>
      </c>
      <c r="C195" s="143">
        <v>20</v>
      </c>
      <c r="D195" s="143">
        <v>2039</v>
      </c>
      <c r="E195" s="687">
        <v>5.4704009639000004</v>
      </c>
      <c r="F195" s="687">
        <v>4.6309376800000003E-2</v>
      </c>
      <c r="G195" s="687">
        <v>5.5999400000000003E-3</v>
      </c>
      <c r="H195" s="216">
        <v>1679.0729490000001</v>
      </c>
      <c r="J195"/>
    </row>
    <row r="196" spans="2:10" ht="21.95" customHeight="1" x14ac:dyDescent="0.2">
      <c r="B196" s="143" t="s">
        <v>22</v>
      </c>
      <c r="C196" s="143">
        <v>20</v>
      </c>
      <c r="D196" s="143">
        <v>2040</v>
      </c>
      <c r="E196" s="687">
        <v>5.4433429950000001</v>
      </c>
      <c r="F196" s="687">
        <v>4.4767741E-2</v>
      </c>
      <c r="G196" s="687">
        <v>5.5594399999999997E-3</v>
      </c>
      <c r="H196" s="216">
        <v>1667.0699460000001</v>
      </c>
      <c r="J196"/>
    </row>
    <row r="197" spans="2:10" ht="21.95" customHeight="1" x14ac:dyDescent="0.2">
      <c r="B197" s="143" t="s">
        <v>22</v>
      </c>
      <c r="C197" s="143">
        <v>20</v>
      </c>
      <c r="D197" s="143">
        <v>2041</v>
      </c>
      <c r="E197" s="687">
        <v>5.4365777051062496</v>
      </c>
      <c r="F197" s="687">
        <v>4.4307696700000003E-2</v>
      </c>
      <c r="G197" s="687">
        <v>5.5541590000000004E-3</v>
      </c>
      <c r="H197" s="216">
        <v>1665.4869504000001</v>
      </c>
      <c r="J197"/>
    </row>
    <row r="198" spans="2:10" ht="21.95" customHeight="1" x14ac:dyDescent="0.2">
      <c r="B198" s="143" t="s">
        <v>22</v>
      </c>
      <c r="C198" s="143">
        <v>20</v>
      </c>
      <c r="D198" s="143">
        <v>2042</v>
      </c>
      <c r="E198" s="687">
        <v>5.4298124152125</v>
      </c>
      <c r="F198" s="687">
        <v>4.3847652399999999E-2</v>
      </c>
      <c r="G198" s="687">
        <v>5.5488780000000001E-3</v>
      </c>
      <c r="H198" s="216">
        <v>1663.9039548000001</v>
      </c>
      <c r="J198"/>
    </row>
    <row r="199" spans="2:10" ht="21.95" customHeight="1" x14ac:dyDescent="0.2">
      <c r="B199" s="143" t="s">
        <v>22</v>
      </c>
      <c r="C199" s="143">
        <v>20</v>
      </c>
      <c r="D199" s="143">
        <v>2043</v>
      </c>
      <c r="E199" s="687">
        <v>5.4230471253187504</v>
      </c>
      <c r="F199" s="687">
        <v>4.3387608100000002E-2</v>
      </c>
      <c r="G199" s="687">
        <v>5.5435969999999999E-3</v>
      </c>
      <c r="H199" s="216">
        <v>1662.3209592000001</v>
      </c>
      <c r="J199"/>
    </row>
    <row r="200" spans="2:10" ht="21.95" customHeight="1" x14ac:dyDescent="0.2">
      <c r="B200" s="143" t="s">
        <v>22</v>
      </c>
      <c r="C200" s="143">
        <v>20</v>
      </c>
      <c r="D200" s="143">
        <v>2044</v>
      </c>
      <c r="E200" s="687">
        <v>5.416281835425</v>
      </c>
      <c r="F200" s="687">
        <v>4.2927563799999999E-2</v>
      </c>
      <c r="G200" s="687">
        <v>5.5383159999999997E-3</v>
      </c>
      <c r="H200" s="216">
        <v>1660.7379636000001</v>
      </c>
      <c r="J200"/>
    </row>
    <row r="201" spans="2:10" ht="21.95" customHeight="1" x14ac:dyDescent="0.2">
      <c r="B201" s="143" t="s">
        <v>22</v>
      </c>
      <c r="C201" s="143">
        <v>20</v>
      </c>
      <c r="D201" s="143">
        <v>2045</v>
      </c>
      <c r="E201" s="687">
        <v>5.4095165455312504</v>
      </c>
      <c r="F201" s="687">
        <v>4.2467519500000002E-2</v>
      </c>
      <c r="G201" s="687">
        <v>5.5330350000000004E-3</v>
      </c>
      <c r="H201" s="216">
        <v>1659.1549680000001</v>
      </c>
      <c r="J201"/>
    </row>
    <row r="202" spans="2:10" ht="21.95" customHeight="1" x14ac:dyDescent="0.2">
      <c r="B202" s="143" t="s">
        <v>22</v>
      </c>
      <c r="C202" s="143">
        <v>20</v>
      </c>
      <c r="D202" s="143">
        <v>2046</v>
      </c>
      <c r="E202" s="687">
        <v>5.4027512556374999</v>
      </c>
      <c r="F202" s="687">
        <v>4.2007475199999998E-2</v>
      </c>
      <c r="G202" s="687">
        <v>5.5277540000000002E-3</v>
      </c>
      <c r="H202" s="216">
        <v>1657.5719724</v>
      </c>
      <c r="J202"/>
    </row>
    <row r="203" spans="2:10" ht="21.95" customHeight="1" x14ac:dyDescent="0.2">
      <c r="B203" s="143" t="s">
        <v>22</v>
      </c>
      <c r="C203" s="143">
        <v>20</v>
      </c>
      <c r="D203" s="143">
        <v>2047</v>
      </c>
      <c r="E203" s="687">
        <v>5.3959859657437503</v>
      </c>
      <c r="F203" s="687">
        <v>4.1547430900000001E-2</v>
      </c>
      <c r="G203" s="687">
        <v>5.522473E-3</v>
      </c>
      <c r="H203" s="216">
        <v>1655.9889768</v>
      </c>
      <c r="J203"/>
    </row>
    <row r="204" spans="2:10" ht="21.95" customHeight="1" x14ac:dyDescent="0.2">
      <c r="B204" s="143" t="s">
        <v>22</v>
      </c>
      <c r="C204" s="143">
        <v>20</v>
      </c>
      <c r="D204" s="143">
        <v>2048</v>
      </c>
      <c r="E204" s="687">
        <v>5.3892206758499999</v>
      </c>
      <c r="F204" s="687">
        <v>4.1087386599999998E-2</v>
      </c>
      <c r="G204" s="687">
        <v>5.5171919999999998E-3</v>
      </c>
      <c r="H204" s="216">
        <v>1654.4059812</v>
      </c>
      <c r="J204"/>
    </row>
    <row r="205" spans="2:10" ht="21.95" customHeight="1" x14ac:dyDescent="0.2">
      <c r="B205" s="143" t="s">
        <v>22</v>
      </c>
      <c r="C205" s="143">
        <v>20</v>
      </c>
      <c r="D205" s="143">
        <v>2049</v>
      </c>
      <c r="E205" s="687">
        <v>5.3824553859562503</v>
      </c>
      <c r="F205" s="687">
        <v>4.0627342300000001E-2</v>
      </c>
      <c r="G205" s="687">
        <v>5.5119110000000004E-3</v>
      </c>
      <c r="H205" s="216">
        <v>1652.8229856</v>
      </c>
      <c r="J205"/>
    </row>
    <row r="206" spans="2:10" ht="21.95" customHeight="1" x14ac:dyDescent="0.2">
      <c r="B206" s="143" t="s">
        <v>22</v>
      </c>
      <c r="C206" s="143">
        <v>20</v>
      </c>
      <c r="D206" s="143">
        <v>2050</v>
      </c>
      <c r="E206" s="687">
        <v>5.3756900960624998</v>
      </c>
      <c r="F206" s="687">
        <v>4.0167297999999997E-2</v>
      </c>
      <c r="G206" s="687">
        <v>5.5066300000000002E-3</v>
      </c>
      <c r="H206" s="216">
        <v>1651.23999</v>
      </c>
      <c r="J206"/>
    </row>
    <row r="207" spans="2:10" ht="21.95" customHeight="1" x14ac:dyDescent="0.2">
      <c r="B207" s="143" t="s">
        <v>22</v>
      </c>
      <c r="C207" s="143">
        <v>20</v>
      </c>
      <c r="D207" s="143">
        <v>2051</v>
      </c>
      <c r="E207" s="687">
        <v>5.3712250898812499</v>
      </c>
      <c r="F207" s="687">
        <v>3.983117856875E-2</v>
      </c>
      <c r="G207" s="687">
        <v>5.5058169999999997E-3</v>
      </c>
      <c r="H207" s="216">
        <v>1650.9959959</v>
      </c>
      <c r="J207"/>
    </row>
    <row r="208" spans="2:10" ht="21.95" customHeight="1" x14ac:dyDescent="0.2">
      <c r="B208" s="143" t="s">
        <v>22</v>
      </c>
      <c r="C208" s="143">
        <v>20</v>
      </c>
      <c r="D208" s="143">
        <v>2052</v>
      </c>
      <c r="E208" s="687">
        <v>5.3667600837</v>
      </c>
      <c r="F208" s="687">
        <v>3.9495059137500003E-2</v>
      </c>
      <c r="G208" s="687">
        <v>5.505004E-3</v>
      </c>
      <c r="H208" s="216">
        <v>1650.7520018</v>
      </c>
      <c r="J208"/>
    </row>
    <row r="209" spans="2:10" ht="21.95" customHeight="1" x14ac:dyDescent="0.2">
      <c r="B209" s="143" t="s">
        <v>22</v>
      </c>
      <c r="C209" s="143">
        <v>20</v>
      </c>
      <c r="D209" s="143">
        <v>2053</v>
      </c>
      <c r="E209" s="687">
        <v>5.3622950775187501</v>
      </c>
      <c r="F209" s="687">
        <v>3.915893970625E-2</v>
      </c>
      <c r="G209" s="687">
        <v>5.5041910000000003E-3</v>
      </c>
      <c r="H209" s="216">
        <v>1650.5080077</v>
      </c>
      <c r="J209"/>
    </row>
    <row r="210" spans="2:10" ht="21.95" customHeight="1" x14ac:dyDescent="0.2">
      <c r="B210" s="143" t="s">
        <v>22</v>
      </c>
      <c r="C210" s="143">
        <v>20</v>
      </c>
      <c r="D210" s="143">
        <v>2054</v>
      </c>
      <c r="E210" s="687">
        <v>5.3578300713375002</v>
      </c>
      <c r="F210" s="687">
        <v>3.8822820275000003E-2</v>
      </c>
      <c r="G210" s="687">
        <v>5.5033779999999997E-3</v>
      </c>
      <c r="H210" s="216">
        <v>1650.2640136</v>
      </c>
      <c r="J210"/>
    </row>
    <row r="211" spans="2:10" ht="21.95" customHeight="1" x14ac:dyDescent="0.2">
      <c r="B211" s="143" t="s">
        <v>22</v>
      </c>
      <c r="C211" s="143">
        <v>20</v>
      </c>
      <c r="D211" s="143">
        <v>2055</v>
      </c>
      <c r="E211" s="687">
        <v>5.3533650651562503</v>
      </c>
      <c r="F211" s="687">
        <v>3.8486700843749999E-2</v>
      </c>
      <c r="G211" s="687">
        <v>5.5025650000000001E-3</v>
      </c>
      <c r="H211" s="216">
        <v>1650.0200195</v>
      </c>
      <c r="J211"/>
    </row>
    <row r="212" spans="2:10" ht="21.95" customHeight="1" x14ac:dyDescent="0.2">
      <c r="B212" s="143" t="s">
        <v>22</v>
      </c>
      <c r="C212" s="143">
        <v>20</v>
      </c>
      <c r="D212" s="143">
        <v>2056</v>
      </c>
      <c r="E212" s="687">
        <v>5.3489000589750004</v>
      </c>
      <c r="F212" s="687">
        <v>3.8150581412500002E-2</v>
      </c>
      <c r="G212" s="687">
        <v>5.5017520000000004E-3</v>
      </c>
      <c r="H212" s="216">
        <v>1649.7760254</v>
      </c>
      <c r="J212"/>
    </row>
    <row r="213" spans="2:10" ht="21.95" customHeight="1" x14ac:dyDescent="0.2">
      <c r="B213" s="143" t="s">
        <v>22</v>
      </c>
      <c r="C213" s="143">
        <v>20</v>
      </c>
      <c r="D213" s="143">
        <v>2057</v>
      </c>
      <c r="E213" s="687">
        <v>5.3444350527937496</v>
      </c>
      <c r="F213" s="687">
        <v>3.7814461981249999E-2</v>
      </c>
      <c r="G213" s="687">
        <v>5.5009389999999998E-3</v>
      </c>
      <c r="H213" s="216">
        <v>1649.5320313</v>
      </c>
      <c r="J213"/>
    </row>
    <row r="214" spans="2:10" ht="21.95" customHeight="1" x14ac:dyDescent="0.2">
      <c r="B214" s="143" t="s">
        <v>22</v>
      </c>
      <c r="C214" s="143">
        <v>20</v>
      </c>
      <c r="D214" s="143">
        <v>2058</v>
      </c>
      <c r="E214" s="687">
        <v>5.3399700466124997</v>
      </c>
      <c r="F214" s="687">
        <v>3.7478342550000002E-2</v>
      </c>
      <c r="G214" s="687">
        <v>5.5001260000000001E-3</v>
      </c>
      <c r="H214" s="216">
        <v>1649.2880372</v>
      </c>
      <c r="J214"/>
    </row>
    <row r="215" spans="2:10" ht="21.95" customHeight="1" x14ac:dyDescent="0.2">
      <c r="B215" s="143" t="s">
        <v>22</v>
      </c>
      <c r="C215" s="143">
        <v>20</v>
      </c>
      <c r="D215" s="143">
        <v>2059</v>
      </c>
      <c r="E215" s="687">
        <v>5.3355050404312498</v>
      </c>
      <c r="F215" s="687">
        <v>3.7142223118749998E-2</v>
      </c>
      <c r="G215" s="687">
        <v>5.4993129999999996E-3</v>
      </c>
      <c r="H215" s="216">
        <v>1649.0440431</v>
      </c>
      <c r="J215"/>
    </row>
    <row r="216" spans="2:10" ht="21.95" customHeight="1" x14ac:dyDescent="0.2">
      <c r="B216" s="143" t="s">
        <v>22</v>
      </c>
      <c r="C216" s="143">
        <v>20</v>
      </c>
      <c r="D216" s="143">
        <v>2060</v>
      </c>
      <c r="E216" s="687">
        <v>5.3310400342499999</v>
      </c>
      <c r="F216" s="687">
        <v>3.6806103687500001E-2</v>
      </c>
      <c r="G216" s="687">
        <v>5.4984999999999999E-3</v>
      </c>
      <c r="H216" s="216">
        <v>1648.8000489999999</v>
      </c>
      <c r="J216"/>
    </row>
    <row r="217" spans="2:10" ht="21.95" customHeight="1" x14ac:dyDescent="0.2">
      <c r="B217" s="143" t="s">
        <v>22</v>
      </c>
      <c r="C217" s="143">
        <v>25</v>
      </c>
      <c r="D217" s="143">
        <v>2020</v>
      </c>
      <c r="E217" s="687">
        <v>6.5635138944999998</v>
      </c>
      <c r="F217" s="687">
        <v>0.164863594</v>
      </c>
      <c r="G217" s="687">
        <v>6.5530199999999997E-3</v>
      </c>
      <c r="H217" s="216">
        <v>1950.1999510000001</v>
      </c>
      <c r="J217"/>
    </row>
    <row r="218" spans="2:10" ht="21.95" customHeight="1" x14ac:dyDescent="0.2">
      <c r="B218" s="143" t="s">
        <v>22</v>
      </c>
      <c r="C218" s="143">
        <v>25</v>
      </c>
      <c r="D218" s="143">
        <v>2021</v>
      </c>
      <c r="E218" s="687">
        <v>6.3934705668624998</v>
      </c>
      <c r="F218" s="687">
        <v>0.15398024838749999</v>
      </c>
      <c r="G218" s="687">
        <v>6.4516219999999997E-3</v>
      </c>
      <c r="H218" s="216">
        <v>1921.1439574000001</v>
      </c>
      <c r="J218"/>
    </row>
    <row r="219" spans="2:10" ht="21.95" customHeight="1" x14ac:dyDescent="0.2">
      <c r="B219" s="143" t="s">
        <v>22</v>
      </c>
      <c r="C219" s="143">
        <v>25</v>
      </c>
      <c r="D219" s="143">
        <v>2022</v>
      </c>
      <c r="E219" s="687">
        <v>6.2234272392249999</v>
      </c>
      <c r="F219" s="687">
        <v>0.14309690277500001</v>
      </c>
      <c r="G219" s="687">
        <v>6.3502239999999998E-3</v>
      </c>
      <c r="H219" s="216">
        <v>1892.0879637999999</v>
      </c>
      <c r="J219"/>
    </row>
    <row r="220" spans="2:10" ht="21.95" customHeight="1" x14ac:dyDescent="0.2">
      <c r="B220" s="143" t="s">
        <v>22</v>
      </c>
      <c r="C220" s="143">
        <v>25</v>
      </c>
      <c r="D220" s="143">
        <v>2023</v>
      </c>
      <c r="E220" s="687">
        <v>6.0533839115874999</v>
      </c>
      <c r="F220" s="687">
        <v>0.1322135571625</v>
      </c>
      <c r="G220" s="687">
        <v>6.2488259999999999E-3</v>
      </c>
      <c r="H220" s="216">
        <v>1863.0319701999999</v>
      </c>
      <c r="J220"/>
    </row>
    <row r="221" spans="2:10" ht="21.95" customHeight="1" x14ac:dyDescent="0.2">
      <c r="B221" s="143" t="s">
        <v>22</v>
      </c>
      <c r="C221" s="143">
        <v>25</v>
      </c>
      <c r="D221" s="143">
        <v>2024</v>
      </c>
      <c r="E221" s="687">
        <v>5.8833405839499999</v>
      </c>
      <c r="F221" s="687">
        <v>0.12133021155</v>
      </c>
      <c r="G221" s="687">
        <v>6.1474279999999999E-3</v>
      </c>
      <c r="H221" s="216">
        <v>1833.9759766</v>
      </c>
      <c r="J221"/>
    </row>
    <row r="222" spans="2:10" ht="21.95" customHeight="1" x14ac:dyDescent="0.2">
      <c r="B222" s="143" t="s">
        <v>22</v>
      </c>
      <c r="C222" s="143">
        <v>25</v>
      </c>
      <c r="D222" s="143">
        <v>2025</v>
      </c>
      <c r="E222" s="687">
        <v>5.7132972563125</v>
      </c>
      <c r="F222" s="687">
        <v>0.1104468659375</v>
      </c>
      <c r="G222" s="687">
        <v>6.04603E-3</v>
      </c>
      <c r="H222" s="216">
        <v>1804.919983</v>
      </c>
      <c r="J222"/>
    </row>
    <row r="223" spans="2:10" ht="21.95" customHeight="1" x14ac:dyDescent="0.2">
      <c r="B223" s="143" t="s">
        <v>22</v>
      </c>
      <c r="C223" s="143">
        <v>25</v>
      </c>
      <c r="D223" s="143">
        <v>2026</v>
      </c>
      <c r="E223" s="687">
        <v>5.543253928675</v>
      </c>
      <c r="F223" s="687">
        <v>9.9563520325000002E-2</v>
      </c>
      <c r="G223" s="687">
        <v>5.944632E-3</v>
      </c>
      <c r="H223" s="216">
        <v>1775.8639894</v>
      </c>
      <c r="J223"/>
    </row>
    <row r="224" spans="2:10" ht="21.95" customHeight="1" x14ac:dyDescent="0.2">
      <c r="B224" s="143" t="s">
        <v>22</v>
      </c>
      <c r="C224" s="143">
        <v>25</v>
      </c>
      <c r="D224" s="143">
        <v>2027</v>
      </c>
      <c r="E224" s="687">
        <v>5.3732106010375</v>
      </c>
      <c r="F224" s="687">
        <v>8.8680174712500004E-2</v>
      </c>
      <c r="G224" s="687">
        <v>5.8432340000000001E-3</v>
      </c>
      <c r="H224" s="216">
        <v>1746.8079958000001</v>
      </c>
      <c r="J224"/>
    </row>
    <row r="225" spans="2:10" ht="21.95" customHeight="1" x14ac:dyDescent="0.2">
      <c r="B225" s="143" t="s">
        <v>22</v>
      </c>
      <c r="C225" s="143">
        <v>25</v>
      </c>
      <c r="D225" s="143">
        <v>2028</v>
      </c>
      <c r="E225" s="687">
        <v>5.2031672734000001</v>
      </c>
      <c r="F225" s="687">
        <v>7.7796829100000006E-2</v>
      </c>
      <c r="G225" s="687">
        <v>5.7418360000000002E-3</v>
      </c>
      <c r="H225" s="216">
        <v>1717.7520022000001</v>
      </c>
      <c r="J225"/>
    </row>
    <row r="226" spans="2:10" ht="21.95" customHeight="1" x14ac:dyDescent="0.2">
      <c r="B226" s="143" t="s">
        <v>22</v>
      </c>
      <c r="C226" s="143">
        <v>25</v>
      </c>
      <c r="D226" s="143">
        <v>2029</v>
      </c>
      <c r="E226" s="687">
        <v>5.0331239457625001</v>
      </c>
      <c r="F226" s="687">
        <v>6.6913483487499995E-2</v>
      </c>
      <c r="G226" s="687">
        <v>5.6404380000000002E-3</v>
      </c>
      <c r="H226" s="216">
        <v>1688.6960085999999</v>
      </c>
      <c r="J226"/>
    </row>
    <row r="227" spans="2:10" ht="21.95" customHeight="1" x14ac:dyDescent="0.2">
      <c r="B227" s="143" t="s">
        <v>22</v>
      </c>
      <c r="C227" s="143">
        <v>25</v>
      </c>
      <c r="D227" s="143">
        <v>2030</v>
      </c>
      <c r="E227" s="687">
        <v>4.8630806181250001</v>
      </c>
      <c r="F227" s="687">
        <v>5.6030137874999997E-2</v>
      </c>
      <c r="G227" s="687">
        <v>5.5390400000000003E-3</v>
      </c>
      <c r="H227" s="216">
        <v>1659.6400149999999</v>
      </c>
      <c r="J227"/>
    </row>
    <row r="228" spans="2:10" ht="21.95" customHeight="1" x14ac:dyDescent="0.2">
      <c r="B228" s="143" t="s">
        <v>22</v>
      </c>
      <c r="C228" s="143">
        <v>25</v>
      </c>
      <c r="D228" s="143">
        <v>2031</v>
      </c>
      <c r="E228" s="687">
        <v>4.8378377402624997</v>
      </c>
      <c r="F228" s="687">
        <v>5.4606191681249999E-2</v>
      </c>
      <c r="G228" s="687">
        <v>5.5019040000000002E-3</v>
      </c>
      <c r="H228" s="216">
        <v>1648.6360110999999</v>
      </c>
      <c r="J228"/>
    </row>
    <row r="229" spans="2:10" ht="21.95" customHeight="1" x14ac:dyDescent="0.2">
      <c r="B229" s="143" t="s">
        <v>22</v>
      </c>
      <c r="C229" s="143">
        <v>25</v>
      </c>
      <c r="D229" s="143">
        <v>2032</v>
      </c>
      <c r="E229" s="687">
        <v>4.8125948624000001</v>
      </c>
      <c r="F229" s="687">
        <v>5.3182245487500002E-2</v>
      </c>
      <c r="G229" s="687">
        <v>5.4647680000000001E-3</v>
      </c>
      <c r="H229" s="216">
        <v>1637.6320072000001</v>
      </c>
      <c r="J229"/>
    </row>
    <row r="230" spans="2:10" ht="21.95" customHeight="1" x14ac:dyDescent="0.2">
      <c r="B230" s="143" t="s">
        <v>22</v>
      </c>
      <c r="C230" s="143">
        <v>25</v>
      </c>
      <c r="D230" s="143">
        <v>2033</v>
      </c>
      <c r="E230" s="687">
        <v>4.7873519845374997</v>
      </c>
      <c r="F230" s="687">
        <v>5.1758299293749997E-2</v>
      </c>
      <c r="G230" s="687">
        <v>5.4276319999999999E-3</v>
      </c>
      <c r="H230" s="216">
        <v>1626.6280033</v>
      </c>
      <c r="J230"/>
    </row>
    <row r="231" spans="2:10" ht="21.95" customHeight="1" x14ac:dyDescent="0.2">
      <c r="B231" s="143" t="s">
        <v>22</v>
      </c>
      <c r="C231" s="143">
        <v>25</v>
      </c>
      <c r="D231" s="143">
        <v>2034</v>
      </c>
      <c r="E231" s="687">
        <v>4.7621091066750001</v>
      </c>
      <c r="F231" s="687">
        <v>5.03343531E-2</v>
      </c>
      <c r="G231" s="687">
        <v>5.3904959999999998E-3</v>
      </c>
      <c r="H231" s="216">
        <v>1615.6239994</v>
      </c>
      <c r="J231"/>
    </row>
    <row r="232" spans="2:10" ht="21.95" customHeight="1" x14ac:dyDescent="0.2">
      <c r="B232" s="143" t="s">
        <v>22</v>
      </c>
      <c r="C232" s="143">
        <v>25</v>
      </c>
      <c r="D232" s="143">
        <v>2035</v>
      </c>
      <c r="E232" s="687">
        <v>4.7368662288124996</v>
      </c>
      <c r="F232" s="687">
        <v>4.8910406906250002E-2</v>
      </c>
      <c r="G232" s="687">
        <v>5.3533599999999997E-3</v>
      </c>
      <c r="H232" s="216">
        <v>1604.6199955</v>
      </c>
      <c r="J232"/>
    </row>
    <row r="233" spans="2:10" ht="21.95" customHeight="1" x14ac:dyDescent="0.2">
      <c r="B233" s="143" t="s">
        <v>22</v>
      </c>
      <c r="C233" s="143">
        <v>25</v>
      </c>
      <c r="D233" s="143">
        <v>2036</v>
      </c>
      <c r="E233" s="687">
        <v>4.7116233509500001</v>
      </c>
      <c r="F233" s="687">
        <v>4.7486460712499998E-2</v>
      </c>
      <c r="G233" s="687">
        <v>5.3162239999999996E-3</v>
      </c>
      <c r="H233" s="216">
        <v>1593.6159915999999</v>
      </c>
      <c r="J233"/>
    </row>
    <row r="234" spans="2:10" ht="21.95" customHeight="1" x14ac:dyDescent="0.2">
      <c r="B234" s="143" t="s">
        <v>22</v>
      </c>
      <c r="C234" s="143">
        <v>25</v>
      </c>
      <c r="D234" s="143">
        <v>2037</v>
      </c>
      <c r="E234" s="687">
        <v>4.6863804730874996</v>
      </c>
      <c r="F234" s="687">
        <v>4.606251451875E-2</v>
      </c>
      <c r="G234" s="687">
        <v>5.2790880000000004E-3</v>
      </c>
      <c r="H234" s="216">
        <v>1582.6119877000001</v>
      </c>
      <c r="J234"/>
    </row>
    <row r="235" spans="2:10" ht="21.95" customHeight="1" x14ac:dyDescent="0.2">
      <c r="B235" s="143" t="s">
        <v>22</v>
      </c>
      <c r="C235" s="143">
        <v>25</v>
      </c>
      <c r="D235" s="143">
        <v>2038</v>
      </c>
      <c r="E235" s="687">
        <v>4.661137595225</v>
      </c>
      <c r="F235" s="687">
        <v>4.4638568325000003E-2</v>
      </c>
      <c r="G235" s="687">
        <v>5.2419520000000002E-3</v>
      </c>
      <c r="H235" s="216">
        <v>1571.6079838000001</v>
      </c>
      <c r="J235"/>
    </row>
    <row r="236" spans="2:10" ht="21.95" customHeight="1" x14ac:dyDescent="0.2">
      <c r="B236" s="143" t="s">
        <v>22</v>
      </c>
      <c r="C236" s="143">
        <v>25</v>
      </c>
      <c r="D236" s="143">
        <v>2039</v>
      </c>
      <c r="E236" s="687">
        <v>4.6358947173624996</v>
      </c>
      <c r="F236" s="687">
        <v>4.3214622131249998E-2</v>
      </c>
      <c r="G236" s="687">
        <v>5.2048160000000001E-3</v>
      </c>
      <c r="H236" s="216">
        <v>1560.6039799</v>
      </c>
      <c r="J236"/>
    </row>
    <row r="237" spans="2:10" ht="21.95" customHeight="1" x14ac:dyDescent="0.2">
      <c r="B237" s="143" t="s">
        <v>22</v>
      </c>
      <c r="C237" s="143">
        <v>25</v>
      </c>
      <c r="D237" s="143">
        <v>2040</v>
      </c>
      <c r="E237" s="687">
        <v>4.6106518395</v>
      </c>
      <c r="F237" s="687">
        <v>4.1790675937500001E-2</v>
      </c>
      <c r="G237" s="687">
        <v>5.16768E-3</v>
      </c>
      <c r="H237" s="216">
        <v>1549.599976</v>
      </c>
      <c r="J237"/>
    </row>
    <row r="238" spans="2:10" ht="21.95" customHeight="1" x14ac:dyDescent="0.2">
      <c r="B238" s="143" t="s">
        <v>22</v>
      </c>
      <c r="C238" s="143">
        <v>25</v>
      </c>
      <c r="D238" s="143">
        <v>2041</v>
      </c>
      <c r="E238" s="687">
        <v>4.6042837539499999</v>
      </c>
      <c r="F238" s="687">
        <v>4.1360388218750002E-2</v>
      </c>
      <c r="G238" s="687">
        <v>5.1628259999999997E-3</v>
      </c>
      <c r="H238" s="216">
        <v>1548.1439823000001</v>
      </c>
      <c r="J238"/>
    </row>
    <row r="239" spans="2:10" ht="21.95" customHeight="1" x14ac:dyDescent="0.2">
      <c r="B239" s="143" t="s">
        <v>22</v>
      </c>
      <c r="C239" s="143">
        <v>25</v>
      </c>
      <c r="D239" s="143">
        <v>2042</v>
      </c>
      <c r="E239" s="687">
        <v>4.5979156683999998</v>
      </c>
      <c r="F239" s="687">
        <v>4.0930100499999997E-2</v>
      </c>
      <c r="G239" s="687">
        <v>5.1579720000000003E-3</v>
      </c>
      <c r="H239" s="216">
        <v>1546.6879885999999</v>
      </c>
      <c r="J239"/>
    </row>
    <row r="240" spans="2:10" ht="21.95" customHeight="1" x14ac:dyDescent="0.2">
      <c r="B240" s="143" t="s">
        <v>22</v>
      </c>
      <c r="C240" s="143">
        <v>25</v>
      </c>
      <c r="D240" s="143">
        <v>2043</v>
      </c>
      <c r="E240" s="687">
        <v>4.5915475828499996</v>
      </c>
      <c r="F240" s="687">
        <v>4.0499812781249998E-2</v>
      </c>
      <c r="G240" s="687">
        <v>5.1531179999999999E-3</v>
      </c>
      <c r="H240" s="216">
        <v>1545.2319949</v>
      </c>
      <c r="J240"/>
    </row>
    <row r="241" spans="2:10" ht="21.95" customHeight="1" x14ac:dyDescent="0.2">
      <c r="B241" s="143" t="s">
        <v>22</v>
      </c>
      <c r="C241" s="143">
        <v>25</v>
      </c>
      <c r="D241" s="143">
        <v>2044</v>
      </c>
      <c r="E241" s="687">
        <v>4.5851794973000004</v>
      </c>
      <c r="F241" s="687">
        <v>4.00695250625E-2</v>
      </c>
      <c r="G241" s="687">
        <v>5.1482639999999996E-3</v>
      </c>
      <c r="H241" s="216">
        <v>1543.7760012000001</v>
      </c>
      <c r="J241"/>
    </row>
    <row r="242" spans="2:10" ht="21.95" customHeight="1" x14ac:dyDescent="0.2">
      <c r="B242" s="143" t="s">
        <v>22</v>
      </c>
      <c r="C242" s="143">
        <v>25</v>
      </c>
      <c r="D242" s="143">
        <v>2045</v>
      </c>
      <c r="E242" s="687">
        <v>4.5788114117500003</v>
      </c>
      <c r="F242" s="687">
        <v>3.9639237343750001E-2</v>
      </c>
      <c r="G242" s="687">
        <v>5.1434100000000002E-3</v>
      </c>
      <c r="H242" s="216">
        <v>1542.3200075</v>
      </c>
      <c r="J242"/>
    </row>
    <row r="243" spans="2:10" ht="21.95" customHeight="1" x14ac:dyDescent="0.2">
      <c r="B243" s="143" t="s">
        <v>22</v>
      </c>
      <c r="C243" s="143">
        <v>25</v>
      </c>
      <c r="D243" s="143">
        <v>2046</v>
      </c>
      <c r="E243" s="687">
        <v>4.5724433262000002</v>
      </c>
      <c r="F243" s="687">
        <v>3.9208949625000003E-2</v>
      </c>
      <c r="G243" s="687">
        <v>5.1385559999999999E-3</v>
      </c>
      <c r="H243" s="216">
        <v>1540.8640138000001</v>
      </c>
      <c r="J243"/>
    </row>
    <row r="244" spans="2:10" ht="21.95" customHeight="1" x14ac:dyDescent="0.2">
      <c r="B244" s="143" t="s">
        <v>22</v>
      </c>
      <c r="C244" s="143">
        <v>25</v>
      </c>
      <c r="D244" s="143">
        <v>2047</v>
      </c>
      <c r="E244" s="687">
        <v>4.56607524065</v>
      </c>
      <c r="F244" s="687">
        <v>3.8778661906249998E-2</v>
      </c>
      <c r="G244" s="687">
        <v>5.1337020000000004E-3</v>
      </c>
      <c r="H244" s="216">
        <v>1539.4080200999999</v>
      </c>
      <c r="J244"/>
    </row>
    <row r="245" spans="2:10" ht="21.95" customHeight="1" x14ac:dyDescent="0.2">
      <c r="B245" s="143" t="s">
        <v>22</v>
      </c>
      <c r="C245" s="143">
        <v>25</v>
      </c>
      <c r="D245" s="143">
        <v>2048</v>
      </c>
      <c r="E245" s="687">
        <v>4.5597071550999999</v>
      </c>
      <c r="F245" s="687">
        <v>3.8348374187499999E-2</v>
      </c>
      <c r="G245" s="687">
        <v>5.1288480000000001E-3</v>
      </c>
      <c r="H245" s="216">
        <v>1537.9520264</v>
      </c>
      <c r="J245"/>
    </row>
    <row r="246" spans="2:10" ht="21.95" customHeight="1" x14ac:dyDescent="0.2">
      <c r="B246" s="143" t="s">
        <v>22</v>
      </c>
      <c r="C246" s="143">
        <v>25</v>
      </c>
      <c r="D246" s="143">
        <v>2049</v>
      </c>
      <c r="E246" s="687">
        <v>4.5533390695499998</v>
      </c>
      <c r="F246" s="687">
        <v>3.7918086468750001E-2</v>
      </c>
      <c r="G246" s="687">
        <v>5.1239939999999998E-3</v>
      </c>
      <c r="H246" s="216">
        <v>1536.4960326999999</v>
      </c>
      <c r="J246"/>
    </row>
    <row r="247" spans="2:10" ht="21.95" customHeight="1" x14ac:dyDescent="0.2">
      <c r="B247" s="143" t="s">
        <v>22</v>
      </c>
      <c r="C247" s="143">
        <v>25</v>
      </c>
      <c r="D247" s="143">
        <v>2050</v>
      </c>
      <c r="E247" s="687">
        <v>4.5469709839999997</v>
      </c>
      <c r="F247" s="687">
        <v>3.7487798750000002E-2</v>
      </c>
      <c r="G247" s="687">
        <v>5.1191400000000003E-3</v>
      </c>
      <c r="H247" s="216">
        <v>1535.040039</v>
      </c>
      <c r="J247"/>
    </row>
    <row r="248" spans="2:10" ht="21.95" customHeight="1" x14ac:dyDescent="0.2">
      <c r="B248" s="143" t="s">
        <v>22</v>
      </c>
      <c r="C248" s="143">
        <v>25</v>
      </c>
      <c r="D248" s="143">
        <v>2051</v>
      </c>
      <c r="E248" s="687">
        <v>4.5428061791000003</v>
      </c>
      <c r="F248" s="687">
        <v>3.7172890875000003E-2</v>
      </c>
      <c r="G248" s="687">
        <v>5.1183729999999998E-3</v>
      </c>
      <c r="H248" s="216">
        <v>1534.8100340999999</v>
      </c>
      <c r="J248"/>
    </row>
    <row r="249" spans="2:10" ht="21.95" customHeight="1" x14ac:dyDescent="0.2">
      <c r="B249" s="143" t="s">
        <v>22</v>
      </c>
      <c r="C249" s="143">
        <v>25</v>
      </c>
      <c r="D249" s="143">
        <v>2052</v>
      </c>
      <c r="E249" s="687">
        <v>4.5386413742</v>
      </c>
      <c r="F249" s="687">
        <v>3.6857982999999997E-2</v>
      </c>
      <c r="G249" s="687">
        <v>5.1176060000000002E-3</v>
      </c>
      <c r="H249" s="216">
        <v>1534.5800291999999</v>
      </c>
      <c r="J249"/>
    </row>
    <row r="250" spans="2:10" ht="21.95" customHeight="1" x14ac:dyDescent="0.2">
      <c r="B250" s="143" t="s">
        <v>22</v>
      </c>
      <c r="C250" s="143">
        <v>25</v>
      </c>
      <c r="D250" s="143">
        <v>2053</v>
      </c>
      <c r="E250" s="687">
        <v>4.5344765692999998</v>
      </c>
      <c r="F250" s="687">
        <v>3.6543075124999998E-2</v>
      </c>
      <c r="G250" s="687">
        <v>5.1168389999999998E-3</v>
      </c>
      <c r="H250" s="216">
        <v>1534.3500243000001</v>
      </c>
      <c r="J250"/>
    </row>
    <row r="251" spans="2:10" ht="21.95" customHeight="1" x14ac:dyDescent="0.2">
      <c r="B251" s="143" t="s">
        <v>22</v>
      </c>
      <c r="C251" s="143">
        <v>25</v>
      </c>
      <c r="D251" s="143">
        <v>2054</v>
      </c>
      <c r="E251" s="687">
        <v>4.5303117644000004</v>
      </c>
      <c r="F251" s="687">
        <v>3.6228167249999998E-2</v>
      </c>
      <c r="G251" s="687">
        <v>5.1160720000000002E-3</v>
      </c>
      <c r="H251" s="216">
        <v>1534.1200194</v>
      </c>
      <c r="J251"/>
    </row>
    <row r="252" spans="2:10" ht="21.95" customHeight="1" x14ac:dyDescent="0.2">
      <c r="B252" s="143" t="s">
        <v>22</v>
      </c>
      <c r="C252" s="143">
        <v>25</v>
      </c>
      <c r="D252" s="143">
        <v>2055</v>
      </c>
      <c r="E252" s="687">
        <v>4.5261469595000001</v>
      </c>
      <c r="F252" s="687">
        <v>3.5913259374999999E-2</v>
      </c>
      <c r="G252" s="687">
        <v>5.1153049999999997E-3</v>
      </c>
      <c r="H252" s="216">
        <v>1533.8900145</v>
      </c>
      <c r="J252"/>
    </row>
    <row r="253" spans="2:10" ht="21.95" customHeight="1" x14ac:dyDescent="0.2">
      <c r="B253" s="143" t="s">
        <v>22</v>
      </c>
      <c r="C253" s="143">
        <v>25</v>
      </c>
      <c r="D253" s="143">
        <v>2056</v>
      </c>
      <c r="E253" s="687">
        <v>4.5219821545999999</v>
      </c>
      <c r="F253" s="687">
        <v>3.55983515E-2</v>
      </c>
      <c r="G253" s="687">
        <v>5.1145380000000001E-3</v>
      </c>
      <c r="H253" s="216">
        <v>1533.6600096</v>
      </c>
      <c r="J253"/>
    </row>
    <row r="254" spans="2:10" ht="21.95" customHeight="1" x14ac:dyDescent="0.2">
      <c r="B254" s="143" t="s">
        <v>22</v>
      </c>
      <c r="C254" s="143">
        <v>25</v>
      </c>
      <c r="D254" s="143">
        <v>2057</v>
      </c>
      <c r="E254" s="687">
        <v>4.5178173496999996</v>
      </c>
      <c r="F254" s="687">
        <v>3.5283443625000001E-2</v>
      </c>
      <c r="G254" s="687">
        <v>5.1137709999999996E-3</v>
      </c>
      <c r="H254" s="216">
        <v>1533.4300046999999</v>
      </c>
      <c r="J254"/>
    </row>
    <row r="255" spans="2:10" ht="21.95" customHeight="1" x14ac:dyDescent="0.2">
      <c r="B255" s="143" t="s">
        <v>22</v>
      </c>
      <c r="C255" s="143">
        <v>25</v>
      </c>
      <c r="D255" s="143">
        <v>2058</v>
      </c>
      <c r="E255" s="687">
        <v>4.5136525448000002</v>
      </c>
      <c r="F255" s="687">
        <v>3.4968535750000002E-2</v>
      </c>
      <c r="G255" s="687">
        <v>5.113004E-3</v>
      </c>
      <c r="H255" s="216">
        <v>1533.1999997999999</v>
      </c>
      <c r="J255"/>
    </row>
    <row r="256" spans="2:10" ht="21.95" customHeight="1" x14ac:dyDescent="0.2">
      <c r="B256" s="143" t="s">
        <v>22</v>
      </c>
      <c r="C256" s="143">
        <v>25</v>
      </c>
      <c r="D256" s="143">
        <v>2059</v>
      </c>
      <c r="E256" s="687">
        <v>4.5094877399</v>
      </c>
      <c r="F256" s="687">
        <v>3.4653627875000002E-2</v>
      </c>
      <c r="G256" s="687">
        <v>5.1122370000000004E-3</v>
      </c>
      <c r="H256" s="216">
        <v>1532.9699949000001</v>
      </c>
      <c r="J256"/>
    </row>
    <row r="257" spans="2:10" ht="21.95" customHeight="1" x14ac:dyDescent="0.2">
      <c r="B257" s="143" t="s">
        <v>22</v>
      </c>
      <c r="C257" s="143">
        <v>25</v>
      </c>
      <c r="D257" s="143">
        <v>2060</v>
      </c>
      <c r="E257" s="687">
        <v>4.5053229349999997</v>
      </c>
      <c r="F257" s="687">
        <v>3.4338720000000003E-2</v>
      </c>
      <c r="G257" s="687">
        <v>5.1114699999999999E-3</v>
      </c>
      <c r="H257" s="216">
        <v>1532.73999</v>
      </c>
      <c r="J257"/>
    </row>
    <row r="258" spans="2:10" ht="21.95" customHeight="1" x14ac:dyDescent="0.2">
      <c r="B258" s="143" t="s">
        <v>22</v>
      </c>
      <c r="C258" s="143">
        <v>30</v>
      </c>
      <c r="D258" s="143">
        <v>2020</v>
      </c>
      <c r="E258" s="687">
        <v>6.0374146123749997</v>
      </c>
      <c r="F258" s="687">
        <v>0.15791847043750001</v>
      </c>
      <c r="G258" s="687">
        <v>6.4161799999999996E-3</v>
      </c>
      <c r="H258" s="216">
        <v>1909.4399410000001</v>
      </c>
      <c r="J258"/>
    </row>
    <row r="259" spans="2:10" ht="21.95" customHeight="1" x14ac:dyDescent="0.2">
      <c r="B259" s="143" t="s">
        <v>22</v>
      </c>
      <c r="C259" s="143">
        <v>30</v>
      </c>
      <c r="D259" s="143">
        <v>2021</v>
      </c>
      <c r="E259" s="687">
        <v>5.8656959168625002</v>
      </c>
      <c r="F259" s="687">
        <v>0.14746062096250001</v>
      </c>
      <c r="G259" s="687">
        <v>6.3166960000000001E-3</v>
      </c>
      <c r="H259" s="216">
        <v>1880.9329464</v>
      </c>
      <c r="J259"/>
    </row>
    <row r="260" spans="2:10" ht="21.95" customHeight="1" x14ac:dyDescent="0.2">
      <c r="B260" s="143" t="s">
        <v>22</v>
      </c>
      <c r="C260" s="143">
        <v>30</v>
      </c>
      <c r="D260" s="143">
        <v>2022</v>
      </c>
      <c r="E260" s="687">
        <v>5.69397722135</v>
      </c>
      <c r="F260" s="687">
        <v>0.13700277148750001</v>
      </c>
      <c r="G260" s="687">
        <v>6.2172119999999997E-3</v>
      </c>
      <c r="H260" s="216">
        <v>1852.4259517999999</v>
      </c>
      <c r="J260"/>
    </row>
    <row r="261" spans="2:10" ht="21.95" customHeight="1" x14ac:dyDescent="0.2">
      <c r="B261" s="143" t="s">
        <v>22</v>
      </c>
      <c r="C261" s="143">
        <v>30</v>
      </c>
      <c r="D261" s="143">
        <v>2023</v>
      </c>
      <c r="E261" s="687">
        <v>5.5222585258374997</v>
      </c>
      <c r="F261" s="687">
        <v>0.12654492201250001</v>
      </c>
      <c r="G261" s="687">
        <v>6.1177280000000002E-3</v>
      </c>
      <c r="H261" s="216">
        <v>1823.9189572</v>
      </c>
      <c r="J261"/>
    </row>
    <row r="262" spans="2:10" ht="21.95" customHeight="1" x14ac:dyDescent="0.2">
      <c r="B262" s="143" t="s">
        <v>22</v>
      </c>
      <c r="C262" s="143">
        <v>30</v>
      </c>
      <c r="D262" s="143">
        <v>2024</v>
      </c>
      <c r="E262" s="687">
        <v>5.3505398303250002</v>
      </c>
      <c r="F262" s="687">
        <v>0.1160870725375</v>
      </c>
      <c r="G262" s="687">
        <v>6.0182439999999999E-3</v>
      </c>
      <c r="H262" s="216">
        <v>1795.4119625999999</v>
      </c>
      <c r="J262"/>
    </row>
    <row r="263" spans="2:10" ht="21.95" customHeight="1" x14ac:dyDescent="0.2">
      <c r="B263" s="143" t="s">
        <v>22</v>
      </c>
      <c r="C263" s="143">
        <v>30</v>
      </c>
      <c r="D263" s="143">
        <v>2025</v>
      </c>
      <c r="E263" s="687">
        <v>5.1788211348124999</v>
      </c>
      <c r="F263" s="687">
        <v>0.1056292230625</v>
      </c>
      <c r="G263" s="687">
        <v>5.9187600000000003E-3</v>
      </c>
      <c r="H263" s="216">
        <v>1766.9049680000001</v>
      </c>
      <c r="J263"/>
    </row>
    <row r="264" spans="2:10" ht="21.95" customHeight="1" x14ac:dyDescent="0.2">
      <c r="B264" s="143" t="s">
        <v>22</v>
      </c>
      <c r="C264" s="143">
        <v>30</v>
      </c>
      <c r="D264" s="143">
        <v>2026</v>
      </c>
      <c r="E264" s="687">
        <v>5.0071024392999997</v>
      </c>
      <c r="F264" s="687">
        <v>9.5171373587499997E-2</v>
      </c>
      <c r="G264" s="687">
        <v>5.819276E-3</v>
      </c>
      <c r="H264" s="216">
        <v>1738.3979734</v>
      </c>
      <c r="J264"/>
    </row>
    <row r="265" spans="2:10" ht="21.95" customHeight="1" x14ac:dyDescent="0.2">
      <c r="B265" s="143" t="s">
        <v>22</v>
      </c>
      <c r="C265" s="143">
        <v>30</v>
      </c>
      <c r="D265" s="143">
        <v>2027</v>
      </c>
      <c r="E265" s="687">
        <v>4.8353837437875002</v>
      </c>
      <c r="F265" s="687">
        <v>8.4713524112499994E-2</v>
      </c>
      <c r="G265" s="687">
        <v>5.7197919999999996E-3</v>
      </c>
      <c r="H265" s="216">
        <v>1709.8909788000001</v>
      </c>
      <c r="J265"/>
    </row>
    <row r="266" spans="2:10" ht="21.95" customHeight="1" x14ac:dyDescent="0.2">
      <c r="B266" s="143" t="s">
        <v>22</v>
      </c>
      <c r="C266" s="143">
        <v>30</v>
      </c>
      <c r="D266" s="143">
        <v>2028</v>
      </c>
      <c r="E266" s="687">
        <v>4.6636650482749999</v>
      </c>
      <c r="F266" s="687">
        <v>7.4255674637500005E-2</v>
      </c>
      <c r="G266" s="687">
        <v>5.6203080000000001E-3</v>
      </c>
      <c r="H266" s="216">
        <v>1681.3839842</v>
      </c>
      <c r="J266"/>
    </row>
    <row r="267" spans="2:10" ht="21.95" customHeight="1" x14ac:dyDescent="0.2">
      <c r="B267" s="143" t="s">
        <v>22</v>
      </c>
      <c r="C267" s="143">
        <v>30</v>
      </c>
      <c r="D267" s="143">
        <v>2029</v>
      </c>
      <c r="E267" s="687">
        <v>4.4919463527624997</v>
      </c>
      <c r="F267" s="687">
        <v>6.3797825162500002E-2</v>
      </c>
      <c r="G267" s="687">
        <v>5.5208239999999997E-3</v>
      </c>
      <c r="H267" s="216">
        <v>1652.8769895999999</v>
      </c>
      <c r="J267"/>
    </row>
    <row r="268" spans="2:10" ht="21.95" customHeight="1" x14ac:dyDescent="0.2">
      <c r="B268" s="143" t="s">
        <v>22</v>
      </c>
      <c r="C268" s="143">
        <v>30</v>
      </c>
      <c r="D268" s="143">
        <v>2030</v>
      </c>
      <c r="E268" s="687">
        <v>4.3202276572500002</v>
      </c>
      <c r="F268" s="687">
        <v>5.3339975687499999E-2</v>
      </c>
      <c r="G268" s="687">
        <v>5.4213400000000002E-3</v>
      </c>
      <c r="H268" s="216">
        <v>1624.369995</v>
      </c>
      <c r="J268"/>
    </row>
    <row r="269" spans="2:10" ht="21.95" customHeight="1" x14ac:dyDescent="0.2">
      <c r="B269" s="143" t="s">
        <v>22</v>
      </c>
      <c r="C269" s="143">
        <v>30</v>
      </c>
      <c r="D269" s="143">
        <v>2031</v>
      </c>
      <c r="E269" s="687">
        <v>4.2955955073250003</v>
      </c>
      <c r="F269" s="687">
        <v>5.1984994218749997E-2</v>
      </c>
      <c r="G269" s="687">
        <v>5.3854970000000004E-3</v>
      </c>
      <c r="H269" s="216">
        <v>1613.7510009</v>
      </c>
      <c r="J269"/>
    </row>
    <row r="270" spans="2:10" ht="21.95" customHeight="1" x14ac:dyDescent="0.2">
      <c r="B270" s="143" t="s">
        <v>22</v>
      </c>
      <c r="C270" s="143">
        <v>30</v>
      </c>
      <c r="D270" s="143">
        <v>2032</v>
      </c>
      <c r="E270" s="687">
        <v>4.2709633574000003</v>
      </c>
      <c r="F270" s="687">
        <v>5.0630012750000002E-2</v>
      </c>
      <c r="G270" s="687">
        <v>5.3496539999999997E-3</v>
      </c>
      <c r="H270" s="216">
        <v>1603.1320068</v>
      </c>
      <c r="J270"/>
    </row>
    <row r="271" spans="2:10" ht="21.95" customHeight="1" x14ac:dyDescent="0.2">
      <c r="B271" s="143" t="s">
        <v>22</v>
      </c>
      <c r="C271" s="143">
        <v>30</v>
      </c>
      <c r="D271" s="143">
        <v>2033</v>
      </c>
      <c r="E271" s="687">
        <v>4.2463312074750004</v>
      </c>
      <c r="F271" s="687">
        <v>4.9275031281249999E-2</v>
      </c>
      <c r="G271" s="687">
        <v>5.3138109999999999E-3</v>
      </c>
      <c r="H271" s="216">
        <v>1592.5130127</v>
      </c>
      <c r="J271"/>
    </row>
    <row r="272" spans="2:10" ht="21.95" customHeight="1" x14ac:dyDescent="0.2">
      <c r="B272" s="143" t="s">
        <v>22</v>
      </c>
      <c r="C272" s="143">
        <v>30</v>
      </c>
      <c r="D272" s="143">
        <v>2034</v>
      </c>
      <c r="E272" s="687">
        <v>4.2216990575500004</v>
      </c>
      <c r="F272" s="687">
        <v>4.7920049812499997E-2</v>
      </c>
      <c r="G272" s="687">
        <v>5.2779680000000001E-3</v>
      </c>
      <c r="H272" s="216">
        <v>1581.8940186</v>
      </c>
      <c r="J272"/>
    </row>
    <row r="273" spans="2:10" ht="21.95" customHeight="1" x14ac:dyDescent="0.2">
      <c r="B273" s="143" t="s">
        <v>22</v>
      </c>
      <c r="C273" s="143">
        <v>30</v>
      </c>
      <c r="D273" s="143">
        <v>2035</v>
      </c>
      <c r="E273" s="687">
        <v>4.1970669076249996</v>
      </c>
      <c r="F273" s="687">
        <v>4.6565068343750002E-2</v>
      </c>
      <c r="G273" s="687">
        <v>5.2421250000000003E-3</v>
      </c>
      <c r="H273" s="216">
        <v>1571.2750245</v>
      </c>
      <c r="J273"/>
    </row>
    <row r="274" spans="2:10" ht="21.95" customHeight="1" x14ac:dyDescent="0.2">
      <c r="B274" s="143" t="s">
        <v>22</v>
      </c>
      <c r="C274" s="143">
        <v>30</v>
      </c>
      <c r="D274" s="143">
        <v>2036</v>
      </c>
      <c r="E274" s="687">
        <v>4.1724347576999996</v>
      </c>
      <c r="F274" s="687">
        <v>4.5210086875E-2</v>
      </c>
      <c r="G274" s="687">
        <v>5.2062819999999996E-3</v>
      </c>
      <c r="H274" s="216">
        <v>1560.6560304</v>
      </c>
      <c r="J274"/>
    </row>
    <row r="275" spans="2:10" ht="21.95" customHeight="1" x14ac:dyDescent="0.2">
      <c r="B275" s="143" t="s">
        <v>22</v>
      </c>
      <c r="C275" s="143">
        <v>30</v>
      </c>
      <c r="D275" s="143">
        <v>2037</v>
      </c>
      <c r="E275" s="687">
        <v>4.1478026077749997</v>
      </c>
      <c r="F275" s="687">
        <v>4.3855105406249997E-2</v>
      </c>
      <c r="G275" s="687">
        <v>5.1704389999999998E-3</v>
      </c>
      <c r="H275" s="216">
        <v>1550.0370363</v>
      </c>
      <c r="J275"/>
    </row>
    <row r="276" spans="2:10" ht="21.95" customHeight="1" x14ac:dyDescent="0.2">
      <c r="B276" s="143" t="s">
        <v>22</v>
      </c>
      <c r="C276" s="143">
        <v>30</v>
      </c>
      <c r="D276" s="143">
        <v>2038</v>
      </c>
      <c r="E276" s="687">
        <v>4.1231704578499997</v>
      </c>
      <c r="F276" s="687">
        <v>4.2500123937500002E-2</v>
      </c>
      <c r="G276" s="687">
        <v>5.134596E-3</v>
      </c>
      <c r="H276" s="216">
        <v>1539.4180421999999</v>
      </c>
      <c r="J276"/>
    </row>
    <row r="277" spans="2:10" ht="21.95" customHeight="1" x14ac:dyDescent="0.2">
      <c r="B277" s="143" t="s">
        <v>22</v>
      </c>
      <c r="C277" s="143">
        <v>30</v>
      </c>
      <c r="D277" s="143">
        <v>2039</v>
      </c>
      <c r="E277" s="687">
        <v>4.0985383079249997</v>
      </c>
      <c r="F277" s="687">
        <v>4.114514246875E-2</v>
      </c>
      <c r="G277" s="687">
        <v>5.0987530000000001E-3</v>
      </c>
      <c r="H277" s="216">
        <v>1528.7990480999999</v>
      </c>
      <c r="J277"/>
    </row>
    <row r="278" spans="2:10" ht="21.95" customHeight="1" x14ac:dyDescent="0.2">
      <c r="B278" s="143" t="s">
        <v>22</v>
      </c>
      <c r="C278" s="143">
        <v>30</v>
      </c>
      <c r="D278" s="143">
        <v>2040</v>
      </c>
      <c r="E278" s="687">
        <v>4.0739061579999998</v>
      </c>
      <c r="F278" s="687">
        <v>3.9790160999999998E-2</v>
      </c>
      <c r="G278" s="687">
        <v>5.0629100000000003E-3</v>
      </c>
      <c r="H278" s="216">
        <v>1518.1800539999999</v>
      </c>
      <c r="J278"/>
    </row>
    <row r="279" spans="2:10" ht="21.95" customHeight="1" x14ac:dyDescent="0.2">
      <c r="B279" s="143" t="s">
        <v>22</v>
      </c>
      <c r="C279" s="143">
        <v>30</v>
      </c>
      <c r="D279" s="143">
        <v>2041</v>
      </c>
      <c r="E279" s="687">
        <v>4.0675077891999996</v>
      </c>
      <c r="F279" s="687">
        <v>3.9378905899999997E-2</v>
      </c>
      <c r="G279" s="687">
        <v>5.0582329999999997E-3</v>
      </c>
      <c r="H279" s="216">
        <v>1516.7780519999999</v>
      </c>
      <c r="J279"/>
    </row>
    <row r="280" spans="2:10" ht="21.95" customHeight="1" x14ac:dyDescent="0.2">
      <c r="B280" s="143" t="s">
        <v>22</v>
      </c>
      <c r="C280" s="143">
        <v>30</v>
      </c>
      <c r="D280" s="143">
        <v>2042</v>
      </c>
      <c r="E280" s="687">
        <v>4.0611094204000002</v>
      </c>
      <c r="F280" s="687">
        <v>3.8967650800000003E-2</v>
      </c>
      <c r="G280" s="687">
        <v>5.0535559999999998E-3</v>
      </c>
      <c r="H280" s="216">
        <v>1515.3760500000001</v>
      </c>
      <c r="J280"/>
    </row>
    <row r="281" spans="2:10" ht="21.95" customHeight="1" x14ac:dyDescent="0.2">
      <c r="B281" s="143" t="s">
        <v>22</v>
      </c>
      <c r="C281" s="143">
        <v>30</v>
      </c>
      <c r="D281" s="143">
        <v>2043</v>
      </c>
      <c r="E281" s="687">
        <v>4.0547110516</v>
      </c>
      <c r="F281" s="687">
        <v>3.8556395700000003E-2</v>
      </c>
      <c r="G281" s="687">
        <v>5.048879E-3</v>
      </c>
      <c r="H281" s="216">
        <v>1513.974048</v>
      </c>
      <c r="J281"/>
    </row>
    <row r="282" spans="2:10" ht="21.95" customHeight="1" x14ac:dyDescent="0.2">
      <c r="B282" s="143" t="s">
        <v>22</v>
      </c>
      <c r="C282" s="143">
        <v>30</v>
      </c>
      <c r="D282" s="143">
        <v>2044</v>
      </c>
      <c r="E282" s="687">
        <v>4.0483126827999998</v>
      </c>
      <c r="F282" s="687">
        <v>3.8145140600000002E-2</v>
      </c>
      <c r="G282" s="687">
        <v>5.0442020000000002E-3</v>
      </c>
      <c r="H282" s="216">
        <v>1512.572046</v>
      </c>
      <c r="J282"/>
    </row>
    <row r="283" spans="2:10" ht="21.95" customHeight="1" x14ac:dyDescent="0.2">
      <c r="B283" s="143" t="s">
        <v>22</v>
      </c>
      <c r="C283" s="143">
        <v>30</v>
      </c>
      <c r="D283" s="143">
        <v>2045</v>
      </c>
      <c r="E283" s="687">
        <v>4.0419143139999996</v>
      </c>
      <c r="F283" s="687">
        <v>3.7733885500000001E-2</v>
      </c>
      <c r="G283" s="687">
        <v>5.0395250000000004E-3</v>
      </c>
      <c r="H283" s="216">
        <v>1511.170044</v>
      </c>
      <c r="J283"/>
    </row>
    <row r="284" spans="2:10" ht="21.95" customHeight="1" x14ac:dyDescent="0.2">
      <c r="B284" s="143" t="s">
        <v>22</v>
      </c>
      <c r="C284" s="143">
        <v>30</v>
      </c>
      <c r="D284" s="143">
        <v>2046</v>
      </c>
      <c r="E284" s="687">
        <v>4.0355159452000002</v>
      </c>
      <c r="F284" s="687">
        <v>3.7322630400000001E-2</v>
      </c>
      <c r="G284" s="687">
        <v>5.0348479999999998E-3</v>
      </c>
      <c r="H284" s="216">
        <v>1509.7680419999999</v>
      </c>
      <c r="J284"/>
    </row>
    <row r="285" spans="2:10" ht="21.95" customHeight="1" x14ac:dyDescent="0.2">
      <c r="B285" s="143" t="s">
        <v>22</v>
      </c>
      <c r="C285" s="143">
        <v>30</v>
      </c>
      <c r="D285" s="143">
        <v>2047</v>
      </c>
      <c r="E285" s="687">
        <v>4.0291175764</v>
      </c>
      <c r="F285" s="687">
        <v>3.69113753E-2</v>
      </c>
      <c r="G285" s="687">
        <v>5.0301709999999999E-3</v>
      </c>
      <c r="H285" s="216">
        <v>1508.3660400000001</v>
      </c>
      <c r="J285"/>
    </row>
    <row r="286" spans="2:10" ht="21.95" customHeight="1" x14ac:dyDescent="0.2">
      <c r="B286" s="143" t="s">
        <v>22</v>
      </c>
      <c r="C286" s="143">
        <v>30</v>
      </c>
      <c r="D286" s="143">
        <v>2048</v>
      </c>
      <c r="E286" s="687">
        <v>4.0227192075999998</v>
      </c>
      <c r="F286" s="687">
        <v>3.65001202E-2</v>
      </c>
      <c r="G286" s="687">
        <v>5.0254940000000001E-3</v>
      </c>
      <c r="H286" s="216">
        <v>1506.9640380000001</v>
      </c>
      <c r="J286"/>
    </row>
    <row r="287" spans="2:10" ht="21.95" customHeight="1" x14ac:dyDescent="0.2">
      <c r="B287" s="143" t="s">
        <v>22</v>
      </c>
      <c r="C287" s="143">
        <v>30</v>
      </c>
      <c r="D287" s="143">
        <v>2049</v>
      </c>
      <c r="E287" s="687">
        <v>4.0163208387999996</v>
      </c>
      <c r="F287" s="687">
        <v>3.6088865099999999E-2</v>
      </c>
      <c r="G287" s="687">
        <v>5.0208170000000003E-3</v>
      </c>
      <c r="H287" s="216">
        <v>1505.562036</v>
      </c>
      <c r="J287"/>
    </row>
    <row r="288" spans="2:10" ht="21.95" customHeight="1" x14ac:dyDescent="0.2">
      <c r="B288" s="143" t="s">
        <v>22</v>
      </c>
      <c r="C288" s="143">
        <v>30</v>
      </c>
      <c r="D288" s="143">
        <v>2050</v>
      </c>
      <c r="E288" s="687">
        <v>4.0099224700000002</v>
      </c>
      <c r="F288" s="687">
        <v>3.5677609999999998E-2</v>
      </c>
      <c r="G288" s="687">
        <v>5.0161399999999997E-3</v>
      </c>
      <c r="H288" s="216">
        <v>1504.160034</v>
      </c>
      <c r="J288"/>
    </row>
    <row r="289" spans="2:10" ht="21.95" customHeight="1" x14ac:dyDescent="0.2">
      <c r="B289" s="143" t="s">
        <v>22</v>
      </c>
      <c r="C289" s="143">
        <v>30</v>
      </c>
      <c r="D289" s="143">
        <v>2051</v>
      </c>
      <c r="E289" s="687">
        <v>4.0057060837687501</v>
      </c>
      <c r="F289" s="687">
        <v>3.5376162000000003E-2</v>
      </c>
      <c r="G289" s="687">
        <v>5.0154010000000001E-3</v>
      </c>
      <c r="H289" s="216">
        <v>1503.9380246999999</v>
      </c>
      <c r="J289"/>
    </row>
    <row r="290" spans="2:10" ht="21.95" customHeight="1" x14ac:dyDescent="0.2">
      <c r="B290" s="143" t="s">
        <v>22</v>
      </c>
      <c r="C290" s="143">
        <v>30</v>
      </c>
      <c r="D290" s="143">
        <v>2052</v>
      </c>
      <c r="E290" s="687">
        <v>4.0014896975375001</v>
      </c>
      <c r="F290" s="687">
        <v>3.5074714E-2</v>
      </c>
      <c r="G290" s="687">
        <v>5.0146619999999996E-3</v>
      </c>
      <c r="H290" s="216">
        <v>1503.7160154000001</v>
      </c>
      <c r="J290"/>
    </row>
    <row r="291" spans="2:10" ht="21.95" customHeight="1" x14ac:dyDescent="0.2">
      <c r="B291" s="143" t="s">
        <v>22</v>
      </c>
      <c r="C291" s="143">
        <v>30</v>
      </c>
      <c r="D291" s="143">
        <v>2053</v>
      </c>
      <c r="E291" s="687">
        <v>3.99727331130625</v>
      </c>
      <c r="F291" s="687">
        <v>3.4773265999999997E-2</v>
      </c>
      <c r="G291" s="687">
        <v>5.013923E-3</v>
      </c>
      <c r="H291" s="216">
        <v>1503.4940061</v>
      </c>
      <c r="J291"/>
    </row>
    <row r="292" spans="2:10" ht="21.95" customHeight="1" x14ac:dyDescent="0.2">
      <c r="B292" s="143" t="s">
        <v>22</v>
      </c>
      <c r="C292" s="143">
        <v>30</v>
      </c>
      <c r="D292" s="143">
        <v>2054</v>
      </c>
      <c r="E292" s="687">
        <v>3.9930569250749999</v>
      </c>
      <c r="F292" s="687">
        <v>3.4471818000000001E-2</v>
      </c>
      <c r="G292" s="687">
        <v>5.0131840000000004E-3</v>
      </c>
      <c r="H292" s="216">
        <v>1503.2719967999999</v>
      </c>
      <c r="J292"/>
    </row>
    <row r="293" spans="2:10" ht="21.95" customHeight="1" x14ac:dyDescent="0.2">
      <c r="B293" s="143" t="s">
        <v>22</v>
      </c>
      <c r="C293" s="143">
        <v>30</v>
      </c>
      <c r="D293" s="143">
        <v>2055</v>
      </c>
      <c r="E293" s="687">
        <v>3.9888405388437498</v>
      </c>
      <c r="F293" s="687">
        <v>3.4170369999999999E-2</v>
      </c>
      <c r="G293" s="687">
        <v>5.0124449999999999E-3</v>
      </c>
      <c r="H293" s="216">
        <v>1503.0499875</v>
      </c>
      <c r="J293"/>
    </row>
    <row r="294" spans="2:10" ht="21.95" customHeight="1" x14ac:dyDescent="0.2">
      <c r="B294" s="143" t="s">
        <v>22</v>
      </c>
      <c r="C294" s="143">
        <v>30</v>
      </c>
      <c r="D294" s="143">
        <v>2056</v>
      </c>
      <c r="E294" s="687">
        <v>3.9846241526125001</v>
      </c>
      <c r="F294" s="687">
        <v>3.3868922000000003E-2</v>
      </c>
      <c r="G294" s="687">
        <v>5.0117060000000003E-3</v>
      </c>
      <c r="H294" s="216">
        <v>1502.8279782</v>
      </c>
      <c r="J294"/>
    </row>
    <row r="295" spans="2:10" ht="21.95" customHeight="1" x14ac:dyDescent="0.2">
      <c r="B295" s="143" t="s">
        <v>22</v>
      </c>
      <c r="C295" s="143">
        <v>30</v>
      </c>
      <c r="D295" s="143">
        <v>2057</v>
      </c>
      <c r="E295" s="687">
        <v>3.98040776638125</v>
      </c>
      <c r="F295" s="687">
        <v>3.3567474E-2</v>
      </c>
      <c r="G295" s="687">
        <v>5.0109669999999999E-3</v>
      </c>
      <c r="H295" s="216">
        <v>1502.6059689000001</v>
      </c>
      <c r="J295"/>
    </row>
    <row r="296" spans="2:10" ht="21.95" customHeight="1" x14ac:dyDescent="0.2">
      <c r="B296" s="143" t="s">
        <v>22</v>
      </c>
      <c r="C296" s="143">
        <v>30</v>
      </c>
      <c r="D296" s="143">
        <v>2058</v>
      </c>
      <c r="E296" s="687">
        <v>3.97619138015</v>
      </c>
      <c r="F296" s="687">
        <v>3.3266025999999997E-2</v>
      </c>
      <c r="G296" s="687">
        <v>5.0102280000000003E-3</v>
      </c>
      <c r="H296" s="216">
        <v>1502.3839596</v>
      </c>
      <c r="J296"/>
    </row>
    <row r="297" spans="2:10" ht="21.95" customHeight="1" x14ac:dyDescent="0.2">
      <c r="B297" s="143" t="s">
        <v>22</v>
      </c>
      <c r="C297" s="143">
        <v>30</v>
      </c>
      <c r="D297" s="143">
        <v>2059</v>
      </c>
      <c r="E297" s="687">
        <v>3.9719749939187499</v>
      </c>
      <c r="F297" s="687">
        <v>3.2964578000000001E-2</v>
      </c>
      <c r="G297" s="687">
        <v>5.0094889999999998E-3</v>
      </c>
      <c r="H297" s="216">
        <v>1502.1619502999999</v>
      </c>
      <c r="J297"/>
    </row>
    <row r="298" spans="2:10" ht="21.95" customHeight="1" x14ac:dyDescent="0.2">
      <c r="B298" s="143" t="s">
        <v>22</v>
      </c>
      <c r="C298" s="143">
        <v>30</v>
      </c>
      <c r="D298" s="143">
        <v>2060</v>
      </c>
      <c r="E298" s="687">
        <v>3.9677586076875002</v>
      </c>
      <c r="F298" s="687">
        <v>3.2663129999999999E-2</v>
      </c>
      <c r="G298" s="687">
        <v>5.0087500000000002E-3</v>
      </c>
      <c r="H298" s="216">
        <v>1501.9399410000001</v>
      </c>
      <c r="J298"/>
    </row>
    <row r="299" spans="2:10" ht="21.95" customHeight="1" x14ac:dyDescent="0.2">
      <c r="B299" s="143" t="s">
        <v>22</v>
      </c>
      <c r="C299" s="143">
        <v>35</v>
      </c>
      <c r="D299" s="143">
        <v>2020</v>
      </c>
      <c r="E299" s="687">
        <v>4.9560637810000001</v>
      </c>
      <c r="F299" s="687">
        <v>0.12130854775</v>
      </c>
      <c r="G299" s="687">
        <v>5.6160799999999999E-3</v>
      </c>
      <c r="H299" s="216">
        <v>1671.589966</v>
      </c>
      <c r="J299"/>
    </row>
    <row r="300" spans="2:10" ht="21.95" customHeight="1" x14ac:dyDescent="0.2">
      <c r="B300" s="143" t="s">
        <v>22</v>
      </c>
      <c r="C300" s="143">
        <v>35</v>
      </c>
      <c r="D300" s="143">
        <v>2021</v>
      </c>
      <c r="E300" s="687">
        <v>4.7964916724249997</v>
      </c>
      <c r="F300" s="687">
        <v>0.113220929075</v>
      </c>
      <c r="G300" s="687">
        <v>5.5239E-3</v>
      </c>
      <c r="H300" s="216">
        <v>1645.0849733</v>
      </c>
      <c r="J300"/>
    </row>
    <row r="301" spans="2:10" ht="21.95" customHeight="1" x14ac:dyDescent="0.2">
      <c r="B301" s="143" t="s">
        <v>22</v>
      </c>
      <c r="C301" s="143">
        <v>35</v>
      </c>
      <c r="D301" s="143">
        <v>2022</v>
      </c>
      <c r="E301" s="687">
        <v>4.6369195638500003</v>
      </c>
      <c r="F301" s="687">
        <v>0.1051333104</v>
      </c>
      <c r="G301" s="687">
        <v>5.4317200000000001E-3</v>
      </c>
      <c r="H301" s="216">
        <v>1618.5799806</v>
      </c>
      <c r="J301"/>
    </row>
    <row r="302" spans="2:10" ht="21.95" customHeight="1" x14ac:dyDescent="0.2">
      <c r="B302" s="143" t="s">
        <v>22</v>
      </c>
      <c r="C302" s="143">
        <v>35</v>
      </c>
      <c r="D302" s="143">
        <v>2023</v>
      </c>
      <c r="E302" s="687">
        <v>4.4773474552749999</v>
      </c>
      <c r="F302" s="687">
        <v>9.7045691724999994E-2</v>
      </c>
      <c r="G302" s="687">
        <v>5.3395400000000003E-3</v>
      </c>
      <c r="H302" s="216">
        <v>1592.0749879</v>
      </c>
      <c r="J302"/>
    </row>
    <row r="303" spans="2:10" ht="21.95" customHeight="1" x14ac:dyDescent="0.2">
      <c r="B303" s="143" t="s">
        <v>22</v>
      </c>
      <c r="C303" s="143">
        <v>35</v>
      </c>
      <c r="D303" s="143">
        <v>2024</v>
      </c>
      <c r="E303" s="687">
        <v>4.3177753467000004</v>
      </c>
      <c r="F303" s="687">
        <v>8.8958073050000003E-2</v>
      </c>
      <c r="G303" s="687">
        <v>5.2473600000000004E-3</v>
      </c>
      <c r="H303" s="216">
        <v>1565.5699952</v>
      </c>
      <c r="J303"/>
    </row>
    <row r="304" spans="2:10" ht="21.95" customHeight="1" x14ac:dyDescent="0.2">
      <c r="B304" s="143" t="s">
        <v>22</v>
      </c>
      <c r="C304" s="143">
        <v>35</v>
      </c>
      <c r="D304" s="143">
        <v>2025</v>
      </c>
      <c r="E304" s="687">
        <v>4.158203238125</v>
      </c>
      <c r="F304" s="687">
        <v>8.0870454374999998E-2</v>
      </c>
      <c r="G304" s="687">
        <v>5.1551799999999997E-3</v>
      </c>
      <c r="H304" s="216">
        <v>1539.0650025</v>
      </c>
      <c r="J304"/>
    </row>
    <row r="305" spans="2:10" ht="21.95" customHeight="1" x14ac:dyDescent="0.2">
      <c r="B305" s="143" t="s">
        <v>22</v>
      </c>
      <c r="C305" s="143">
        <v>35</v>
      </c>
      <c r="D305" s="143">
        <v>2026</v>
      </c>
      <c r="E305" s="687">
        <v>3.9986311295500001</v>
      </c>
      <c r="F305" s="687">
        <v>7.2782835700000006E-2</v>
      </c>
      <c r="G305" s="687">
        <v>5.0629999999999998E-3</v>
      </c>
      <c r="H305" s="216">
        <v>1512.5600098</v>
      </c>
      <c r="J305"/>
    </row>
    <row r="306" spans="2:10" ht="21.95" customHeight="1" x14ac:dyDescent="0.2">
      <c r="B306" s="143" t="s">
        <v>22</v>
      </c>
      <c r="C306" s="143">
        <v>35</v>
      </c>
      <c r="D306" s="143">
        <v>2027</v>
      </c>
      <c r="E306" s="687">
        <v>3.8390590209750002</v>
      </c>
      <c r="F306" s="687">
        <v>6.4695217025000001E-2</v>
      </c>
      <c r="G306" s="687">
        <v>4.9708199999999999E-3</v>
      </c>
      <c r="H306" s="216">
        <v>1486.0550171</v>
      </c>
      <c r="J306"/>
    </row>
    <row r="307" spans="2:10" ht="21.95" customHeight="1" x14ac:dyDescent="0.2">
      <c r="B307" s="143" t="s">
        <v>22</v>
      </c>
      <c r="C307" s="143">
        <v>35</v>
      </c>
      <c r="D307" s="143">
        <v>2028</v>
      </c>
      <c r="E307" s="687">
        <v>3.6794869123999998</v>
      </c>
      <c r="F307" s="687">
        <v>5.6607598350000003E-2</v>
      </c>
      <c r="G307" s="687">
        <v>4.8786400000000001E-3</v>
      </c>
      <c r="H307" s="216">
        <v>1459.5500244</v>
      </c>
      <c r="J307"/>
    </row>
    <row r="308" spans="2:10" ht="21.95" customHeight="1" x14ac:dyDescent="0.2">
      <c r="B308" s="143" t="s">
        <v>22</v>
      </c>
      <c r="C308" s="143">
        <v>35</v>
      </c>
      <c r="D308" s="143">
        <v>2029</v>
      </c>
      <c r="E308" s="687">
        <v>3.5199148038249999</v>
      </c>
      <c r="F308" s="687">
        <v>4.8519979674999998E-2</v>
      </c>
      <c r="G308" s="687">
        <v>4.7864600000000002E-3</v>
      </c>
      <c r="H308" s="216">
        <v>1433.0450317</v>
      </c>
      <c r="J308"/>
    </row>
    <row r="309" spans="2:10" ht="21.95" customHeight="1" x14ac:dyDescent="0.2">
      <c r="B309" s="143" t="s">
        <v>22</v>
      </c>
      <c r="C309" s="143">
        <v>35</v>
      </c>
      <c r="D309" s="143">
        <v>2030</v>
      </c>
      <c r="E309" s="687">
        <v>3.36034269525</v>
      </c>
      <c r="F309" s="687">
        <v>4.0432361E-2</v>
      </c>
      <c r="G309" s="687">
        <v>4.6942800000000003E-3</v>
      </c>
      <c r="H309" s="216">
        <v>1406.540039</v>
      </c>
      <c r="J309"/>
    </row>
    <row r="310" spans="2:10" ht="21.95" customHeight="1" x14ac:dyDescent="0.2">
      <c r="B310" s="143" t="s">
        <v>22</v>
      </c>
      <c r="C310" s="143">
        <v>35</v>
      </c>
      <c r="D310" s="143">
        <v>2031</v>
      </c>
      <c r="E310" s="687">
        <v>3.337492953575</v>
      </c>
      <c r="F310" s="687">
        <v>3.93668358E-2</v>
      </c>
      <c r="G310" s="687">
        <v>4.6616699999999997E-3</v>
      </c>
      <c r="H310" s="216">
        <v>1396.8720335999999</v>
      </c>
      <c r="J310"/>
    </row>
    <row r="311" spans="2:10" ht="21.95" customHeight="1" x14ac:dyDescent="0.2">
      <c r="B311" s="143" t="s">
        <v>22</v>
      </c>
      <c r="C311" s="143">
        <v>35</v>
      </c>
      <c r="D311" s="143">
        <v>2032</v>
      </c>
      <c r="E311" s="687">
        <v>3.3146432119</v>
      </c>
      <c r="F311" s="687">
        <v>3.8301310599999999E-2</v>
      </c>
      <c r="G311" s="687">
        <v>4.6290599999999999E-3</v>
      </c>
      <c r="H311" s="216">
        <v>1387.2040282</v>
      </c>
      <c r="J311"/>
    </row>
    <row r="312" spans="2:10" ht="21.95" customHeight="1" x14ac:dyDescent="0.2">
      <c r="B312" s="143" t="s">
        <v>22</v>
      </c>
      <c r="C312" s="143">
        <v>35</v>
      </c>
      <c r="D312" s="143">
        <v>2033</v>
      </c>
      <c r="E312" s="687">
        <v>3.291793470225</v>
      </c>
      <c r="F312" s="687">
        <v>3.7235785399999999E-2</v>
      </c>
      <c r="G312" s="687">
        <v>4.5964500000000002E-3</v>
      </c>
      <c r="H312" s="216">
        <v>1377.5360228</v>
      </c>
      <c r="J312"/>
    </row>
    <row r="313" spans="2:10" ht="21.95" customHeight="1" x14ac:dyDescent="0.2">
      <c r="B313" s="143" t="s">
        <v>22</v>
      </c>
      <c r="C313" s="143">
        <v>35</v>
      </c>
      <c r="D313" s="143">
        <v>2034</v>
      </c>
      <c r="E313" s="687">
        <v>3.26894372855</v>
      </c>
      <c r="F313" s="687">
        <v>3.6170260199999998E-2</v>
      </c>
      <c r="G313" s="687">
        <v>4.5638400000000004E-3</v>
      </c>
      <c r="H313" s="216">
        <v>1367.8680174000001</v>
      </c>
      <c r="J313"/>
    </row>
    <row r="314" spans="2:10" ht="21.95" customHeight="1" x14ac:dyDescent="0.2">
      <c r="B314" s="143" t="s">
        <v>22</v>
      </c>
      <c r="C314" s="143">
        <v>35</v>
      </c>
      <c r="D314" s="143">
        <v>2035</v>
      </c>
      <c r="E314" s="687">
        <v>3.2460939868750001</v>
      </c>
      <c r="F314" s="687">
        <v>3.5104734999999998E-2</v>
      </c>
      <c r="G314" s="687">
        <v>4.5312299999999998E-3</v>
      </c>
      <c r="H314" s="216">
        <v>1358.200012</v>
      </c>
      <c r="J314"/>
    </row>
    <row r="315" spans="2:10" ht="21.95" customHeight="1" x14ac:dyDescent="0.2">
      <c r="B315" s="143" t="s">
        <v>22</v>
      </c>
      <c r="C315" s="143">
        <v>35</v>
      </c>
      <c r="D315" s="143">
        <v>2036</v>
      </c>
      <c r="E315" s="687">
        <v>3.2232442452000001</v>
      </c>
      <c r="F315" s="687">
        <v>3.4039209799999998E-2</v>
      </c>
      <c r="G315" s="687">
        <v>4.49862E-3</v>
      </c>
      <c r="H315" s="216">
        <v>1348.5320065999999</v>
      </c>
      <c r="J315"/>
    </row>
    <row r="316" spans="2:10" ht="21.95" customHeight="1" x14ac:dyDescent="0.2">
      <c r="B316" s="143" t="s">
        <v>22</v>
      </c>
      <c r="C316" s="143">
        <v>35</v>
      </c>
      <c r="D316" s="143">
        <v>2037</v>
      </c>
      <c r="E316" s="687">
        <v>3.2003945035250001</v>
      </c>
      <c r="F316" s="687">
        <v>3.2973684599999997E-2</v>
      </c>
      <c r="G316" s="687">
        <v>4.4660100000000003E-3</v>
      </c>
      <c r="H316" s="216">
        <v>1338.8640012000001</v>
      </c>
      <c r="J316"/>
    </row>
    <row r="317" spans="2:10" ht="21.95" customHeight="1" x14ac:dyDescent="0.2">
      <c r="B317" s="143" t="s">
        <v>22</v>
      </c>
      <c r="C317" s="143">
        <v>35</v>
      </c>
      <c r="D317" s="143">
        <v>2038</v>
      </c>
      <c r="E317" s="687">
        <v>3.1775447618500001</v>
      </c>
      <c r="F317" s="687">
        <v>3.1908159399999997E-2</v>
      </c>
      <c r="G317" s="687">
        <v>4.4333999999999997E-3</v>
      </c>
      <c r="H317" s="216">
        <v>1329.1959958</v>
      </c>
      <c r="J317"/>
    </row>
    <row r="318" spans="2:10" ht="21.95" customHeight="1" x14ac:dyDescent="0.2">
      <c r="B318" s="143" t="s">
        <v>22</v>
      </c>
      <c r="C318" s="143">
        <v>35</v>
      </c>
      <c r="D318" s="143">
        <v>2039</v>
      </c>
      <c r="E318" s="687">
        <v>3.1546950201750001</v>
      </c>
      <c r="F318" s="687">
        <v>3.08426342E-2</v>
      </c>
      <c r="G318" s="687">
        <v>4.4007899999999999E-3</v>
      </c>
      <c r="H318" s="216">
        <v>1319.5279903999999</v>
      </c>
      <c r="J318"/>
    </row>
    <row r="319" spans="2:10" ht="21.95" customHeight="1" x14ac:dyDescent="0.2">
      <c r="B319" s="143" t="s">
        <v>22</v>
      </c>
      <c r="C319" s="143">
        <v>35</v>
      </c>
      <c r="D319" s="143">
        <v>2040</v>
      </c>
      <c r="E319" s="687">
        <v>3.1318452785000002</v>
      </c>
      <c r="F319" s="687">
        <v>2.9777109E-2</v>
      </c>
      <c r="G319" s="687">
        <v>4.3681800000000002E-3</v>
      </c>
      <c r="H319" s="216">
        <v>1309.8599850000001</v>
      </c>
      <c r="J319"/>
    </row>
    <row r="320" spans="2:10" ht="21.95" customHeight="1" x14ac:dyDescent="0.2">
      <c r="B320" s="143" t="s">
        <v>22</v>
      </c>
      <c r="C320" s="143">
        <v>35</v>
      </c>
      <c r="D320" s="143">
        <v>2041</v>
      </c>
      <c r="E320" s="687">
        <v>3.1259913520249998</v>
      </c>
      <c r="F320" s="687">
        <v>2.9464416100000002E-2</v>
      </c>
      <c r="G320" s="687">
        <v>4.3639789999999996E-3</v>
      </c>
      <c r="H320" s="216">
        <v>1308.5999875</v>
      </c>
      <c r="J320"/>
    </row>
    <row r="321" spans="2:10" ht="21.95" customHeight="1" x14ac:dyDescent="0.2">
      <c r="B321" s="143" t="s">
        <v>22</v>
      </c>
      <c r="C321" s="143">
        <v>35</v>
      </c>
      <c r="D321" s="143">
        <v>2042</v>
      </c>
      <c r="E321" s="687">
        <v>3.1201374255499998</v>
      </c>
      <c r="F321" s="687">
        <v>2.91517232E-2</v>
      </c>
      <c r="G321" s="687">
        <v>4.3597779999999999E-3</v>
      </c>
      <c r="H321" s="216">
        <v>1307.3399899999999</v>
      </c>
      <c r="J321"/>
    </row>
    <row r="322" spans="2:10" ht="21.95" customHeight="1" x14ac:dyDescent="0.2">
      <c r="B322" s="143" t="s">
        <v>22</v>
      </c>
      <c r="C322" s="143">
        <v>35</v>
      </c>
      <c r="D322" s="143">
        <v>2043</v>
      </c>
      <c r="E322" s="687">
        <v>3.1142834990749999</v>
      </c>
      <c r="F322" s="687">
        <v>2.8839030299999999E-2</v>
      </c>
      <c r="G322" s="687">
        <v>4.3555770000000002E-3</v>
      </c>
      <c r="H322" s="216">
        <v>1306.0799924999999</v>
      </c>
      <c r="J322"/>
    </row>
    <row r="323" spans="2:10" ht="21.95" customHeight="1" x14ac:dyDescent="0.2">
      <c r="B323" s="143" t="s">
        <v>22</v>
      </c>
      <c r="C323" s="143">
        <v>35</v>
      </c>
      <c r="D323" s="143">
        <v>2044</v>
      </c>
      <c r="E323" s="687">
        <v>3.1084295726</v>
      </c>
      <c r="F323" s="687">
        <v>2.8526337400000001E-2</v>
      </c>
      <c r="G323" s="687">
        <v>4.3513759999999997E-3</v>
      </c>
      <c r="H323" s="216">
        <v>1304.8199950000001</v>
      </c>
      <c r="J323"/>
    </row>
    <row r="324" spans="2:10" ht="21.95" customHeight="1" x14ac:dyDescent="0.2">
      <c r="B324" s="143" t="s">
        <v>22</v>
      </c>
      <c r="C324" s="143">
        <v>35</v>
      </c>
      <c r="D324" s="143">
        <v>2045</v>
      </c>
      <c r="E324" s="687">
        <v>3.102575646125</v>
      </c>
      <c r="F324" s="687">
        <v>2.8213644499999999E-2</v>
      </c>
      <c r="G324" s="687">
        <v>4.347175E-3</v>
      </c>
      <c r="H324" s="216">
        <v>1303.5599975</v>
      </c>
      <c r="J324"/>
    </row>
    <row r="325" spans="2:10" ht="21.95" customHeight="1" x14ac:dyDescent="0.2">
      <c r="B325" s="143" t="s">
        <v>22</v>
      </c>
      <c r="C325" s="143">
        <v>35</v>
      </c>
      <c r="D325" s="143">
        <v>2046</v>
      </c>
      <c r="E325" s="687">
        <v>3.0967217196500001</v>
      </c>
      <c r="F325" s="687">
        <v>2.7900951600000001E-2</v>
      </c>
      <c r="G325" s="687">
        <v>4.3429740000000003E-3</v>
      </c>
      <c r="H325" s="216">
        <v>1302.3</v>
      </c>
      <c r="J325"/>
    </row>
    <row r="326" spans="2:10" ht="21.95" customHeight="1" x14ac:dyDescent="0.2">
      <c r="B326" s="143" t="s">
        <v>22</v>
      </c>
      <c r="C326" s="143">
        <v>35</v>
      </c>
      <c r="D326" s="143">
        <v>2047</v>
      </c>
      <c r="E326" s="687">
        <v>3.0908677931750002</v>
      </c>
      <c r="F326" s="687">
        <v>2.75882587E-2</v>
      </c>
      <c r="G326" s="687">
        <v>4.3387729999999998E-3</v>
      </c>
      <c r="H326" s="216">
        <v>1301.0400024999999</v>
      </c>
      <c r="J326"/>
    </row>
    <row r="327" spans="2:10" ht="21.95" customHeight="1" x14ac:dyDescent="0.2">
      <c r="B327" s="143" t="s">
        <v>22</v>
      </c>
      <c r="C327" s="143">
        <v>35</v>
      </c>
      <c r="D327" s="143">
        <v>2048</v>
      </c>
      <c r="E327" s="687">
        <v>3.0850138667000002</v>
      </c>
      <c r="F327" s="687">
        <v>2.7275565799999998E-2</v>
      </c>
      <c r="G327" s="687">
        <v>4.3345720000000001E-3</v>
      </c>
      <c r="H327" s="216">
        <v>1299.7800050000001</v>
      </c>
      <c r="J327"/>
    </row>
    <row r="328" spans="2:10" ht="21.95" customHeight="1" x14ac:dyDescent="0.2">
      <c r="B328" s="143" t="s">
        <v>22</v>
      </c>
      <c r="C328" s="143">
        <v>35</v>
      </c>
      <c r="D328" s="143">
        <v>2049</v>
      </c>
      <c r="E328" s="687">
        <v>3.0791599402249998</v>
      </c>
      <c r="F328" s="687">
        <v>2.69628729E-2</v>
      </c>
      <c r="G328" s="687">
        <v>4.3303710000000004E-3</v>
      </c>
      <c r="H328" s="216">
        <v>1298.5200075</v>
      </c>
      <c r="J328"/>
    </row>
    <row r="329" spans="2:10" ht="21.95" customHeight="1" x14ac:dyDescent="0.2">
      <c r="B329" s="143" t="s">
        <v>22</v>
      </c>
      <c r="C329" s="143">
        <v>35</v>
      </c>
      <c r="D329" s="143">
        <v>2050</v>
      </c>
      <c r="E329" s="687">
        <v>3.0733060137499999</v>
      </c>
      <c r="F329" s="687">
        <v>2.6650179999999999E-2</v>
      </c>
      <c r="G329" s="687">
        <v>4.3261699999999998E-3</v>
      </c>
      <c r="H329" s="216">
        <v>1297.26001</v>
      </c>
      <c r="J329"/>
    </row>
    <row r="330" spans="2:10" ht="21.95" customHeight="1" x14ac:dyDescent="0.2">
      <c r="B330" s="143" t="s">
        <v>22</v>
      </c>
      <c r="C330" s="143">
        <v>35</v>
      </c>
      <c r="D330" s="143">
        <v>2051</v>
      </c>
      <c r="E330" s="687">
        <v>3.0695155127125</v>
      </c>
      <c r="F330" s="687">
        <v>2.6422766937500002E-2</v>
      </c>
      <c r="G330" s="687">
        <v>4.325583E-3</v>
      </c>
      <c r="H330" s="216">
        <v>1297.0840089999999</v>
      </c>
      <c r="J330"/>
    </row>
    <row r="331" spans="2:10" ht="21.95" customHeight="1" x14ac:dyDescent="0.2">
      <c r="B331" s="143" t="s">
        <v>22</v>
      </c>
      <c r="C331" s="143">
        <v>35</v>
      </c>
      <c r="D331" s="143">
        <v>2052</v>
      </c>
      <c r="E331" s="687">
        <v>3.0657250116750001</v>
      </c>
      <c r="F331" s="687">
        <v>2.6195353875000001E-2</v>
      </c>
      <c r="G331" s="687">
        <v>4.3249960000000002E-3</v>
      </c>
      <c r="H331" s="216">
        <v>1296.9080080000001</v>
      </c>
      <c r="J331"/>
    </row>
    <row r="332" spans="2:10" ht="21.95" customHeight="1" x14ac:dyDescent="0.2">
      <c r="B332" s="143" t="s">
        <v>22</v>
      </c>
      <c r="C332" s="143">
        <v>35</v>
      </c>
      <c r="D332" s="143">
        <v>2053</v>
      </c>
      <c r="E332" s="687">
        <v>3.0619345106375002</v>
      </c>
      <c r="F332" s="687">
        <v>2.59679408125E-2</v>
      </c>
      <c r="G332" s="687">
        <v>4.3244090000000004E-3</v>
      </c>
      <c r="H332" s="216">
        <v>1296.7320070000001</v>
      </c>
      <c r="J332"/>
    </row>
    <row r="333" spans="2:10" ht="21.95" customHeight="1" x14ac:dyDescent="0.2">
      <c r="B333" s="143" t="s">
        <v>22</v>
      </c>
      <c r="C333" s="143">
        <v>35</v>
      </c>
      <c r="D333" s="143">
        <v>2054</v>
      </c>
      <c r="E333" s="687">
        <v>3.0581440095999999</v>
      </c>
      <c r="F333" s="687">
        <v>2.5740527749999999E-2</v>
      </c>
      <c r="G333" s="687">
        <v>4.3238219999999997E-3</v>
      </c>
      <c r="H333" s="216">
        <v>1296.556006</v>
      </c>
      <c r="J333"/>
    </row>
    <row r="334" spans="2:10" ht="21.95" customHeight="1" x14ac:dyDescent="0.2">
      <c r="B334" s="143" t="s">
        <v>22</v>
      </c>
      <c r="C334" s="143">
        <v>35</v>
      </c>
      <c r="D334" s="143">
        <v>2055</v>
      </c>
      <c r="E334" s="687">
        <v>3.0543535085625</v>
      </c>
      <c r="F334" s="687">
        <v>2.5513114687500001E-2</v>
      </c>
      <c r="G334" s="687">
        <v>4.3232349999999999E-3</v>
      </c>
      <c r="H334" s="216">
        <v>1296.380005</v>
      </c>
      <c r="J334"/>
    </row>
    <row r="335" spans="2:10" ht="21.95" customHeight="1" x14ac:dyDescent="0.2">
      <c r="B335" s="143" t="s">
        <v>22</v>
      </c>
      <c r="C335" s="143">
        <v>35</v>
      </c>
      <c r="D335" s="143">
        <v>2056</v>
      </c>
      <c r="E335" s="687">
        <v>3.0505630075250001</v>
      </c>
      <c r="F335" s="687">
        <v>2.5285701625E-2</v>
      </c>
      <c r="G335" s="687">
        <v>4.3226480000000001E-3</v>
      </c>
      <c r="H335" s="216">
        <v>1296.2040039999999</v>
      </c>
      <c r="J335"/>
    </row>
    <row r="336" spans="2:10" ht="21.95" customHeight="1" x14ac:dyDescent="0.2">
      <c r="B336" s="143" t="s">
        <v>22</v>
      </c>
      <c r="C336" s="143">
        <v>35</v>
      </c>
      <c r="D336" s="143">
        <v>2057</v>
      </c>
      <c r="E336" s="687">
        <v>3.0467725064875002</v>
      </c>
      <c r="F336" s="687">
        <v>2.5058288562499999E-2</v>
      </c>
      <c r="G336" s="687">
        <v>4.3220610000000003E-3</v>
      </c>
      <c r="H336" s="216">
        <v>1296.0280029999999</v>
      </c>
      <c r="J336"/>
    </row>
    <row r="337" spans="2:10" ht="21.95" customHeight="1" x14ac:dyDescent="0.2">
      <c r="B337" s="143" t="s">
        <v>22</v>
      </c>
      <c r="C337" s="143">
        <v>35</v>
      </c>
      <c r="D337" s="143">
        <v>2058</v>
      </c>
      <c r="E337" s="687">
        <v>3.0429820054499999</v>
      </c>
      <c r="F337" s="687">
        <v>2.4830875499999999E-2</v>
      </c>
      <c r="G337" s="687">
        <v>4.3214739999999996E-3</v>
      </c>
      <c r="H337" s="216">
        <v>1295.8520020000001</v>
      </c>
      <c r="J337"/>
    </row>
    <row r="338" spans="2:10" ht="21.95" customHeight="1" x14ac:dyDescent="0.2">
      <c r="B338" s="143" t="s">
        <v>22</v>
      </c>
      <c r="C338" s="143">
        <v>35</v>
      </c>
      <c r="D338" s="143">
        <v>2059</v>
      </c>
      <c r="E338" s="687">
        <v>3.0391915044125</v>
      </c>
      <c r="F338" s="687">
        <v>2.4603462437500001E-2</v>
      </c>
      <c r="G338" s="687">
        <v>4.3208869999999998E-3</v>
      </c>
      <c r="H338" s="216">
        <v>1295.676001</v>
      </c>
      <c r="J338"/>
    </row>
    <row r="339" spans="2:10" ht="21.95" customHeight="1" x14ac:dyDescent="0.2">
      <c r="B339" s="143" t="s">
        <v>22</v>
      </c>
      <c r="C339" s="143">
        <v>35</v>
      </c>
      <c r="D339" s="143">
        <v>2060</v>
      </c>
      <c r="E339" s="687">
        <v>3.0354010033750001</v>
      </c>
      <c r="F339" s="687">
        <v>2.4376049375E-2</v>
      </c>
      <c r="G339" s="687">
        <v>4.3203E-3</v>
      </c>
      <c r="H339" s="216">
        <v>1295.5</v>
      </c>
      <c r="J339"/>
    </row>
    <row r="340" spans="2:10" ht="21.95" customHeight="1" x14ac:dyDescent="0.2">
      <c r="B340" s="143" t="s">
        <v>22</v>
      </c>
      <c r="C340" s="143">
        <v>40</v>
      </c>
      <c r="D340" s="143">
        <v>2020</v>
      </c>
      <c r="E340" s="687">
        <v>4.5114089780000004</v>
      </c>
      <c r="F340" s="687">
        <v>0.112574577</v>
      </c>
      <c r="G340" s="687">
        <v>5.5167599999999999E-3</v>
      </c>
      <c r="H340" s="216">
        <v>1642.1099850000001</v>
      </c>
      <c r="J340"/>
    </row>
    <row r="341" spans="2:10" ht="21.95" customHeight="1" x14ac:dyDescent="0.2">
      <c r="B341" s="143" t="s">
        <v>22</v>
      </c>
      <c r="C341" s="143">
        <v>40</v>
      </c>
      <c r="D341" s="143">
        <v>2021</v>
      </c>
      <c r="E341" s="687">
        <v>4.3515438598124998</v>
      </c>
      <c r="F341" s="687">
        <v>0.10505067426875001</v>
      </c>
      <c r="G341" s="687">
        <v>5.4265399374999997E-3</v>
      </c>
      <c r="H341" s="216">
        <v>1616.1649898999999</v>
      </c>
      <c r="J341"/>
    </row>
    <row r="342" spans="2:10" ht="21.95" customHeight="1" x14ac:dyDescent="0.2">
      <c r="B342" s="143" t="s">
        <v>22</v>
      </c>
      <c r="C342" s="143">
        <v>40</v>
      </c>
      <c r="D342" s="143">
        <v>2022</v>
      </c>
      <c r="E342" s="687">
        <v>4.1916787416250001</v>
      </c>
      <c r="F342" s="687">
        <v>9.7526771537500001E-2</v>
      </c>
      <c r="G342" s="687">
        <v>5.3363198750000004E-3</v>
      </c>
      <c r="H342" s="216">
        <v>1590.2199948</v>
      </c>
      <c r="J342"/>
    </row>
    <row r="343" spans="2:10" ht="21.95" customHeight="1" x14ac:dyDescent="0.2">
      <c r="B343" s="143" t="s">
        <v>22</v>
      </c>
      <c r="C343" s="143">
        <v>40</v>
      </c>
      <c r="D343" s="143">
        <v>2023</v>
      </c>
      <c r="E343" s="687">
        <v>4.0318136234375004</v>
      </c>
      <c r="F343" s="687">
        <v>9.0002868806249997E-2</v>
      </c>
      <c r="G343" s="687">
        <v>5.2460998125000002E-3</v>
      </c>
      <c r="H343" s="216">
        <v>1564.2749997000001</v>
      </c>
      <c r="J343"/>
    </row>
    <row r="344" spans="2:10" ht="21.95" customHeight="1" x14ac:dyDescent="0.2">
      <c r="B344" s="143" t="s">
        <v>22</v>
      </c>
      <c r="C344" s="143">
        <v>40</v>
      </c>
      <c r="D344" s="143">
        <v>2024</v>
      </c>
      <c r="E344" s="687">
        <v>3.8719485052499998</v>
      </c>
      <c r="F344" s="687">
        <v>8.2478966074999993E-2</v>
      </c>
      <c r="G344" s="687">
        <v>5.15587975E-3</v>
      </c>
      <c r="H344" s="216">
        <v>1538.3300045999999</v>
      </c>
      <c r="J344"/>
    </row>
    <row r="345" spans="2:10" ht="21.95" customHeight="1" x14ac:dyDescent="0.2">
      <c r="B345" s="143" t="s">
        <v>22</v>
      </c>
      <c r="C345" s="143">
        <v>40</v>
      </c>
      <c r="D345" s="143">
        <v>2025</v>
      </c>
      <c r="E345" s="687">
        <v>3.7120833870625001</v>
      </c>
      <c r="F345" s="687">
        <v>7.4955063343750003E-2</v>
      </c>
      <c r="G345" s="687">
        <v>5.0656596874999998E-3</v>
      </c>
      <c r="H345" s="216">
        <v>1512.3850095</v>
      </c>
      <c r="J345"/>
    </row>
    <row r="346" spans="2:10" ht="21.95" customHeight="1" x14ac:dyDescent="0.2">
      <c r="B346" s="143" t="s">
        <v>22</v>
      </c>
      <c r="C346" s="143">
        <v>40</v>
      </c>
      <c r="D346" s="143">
        <v>2026</v>
      </c>
      <c r="E346" s="687">
        <v>3.5522182688749999</v>
      </c>
      <c r="F346" s="687">
        <v>6.7431160612499999E-2</v>
      </c>
      <c r="G346" s="687">
        <v>4.9754396249999996E-3</v>
      </c>
      <c r="H346" s="216">
        <v>1486.4400144000001</v>
      </c>
      <c r="J346"/>
    </row>
    <row r="347" spans="2:10" ht="21.95" customHeight="1" x14ac:dyDescent="0.2">
      <c r="B347" s="143" t="s">
        <v>22</v>
      </c>
      <c r="C347" s="143">
        <v>40</v>
      </c>
      <c r="D347" s="143">
        <v>2027</v>
      </c>
      <c r="E347" s="687">
        <v>3.3923531506875002</v>
      </c>
      <c r="F347" s="687">
        <v>5.9907257881250002E-2</v>
      </c>
      <c r="G347" s="687">
        <v>4.8852195625000002E-3</v>
      </c>
      <c r="H347" s="216">
        <v>1460.4950193</v>
      </c>
      <c r="J347"/>
    </row>
    <row r="348" spans="2:10" ht="21.95" customHeight="1" x14ac:dyDescent="0.2">
      <c r="B348" s="143" t="s">
        <v>22</v>
      </c>
      <c r="C348" s="143">
        <v>40</v>
      </c>
      <c r="D348" s="143">
        <v>2028</v>
      </c>
      <c r="E348" s="687">
        <v>3.2324880325000001</v>
      </c>
      <c r="F348" s="687">
        <v>5.2383355149999998E-2</v>
      </c>
      <c r="G348" s="687">
        <v>4.7949995E-3</v>
      </c>
      <c r="H348" s="216">
        <v>1434.5500242000001</v>
      </c>
      <c r="J348"/>
    </row>
    <row r="349" spans="2:10" ht="21.95" customHeight="1" x14ac:dyDescent="0.2">
      <c r="B349" s="143" t="s">
        <v>22</v>
      </c>
      <c r="C349" s="143">
        <v>40</v>
      </c>
      <c r="D349" s="143">
        <v>2029</v>
      </c>
      <c r="E349" s="687">
        <v>3.0726229143124999</v>
      </c>
      <c r="F349" s="687">
        <v>4.4859452418750001E-2</v>
      </c>
      <c r="G349" s="687">
        <v>4.7047794374999998E-3</v>
      </c>
      <c r="H349" s="216">
        <v>1408.6050290999999</v>
      </c>
      <c r="J349"/>
    </row>
    <row r="350" spans="2:10" ht="21.95" customHeight="1" x14ac:dyDescent="0.2">
      <c r="B350" s="143" t="s">
        <v>22</v>
      </c>
      <c r="C350" s="143">
        <v>40</v>
      </c>
      <c r="D350" s="143">
        <v>2030</v>
      </c>
      <c r="E350" s="687">
        <v>2.9127577961250002</v>
      </c>
      <c r="F350" s="687">
        <v>3.7335549687499997E-2</v>
      </c>
      <c r="G350" s="687">
        <v>4.6145593749999997E-3</v>
      </c>
      <c r="H350" s="216">
        <v>1382.660034</v>
      </c>
      <c r="J350"/>
    </row>
    <row r="351" spans="2:10" ht="21.95" customHeight="1" x14ac:dyDescent="0.2">
      <c r="B351" s="143" t="s">
        <v>22</v>
      </c>
      <c r="C351" s="143">
        <v>40</v>
      </c>
      <c r="D351" s="143">
        <v>2031</v>
      </c>
      <c r="E351" s="687">
        <v>2.8903228417750002</v>
      </c>
      <c r="F351" s="687">
        <v>3.6351008718750001E-2</v>
      </c>
      <c r="G351" s="687">
        <v>4.5821364375000003E-3</v>
      </c>
      <c r="H351" s="216">
        <v>1373.0450315999999</v>
      </c>
      <c r="J351"/>
    </row>
    <row r="352" spans="2:10" ht="21.95" customHeight="1" x14ac:dyDescent="0.2">
      <c r="B352" s="143" t="s">
        <v>22</v>
      </c>
      <c r="C352" s="143">
        <v>40</v>
      </c>
      <c r="D352" s="143">
        <v>2032</v>
      </c>
      <c r="E352" s="687">
        <v>2.8678878874249998</v>
      </c>
      <c r="F352" s="687">
        <v>3.5366467749999998E-2</v>
      </c>
      <c r="G352" s="687">
        <v>4.5497135000000001E-3</v>
      </c>
      <c r="H352" s="216">
        <v>1363.4300292</v>
      </c>
      <c r="J352"/>
    </row>
    <row r="353" spans="2:10" ht="21.95" customHeight="1" x14ac:dyDescent="0.2">
      <c r="B353" s="143" t="s">
        <v>22</v>
      </c>
      <c r="C353" s="143">
        <v>40</v>
      </c>
      <c r="D353" s="143">
        <v>2033</v>
      </c>
      <c r="E353" s="687">
        <v>2.8454529330749998</v>
      </c>
      <c r="F353" s="687">
        <v>3.4381926781250002E-2</v>
      </c>
      <c r="G353" s="687">
        <v>4.5172905624999999E-3</v>
      </c>
      <c r="H353" s="216">
        <v>1353.8150267999999</v>
      </c>
      <c r="J353"/>
    </row>
    <row r="354" spans="2:10" ht="21.95" customHeight="1" x14ac:dyDescent="0.2">
      <c r="B354" s="143" t="s">
        <v>22</v>
      </c>
      <c r="C354" s="143">
        <v>40</v>
      </c>
      <c r="D354" s="143">
        <v>2034</v>
      </c>
      <c r="E354" s="687">
        <v>2.8230179787249998</v>
      </c>
      <c r="F354" s="687">
        <v>3.3397385812499999E-2</v>
      </c>
      <c r="G354" s="687">
        <v>4.4848676249999997E-3</v>
      </c>
      <c r="H354" s="216">
        <v>1344.2000244000001</v>
      </c>
      <c r="J354"/>
    </row>
    <row r="355" spans="2:10" ht="21.95" customHeight="1" x14ac:dyDescent="0.2">
      <c r="B355" s="143" t="s">
        <v>22</v>
      </c>
      <c r="C355" s="143">
        <v>40</v>
      </c>
      <c r="D355" s="143">
        <v>2035</v>
      </c>
      <c r="E355" s="687">
        <v>2.8005830243749998</v>
      </c>
      <c r="F355" s="687">
        <v>3.2412844843749997E-2</v>
      </c>
      <c r="G355" s="687">
        <v>4.4524446875000004E-3</v>
      </c>
      <c r="H355" s="216">
        <v>1334.585022</v>
      </c>
      <c r="J355"/>
    </row>
    <row r="356" spans="2:10" ht="21.95" customHeight="1" x14ac:dyDescent="0.2">
      <c r="B356" s="143" t="s">
        <v>22</v>
      </c>
      <c r="C356" s="143">
        <v>40</v>
      </c>
      <c r="D356" s="143">
        <v>2036</v>
      </c>
      <c r="E356" s="687">
        <v>2.7781480700249999</v>
      </c>
      <c r="F356" s="687">
        <v>3.1428303875000001E-2</v>
      </c>
      <c r="G356" s="687">
        <v>4.4200217500000001E-3</v>
      </c>
      <c r="H356" s="216">
        <v>1324.9700195999999</v>
      </c>
      <c r="J356"/>
    </row>
    <row r="357" spans="2:10" ht="21.95" customHeight="1" x14ac:dyDescent="0.2">
      <c r="B357" s="143" t="s">
        <v>22</v>
      </c>
      <c r="C357" s="143">
        <v>40</v>
      </c>
      <c r="D357" s="143">
        <v>2037</v>
      </c>
      <c r="E357" s="687">
        <v>2.7557131156749999</v>
      </c>
      <c r="F357" s="687">
        <v>3.0443762906250001E-2</v>
      </c>
      <c r="G357" s="687">
        <v>4.3875988124999999E-3</v>
      </c>
      <c r="H357" s="216">
        <v>1315.3550172</v>
      </c>
      <c r="J357"/>
    </row>
    <row r="358" spans="2:10" ht="21.95" customHeight="1" x14ac:dyDescent="0.2">
      <c r="B358" s="143" t="s">
        <v>22</v>
      </c>
      <c r="C358" s="143">
        <v>40</v>
      </c>
      <c r="D358" s="143">
        <v>2038</v>
      </c>
      <c r="E358" s="687">
        <v>2.7332781613249999</v>
      </c>
      <c r="F358" s="687">
        <v>2.9459221937499998E-2</v>
      </c>
      <c r="G358" s="687">
        <v>4.3551758749999997E-3</v>
      </c>
      <c r="H358" s="216">
        <v>1305.7400147999999</v>
      </c>
      <c r="J358"/>
    </row>
    <row r="359" spans="2:10" ht="21.95" customHeight="1" x14ac:dyDescent="0.2">
      <c r="B359" s="143" t="s">
        <v>22</v>
      </c>
      <c r="C359" s="143">
        <v>40</v>
      </c>
      <c r="D359" s="143">
        <v>2039</v>
      </c>
      <c r="E359" s="687">
        <v>2.7108432069749999</v>
      </c>
      <c r="F359" s="687">
        <v>2.8474680968749999E-2</v>
      </c>
      <c r="G359" s="687">
        <v>4.3227529375000004E-3</v>
      </c>
      <c r="H359" s="216">
        <v>1296.1250124000001</v>
      </c>
    </row>
    <row r="360" spans="2:10" ht="21.95" customHeight="1" x14ac:dyDescent="0.2">
      <c r="B360" s="143" t="s">
        <v>22</v>
      </c>
      <c r="C360" s="143">
        <v>40</v>
      </c>
      <c r="D360" s="143">
        <v>2040</v>
      </c>
      <c r="E360" s="687">
        <v>2.6884082526249999</v>
      </c>
      <c r="F360" s="687">
        <v>2.749014E-2</v>
      </c>
      <c r="G360" s="687">
        <v>4.2903300000000002E-3</v>
      </c>
      <c r="H360" s="216">
        <v>1286.51001</v>
      </c>
    </row>
    <row r="361" spans="2:10" ht="21.95" customHeight="1" x14ac:dyDescent="0.2">
      <c r="B361" s="143" t="s">
        <v>22</v>
      </c>
      <c r="C361" s="143">
        <v>40</v>
      </c>
      <c r="D361" s="143">
        <v>2041</v>
      </c>
      <c r="E361" s="687">
        <v>2.6825482605625002</v>
      </c>
      <c r="F361" s="687">
        <v>2.7202675999999999E-2</v>
      </c>
      <c r="G361" s="687">
        <v>4.2861740000000002E-3</v>
      </c>
      <c r="H361" s="216">
        <v>1285.2640139</v>
      </c>
    </row>
    <row r="362" spans="2:10" ht="21.95" customHeight="1" x14ac:dyDescent="0.2">
      <c r="B362" s="143" t="s">
        <v>22</v>
      </c>
      <c r="C362" s="143">
        <v>40</v>
      </c>
      <c r="D362" s="143">
        <v>2042</v>
      </c>
      <c r="E362" s="687">
        <v>2.6766882685</v>
      </c>
      <c r="F362" s="687">
        <v>2.6915212000000001E-2</v>
      </c>
      <c r="G362" s="687">
        <v>4.2820180000000003E-3</v>
      </c>
      <c r="H362" s="216">
        <v>1284.0180178000001</v>
      </c>
    </row>
    <row r="363" spans="2:10" ht="21.95" customHeight="1" x14ac:dyDescent="0.2">
      <c r="B363" s="143" t="s">
        <v>22</v>
      </c>
      <c r="C363" s="143">
        <v>40</v>
      </c>
      <c r="D363" s="143">
        <v>2043</v>
      </c>
      <c r="E363" s="687">
        <v>2.6708282764375002</v>
      </c>
      <c r="F363" s="687">
        <v>2.6627748E-2</v>
      </c>
      <c r="G363" s="687">
        <v>4.2778620000000003E-3</v>
      </c>
      <c r="H363" s="216">
        <v>1282.7720217000001</v>
      </c>
    </row>
    <row r="364" spans="2:10" ht="21.95" customHeight="1" x14ac:dyDescent="0.2">
      <c r="B364" s="143" t="s">
        <v>22</v>
      </c>
      <c r="C364" s="143">
        <v>40</v>
      </c>
      <c r="D364" s="143">
        <v>2044</v>
      </c>
      <c r="E364" s="687">
        <v>2.664968284375</v>
      </c>
      <c r="F364" s="687">
        <v>2.6340283999999999E-2</v>
      </c>
      <c r="G364" s="687">
        <v>4.2737060000000004E-3</v>
      </c>
      <c r="H364" s="216">
        <v>1281.5260255999999</v>
      </c>
    </row>
    <row r="365" spans="2:10" ht="21.95" customHeight="1" x14ac:dyDescent="0.2">
      <c r="B365" s="143" t="s">
        <v>22</v>
      </c>
      <c r="C365" s="143">
        <v>40</v>
      </c>
      <c r="D365" s="143">
        <v>2045</v>
      </c>
      <c r="E365" s="687">
        <v>2.6591082923124998</v>
      </c>
      <c r="F365" s="687">
        <v>2.6052820000000001E-2</v>
      </c>
      <c r="G365" s="687">
        <v>4.2695500000000004E-3</v>
      </c>
      <c r="H365" s="216">
        <v>1280.2800295</v>
      </c>
    </row>
    <row r="366" spans="2:10" ht="21.95" customHeight="1" x14ac:dyDescent="0.2">
      <c r="B366" s="143" t="s">
        <v>22</v>
      </c>
      <c r="C366" s="143">
        <v>40</v>
      </c>
      <c r="D366" s="143">
        <v>2046</v>
      </c>
      <c r="E366" s="687">
        <v>2.65324830025</v>
      </c>
      <c r="F366" s="687">
        <v>2.5765356E-2</v>
      </c>
      <c r="G366" s="687">
        <v>4.2653939999999996E-3</v>
      </c>
      <c r="H366" s="216">
        <v>1279.0340334</v>
      </c>
    </row>
    <row r="367" spans="2:10" ht="21.95" customHeight="1" x14ac:dyDescent="0.2">
      <c r="B367" s="143" t="s">
        <v>22</v>
      </c>
      <c r="C367" s="143">
        <v>40</v>
      </c>
      <c r="D367" s="143">
        <v>2047</v>
      </c>
      <c r="E367" s="687">
        <v>2.6473883081874998</v>
      </c>
      <c r="F367" s="687">
        <v>2.5477891999999999E-2</v>
      </c>
      <c r="G367" s="687">
        <v>4.2612379999999997E-3</v>
      </c>
      <c r="H367" s="216">
        <v>1277.7880373</v>
      </c>
    </row>
    <row r="368" spans="2:10" ht="21.95" customHeight="1" x14ac:dyDescent="0.2">
      <c r="B368" s="143" t="s">
        <v>22</v>
      </c>
      <c r="C368" s="143">
        <v>40</v>
      </c>
      <c r="D368" s="143">
        <v>2048</v>
      </c>
      <c r="E368" s="687">
        <v>2.6415283161250001</v>
      </c>
      <c r="F368" s="687">
        <v>2.5190428000000001E-2</v>
      </c>
      <c r="G368" s="687">
        <v>4.2570819999999997E-3</v>
      </c>
      <c r="H368" s="216">
        <v>1276.5420412000001</v>
      </c>
    </row>
    <row r="369" spans="2:8" ht="21.95" customHeight="1" x14ac:dyDescent="0.2">
      <c r="B369" s="143" t="s">
        <v>22</v>
      </c>
      <c r="C369" s="143">
        <v>40</v>
      </c>
      <c r="D369" s="143">
        <v>2049</v>
      </c>
      <c r="E369" s="687">
        <v>2.6356683240624998</v>
      </c>
      <c r="F369" s="687">
        <v>2.4902964E-2</v>
      </c>
      <c r="G369" s="687">
        <v>4.2529259999999998E-3</v>
      </c>
      <c r="H369" s="216">
        <v>1275.2960450999999</v>
      </c>
    </row>
    <row r="370" spans="2:8" ht="21.95" customHeight="1" x14ac:dyDescent="0.2">
      <c r="B370" s="143" t="s">
        <v>22</v>
      </c>
      <c r="C370" s="143">
        <v>40</v>
      </c>
      <c r="D370" s="143">
        <v>2050</v>
      </c>
      <c r="E370" s="687">
        <v>2.6298083320000001</v>
      </c>
      <c r="F370" s="687">
        <v>2.4615499999999998E-2</v>
      </c>
      <c r="G370" s="687">
        <v>4.2487699999999998E-3</v>
      </c>
      <c r="H370" s="216">
        <v>1274.0500489999999</v>
      </c>
    </row>
    <row r="371" spans="2:8" ht="21.95" customHeight="1" x14ac:dyDescent="0.2">
      <c r="B371" s="143" t="s">
        <v>22</v>
      </c>
      <c r="C371" s="143">
        <v>40</v>
      </c>
      <c r="D371" s="143">
        <v>2051</v>
      </c>
      <c r="E371" s="687">
        <v>2.62599744095</v>
      </c>
      <c r="F371" s="687">
        <v>2.44064451E-2</v>
      </c>
      <c r="G371" s="687">
        <v>4.2482090000000002E-3</v>
      </c>
      <c r="H371" s="216">
        <v>1273.8820436000001</v>
      </c>
    </row>
    <row r="372" spans="2:8" ht="21.95" customHeight="1" x14ac:dyDescent="0.2">
      <c r="B372" s="143" t="s">
        <v>22</v>
      </c>
      <c r="C372" s="143">
        <v>40</v>
      </c>
      <c r="D372" s="143">
        <v>2052</v>
      </c>
      <c r="E372" s="687">
        <v>2.6221865498999999</v>
      </c>
      <c r="F372" s="687">
        <v>2.4197390199999998E-2</v>
      </c>
      <c r="G372" s="687">
        <v>4.2476479999999997E-3</v>
      </c>
      <c r="H372" s="216">
        <v>1273.7140382</v>
      </c>
    </row>
    <row r="373" spans="2:8" ht="21.95" customHeight="1" x14ac:dyDescent="0.2">
      <c r="B373" s="143" t="s">
        <v>22</v>
      </c>
      <c r="C373" s="143">
        <v>40</v>
      </c>
      <c r="D373" s="143">
        <v>2053</v>
      </c>
      <c r="E373" s="687">
        <v>2.6183756588499998</v>
      </c>
      <c r="F373" s="687">
        <v>2.39883353E-2</v>
      </c>
      <c r="G373" s="687">
        <v>4.2470870000000001E-3</v>
      </c>
      <c r="H373" s="216">
        <v>1273.5460327999999</v>
      </c>
    </row>
    <row r="374" spans="2:8" ht="21.95" customHeight="1" x14ac:dyDescent="0.2">
      <c r="B374" s="143" t="s">
        <v>22</v>
      </c>
      <c r="C374" s="143">
        <v>40</v>
      </c>
      <c r="D374" s="143">
        <v>2054</v>
      </c>
      <c r="E374" s="687">
        <v>2.6145647678000001</v>
      </c>
      <c r="F374" s="687">
        <v>2.3779280400000002E-2</v>
      </c>
      <c r="G374" s="687">
        <v>4.2465259999999996E-3</v>
      </c>
      <c r="H374" s="216">
        <v>1273.3780274000001</v>
      </c>
    </row>
    <row r="375" spans="2:8" ht="21.95" customHeight="1" x14ac:dyDescent="0.2">
      <c r="B375" s="143" t="s">
        <v>22</v>
      </c>
      <c r="C375" s="143">
        <v>40</v>
      </c>
      <c r="D375" s="143">
        <v>2055</v>
      </c>
      <c r="E375" s="687">
        <v>2.61075387675</v>
      </c>
      <c r="F375" s="687">
        <v>2.35702255E-2</v>
      </c>
      <c r="G375" s="687">
        <v>4.245965E-3</v>
      </c>
      <c r="H375" s="216">
        <v>1273.210022</v>
      </c>
    </row>
    <row r="376" spans="2:8" ht="21.95" customHeight="1" x14ac:dyDescent="0.2">
      <c r="B376" s="143" t="s">
        <v>22</v>
      </c>
      <c r="C376" s="143">
        <v>40</v>
      </c>
      <c r="D376" s="143">
        <v>2056</v>
      </c>
      <c r="E376" s="687">
        <v>2.6069429856999999</v>
      </c>
      <c r="F376" s="687">
        <v>2.3361170600000002E-2</v>
      </c>
      <c r="G376" s="687">
        <v>4.2454040000000004E-3</v>
      </c>
      <c r="H376" s="216">
        <v>1273.0420165999999</v>
      </c>
    </row>
    <row r="377" spans="2:8" ht="21.95" customHeight="1" x14ac:dyDescent="0.2">
      <c r="B377" s="143" t="s">
        <v>22</v>
      </c>
      <c r="C377" s="143">
        <v>40</v>
      </c>
      <c r="D377" s="143">
        <v>2057</v>
      </c>
      <c r="E377" s="687">
        <v>2.6031320946499998</v>
      </c>
      <c r="F377" s="687">
        <v>2.31521157E-2</v>
      </c>
      <c r="G377" s="687">
        <v>4.2448429999999999E-3</v>
      </c>
      <c r="H377" s="216">
        <v>1272.8740112</v>
      </c>
    </row>
    <row r="378" spans="2:8" ht="21.95" customHeight="1" x14ac:dyDescent="0.2">
      <c r="B378" s="143" t="s">
        <v>22</v>
      </c>
      <c r="C378" s="143">
        <v>40</v>
      </c>
      <c r="D378" s="143">
        <v>2058</v>
      </c>
      <c r="E378" s="687">
        <v>2.5993212036000002</v>
      </c>
      <c r="F378" s="687">
        <v>2.2943060800000002E-2</v>
      </c>
      <c r="G378" s="687">
        <v>4.2442820000000003E-3</v>
      </c>
      <c r="H378" s="216">
        <v>1272.7060058</v>
      </c>
    </row>
    <row r="379" spans="2:8" ht="21.95" customHeight="1" x14ac:dyDescent="0.2">
      <c r="B379" s="143" t="s">
        <v>22</v>
      </c>
      <c r="C379" s="143">
        <v>40</v>
      </c>
      <c r="D379" s="143">
        <v>2059</v>
      </c>
      <c r="E379" s="687">
        <v>2.5955103125500001</v>
      </c>
      <c r="F379" s="687">
        <v>2.27340059E-2</v>
      </c>
      <c r="G379" s="687">
        <v>4.2437209999999998E-3</v>
      </c>
      <c r="H379" s="216">
        <v>1272.5380004000001</v>
      </c>
    </row>
    <row r="380" spans="2:8" ht="21.95" customHeight="1" x14ac:dyDescent="0.2">
      <c r="B380" s="143" t="s">
        <v>22</v>
      </c>
      <c r="C380" s="143">
        <v>40</v>
      </c>
      <c r="D380" s="143">
        <v>2060</v>
      </c>
      <c r="E380" s="687">
        <v>2.5916994215</v>
      </c>
      <c r="F380" s="687">
        <v>2.2524951000000001E-2</v>
      </c>
      <c r="G380" s="687">
        <v>4.2431600000000002E-3</v>
      </c>
      <c r="H380" s="216">
        <v>1272.369995</v>
      </c>
    </row>
    <row r="381" spans="2:8" ht="21.95" customHeight="1" x14ac:dyDescent="0.2">
      <c r="B381" s="143" t="s">
        <v>22</v>
      </c>
      <c r="C381" s="143">
        <v>45</v>
      </c>
      <c r="D381" s="143">
        <v>2020</v>
      </c>
      <c r="E381" s="687">
        <v>4.1655661684999998</v>
      </c>
      <c r="F381" s="687">
        <v>0.1057817668125</v>
      </c>
      <c r="G381" s="687">
        <v>5.4395187500000004E-3</v>
      </c>
      <c r="H381" s="216">
        <v>1619.170044</v>
      </c>
    </row>
    <row r="382" spans="2:8" ht="21.95" customHeight="1" x14ac:dyDescent="0.2">
      <c r="B382" s="143" t="s">
        <v>22</v>
      </c>
      <c r="C382" s="143">
        <v>45</v>
      </c>
      <c r="D382" s="143">
        <v>2021</v>
      </c>
      <c r="E382" s="687">
        <v>4.0054733428749998</v>
      </c>
      <c r="F382" s="687">
        <v>9.8696286231249999E-2</v>
      </c>
      <c r="G382" s="687">
        <v>5.3508213750000002E-3</v>
      </c>
      <c r="H382" s="216">
        <v>1593.6610352</v>
      </c>
    </row>
    <row r="383" spans="2:8" ht="21.95" customHeight="1" x14ac:dyDescent="0.2">
      <c r="B383" s="143" t="s">
        <v>22</v>
      </c>
      <c r="C383" s="143">
        <v>45</v>
      </c>
      <c r="D383" s="143">
        <v>2022</v>
      </c>
      <c r="E383" s="687">
        <v>3.8453805172500002</v>
      </c>
      <c r="F383" s="687">
        <v>9.1610805650000002E-2</v>
      </c>
      <c r="G383" s="687">
        <v>5.262124E-3</v>
      </c>
      <c r="H383" s="216">
        <v>1568.1520264000001</v>
      </c>
    </row>
    <row r="384" spans="2:8" ht="21.95" customHeight="1" x14ac:dyDescent="0.2">
      <c r="B384" s="143" t="s">
        <v>22</v>
      </c>
      <c r="C384" s="143">
        <v>45</v>
      </c>
      <c r="D384" s="143">
        <v>2023</v>
      </c>
      <c r="E384" s="687">
        <v>3.6852876916250001</v>
      </c>
      <c r="F384" s="687">
        <v>8.4525325068750004E-2</v>
      </c>
      <c r="G384" s="687">
        <v>5.1734266249999997E-3</v>
      </c>
      <c r="H384" s="216">
        <v>1542.6430175999999</v>
      </c>
    </row>
    <row r="385" spans="2:8" ht="21.95" customHeight="1" x14ac:dyDescent="0.2">
      <c r="B385" s="143" t="s">
        <v>22</v>
      </c>
      <c r="C385" s="143">
        <v>45</v>
      </c>
      <c r="D385" s="143">
        <v>2024</v>
      </c>
      <c r="E385" s="687">
        <v>3.5251948660000001</v>
      </c>
      <c r="F385" s="687">
        <v>7.7439844487500006E-2</v>
      </c>
      <c r="G385" s="687">
        <v>5.0847292500000004E-3</v>
      </c>
      <c r="H385" s="216">
        <v>1517.1340087999999</v>
      </c>
    </row>
    <row r="386" spans="2:8" ht="21.95" customHeight="1" x14ac:dyDescent="0.2">
      <c r="B386" s="143" t="s">
        <v>22</v>
      </c>
      <c r="C386" s="143">
        <v>45</v>
      </c>
      <c r="D386" s="143">
        <v>2025</v>
      </c>
      <c r="E386" s="687">
        <v>3.365102040375</v>
      </c>
      <c r="F386" s="687">
        <v>7.0354363906249995E-2</v>
      </c>
      <c r="G386" s="687">
        <v>4.9960318750000001E-3</v>
      </c>
      <c r="H386" s="216">
        <v>1491.625</v>
      </c>
    </row>
    <row r="387" spans="2:8" ht="21.95" customHeight="1" x14ac:dyDescent="0.2">
      <c r="B387" s="143" t="s">
        <v>22</v>
      </c>
      <c r="C387" s="143">
        <v>45</v>
      </c>
      <c r="D387" s="143">
        <v>2026</v>
      </c>
      <c r="E387" s="687">
        <v>3.20500921475</v>
      </c>
      <c r="F387" s="687">
        <v>6.3268883324999997E-2</v>
      </c>
      <c r="G387" s="687">
        <v>4.9073344999999999E-3</v>
      </c>
      <c r="H387" s="216">
        <v>1466.1159912000001</v>
      </c>
    </row>
    <row r="388" spans="2:8" ht="21.95" customHeight="1" x14ac:dyDescent="0.2">
      <c r="B388" s="143" t="s">
        <v>22</v>
      </c>
      <c r="C388" s="143">
        <v>45</v>
      </c>
      <c r="D388" s="143">
        <v>2027</v>
      </c>
      <c r="E388" s="687">
        <v>3.044916389125</v>
      </c>
      <c r="F388" s="687">
        <v>5.6183402743749999E-2</v>
      </c>
      <c r="G388" s="687">
        <v>4.8186371249999997E-3</v>
      </c>
      <c r="H388" s="216">
        <v>1440.6069824000001</v>
      </c>
    </row>
    <row r="389" spans="2:8" ht="21.95" customHeight="1" x14ac:dyDescent="0.2">
      <c r="B389" s="143" t="s">
        <v>22</v>
      </c>
      <c r="C389" s="143">
        <v>45</v>
      </c>
      <c r="D389" s="143">
        <v>2028</v>
      </c>
      <c r="E389" s="687">
        <v>2.8848235634999999</v>
      </c>
      <c r="F389" s="687">
        <v>4.9097922162500002E-2</v>
      </c>
      <c r="G389" s="687">
        <v>4.7299397500000003E-3</v>
      </c>
      <c r="H389" s="216">
        <v>1415.0979735999999</v>
      </c>
    </row>
    <row r="390" spans="2:8" ht="21.95" customHeight="1" x14ac:dyDescent="0.2">
      <c r="B390" s="143" t="s">
        <v>22</v>
      </c>
      <c r="C390" s="143">
        <v>45</v>
      </c>
      <c r="D390" s="143">
        <v>2029</v>
      </c>
      <c r="E390" s="687">
        <v>2.7247307378749999</v>
      </c>
      <c r="F390" s="687">
        <v>4.2012441581249997E-2</v>
      </c>
      <c r="G390" s="687">
        <v>4.6412423750000001E-3</v>
      </c>
      <c r="H390" s="216">
        <v>1389.5889648</v>
      </c>
    </row>
    <row r="391" spans="2:8" ht="21.95" customHeight="1" x14ac:dyDescent="0.2">
      <c r="B391" s="143" t="s">
        <v>22</v>
      </c>
      <c r="C391" s="143">
        <v>45</v>
      </c>
      <c r="D391" s="143">
        <v>2030</v>
      </c>
      <c r="E391" s="687">
        <v>2.5646379122499998</v>
      </c>
      <c r="F391" s="687">
        <v>3.4926960999999999E-2</v>
      </c>
      <c r="G391" s="687">
        <v>4.5525449999999999E-3</v>
      </c>
      <c r="H391" s="216">
        <v>1364.079956</v>
      </c>
    </row>
    <row r="392" spans="2:8" ht="21.95" customHeight="1" x14ac:dyDescent="0.2">
      <c r="B392" s="143" t="s">
        <v>22</v>
      </c>
      <c r="C392" s="143">
        <v>45</v>
      </c>
      <c r="D392" s="143">
        <v>2031</v>
      </c>
      <c r="E392" s="687">
        <v>2.5425252033499999</v>
      </c>
      <c r="F392" s="687">
        <v>3.4005401900000003E-2</v>
      </c>
      <c r="G392" s="687">
        <v>4.5202675000000003E-3</v>
      </c>
      <c r="H392" s="216">
        <v>1354.5079588999999</v>
      </c>
    </row>
    <row r="393" spans="2:8" ht="21.95" customHeight="1" x14ac:dyDescent="0.2">
      <c r="B393" s="143" t="s">
        <v>22</v>
      </c>
      <c r="C393" s="143">
        <v>45</v>
      </c>
      <c r="D393" s="143">
        <v>2032</v>
      </c>
      <c r="E393" s="687">
        <v>2.5204124944499999</v>
      </c>
      <c r="F393" s="687">
        <v>3.3083842799999999E-2</v>
      </c>
      <c r="G393" s="687">
        <v>4.4879899999999999E-3</v>
      </c>
      <c r="H393" s="216">
        <v>1344.9359618000001</v>
      </c>
    </row>
    <row r="394" spans="2:8" ht="21.95" customHeight="1" x14ac:dyDescent="0.2">
      <c r="B394" s="143" t="s">
        <v>22</v>
      </c>
      <c r="C394" s="143">
        <v>45</v>
      </c>
      <c r="D394" s="143">
        <v>2033</v>
      </c>
      <c r="E394" s="687">
        <v>2.49829978555</v>
      </c>
      <c r="F394" s="687">
        <v>3.2162283700000002E-2</v>
      </c>
      <c r="G394" s="687">
        <v>4.4557125000000003E-3</v>
      </c>
      <c r="H394" s="216">
        <v>1335.3639647</v>
      </c>
    </row>
    <row r="395" spans="2:8" ht="21.95" customHeight="1" x14ac:dyDescent="0.2">
      <c r="B395" s="143" t="s">
        <v>22</v>
      </c>
      <c r="C395" s="143">
        <v>45</v>
      </c>
      <c r="D395" s="143">
        <v>2034</v>
      </c>
      <c r="E395" s="687">
        <v>2.47618707665</v>
      </c>
      <c r="F395" s="687">
        <v>3.1240724599999999E-2</v>
      </c>
      <c r="G395" s="687">
        <v>4.4234349999999999E-3</v>
      </c>
      <c r="H395" s="216">
        <v>1325.7919675999999</v>
      </c>
    </row>
    <row r="396" spans="2:8" ht="21.95" customHeight="1" x14ac:dyDescent="0.2">
      <c r="B396" s="143" t="s">
        <v>22</v>
      </c>
      <c r="C396" s="143">
        <v>45</v>
      </c>
      <c r="D396" s="143">
        <v>2035</v>
      </c>
      <c r="E396" s="687">
        <v>2.4540743677500001</v>
      </c>
      <c r="F396" s="687">
        <v>3.0319165499999998E-2</v>
      </c>
      <c r="G396" s="687">
        <v>4.3911575000000003E-3</v>
      </c>
      <c r="H396" s="216">
        <v>1316.2199705</v>
      </c>
    </row>
    <row r="397" spans="2:8" ht="21.95" customHeight="1" x14ac:dyDescent="0.2">
      <c r="B397" s="143" t="s">
        <v>22</v>
      </c>
      <c r="C397" s="143">
        <v>45</v>
      </c>
      <c r="D397" s="143">
        <v>2036</v>
      </c>
      <c r="E397" s="687">
        <v>2.4319616588500002</v>
      </c>
      <c r="F397" s="687">
        <v>2.9397606400000002E-2</v>
      </c>
      <c r="G397" s="687">
        <v>4.3588799999999999E-3</v>
      </c>
      <c r="H397" s="216">
        <v>1306.6479734</v>
      </c>
    </row>
    <row r="398" spans="2:8" ht="21.95" customHeight="1" x14ac:dyDescent="0.2">
      <c r="B398" s="143" t="s">
        <v>22</v>
      </c>
      <c r="C398" s="143">
        <v>45</v>
      </c>
      <c r="D398" s="143">
        <v>2037</v>
      </c>
      <c r="E398" s="687">
        <v>2.4098489499500002</v>
      </c>
      <c r="F398" s="687">
        <v>2.8476047300000001E-2</v>
      </c>
      <c r="G398" s="687">
        <v>4.3266025000000003E-3</v>
      </c>
      <c r="H398" s="216">
        <v>1297.0759763000001</v>
      </c>
    </row>
    <row r="399" spans="2:8" ht="21.95" customHeight="1" x14ac:dyDescent="0.2">
      <c r="B399" s="143" t="s">
        <v>22</v>
      </c>
      <c r="C399" s="143">
        <v>45</v>
      </c>
      <c r="D399" s="143">
        <v>2038</v>
      </c>
      <c r="E399" s="687">
        <v>2.3877362410499998</v>
      </c>
      <c r="F399" s="687">
        <v>2.7554488200000001E-2</v>
      </c>
      <c r="G399" s="687">
        <v>4.2943249999999999E-3</v>
      </c>
      <c r="H399" s="216">
        <v>1287.5039792</v>
      </c>
    </row>
    <row r="400" spans="2:8" ht="21.95" customHeight="1" x14ac:dyDescent="0.2">
      <c r="B400" s="143" t="s">
        <v>22</v>
      </c>
      <c r="C400" s="143">
        <v>45</v>
      </c>
      <c r="D400" s="143">
        <v>2039</v>
      </c>
      <c r="E400" s="687">
        <v>2.3656235321499999</v>
      </c>
      <c r="F400" s="687">
        <v>2.6632929100000001E-2</v>
      </c>
      <c r="G400" s="687">
        <v>4.2620475000000003E-3</v>
      </c>
      <c r="H400" s="216">
        <v>1277.9319820999999</v>
      </c>
    </row>
    <row r="401" spans="2:8" ht="21.95" customHeight="1" x14ac:dyDescent="0.2">
      <c r="B401" s="143" t="s">
        <v>22</v>
      </c>
      <c r="C401" s="143">
        <v>45</v>
      </c>
      <c r="D401" s="143">
        <v>2040</v>
      </c>
      <c r="E401" s="687">
        <v>2.3435108232499999</v>
      </c>
      <c r="F401" s="687">
        <v>2.5711370000000001E-2</v>
      </c>
      <c r="G401" s="687">
        <v>4.2297699999999999E-3</v>
      </c>
      <c r="H401" s="216">
        <v>1268.3599850000001</v>
      </c>
    </row>
    <row r="402" spans="2:8" ht="21.95" customHeight="1" x14ac:dyDescent="0.2">
      <c r="B402" s="143" t="s">
        <v>22</v>
      </c>
      <c r="C402" s="143">
        <v>45</v>
      </c>
      <c r="D402" s="143">
        <v>2041</v>
      </c>
      <c r="E402" s="687">
        <v>2.3376466795000002</v>
      </c>
      <c r="F402" s="687">
        <v>2.54435319E-2</v>
      </c>
      <c r="G402" s="687">
        <v>4.2256500000000001E-3</v>
      </c>
      <c r="H402" s="216">
        <v>1267.1239865</v>
      </c>
    </row>
    <row r="403" spans="2:8" ht="21.95" customHeight="1" x14ac:dyDescent="0.2">
      <c r="B403" s="143" t="s">
        <v>22</v>
      </c>
      <c r="C403" s="143">
        <v>45</v>
      </c>
      <c r="D403" s="143">
        <v>2042</v>
      </c>
      <c r="E403" s="687">
        <v>2.3317825357499999</v>
      </c>
      <c r="F403" s="687">
        <v>2.5175693799999999E-2</v>
      </c>
      <c r="G403" s="687">
        <v>4.2215300000000002E-3</v>
      </c>
      <c r="H403" s="216">
        <v>1265.887988</v>
      </c>
    </row>
    <row r="404" spans="2:8" ht="21.95" customHeight="1" x14ac:dyDescent="0.2">
      <c r="B404" s="143" t="s">
        <v>22</v>
      </c>
      <c r="C404" s="143">
        <v>45</v>
      </c>
      <c r="D404" s="143">
        <v>2043</v>
      </c>
      <c r="E404" s="687">
        <v>2.3259183920000002</v>
      </c>
      <c r="F404" s="687">
        <v>2.4907855699999999E-2</v>
      </c>
      <c r="G404" s="687">
        <v>4.2174100000000004E-3</v>
      </c>
      <c r="H404" s="216">
        <v>1264.6519894999999</v>
      </c>
    </row>
    <row r="405" spans="2:8" ht="21.95" customHeight="1" x14ac:dyDescent="0.2">
      <c r="B405" s="143" t="s">
        <v>22</v>
      </c>
      <c r="C405" s="143">
        <v>45</v>
      </c>
      <c r="D405" s="143">
        <v>2044</v>
      </c>
      <c r="E405" s="687">
        <v>2.32005424825</v>
      </c>
      <c r="F405" s="687">
        <v>2.4640017600000001E-2</v>
      </c>
      <c r="G405" s="687">
        <v>4.2132899999999997E-3</v>
      </c>
      <c r="H405" s="216">
        <v>1263.4159910000001</v>
      </c>
    </row>
    <row r="406" spans="2:8" ht="21.95" customHeight="1" x14ac:dyDescent="0.2">
      <c r="B406" s="143" t="s">
        <v>22</v>
      </c>
      <c r="C406" s="143">
        <v>45</v>
      </c>
      <c r="D406" s="143">
        <v>2045</v>
      </c>
      <c r="E406" s="687">
        <v>2.3141901045000002</v>
      </c>
      <c r="F406" s="687">
        <v>2.43721795E-2</v>
      </c>
      <c r="G406" s="687">
        <v>4.2091699999999999E-3</v>
      </c>
      <c r="H406" s="216">
        <v>1262.1799925</v>
      </c>
    </row>
    <row r="407" spans="2:8" ht="21.95" customHeight="1" x14ac:dyDescent="0.2">
      <c r="B407" s="143" t="s">
        <v>22</v>
      </c>
      <c r="C407" s="143">
        <v>45</v>
      </c>
      <c r="D407" s="143">
        <v>2046</v>
      </c>
      <c r="E407" s="687">
        <v>2.30832596075</v>
      </c>
      <c r="F407" s="687">
        <v>2.41043414E-2</v>
      </c>
      <c r="G407" s="687">
        <v>4.2050500000000001E-3</v>
      </c>
      <c r="H407" s="216">
        <v>1260.943994</v>
      </c>
    </row>
    <row r="408" spans="2:8" ht="21.95" customHeight="1" x14ac:dyDescent="0.2">
      <c r="B408" s="143" t="s">
        <v>22</v>
      </c>
      <c r="C408" s="143">
        <v>45</v>
      </c>
      <c r="D408" s="143">
        <v>2047</v>
      </c>
      <c r="E408" s="687">
        <v>2.3024618170000002</v>
      </c>
      <c r="F408" s="687">
        <v>2.3836503299999999E-2</v>
      </c>
      <c r="G408" s="687">
        <v>4.2009300000000003E-3</v>
      </c>
      <c r="H408" s="216">
        <v>1259.7079954999999</v>
      </c>
    </row>
    <row r="409" spans="2:8" ht="21.95" customHeight="1" x14ac:dyDescent="0.2">
      <c r="B409" s="143" t="s">
        <v>22</v>
      </c>
      <c r="C409" s="143">
        <v>45</v>
      </c>
      <c r="D409" s="143">
        <v>2048</v>
      </c>
      <c r="E409" s="687">
        <v>2.29659767325</v>
      </c>
      <c r="F409" s="687">
        <v>2.3568665200000002E-2</v>
      </c>
      <c r="G409" s="687">
        <v>4.1968099999999996E-3</v>
      </c>
      <c r="H409" s="216">
        <v>1258.4719970000001</v>
      </c>
    </row>
    <row r="410" spans="2:8" ht="21.95" customHeight="1" x14ac:dyDescent="0.2">
      <c r="B410" s="143" t="s">
        <v>22</v>
      </c>
      <c r="C410" s="143">
        <v>45</v>
      </c>
      <c r="D410" s="143">
        <v>2049</v>
      </c>
      <c r="E410" s="687">
        <v>2.2907335295000002</v>
      </c>
      <c r="F410" s="687">
        <v>2.3300827100000001E-2</v>
      </c>
      <c r="G410" s="687">
        <v>4.1926899999999998E-3</v>
      </c>
      <c r="H410" s="216">
        <v>1257.2359985000001</v>
      </c>
    </row>
    <row r="411" spans="2:8" ht="21.95" customHeight="1" x14ac:dyDescent="0.2">
      <c r="B411" s="143" t="s">
        <v>22</v>
      </c>
      <c r="C411" s="143">
        <v>45</v>
      </c>
      <c r="D411" s="143">
        <v>2050</v>
      </c>
      <c r="E411" s="687">
        <v>2.28486938575</v>
      </c>
      <c r="F411" s="687">
        <v>2.3032989E-2</v>
      </c>
      <c r="G411" s="687">
        <v>4.18857E-3</v>
      </c>
      <c r="H411" s="216">
        <v>1256</v>
      </c>
    </row>
    <row r="412" spans="2:8" ht="21.95" customHeight="1" x14ac:dyDescent="0.2">
      <c r="B412" s="143" t="s">
        <v>22</v>
      </c>
      <c r="C412" s="143">
        <v>45</v>
      </c>
      <c r="D412" s="143">
        <v>2051</v>
      </c>
      <c r="E412" s="687">
        <v>2.281041980975</v>
      </c>
      <c r="F412" s="687">
        <v>2.28382081E-2</v>
      </c>
      <c r="G412" s="687">
        <v>4.1880279999999999E-3</v>
      </c>
      <c r="H412" s="216">
        <v>1255.8369995</v>
      </c>
    </row>
    <row r="413" spans="2:8" ht="21.95" customHeight="1" x14ac:dyDescent="0.2">
      <c r="B413" s="143" t="s">
        <v>22</v>
      </c>
      <c r="C413" s="143">
        <v>45</v>
      </c>
      <c r="D413" s="143">
        <v>2052</v>
      </c>
      <c r="E413" s="687">
        <v>2.2772145762</v>
      </c>
      <c r="F413" s="687">
        <v>2.26434272E-2</v>
      </c>
      <c r="G413" s="687">
        <v>4.1874859999999998E-3</v>
      </c>
      <c r="H413" s="216">
        <v>1255.6739990000001</v>
      </c>
    </row>
    <row r="414" spans="2:8" ht="21.95" customHeight="1" x14ac:dyDescent="0.2">
      <c r="B414" s="143" t="s">
        <v>22</v>
      </c>
      <c r="C414" s="143">
        <v>45</v>
      </c>
      <c r="D414" s="143">
        <v>2053</v>
      </c>
      <c r="E414" s="687">
        <v>2.273387171425</v>
      </c>
      <c r="F414" s="687">
        <v>2.24486463E-2</v>
      </c>
      <c r="G414" s="687">
        <v>4.1869439999999997E-3</v>
      </c>
      <c r="H414" s="216">
        <v>1255.5109984999999</v>
      </c>
    </row>
    <row r="415" spans="2:8" ht="21.95" customHeight="1" x14ac:dyDescent="0.2">
      <c r="B415" s="143" t="s">
        <v>22</v>
      </c>
      <c r="C415" s="143">
        <v>45</v>
      </c>
      <c r="D415" s="143">
        <v>2054</v>
      </c>
      <c r="E415" s="687">
        <v>2.26955976665</v>
      </c>
      <c r="F415" s="687">
        <v>2.22538654E-2</v>
      </c>
      <c r="G415" s="687">
        <v>4.1864019999999997E-3</v>
      </c>
      <c r="H415" s="216">
        <v>1255.347998</v>
      </c>
    </row>
    <row r="416" spans="2:8" ht="21.95" customHeight="1" x14ac:dyDescent="0.2">
      <c r="B416" s="143" t="s">
        <v>22</v>
      </c>
      <c r="C416" s="143">
        <v>45</v>
      </c>
      <c r="D416" s="143">
        <v>2055</v>
      </c>
      <c r="E416" s="687">
        <v>2.265732361875</v>
      </c>
      <c r="F416" s="687">
        <v>2.2059084499999999E-2</v>
      </c>
      <c r="G416" s="687">
        <v>4.1858599999999996E-3</v>
      </c>
      <c r="H416" s="216">
        <v>1255.1849975</v>
      </c>
    </row>
    <row r="417" spans="2:8" ht="21.95" customHeight="1" x14ac:dyDescent="0.2">
      <c r="B417" s="143" t="s">
        <v>22</v>
      </c>
      <c r="C417" s="143">
        <v>45</v>
      </c>
      <c r="D417" s="143">
        <v>2056</v>
      </c>
      <c r="E417" s="687">
        <v>2.2619049571000001</v>
      </c>
      <c r="F417" s="687">
        <v>2.1864303599999999E-2</v>
      </c>
      <c r="G417" s="687">
        <v>4.1853180000000004E-3</v>
      </c>
      <c r="H417" s="216">
        <v>1255.0219970000001</v>
      </c>
    </row>
    <row r="418" spans="2:8" ht="21.95" customHeight="1" x14ac:dyDescent="0.2">
      <c r="B418" s="143" t="s">
        <v>22</v>
      </c>
      <c r="C418" s="143">
        <v>45</v>
      </c>
      <c r="D418" s="143">
        <v>2057</v>
      </c>
      <c r="E418" s="687">
        <v>2.2580775523250001</v>
      </c>
      <c r="F418" s="687">
        <v>2.1669522699999999E-2</v>
      </c>
      <c r="G418" s="687">
        <v>4.1847760000000003E-3</v>
      </c>
      <c r="H418" s="216">
        <v>1254.8589965000001</v>
      </c>
    </row>
    <row r="419" spans="2:8" ht="21.95" customHeight="1" x14ac:dyDescent="0.2">
      <c r="B419" s="143" t="s">
        <v>22</v>
      </c>
      <c r="C419" s="143">
        <v>45</v>
      </c>
      <c r="D419" s="143">
        <v>2058</v>
      </c>
      <c r="E419" s="687">
        <v>2.2542501475500001</v>
      </c>
      <c r="F419" s="687">
        <v>2.1474741799999999E-2</v>
      </c>
      <c r="G419" s="687">
        <v>4.1842340000000002E-3</v>
      </c>
      <c r="H419" s="216">
        <v>1254.6959959999999</v>
      </c>
    </row>
    <row r="420" spans="2:8" ht="21.95" customHeight="1" x14ac:dyDescent="0.2">
      <c r="B420" s="143" t="s">
        <v>22</v>
      </c>
      <c r="C420" s="143">
        <v>45</v>
      </c>
      <c r="D420" s="143">
        <v>2059</v>
      </c>
      <c r="E420" s="687">
        <v>2.2504227427750001</v>
      </c>
      <c r="F420" s="687">
        <v>2.1279960899999999E-2</v>
      </c>
      <c r="G420" s="687">
        <v>4.1836920000000001E-3</v>
      </c>
      <c r="H420" s="216">
        <v>1254.5329955</v>
      </c>
    </row>
    <row r="421" spans="2:8" ht="21.95" customHeight="1" x14ac:dyDescent="0.2">
      <c r="B421" s="143" t="s">
        <v>22</v>
      </c>
      <c r="C421" s="143">
        <v>45</v>
      </c>
      <c r="D421" s="143">
        <v>2060</v>
      </c>
      <c r="E421" s="687">
        <v>2.2465953380000001</v>
      </c>
      <c r="F421" s="687">
        <v>2.1085179999999999E-2</v>
      </c>
      <c r="G421" s="687">
        <v>4.1831500000000001E-3</v>
      </c>
      <c r="H421" s="216">
        <v>1254.369995</v>
      </c>
    </row>
    <row r="422" spans="2:8" ht="21.95" customHeight="1" x14ac:dyDescent="0.2">
      <c r="B422" s="143" t="s">
        <v>22</v>
      </c>
      <c r="C422" s="143">
        <v>50</v>
      </c>
      <c r="D422" s="143">
        <v>2020</v>
      </c>
      <c r="E422" s="687">
        <v>3.7613877481875</v>
      </c>
      <c r="F422" s="687">
        <v>9.3105497999999995E-2</v>
      </c>
      <c r="G422" s="687">
        <v>5.2439299999999999E-3</v>
      </c>
      <c r="H422" s="216">
        <v>1560.900024</v>
      </c>
    </row>
    <row r="423" spans="2:8" ht="21.95" customHeight="1" x14ac:dyDescent="0.2">
      <c r="B423" s="143" t="s">
        <v>22</v>
      </c>
      <c r="C423" s="143">
        <v>50</v>
      </c>
      <c r="D423" s="143">
        <v>2021</v>
      </c>
      <c r="E423" s="687">
        <v>3.5988520378937499</v>
      </c>
      <c r="F423" s="687">
        <v>8.6836875100000002E-2</v>
      </c>
      <c r="G423" s="687">
        <v>5.1548009999999997E-3</v>
      </c>
      <c r="H423" s="216">
        <v>1535.227026</v>
      </c>
    </row>
    <row r="424" spans="2:8" ht="21.95" customHeight="1" x14ac:dyDescent="0.2">
      <c r="B424" s="143" t="s">
        <v>22</v>
      </c>
      <c r="C424" s="143">
        <v>50</v>
      </c>
      <c r="D424" s="143">
        <v>2022</v>
      </c>
      <c r="E424" s="687">
        <v>3.4363163276000002</v>
      </c>
      <c r="F424" s="687">
        <v>8.0568252199999996E-2</v>
      </c>
      <c r="G424" s="687">
        <v>5.0656720000000002E-3</v>
      </c>
      <c r="H424" s="216">
        <v>1509.554028</v>
      </c>
    </row>
    <row r="425" spans="2:8" ht="21.95" customHeight="1" x14ac:dyDescent="0.2">
      <c r="B425" s="143" t="s">
        <v>22</v>
      </c>
      <c r="C425" s="143">
        <v>50</v>
      </c>
      <c r="D425" s="143">
        <v>2023</v>
      </c>
      <c r="E425" s="687">
        <v>3.27378061730625</v>
      </c>
      <c r="F425" s="687">
        <v>7.4299629300000003E-2</v>
      </c>
      <c r="G425" s="687">
        <v>4.9765429999999999E-3</v>
      </c>
      <c r="H425" s="216">
        <v>1483.88103</v>
      </c>
    </row>
    <row r="426" spans="2:8" ht="21.95" customHeight="1" x14ac:dyDescent="0.2">
      <c r="B426" s="143" t="s">
        <v>22</v>
      </c>
      <c r="C426" s="143">
        <v>50</v>
      </c>
      <c r="D426" s="143">
        <v>2024</v>
      </c>
      <c r="E426" s="687">
        <v>3.1112449070124999</v>
      </c>
      <c r="F426" s="687">
        <v>6.8031006399999996E-2</v>
      </c>
      <c r="G426" s="687">
        <v>4.8874139999999996E-3</v>
      </c>
      <c r="H426" s="216">
        <v>1458.208032</v>
      </c>
    </row>
    <row r="427" spans="2:8" ht="21.95" customHeight="1" x14ac:dyDescent="0.2">
      <c r="B427" s="143" t="s">
        <v>22</v>
      </c>
      <c r="C427" s="143">
        <v>50</v>
      </c>
      <c r="D427" s="143">
        <v>2025</v>
      </c>
      <c r="E427" s="687">
        <v>2.9487091967187502</v>
      </c>
      <c r="F427" s="687">
        <v>6.1762383499999997E-2</v>
      </c>
      <c r="G427" s="687">
        <v>4.7982850000000002E-3</v>
      </c>
      <c r="H427" s="216">
        <v>1432.535034</v>
      </c>
    </row>
    <row r="428" spans="2:8" ht="21.95" customHeight="1" x14ac:dyDescent="0.2">
      <c r="B428" s="143" t="s">
        <v>22</v>
      </c>
      <c r="C428" s="143">
        <v>50</v>
      </c>
      <c r="D428" s="143">
        <v>2026</v>
      </c>
      <c r="E428" s="687">
        <v>2.7861734864250001</v>
      </c>
      <c r="F428" s="687">
        <v>5.5493760599999997E-2</v>
      </c>
      <c r="G428" s="687">
        <v>4.7091559999999999E-3</v>
      </c>
      <c r="H428" s="216">
        <v>1406.862036</v>
      </c>
    </row>
    <row r="429" spans="2:8" ht="21.95" customHeight="1" x14ac:dyDescent="0.2">
      <c r="B429" s="143" t="s">
        <v>22</v>
      </c>
      <c r="C429" s="143">
        <v>50</v>
      </c>
      <c r="D429" s="143">
        <v>2027</v>
      </c>
      <c r="E429" s="687">
        <v>2.6236377761312499</v>
      </c>
      <c r="F429" s="687">
        <v>4.9225137699999998E-2</v>
      </c>
      <c r="G429" s="687">
        <v>4.6200269999999996E-3</v>
      </c>
      <c r="H429" s="216">
        <v>1381.189038</v>
      </c>
    </row>
    <row r="430" spans="2:8" ht="21.95" customHeight="1" x14ac:dyDescent="0.2">
      <c r="B430" s="143" t="s">
        <v>22</v>
      </c>
      <c r="C430" s="143">
        <v>50</v>
      </c>
      <c r="D430" s="143">
        <v>2028</v>
      </c>
      <c r="E430" s="687">
        <v>2.4611020658374998</v>
      </c>
      <c r="F430" s="687">
        <v>4.2956514799999998E-2</v>
      </c>
      <c r="G430" s="687">
        <v>4.5308980000000002E-3</v>
      </c>
      <c r="H430" s="216">
        <v>1355.51604</v>
      </c>
    </row>
    <row r="431" spans="2:8" ht="21.95" customHeight="1" x14ac:dyDescent="0.2">
      <c r="B431" s="143" t="s">
        <v>22</v>
      </c>
      <c r="C431" s="143">
        <v>50</v>
      </c>
      <c r="D431" s="143">
        <v>2029</v>
      </c>
      <c r="E431" s="687">
        <v>2.2985663555437501</v>
      </c>
      <c r="F431" s="687">
        <v>3.6687891899999998E-2</v>
      </c>
      <c r="G431" s="687">
        <v>4.4417689999999999E-3</v>
      </c>
      <c r="H431" s="216">
        <v>1329.843042</v>
      </c>
    </row>
    <row r="432" spans="2:8" ht="21.95" customHeight="1" x14ac:dyDescent="0.2">
      <c r="B432" s="143" t="s">
        <v>22</v>
      </c>
      <c r="C432" s="143">
        <v>50</v>
      </c>
      <c r="D432" s="143">
        <v>2030</v>
      </c>
      <c r="E432" s="687">
        <v>2.13603064525</v>
      </c>
      <c r="F432" s="687">
        <v>3.0419268999999999E-2</v>
      </c>
      <c r="G432" s="687">
        <v>4.3526399999999996E-3</v>
      </c>
      <c r="H432" s="216">
        <v>1304.170044</v>
      </c>
    </row>
    <row r="433" spans="2:8" ht="21.95" customHeight="1" x14ac:dyDescent="0.2">
      <c r="B433" s="143" t="s">
        <v>22</v>
      </c>
      <c r="C433" s="143">
        <v>50</v>
      </c>
      <c r="D433" s="143">
        <v>2031</v>
      </c>
      <c r="E433" s="687">
        <v>2.1137908367875</v>
      </c>
      <c r="F433" s="687">
        <v>2.96027640375E-2</v>
      </c>
      <c r="G433" s="687">
        <v>4.3204460000000004E-3</v>
      </c>
      <c r="H433" s="216">
        <v>1294.6190429999999</v>
      </c>
    </row>
    <row r="434" spans="2:8" ht="21.95" customHeight="1" x14ac:dyDescent="0.2">
      <c r="B434" s="143" t="s">
        <v>22</v>
      </c>
      <c r="C434" s="143">
        <v>50</v>
      </c>
      <c r="D434" s="143">
        <v>2032</v>
      </c>
      <c r="E434" s="687">
        <v>2.0915510283250001</v>
      </c>
      <c r="F434" s="687">
        <v>2.8786259075000001E-2</v>
      </c>
      <c r="G434" s="687">
        <v>4.2882520000000002E-3</v>
      </c>
      <c r="H434" s="216">
        <v>1285.0680420000001</v>
      </c>
    </row>
    <row r="435" spans="2:8" ht="21.95" customHeight="1" x14ac:dyDescent="0.2">
      <c r="B435" s="143" t="s">
        <v>22</v>
      </c>
      <c r="C435" s="143">
        <v>50</v>
      </c>
      <c r="D435" s="143">
        <v>2033</v>
      </c>
      <c r="E435" s="687">
        <v>2.0693112198625001</v>
      </c>
      <c r="F435" s="687">
        <v>2.7969754112499998E-2</v>
      </c>
      <c r="G435" s="687">
        <v>4.2560580000000001E-3</v>
      </c>
      <c r="H435" s="216">
        <v>1275.5170410000001</v>
      </c>
    </row>
    <row r="436" spans="2:8" ht="21.95" customHeight="1" x14ac:dyDescent="0.2">
      <c r="B436" s="143" t="s">
        <v>22</v>
      </c>
      <c r="C436" s="143">
        <v>50</v>
      </c>
      <c r="D436" s="143">
        <v>2034</v>
      </c>
      <c r="E436" s="687">
        <v>2.0470714114000002</v>
      </c>
      <c r="F436" s="687">
        <v>2.7153249149999999E-2</v>
      </c>
      <c r="G436" s="687">
        <v>4.2238639999999999E-3</v>
      </c>
      <c r="H436" s="216">
        <v>1265.96604</v>
      </c>
    </row>
    <row r="437" spans="2:8" ht="21.95" customHeight="1" x14ac:dyDescent="0.2">
      <c r="B437" s="143" t="s">
        <v>22</v>
      </c>
      <c r="C437" s="143">
        <v>50</v>
      </c>
      <c r="D437" s="143">
        <v>2035</v>
      </c>
      <c r="E437" s="687">
        <v>2.0248316029375002</v>
      </c>
      <c r="F437" s="687">
        <v>2.63367441875E-2</v>
      </c>
      <c r="G437" s="687">
        <v>4.1916699999999998E-3</v>
      </c>
      <c r="H437" s="216">
        <v>1256.415039</v>
      </c>
    </row>
    <row r="438" spans="2:8" ht="21.95" customHeight="1" x14ac:dyDescent="0.2">
      <c r="B438" s="143" t="s">
        <v>22</v>
      </c>
      <c r="C438" s="143">
        <v>50</v>
      </c>
      <c r="D438" s="143">
        <v>2036</v>
      </c>
      <c r="E438" s="687">
        <v>2.0025917944749998</v>
      </c>
      <c r="F438" s="687">
        <v>2.5520239225000001E-2</v>
      </c>
      <c r="G438" s="687">
        <v>4.1594759999999996E-3</v>
      </c>
      <c r="H438" s="216">
        <v>1246.8640379999999</v>
      </c>
    </row>
    <row r="439" spans="2:8" ht="21.95" customHeight="1" x14ac:dyDescent="0.2">
      <c r="B439" s="143" t="s">
        <v>22</v>
      </c>
      <c r="C439" s="143">
        <v>50</v>
      </c>
      <c r="D439" s="143">
        <v>2037</v>
      </c>
      <c r="E439" s="687">
        <v>1.9803519860125001</v>
      </c>
      <c r="F439" s="687">
        <v>2.4703734262499999E-2</v>
      </c>
      <c r="G439" s="687">
        <v>4.1272820000000003E-3</v>
      </c>
      <c r="H439" s="216">
        <v>1237.3130369999999</v>
      </c>
    </row>
    <row r="440" spans="2:8" ht="21.95" customHeight="1" x14ac:dyDescent="0.2">
      <c r="B440" s="143" t="s">
        <v>22</v>
      </c>
      <c r="C440" s="143">
        <v>50</v>
      </c>
      <c r="D440" s="143">
        <v>2038</v>
      </c>
      <c r="E440" s="687">
        <v>1.9581121775500001</v>
      </c>
      <c r="F440" s="687">
        <v>2.38872293E-2</v>
      </c>
      <c r="G440" s="687">
        <v>4.0950880000000002E-3</v>
      </c>
      <c r="H440" s="216">
        <v>1227.7620360000001</v>
      </c>
    </row>
    <row r="441" spans="2:8" ht="21.95" customHeight="1" x14ac:dyDescent="0.2">
      <c r="B441" s="143" t="s">
        <v>22</v>
      </c>
      <c r="C441" s="143">
        <v>50</v>
      </c>
      <c r="D441" s="143">
        <v>2039</v>
      </c>
      <c r="E441" s="687">
        <v>1.9358723690874999</v>
      </c>
      <c r="F441" s="687">
        <v>2.3070724337500001E-2</v>
      </c>
      <c r="G441" s="687">
        <v>4.0628940000000001E-3</v>
      </c>
      <c r="H441" s="216">
        <v>1218.211035</v>
      </c>
    </row>
    <row r="442" spans="2:8" ht="21.95" customHeight="1" x14ac:dyDescent="0.2">
      <c r="B442" s="143" t="s">
        <v>22</v>
      </c>
      <c r="C442" s="143">
        <v>50</v>
      </c>
      <c r="D442" s="143">
        <v>2040</v>
      </c>
      <c r="E442" s="687">
        <v>1.913632560625</v>
      </c>
      <c r="F442" s="687">
        <v>2.2254219374999998E-2</v>
      </c>
      <c r="G442" s="687">
        <v>4.0306999999999999E-3</v>
      </c>
      <c r="H442" s="216">
        <v>1208.660034</v>
      </c>
    </row>
    <row r="443" spans="2:8" ht="21.95" customHeight="1" x14ac:dyDescent="0.2">
      <c r="B443" s="143" t="s">
        <v>22</v>
      </c>
      <c r="C443" s="143">
        <v>50</v>
      </c>
      <c r="D443" s="143">
        <v>2041</v>
      </c>
      <c r="E443" s="687">
        <v>1.9077975425875</v>
      </c>
      <c r="F443" s="687">
        <v>2.2022565437499999E-2</v>
      </c>
      <c r="G443" s="687">
        <v>4.026628E-3</v>
      </c>
      <c r="H443" s="216">
        <v>1207.4390257</v>
      </c>
    </row>
    <row r="444" spans="2:8" ht="21.95" customHeight="1" x14ac:dyDescent="0.2">
      <c r="B444" s="143" t="s">
        <v>22</v>
      </c>
      <c r="C444" s="143">
        <v>50</v>
      </c>
      <c r="D444" s="143">
        <v>2042</v>
      </c>
      <c r="E444" s="687">
        <v>1.90196252455</v>
      </c>
      <c r="F444" s="687">
        <v>2.1790911499999999E-2</v>
      </c>
      <c r="G444" s="687">
        <v>4.022556E-3</v>
      </c>
      <c r="H444" s="216">
        <v>1206.2180174</v>
      </c>
    </row>
    <row r="445" spans="2:8" ht="21.95" customHeight="1" x14ac:dyDescent="0.2">
      <c r="B445" s="143" t="s">
        <v>22</v>
      </c>
      <c r="C445" s="143">
        <v>50</v>
      </c>
      <c r="D445" s="143">
        <v>2043</v>
      </c>
      <c r="E445" s="687">
        <v>1.8961275065125001</v>
      </c>
      <c r="F445" s="687">
        <v>2.15592575625E-2</v>
      </c>
      <c r="G445" s="687">
        <v>4.0184840000000001E-3</v>
      </c>
      <c r="H445" s="216">
        <v>1204.9970091</v>
      </c>
    </row>
    <row r="446" spans="2:8" ht="21.95" customHeight="1" x14ac:dyDescent="0.2">
      <c r="B446" s="143" t="s">
        <v>22</v>
      </c>
      <c r="C446" s="143">
        <v>50</v>
      </c>
      <c r="D446" s="143">
        <v>2044</v>
      </c>
      <c r="E446" s="687">
        <v>1.8902924884750001</v>
      </c>
      <c r="F446" s="687">
        <v>2.1327603625E-2</v>
      </c>
      <c r="G446" s="687">
        <v>4.0144120000000002E-3</v>
      </c>
      <c r="H446" s="216">
        <v>1203.7760008</v>
      </c>
    </row>
    <row r="447" spans="2:8" ht="21.95" customHeight="1" x14ac:dyDescent="0.2">
      <c r="B447" s="143" t="s">
        <v>22</v>
      </c>
      <c r="C447" s="143">
        <v>50</v>
      </c>
      <c r="D447" s="143">
        <v>2045</v>
      </c>
      <c r="E447" s="687">
        <v>1.8844574704374999</v>
      </c>
      <c r="F447" s="687">
        <v>2.1095949687500001E-2</v>
      </c>
      <c r="G447" s="687">
        <v>4.0103400000000003E-3</v>
      </c>
      <c r="H447" s="216">
        <v>1202.5549925</v>
      </c>
    </row>
    <row r="448" spans="2:8" ht="21.95" customHeight="1" x14ac:dyDescent="0.2">
      <c r="B448" s="143" t="s">
        <v>22</v>
      </c>
      <c r="C448" s="143">
        <v>50</v>
      </c>
      <c r="D448" s="143">
        <v>2046</v>
      </c>
      <c r="E448" s="687">
        <v>1.8786224523999999</v>
      </c>
      <c r="F448" s="687">
        <v>2.0864295750000001E-2</v>
      </c>
      <c r="G448" s="687">
        <v>4.0062680000000003E-3</v>
      </c>
      <c r="H448" s="216">
        <v>1201.3339842</v>
      </c>
    </row>
    <row r="449" spans="2:8" ht="21.95" customHeight="1" x14ac:dyDescent="0.2">
      <c r="B449" s="143" t="s">
        <v>22</v>
      </c>
      <c r="C449" s="143">
        <v>50</v>
      </c>
      <c r="D449" s="143">
        <v>2047</v>
      </c>
      <c r="E449" s="687">
        <v>1.8727874343624999</v>
      </c>
      <c r="F449" s="687">
        <v>2.0632641812500001E-2</v>
      </c>
      <c r="G449" s="687">
        <v>4.0021960000000004E-3</v>
      </c>
      <c r="H449" s="216">
        <v>1200.1129759</v>
      </c>
    </row>
    <row r="450" spans="2:8" ht="21.95" customHeight="1" x14ac:dyDescent="0.2">
      <c r="B450" s="143" t="s">
        <v>22</v>
      </c>
      <c r="C450" s="143">
        <v>50</v>
      </c>
      <c r="D450" s="143">
        <v>2048</v>
      </c>
      <c r="E450" s="687">
        <v>1.866952416325</v>
      </c>
      <c r="F450" s="687">
        <v>2.0400987874999998E-2</v>
      </c>
      <c r="G450" s="687">
        <v>3.9981239999999996E-3</v>
      </c>
      <c r="H450" s="216">
        <v>1198.8919676</v>
      </c>
    </row>
    <row r="451" spans="2:8" ht="21.95" customHeight="1" x14ac:dyDescent="0.2">
      <c r="B451" s="143" t="s">
        <v>22</v>
      </c>
      <c r="C451" s="143">
        <v>50</v>
      </c>
      <c r="D451" s="143">
        <v>2049</v>
      </c>
      <c r="E451" s="687">
        <v>1.8611173982875</v>
      </c>
      <c r="F451" s="687">
        <v>2.0169333937499999E-2</v>
      </c>
      <c r="G451" s="687">
        <v>3.9940519999999997E-3</v>
      </c>
      <c r="H451" s="216">
        <v>1197.6709593</v>
      </c>
    </row>
    <row r="452" spans="2:8" ht="21.95" customHeight="1" x14ac:dyDescent="0.2">
      <c r="B452" s="143" t="s">
        <v>22</v>
      </c>
      <c r="C452" s="143">
        <v>50</v>
      </c>
      <c r="D452" s="143">
        <v>2050</v>
      </c>
      <c r="E452" s="687">
        <v>1.85528238025</v>
      </c>
      <c r="F452" s="687">
        <v>1.9937679999999999E-2</v>
      </c>
      <c r="G452" s="687">
        <v>3.9899799999999997E-3</v>
      </c>
      <c r="H452" s="216">
        <v>1196.4499510000001</v>
      </c>
    </row>
    <row r="453" spans="2:8" ht="21.95" customHeight="1" x14ac:dyDescent="0.2">
      <c r="B453" s="143" t="s">
        <v>22</v>
      </c>
      <c r="C453" s="143">
        <v>50</v>
      </c>
      <c r="D453" s="143">
        <v>2051</v>
      </c>
      <c r="E453" s="687">
        <v>1.8515111200500001</v>
      </c>
      <c r="F453" s="687">
        <v>1.9769895999999999E-2</v>
      </c>
      <c r="G453" s="687">
        <v>3.9894689999999998E-3</v>
      </c>
      <c r="H453" s="216">
        <v>1196.2969602999999</v>
      </c>
    </row>
    <row r="454" spans="2:8" ht="21.95" customHeight="1" x14ac:dyDescent="0.2">
      <c r="B454" s="143" t="s">
        <v>22</v>
      </c>
      <c r="C454" s="143">
        <v>50</v>
      </c>
      <c r="D454" s="143">
        <v>2052</v>
      </c>
      <c r="E454" s="687">
        <v>1.8477398598500001</v>
      </c>
      <c r="F454" s="687">
        <v>1.9602112000000001E-2</v>
      </c>
      <c r="G454" s="687">
        <v>3.9889579999999999E-3</v>
      </c>
      <c r="H454" s="216">
        <v>1196.1439696</v>
      </c>
    </row>
    <row r="455" spans="2:8" ht="21.95" customHeight="1" x14ac:dyDescent="0.2">
      <c r="B455" s="143" t="s">
        <v>22</v>
      </c>
      <c r="C455" s="143">
        <v>50</v>
      </c>
      <c r="D455" s="143">
        <v>2053</v>
      </c>
      <c r="E455" s="687">
        <v>1.8439685996499999</v>
      </c>
      <c r="F455" s="687">
        <v>1.9434328000000001E-2</v>
      </c>
      <c r="G455" s="687">
        <v>3.988447E-3</v>
      </c>
      <c r="H455" s="216">
        <v>1195.9909789000001</v>
      </c>
    </row>
    <row r="456" spans="2:8" ht="21.95" customHeight="1" x14ac:dyDescent="0.2">
      <c r="B456" s="143" t="s">
        <v>22</v>
      </c>
      <c r="C456" s="143">
        <v>50</v>
      </c>
      <c r="D456" s="143">
        <v>2054</v>
      </c>
      <c r="E456" s="687">
        <v>1.84019733945</v>
      </c>
      <c r="F456" s="687">
        <v>1.9266544E-2</v>
      </c>
      <c r="G456" s="687">
        <v>3.9879360000000001E-3</v>
      </c>
      <c r="H456" s="216">
        <v>1195.8379881999999</v>
      </c>
    </row>
    <row r="457" spans="2:8" ht="21.95" customHeight="1" x14ac:dyDescent="0.2">
      <c r="B457" s="143" t="s">
        <v>22</v>
      </c>
      <c r="C457" s="143">
        <v>50</v>
      </c>
      <c r="D457" s="143">
        <v>2055</v>
      </c>
      <c r="E457" s="687">
        <v>1.83642607925</v>
      </c>
      <c r="F457" s="687">
        <v>1.9098759999999999E-2</v>
      </c>
      <c r="G457" s="687">
        <v>3.9874250000000002E-3</v>
      </c>
      <c r="H457" s="216">
        <v>1195.6849975</v>
      </c>
    </row>
    <row r="458" spans="2:8" ht="21.95" customHeight="1" x14ac:dyDescent="0.2">
      <c r="B458" s="143" t="s">
        <v>22</v>
      </c>
      <c r="C458" s="143">
        <v>50</v>
      </c>
      <c r="D458" s="143">
        <v>2056</v>
      </c>
      <c r="E458" s="687">
        <v>1.8326548190500001</v>
      </c>
      <c r="F458" s="687">
        <v>1.8930975999999999E-2</v>
      </c>
      <c r="G458" s="687">
        <v>3.9869140000000003E-3</v>
      </c>
      <c r="H458" s="216">
        <v>1195.5320068000001</v>
      </c>
    </row>
    <row r="459" spans="2:8" ht="21.95" customHeight="1" x14ac:dyDescent="0.2">
      <c r="B459" s="143" t="s">
        <v>22</v>
      </c>
      <c r="C459" s="143">
        <v>50</v>
      </c>
      <c r="D459" s="143">
        <v>2057</v>
      </c>
      <c r="E459" s="687">
        <v>1.8288835588500001</v>
      </c>
      <c r="F459" s="687">
        <v>1.8763192000000001E-2</v>
      </c>
      <c r="G459" s="687">
        <v>3.9864030000000003E-3</v>
      </c>
      <c r="H459" s="216">
        <v>1195.3790160999999</v>
      </c>
    </row>
    <row r="460" spans="2:8" ht="21.95" customHeight="1" x14ac:dyDescent="0.2">
      <c r="B460" s="143" t="s">
        <v>22</v>
      </c>
      <c r="C460" s="143">
        <v>50</v>
      </c>
      <c r="D460" s="143">
        <v>2058</v>
      </c>
      <c r="E460" s="687">
        <v>1.8251122986499999</v>
      </c>
      <c r="F460" s="687">
        <v>1.8595408000000001E-2</v>
      </c>
      <c r="G460" s="687">
        <v>3.9858920000000004E-3</v>
      </c>
      <c r="H460" s="216">
        <v>1195.2260254</v>
      </c>
    </row>
    <row r="461" spans="2:8" ht="21.95" customHeight="1" x14ac:dyDescent="0.2">
      <c r="B461" s="143" t="s">
        <v>22</v>
      </c>
      <c r="C461" s="143">
        <v>50</v>
      </c>
      <c r="D461" s="143">
        <v>2059</v>
      </c>
      <c r="E461" s="687">
        <v>1.8213410384499999</v>
      </c>
      <c r="F461" s="687">
        <v>1.8427624E-2</v>
      </c>
      <c r="G461" s="687">
        <v>3.9853809999999996E-3</v>
      </c>
      <c r="H461" s="216">
        <v>1195.0730347000001</v>
      </c>
    </row>
    <row r="462" spans="2:8" ht="21.95" customHeight="1" x14ac:dyDescent="0.2">
      <c r="B462" s="143" t="s">
        <v>22</v>
      </c>
      <c r="C462" s="143">
        <v>50</v>
      </c>
      <c r="D462" s="143">
        <v>2060</v>
      </c>
      <c r="E462" s="687">
        <v>1.81756977825</v>
      </c>
      <c r="F462" s="687">
        <v>1.8259839999999999E-2</v>
      </c>
      <c r="G462" s="687">
        <v>3.9848699999999997E-3</v>
      </c>
      <c r="H462" s="216">
        <v>1194.920044</v>
      </c>
    </row>
    <row r="463" spans="2:8" ht="21.95" customHeight="1" x14ac:dyDescent="0.2">
      <c r="B463" s="143" t="s">
        <v>22</v>
      </c>
      <c r="C463" s="143">
        <v>55</v>
      </c>
      <c r="D463" s="143">
        <v>2020</v>
      </c>
      <c r="E463" s="687">
        <v>3.3865823852500001</v>
      </c>
      <c r="F463" s="687">
        <v>7.8853012E-2</v>
      </c>
      <c r="G463" s="687">
        <v>5.0365499999999999E-3</v>
      </c>
      <c r="H463" s="216">
        <v>1499.119995</v>
      </c>
    </row>
    <row r="464" spans="2:8" ht="21.95" customHeight="1" x14ac:dyDescent="0.2">
      <c r="B464" s="143" t="s">
        <v>22</v>
      </c>
      <c r="C464" s="143">
        <v>55</v>
      </c>
      <c r="D464" s="143">
        <v>2021</v>
      </c>
      <c r="E464" s="687">
        <v>3.2211770742125001</v>
      </c>
      <c r="F464" s="687">
        <v>7.3513148700000003E-2</v>
      </c>
      <c r="G464" s="687">
        <v>4.9466450000000004E-3</v>
      </c>
      <c r="H464" s="216">
        <v>1473.1769896000001</v>
      </c>
    </row>
    <row r="465" spans="2:8" ht="21.95" customHeight="1" x14ac:dyDescent="0.2">
      <c r="B465" s="143" t="s">
        <v>22</v>
      </c>
      <c r="C465" s="143">
        <v>55</v>
      </c>
      <c r="D465" s="143">
        <v>2022</v>
      </c>
      <c r="E465" s="687">
        <v>3.0557717631750001</v>
      </c>
      <c r="F465" s="687">
        <v>6.8173285400000005E-2</v>
      </c>
      <c r="G465" s="687">
        <v>4.85674E-3</v>
      </c>
      <c r="H465" s="216">
        <v>1447.2339841999999</v>
      </c>
    </row>
    <row r="466" spans="2:8" ht="21.95" customHeight="1" x14ac:dyDescent="0.2">
      <c r="B466" s="143" t="s">
        <v>22</v>
      </c>
      <c r="C466" s="143">
        <v>55</v>
      </c>
      <c r="D466" s="143">
        <v>2023</v>
      </c>
      <c r="E466" s="687">
        <v>2.8903664521375001</v>
      </c>
      <c r="F466" s="687">
        <v>6.2833422099999994E-2</v>
      </c>
      <c r="G466" s="687">
        <v>4.7668349999999996E-3</v>
      </c>
      <c r="H466" s="216">
        <v>1421.2909787999999</v>
      </c>
    </row>
    <row r="467" spans="2:8" ht="21.95" customHeight="1" x14ac:dyDescent="0.2">
      <c r="B467" s="143" t="s">
        <v>22</v>
      </c>
      <c r="C467" s="143">
        <v>55</v>
      </c>
      <c r="D467" s="143">
        <v>2024</v>
      </c>
      <c r="E467" s="687">
        <v>2.7249611411000001</v>
      </c>
      <c r="F467" s="687">
        <v>5.7493558799999997E-2</v>
      </c>
      <c r="G467" s="687">
        <v>4.6769300000000001E-3</v>
      </c>
      <c r="H467" s="216">
        <v>1395.3479734</v>
      </c>
    </row>
    <row r="468" spans="2:8" ht="21.95" customHeight="1" x14ac:dyDescent="0.2">
      <c r="B468" s="143" t="s">
        <v>22</v>
      </c>
      <c r="C468" s="143">
        <v>55</v>
      </c>
      <c r="D468" s="143">
        <v>2025</v>
      </c>
      <c r="E468" s="687">
        <v>2.5595558300625001</v>
      </c>
      <c r="F468" s="687">
        <v>5.21536955E-2</v>
      </c>
      <c r="G468" s="687">
        <v>4.5870249999999998E-3</v>
      </c>
      <c r="H468" s="216">
        <v>1369.4049680000001</v>
      </c>
    </row>
    <row r="469" spans="2:8" ht="21.95" customHeight="1" x14ac:dyDescent="0.2">
      <c r="B469" s="143" t="s">
        <v>22</v>
      </c>
      <c r="C469" s="143">
        <v>55</v>
      </c>
      <c r="D469" s="143">
        <v>2026</v>
      </c>
      <c r="E469" s="687">
        <v>2.3941505190250001</v>
      </c>
      <c r="F469" s="687">
        <v>4.6813832200000002E-2</v>
      </c>
      <c r="G469" s="687">
        <v>4.4971200000000003E-3</v>
      </c>
      <c r="H469" s="216">
        <v>1343.4619626000001</v>
      </c>
    </row>
    <row r="470" spans="2:8" ht="21.95" customHeight="1" x14ac:dyDescent="0.2">
      <c r="B470" s="143" t="s">
        <v>22</v>
      </c>
      <c r="C470" s="143">
        <v>55</v>
      </c>
      <c r="D470" s="143">
        <v>2027</v>
      </c>
      <c r="E470" s="687">
        <v>2.2287452079875001</v>
      </c>
      <c r="F470" s="687">
        <v>4.1473968899999998E-2</v>
      </c>
      <c r="G470" s="687">
        <v>4.4072149999999999E-3</v>
      </c>
      <c r="H470" s="216">
        <v>1317.5189571999999</v>
      </c>
    </row>
    <row r="471" spans="2:8" ht="21.95" customHeight="1" x14ac:dyDescent="0.2">
      <c r="B471" s="143" t="s">
        <v>22</v>
      </c>
      <c r="C471" s="143">
        <v>55</v>
      </c>
      <c r="D471" s="143">
        <v>2028</v>
      </c>
      <c r="E471" s="687">
        <v>2.0633398969500001</v>
      </c>
      <c r="F471" s="687">
        <v>3.6134105600000001E-2</v>
      </c>
      <c r="G471" s="687">
        <v>4.3173100000000004E-3</v>
      </c>
      <c r="H471" s="216">
        <v>1291.5759518</v>
      </c>
    </row>
    <row r="472" spans="2:8" ht="21.95" customHeight="1" x14ac:dyDescent="0.2">
      <c r="B472" s="143" t="s">
        <v>22</v>
      </c>
      <c r="C472" s="143">
        <v>55</v>
      </c>
      <c r="D472" s="143">
        <v>2029</v>
      </c>
      <c r="E472" s="687">
        <v>1.8979345859125001</v>
      </c>
      <c r="F472" s="687">
        <v>3.07942423E-2</v>
      </c>
      <c r="G472" s="687">
        <v>4.2274050000000001E-3</v>
      </c>
      <c r="H472" s="216">
        <v>1265.6329464</v>
      </c>
    </row>
    <row r="473" spans="2:8" ht="21.95" customHeight="1" x14ac:dyDescent="0.2">
      <c r="B473" s="143" t="s">
        <v>22</v>
      </c>
      <c r="C473" s="143">
        <v>55</v>
      </c>
      <c r="D473" s="143">
        <v>2030</v>
      </c>
      <c r="E473" s="687">
        <v>1.7325292748750001</v>
      </c>
      <c r="F473" s="687">
        <v>2.5454378999999999E-2</v>
      </c>
      <c r="G473" s="687">
        <v>4.1374999999999997E-3</v>
      </c>
      <c r="H473" s="216">
        <v>1239.6899410000001</v>
      </c>
    </row>
    <row r="474" spans="2:8" ht="21.95" customHeight="1" x14ac:dyDescent="0.2">
      <c r="B474" s="143" t="s">
        <v>22</v>
      </c>
      <c r="C474" s="143">
        <v>55</v>
      </c>
      <c r="D474" s="143">
        <v>2031</v>
      </c>
      <c r="E474" s="687">
        <v>1.70989571586875</v>
      </c>
      <c r="F474" s="687">
        <v>2.4752376100000001E-2</v>
      </c>
      <c r="G474" s="687">
        <v>4.1054070000000002E-3</v>
      </c>
      <c r="H474" s="216">
        <v>1230.1659420000001</v>
      </c>
    </row>
    <row r="475" spans="2:8" ht="21.95" customHeight="1" x14ac:dyDescent="0.2">
      <c r="B475" s="143" t="s">
        <v>22</v>
      </c>
      <c r="C475" s="143">
        <v>55</v>
      </c>
      <c r="D475" s="143">
        <v>2032</v>
      </c>
      <c r="E475" s="687">
        <v>1.6872621568624999</v>
      </c>
      <c r="F475" s="687">
        <v>2.4050373199999999E-2</v>
      </c>
      <c r="G475" s="687">
        <v>4.0733139999999998E-3</v>
      </c>
      <c r="H475" s="216">
        <v>1220.6419430000001</v>
      </c>
    </row>
    <row r="476" spans="2:8" ht="21.95" customHeight="1" x14ac:dyDescent="0.2">
      <c r="B476" s="143" t="s">
        <v>22</v>
      </c>
      <c r="C476" s="143">
        <v>55</v>
      </c>
      <c r="D476" s="143">
        <v>2033</v>
      </c>
      <c r="E476" s="687">
        <v>1.6646285978562501</v>
      </c>
      <c r="F476" s="687">
        <v>2.3348370300000001E-2</v>
      </c>
      <c r="G476" s="687">
        <v>4.0412210000000002E-3</v>
      </c>
      <c r="H476" s="216">
        <v>1211.1179440000001</v>
      </c>
    </row>
    <row r="477" spans="2:8" ht="21.95" customHeight="1" x14ac:dyDescent="0.2">
      <c r="B477" s="143" t="s">
        <v>22</v>
      </c>
      <c r="C477" s="143">
        <v>55</v>
      </c>
      <c r="D477" s="143">
        <v>2034</v>
      </c>
      <c r="E477" s="687">
        <v>1.64199503885</v>
      </c>
      <c r="F477" s="687">
        <v>2.2646367399999999E-2</v>
      </c>
      <c r="G477" s="687">
        <v>4.0091279999999998E-3</v>
      </c>
      <c r="H477" s="216">
        <v>1201.5939450000001</v>
      </c>
    </row>
    <row r="478" spans="2:8" ht="21.95" customHeight="1" x14ac:dyDescent="0.2">
      <c r="B478" s="143" t="s">
        <v>22</v>
      </c>
      <c r="C478" s="143">
        <v>55</v>
      </c>
      <c r="D478" s="143">
        <v>2035</v>
      </c>
      <c r="E478" s="687">
        <v>1.6193614798437499</v>
      </c>
      <c r="F478" s="687">
        <v>2.1944364500000001E-2</v>
      </c>
      <c r="G478" s="687">
        <v>3.9770350000000003E-3</v>
      </c>
      <c r="H478" s="216">
        <v>1192.0699460000001</v>
      </c>
    </row>
    <row r="479" spans="2:8" ht="21.95" customHeight="1" x14ac:dyDescent="0.2">
      <c r="B479" s="143" t="s">
        <v>22</v>
      </c>
      <c r="C479" s="143">
        <v>55</v>
      </c>
      <c r="D479" s="143">
        <v>2036</v>
      </c>
      <c r="E479" s="687">
        <v>1.5967279208375</v>
      </c>
      <c r="F479" s="687">
        <v>2.1242361599999999E-2</v>
      </c>
      <c r="G479" s="687">
        <v>3.9449419999999999E-3</v>
      </c>
      <c r="H479" s="216">
        <v>1182.5459470000001</v>
      </c>
    </row>
    <row r="480" spans="2:8" ht="21.95" customHeight="1" x14ac:dyDescent="0.2">
      <c r="B480" s="143" t="s">
        <v>22</v>
      </c>
      <c r="C480" s="143">
        <v>55</v>
      </c>
      <c r="D480" s="143">
        <v>2037</v>
      </c>
      <c r="E480" s="687">
        <v>1.57409436183125</v>
      </c>
      <c r="F480" s="687">
        <v>2.0540358700000001E-2</v>
      </c>
      <c r="G480" s="687">
        <v>3.9128490000000004E-3</v>
      </c>
      <c r="H480" s="216">
        <v>1173.0219480000001</v>
      </c>
    </row>
    <row r="481" spans="2:8" ht="21.95" customHeight="1" x14ac:dyDescent="0.2">
      <c r="B481" s="143" t="s">
        <v>22</v>
      </c>
      <c r="C481" s="143">
        <v>55</v>
      </c>
      <c r="D481" s="143">
        <v>2038</v>
      </c>
      <c r="E481" s="687">
        <v>1.5514608028250001</v>
      </c>
      <c r="F481" s="687">
        <v>1.9838355799999999E-2</v>
      </c>
      <c r="G481" s="687">
        <v>3.880756E-3</v>
      </c>
      <c r="H481" s="216">
        <v>1163.4979490000001</v>
      </c>
    </row>
    <row r="482" spans="2:8" ht="21.95" customHeight="1" x14ac:dyDescent="0.2">
      <c r="B482" s="143" t="s">
        <v>22</v>
      </c>
      <c r="C482" s="143">
        <v>55</v>
      </c>
      <c r="D482" s="143">
        <v>2039</v>
      </c>
      <c r="E482" s="687">
        <v>1.52882724381875</v>
      </c>
      <c r="F482" s="687">
        <v>1.91363529E-2</v>
      </c>
      <c r="G482" s="687">
        <v>3.848663E-3</v>
      </c>
      <c r="H482" s="216">
        <v>1153.9739500000001</v>
      </c>
    </row>
    <row r="483" spans="2:8" ht="21.95" customHeight="1" x14ac:dyDescent="0.2">
      <c r="B483" s="143" t="s">
        <v>22</v>
      </c>
      <c r="C483" s="143">
        <v>55</v>
      </c>
      <c r="D483" s="143">
        <v>2040</v>
      </c>
      <c r="E483" s="687">
        <v>1.5061936848124999</v>
      </c>
      <c r="F483" s="687">
        <v>1.8434349999999999E-2</v>
      </c>
      <c r="G483" s="687">
        <v>3.81657E-3</v>
      </c>
      <c r="H483" s="216">
        <v>1144.4499510000001</v>
      </c>
    </row>
    <row r="484" spans="2:8" ht="21.95" customHeight="1" x14ac:dyDescent="0.2">
      <c r="B484" s="143" t="s">
        <v>22</v>
      </c>
      <c r="C484" s="143">
        <v>55</v>
      </c>
      <c r="D484" s="143">
        <v>2041</v>
      </c>
      <c r="E484" s="687">
        <v>1.5003489854062499</v>
      </c>
      <c r="F484" s="687">
        <v>1.8242641E-2</v>
      </c>
      <c r="G484" s="687">
        <v>3.8125450000000001E-3</v>
      </c>
      <c r="H484" s="216">
        <v>1143.2429563999999</v>
      </c>
    </row>
    <row r="485" spans="2:8" ht="21.95" customHeight="1" x14ac:dyDescent="0.2">
      <c r="B485" s="143" t="s">
        <v>22</v>
      </c>
      <c r="C485" s="143">
        <v>55</v>
      </c>
      <c r="D485" s="143">
        <v>2042</v>
      </c>
      <c r="E485" s="687">
        <v>1.494504286</v>
      </c>
      <c r="F485" s="687">
        <v>1.8050931999999999E-2</v>
      </c>
      <c r="G485" s="687">
        <v>3.8085200000000001E-3</v>
      </c>
      <c r="H485" s="216">
        <v>1142.0359618</v>
      </c>
    </row>
    <row r="486" spans="2:8" ht="21.95" customHeight="1" x14ac:dyDescent="0.2">
      <c r="B486" s="143" t="s">
        <v>22</v>
      </c>
      <c r="C486" s="143">
        <v>55</v>
      </c>
      <c r="D486" s="143">
        <v>2043</v>
      </c>
      <c r="E486" s="687">
        <v>1.48865958659375</v>
      </c>
      <c r="F486" s="687">
        <v>1.7859223E-2</v>
      </c>
      <c r="G486" s="687">
        <v>3.8044950000000002E-3</v>
      </c>
      <c r="H486" s="216">
        <v>1140.8289672000001</v>
      </c>
    </row>
    <row r="487" spans="2:8" ht="21.95" customHeight="1" x14ac:dyDescent="0.2">
      <c r="B487" s="143" t="s">
        <v>22</v>
      </c>
      <c r="C487" s="143">
        <v>55</v>
      </c>
      <c r="D487" s="143">
        <v>2044</v>
      </c>
      <c r="E487" s="687">
        <v>1.4828148871875</v>
      </c>
      <c r="F487" s="687">
        <v>1.7667513999999999E-2</v>
      </c>
      <c r="G487" s="687">
        <v>3.8004699999999998E-3</v>
      </c>
      <c r="H487" s="216">
        <v>1139.6219725999999</v>
      </c>
    </row>
    <row r="488" spans="2:8" ht="21.95" customHeight="1" x14ac:dyDescent="0.2">
      <c r="B488" s="143" t="s">
        <v>22</v>
      </c>
      <c r="C488" s="143">
        <v>55</v>
      </c>
      <c r="D488" s="143">
        <v>2045</v>
      </c>
      <c r="E488" s="687">
        <v>1.47697018778125</v>
      </c>
      <c r="F488" s="687">
        <v>1.7475805000000001E-2</v>
      </c>
      <c r="G488" s="687">
        <v>3.7964449999999999E-3</v>
      </c>
      <c r="H488" s="216">
        <v>1138.414978</v>
      </c>
    </row>
    <row r="489" spans="2:8" ht="21.95" customHeight="1" x14ac:dyDescent="0.2">
      <c r="B489" s="143" t="s">
        <v>22</v>
      </c>
      <c r="C489" s="143">
        <v>55</v>
      </c>
      <c r="D489" s="143">
        <v>2046</v>
      </c>
      <c r="E489" s="687">
        <v>1.471125488375</v>
      </c>
      <c r="F489" s="687">
        <v>1.7284095999999999E-2</v>
      </c>
      <c r="G489" s="687">
        <v>3.7924199999999999E-3</v>
      </c>
      <c r="H489" s="216">
        <v>1137.2079834000001</v>
      </c>
    </row>
    <row r="490" spans="2:8" ht="21.95" customHeight="1" x14ac:dyDescent="0.2">
      <c r="B490" s="143" t="s">
        <v>22</v>
      </c>
      <c r="C490" s="143">
        <v>55</v>
      </c>
      <c r="D490" s="143">
        <v>2047</v>
      </c>
      <c r="E490" s="687">
        <v>1.46528078896875</v>
      </c>
      <c r="F490" s="687">
        <v>1.7092387000000001E-2</v>
      </c>
      <c r="G490" s="687">
        <v>3.788395E-3</v>
      </c>
      <c r="H490" s="216">
        <v>1136.0009888</v>
      </c>
    </row>
    <row r="491" spans="2:8" ht="21.95" customHeight="1" x14ac:dyDescent="0.2">
      <c r="B491" s="143" t="s">
        <v>22</v>
      </c>
      <c r="C491" s="143">
        <v>55</v>
      </c>
      <c r="D491" s="143">
        <v>2048</v>
      </c>
      <c r="E491" s="687">
        <v>1.4594360895625</v>
      </c>
      <c r="F491" s="687">
        <v>1.6900677999999999E-2</v>
      </c>
      <c r="G491" s="687">
        <v>3.78437E-3</v>
      </c>
      <c r="H491" s="216">
        <v>1134.7939942</v>
      </c>
    </row>
    <row r="492" spans="2:8" ht="21.95" customHeight="1" x14ac:dyDescent="0.2">
      <c r="B492" s="143" t="s">
        <v>22</v>
      </c>
      <c r="C492" s="143">
        <v>55</v>
      </c>
      <c r="D492" s="143">
        <v>2049</v>
      </c>
      <c r="E492" s="687">
        <v>1.4535913901562501</v>
      </c>
      <c r="F492" s="687">
        <v>1.6708969000000001E-2</v>
      </c>
      <c r="G492" s="687">
        <v>3.7803450000000001E-3</v>
      </c>
      <c r="H492" s="216">
        <v>1133.5869995999999</v>
      </c>
    </row>
    <row r="493" spans="2:8" ht="21.95" customHeight="1" x14ac:dyDescent="0.2">
      <c r="B493" s="143" t="s">
        <v>22</v>
      </c>
      <c r="C493" s="143">
        <v>55</v>
      </c>
      <c r="D493" s="143">
        <v>2050</v>
      </c>
      <c r="E493" s="687">
        <v>1.4477466907500001</v>
      </c>
      <c r="F493" s="687">
        <v>1.6517259999999999E-2</v>
      </c>
      <c r="G493" s="687">
        <v>3.7763200000000001E-3</v>
      </c>
      <c r="H493" s="216">
        <v>1132.380005</v>
      </c>
    </row>
    <row r="494" spans="2:8" ht="21.95" customHeight="1" x14ac:dyDescent="0.2">
      <c r="B494" s="143" t="s">
        <v>22</v>
      </c>
      <c r="C494" s="143">
        <v>55</v>
      </c>
      <c r="D494" s="143">
        <v>2051</v>
      </c>
      <c r="E494" s="687">
        <v>1.4440239629312499</v>
      </c>
      <c r="F494" s="687">
        <v>1.6379498999999999E-2</v>
      </c>
      <c r="G494" s="687">
        <v>3.7758420000000002E-3</v>
      </c>
      <c r="H494" s="216">
        <v>1132.2369996</v>
      </c>
    </row>
    <row r="495" spans="2:8" ht="21.95" customHeight="1" x14ac:dyDescent="0.2">
      <c r="B495" s="143" t="s">
        <v>22</v>
      </c>
      <c r="C495" s="143">
        <v>55</v>
      </c>
      <c r="D495" s="143">
        <v>2052</v>
      </c>
      <c r="E495" s="687">
        <v>1.4403012351125</v>
      </c>
      <c r="F495" s="687">
        <v>1.6241737999999999E-2</v>
      </c>
      <c r="G495" s="687">
        <v>3.7753639999999998E-3</v>
      </c>
      <c r="H495" s="216">
        <v>1132.0939942</v>
      </c>
    </row>
    <row r="496" spans="2:8" ht="21.95" customHeight="1" x14ac:dyDescent="0.2">
      <c r="B496" s="143" t="s">
        <v>22</v>
      </c>
      <c r="C496" s="143">
        <v>55</v>
      </c>
      <c r="D496" s="143">
        <v>2053</v>
      </c>
      <c r="E496" s="687">
        <v>1.43657850729375</v>
      </c>
      <c r="F496" s="687">
        <v>1.6103976999999998E-2</v>
      </c>
      <c r="G496" s="687">
        <v>3.7748859999999999E-3</v>
      </c>
      <c r="H496" s="216">
        <v>1131.9509888</v>
      </c>
    </row>
    <row r="497" spans="2:8" ht="21.95" customHeight="1" x14ac:dyDescent="0.2">
      <c r="B497" s="143" t="s">
        <v>22</v>
      </c>
      <c r="C497" s="143">
        <v>55</v>
      </c>
      <c r="D497" s="143">
        <v>2054</v>
      </c>
      <c r="E497" s="687">
        <v>1.4328557794750001</v>
      </c>
      <c r="F497" s="687">
        <v>1.5966215999999998E-2</v>
      </c>
      <c r="G497" s="687">
        <v>3.7744079999999999E-3</v>
      </c>
      <c r="H497" s="216">
        <v>1131.8079834</v>
      </c>
    </row>
    <row r="498" spans="2:8" ht="21.95" customHeight="1" x14ac:dyDescent="0.2">
      <c r="B498" s="143" t="s">
        <v>22</v>
      </c>
      <c r="C498" s="143">
        <v>55</v>
      </c>
      <c r="D498" s="143">
        <v>2055</v>
      </c>
      <c r="E498" s="687">
        <v>1.4291330516562499</v>
      </c>
      <c r="F498" s="687">
        <v>1.5828455000000002E-2</v>
      </c>
      <c r="G498" s="687">
        <v>3.77393E-3</v>
      </c>
      <c r="H498" s="216">
        <v>1131.664978</v>
      </c>
    </row>
    <row r="499" spans="2:8" ht="21.95" customHeight="1" x14ac:dyDescent="0.2">
      <c r="B499" s="143" t="s">
        <v>22</v>
      </c>
      <c r="C499" s="143">
        <v>55</v>
      </c>
      <c r="D499" s="143">
        <v>2056</v>
      </c>
      <c r="E499" s="687">
        <v>1.4254103238375</v>
      </c>
      <c r="F499" s="687">
        <v>1.5690694000000002E-2</v>
      </c>
      <c r="G499" s="687">
        <v>3.7734520000000001E-3</v>
      </c>
      <c r="H499" s="216">
        <v>1131.5219726</v>
      </c>
    </row>
    <row r="500" spans="2:8" ht="21.95" customHeight="1" x14ac:dyDescent="0.2">
      <c r="B500" s="143" t="s">
        <v>22</v>
      </c>
      <c r="C500" s="143">
        <v>55</v>
      </c>
      <c r="D500" s="143">
        <v>2057</v>
      </c>
      <c r="E500" s="687">
        <v>1.4216875960187501</v>
      </c>
      <c r="F500" s="687">
        <v>1.5552933E-2</v>
      </c>
      <c r="G500" s="687">
        <v>3.7729740000000001E-3</v>
      </c>
      <c r="H500" s="216">
        <v>1131.3789672</v>
      </c>
    </row>
    <row r="501" spans="2:8" ht="21.95" customHeight="1" x14ac:dyDescent="0.2">
      <c r="B501" s="143" t="s">
        <v>22</v>
      </c>
      <c r="C501" s="143">
        <v>55</v>
      </c>
      <c r="D501" s="143">
        <v>2058</v>
      </c>
      <c r="E501" s="687">
        <v>1.4179648681999999</v>
      </c>
      <c r="F501" s="687">
        <v>1.5415172E-2</v>
      </c>
      <c r="G501" s="687">
        <v>3.7724960000000002E-3</v>
      </c>
      <c r="H501" s="216">
        <v>1131.2359618</v>
      </c>
    </row>
    <row r="502" spans="2:8" ht="21.95" customHeight="1" x14ac:dyDescent="0.2">
      <c r="B502" s="143" t="s">
        <v>22</v>
      </c>
      <c r="C502" s="143">
        <v>55</v>
      </c>
      <c r="D502" s="143">
        <v>2059</v>
      </c>
      <c r="E502" s="687">
        <v>1.41424214038125</v>
      </c>
      <c r="F502" s="687">
        <v>1.5277410999999999E-2</v>
      </c>
      <c r="G502" s="687">
        <v>3.7720179999999998E-3</v>
      </c>
      <c r="H502" s="216">
        <v>1131.0929564</v>
      </c>
    </row>
    <row r="503" spans="2:8" ht="21.95" customHeight="1" x14ac:dyDescent="0.2">
      <c r="B503" s="143" t="s">
        <v>22</v>
      </c>
      <c r="C503" s="143">
        <v>55</v>
      </c>
      <c r="D503" s="143">
        <v>2060</v>
      </c>
      <c r="E503" s="687">
        <v>1.4105194125625</v>
      </c>
      <c r="F503" s="687">
        <v>1.5139649999999999E-2</v>
      </c>
      <c r="G503" s="687">
        <v>3.7715399999999999E-3</v>
      </c>
      <c r="H503" s="216">
        <v>1130.9499510000001</v>
      </c>
    </row>
    <row r="504" spans="2:8" ht="21.95" customHeight="1" x14ac:dyDescent="0.2">
      <c r="B504" s="143" t="s">
        <v>22</v>
      </c>
      <c r="C504" s="143">
        <v>60</v>
      </c>
      <c r="D504" s="143">
        <v>2020</v>
      </c>
      <c r="E504" s="687">
        <v>3.3136833646250001</v>
      </c>
      <c r="F504" s="687">
        <v>7.2533401999999997E-2</v>
      </c>
      <c r="G504" s="687">
        <v>5.095553125E-3</v>
      </c>
      <c r="H504" s="216">
        <v>1516.9300539999999</v>
      </c>
    </row>
    <row r="505" spans="2:8" ht="21.95" customHeight="1" x14ac:dyDescent="0.2">
      <c r="B505" s="143" t="s">
        <v>22</v>
      </c>
      <c r="C505" s="143">
        <v>60</v>
      </c>
      <c r="D505" s="143">
        <v>2021</v>
      </c>
      <c r="E505" s="687">
        <v>3.1475889908374999</v>
      </c>
      <c r="F505" s="687">
        <v>6.7655276799999997E-2</v>
      </c>
      <c r="G505" s="687">
        <v>5.0068338125E-3</v>
      </c>
      <c r="H505" s="216">
        <v>1491.3320437</v>
      </c>
    </row>
    <row r="506" spans="2:8" ht="21.95" customHeight="1" x14ac:dyDescent="0.2">
      <c r="B506" s="143" t="s">
        <v>22</v>
      </c>
      <c r="C506" s="143">
        <v>60</v>
      </c>
      <c r="D506" s="143">
        <v>2022</v>
      </c>
      <c r="E506" s="687">
        <v>2.9814946170500001</v>
      </c>
      <c r="F506" s="687">
        <v>6.2777151599999997E-2</v>
      </c>
      <c r="G506" s="687">
        <v>4.9181145000000001E-3</v>
      </c>
      <c r="H506" s="216">
        <v>1465.7340334</v>
      </c>
    </row>
    <row r="507" spans="2:8" ht="21.95" customHeight="1" x14ac:dyDescent="0.2">
      <c r="B507" s="143" t="s">
        <v>22</v>
      </c>
      <c r="C507" s="143">
        <v>60</v>
      </c>
      <c r="D507" s="143">
        <v>2023</v>
      </c>
      <c r="E507" s="687">
        <v>2.8154002432624998</v>
      </c>
      <c r="F507" s="687">
        <v>5.7899026399999998E-2</v>
      </c>
      <c r="G507" s="687">
        <v>4.8293951875000001E-3</v>
      </c>
      <c r="H507" s="216">
        <v>1440.1360231000001</v>
      </c>
    </row>
    <row r="508" spans="2:8" ht="21.95" customHeight="1" x14ac:dyDescent="0.2">
      <c r="B508" s="143" t="s">
        <v>22</v>
      </c>
      <c r="C508" s="143">
        <v>60</v>
      </c>
      <c r="D508" s="143">
        <v>2024</v>
      </c>
      <c r="E508" s="687">
        <v>2.649305869475</v>
      </c>
      <c r="F508" s="687">
        <v>5.3020901199999998E-2</v>
      </c>
      <c r="G508" s="687">
        <v>4.7406758750000002E-3</v>
      </c>
      <c r="H508" s="216">
        <v>1414.5380127999999</v>
      </c>
    </row>
    <row r="509" spans="2:8" ht="21.95" customHeight="1" x14ac:dyDescent="0.2">
      <c r="B509" s="143" t="s">
        <v>22</v>
      </c>
      <c r="C509" s="143">
        <v>60</v>
      </c>
      <c r="D509" s="143">
        <v>2025</v>
      </c>
      <c r="E509" s="687">
        <v>2.4832114956875002</v>
      </c>
      <c r="F509" s="687">
        <v>4.8142775999999998E-2</v>
      </c>
      <c r="G509" s="687">
        <v>4.6519565625000002E-3</v>
      </c>
      <c r="H509" s="216">
        <v>1388.9400025</v>
      </c>
    </row>
    <row r="510" spans="2:8" ht="21.95" customHeight="1" x14ac:dyDescent="0.2">
      <c r="B510" s="143" t="s">
        <v>22</v>
      </c>
      <c r="C510" s="143">
        <v>60</v>
      </c>
      <c r="D510" s="143">
        <v>2026</v>
      </c>
      <c r="E510" s="687">
        <v>2.3171171219</v>
      </c>
      <c r="F510" s="687">
        <v>4.3264650799999999E-2</v>
      </c>
      <c r="G510" s="687">
        <v>4.5632372500000002E-3</v>
      </c>
      <c r="H510" s="216">
        <v>1363.3419922</v>
      </c>
    </row>
    <row r="511" spans="2:8" ht="21.95" customHeight="1" x14ac:dyDescent="0.2">
      <c r="B511" s="143" t="s">
        <v>22</v>
      </c>
      <c r="C511" s="143">
        <v>60</v>
      </c>
      <c r="D511" s="143">
        <v>2027</v>
      </c>
      <c r="E511" s="687">
        <v>2.1510227481125002</v>
      </c>
      <c r="F511" s="687">
        <v>3.8386525599999999E-2</v>
      </c>
      <c r="G511" s="687">
        <v>4.4745179375000003E-3</v>
      </c>
      <c r="H511" s="216">
        <v>1337.7439819000001</v>
      </c>
    </row>
    <row r="512" spans="2:8" ht="21.95" customHeight="1" x14ac:dyDescent="0.2">
      <c r="B512" s="143" t="s">
        <v>22</v>
      </c>
      <c r="C512" s="143">
        <v>60</v>
      </c>
      <c r="D512" s="143">
        <v>2028</v>
      </c>
      <c r="E512" s="687">
        <v>1.9849283743249999</v>
      </c>
      <c r="F512" s="687">
        <v>3.3508400399999999E-2</v>
      </c>
      <c r="G512" s="687">
        <v>4.3857986250000003E-3</v>
      </c>
      <c r="H512" s="216">
        <v>1312.1459715999999</v>
      </c>
    </row>
    <row r="513" spans="2:8" ht="21.95" customHeight="1" x14ac:dyDescent="0.2">
      <c r="B513" s="143" t="s">
        <v>22</v>
      </c>
      <c r="C513" s="143">
        <v>60</v>
      </c>
      <c r="D513" s="143">
        <v>2029</v>
      </c>
      <c r="E513" s="687">
        <v>1.8188340005375001</v>
      </c>
      <c r="F513" s="687">
        <v>2.8630275199999999E-2</v>
      </c>
      <c r="G513" s="687">
        <v>4.2970793125000004E-3</v>
      </c>
      <c r="H513" s="216">
        <v>1286.5479613</v>
      </c>
    </row>
    <row r="514" spans="2:8" ht="21.95" customHeight="1" x14ac:dyDescent="0.2">
      <c r="B514" s="143" t="s">
        <v>22</v>
      </c>
      <c r="C514" s="143">
        <v>60</v>
      </c>
      <c r="D514" s="143">
        <v>2030</v>
      </c>
      <c r="E514" s="687">
        <v>1.6527396267500001</v>
      </c>
      <c r="F514" s="687">
        <v>2.375215E-2</v>
      </c>
      <c r="G514" s="687">
        <v>4.2083600000000004E-3</v>
      </c>
      <c r="H514" s="216">
        <v>1260.9499510000001</v>
      </c>
    </row>
    <row r="515" spans="2:8" ht="21.95" customHeight="1" x14ac:dyDescent="0.2">
      <c r="B515" s="143" t="s">
        <v>22</v>
      </c>
      <c r="C515" s="143">
        <v>60</v>
      </c>
      <c r="D515" s="143">
        <v>2031</v>
      </c>
      <c r="E515" s="687">
        <v>1.629497188025</v>
      </c>
      <c r="F515" s="687">
        <v>2.3100122000000001E-2</v>
      </c>
      <c r="G515" s="687">
        <v>4.176272E-3</v>
      </c>
      <c r="H515" s="216">
        <v>1251.4259520000001</v>
      </c>
    </row>
    <row r="516" spans="2:8" ht="21.95" customHeight="1" x14ac:dyDescent="0.2">
      <c r="B516" s="143" t="s">
        <v>22</v>
      </c>
      <c r="C516" s="143">
        <v>60</v>
      </c>
      <c r="D516" s="143">
        <v>2032</v>
      </c>
      <c r="E516" s="687">
        <v>1.6062547492999999</v>
      </c>
      <c r="F516" s="687">
        <v>2.2448093999999998E-2</v>
      </c>
      <c r="G516" s="687">
        <v>4.1441840000000004E-3</v>
      </c>
      <c r="H516" s="216">
        <v>1241.901953</v>
      </c>
    </row>
    <row r="517" spans="2:8" ht="21.95" customHeight="1" x14ac:dyDescent="0.2">
      <c r="B517" s="143" t="s">
        <v>22</v>
      </c>
      <c r="C517" s="143">
        <v>60</v>
      </c>
      <c r="D517" s="143">
        <v>2033</v>
      </c>
      <c r="E517" s="687">
        <v>1.583012310575</v>
      </c>
      <c r="F517" s="687">
        <v>2.1796065999999999E-2</v>
      </c>
      <c r="G517" s="687">
        <v>4.112096E-3</v>
      </c>
      <c r="H517" s="216">
        <v>1232.377954</v>
      </c>
    </row>
    <row r="518" spans="2:8" ht="21.95" customHeight="1" x14ac:dyDescent="0.2">
      <c r="B518" s="143" t="s">
        <v>22</v>
      </c>
      <c r="C518" s="143">
        <v>60</v>
      </c>
      <c r="D518" s="143">
        <v>2034</v>
      </c>
      <c r="E518" s="687">
        <v>1.5597698718499999</v>
      </c>
      <c r="F518" s="687">
        <v>2.1144038E-2</v>
      </c>
      <c r="G518" s="687">
        <v>4.0800080000000004E-3</v>
      </c>
      <c r="H518" s="216">
        <v>1222.853955</v>
      </c>
    </row>
    <row r="519" spans="2:8" ht="21.95" customHeight="1" x14ac:dyDescent="0.2">
      <c r="B519" s="143" t="s">
        <v>22</v>
      </c>
      <c r="C519" s="143">
        <v>60</v>
      </c>
      <c r="D519" s="143">
        <v>2035</v>
      </c>
      <c r="E519" s="687">
        <v>1.5365274331250001</v>
      </c>
      <c r="F519" s="687">
        <v>2.0492010000000001E-2</v>
      </c>
      <c r="G519" s="687">
        <v>4.04792E-3</v>
      </c>
      <c r="H519" s="216">
        <v>1213.329956</v>
      </c>
    </row>
    <row r="520" spans="2:8" ht="21.95" customHeight="1" x14ac:dyDescent="0.2">
      <c r="B520" s="143" t="s">
        <v>22</v>
      </c>
      <c r="C520" s="143">
        <v>60</v>
      </c>
      <c r="D520" s="143">
        <v>2036</v>
      </c>
      <c r="E520" s="687">
        <v>1.5132849944</v>
      </c>
      <c r="F520" s="687">
        <v>1.9839981999999999E-2</v>
      </c>
      <c r="G520" s="687">
        <v>4.0158320000000004E-3</v>
      </c>
      <c r="H520" s="216">
        <v>1203.805957</v>
      </c>
    </row>
    <row r="521" spans="2:8" ht="21.95" customHeight="1" x14ac:dyDescent="0.2">
      <c r="B521" s="143" t="s">
        <v>22</v>
      </c>
      <c r="C521" s="143">
        <v>60</v>
      </c>
      <c r="D521" s="143">
        <v>2037</v>
      </c>
      <c r="E521" s="687">
        <v>1.4900425556750001</v>
      </c>
      <c r="F521" s="687">
        <v>1.9187954E-2</v>
      </c>
      <c r="G521" s="687">
        <v>3.983744E-3</v>
      </c>
      <c r="H521" s="216">
        <v>1194.281958</v>
      </c>
    </row>
    <row r="522" spans="2:8" ht="21.95" customHeight="1" x14ac:dyDescent="0.2">
      <c r="B522" s="143" t="s">
        <v>22</v>
      </c>
      <c r="C522" s="143">
        <v>60</v>
      </c>
      <c r="D522" s="143">
        <v>2038</v>
      </c>
      <c r="E522" s="687">
        <v>1.46680011695</v>
      </c>
      <c r="F522" s="687">
        <v>1.8535926000000001E-2</v>
      </c>
      <c r="G522" s="687">
        <v>3.9516559999999996E-3</v>
      </c>
      <c r="H522" s="216">
        <v>1184.757959</v>
      </c>
    </row>
    <row r="523" spans="2:8" ht="21.95" customHeight="1" x14ac:dyDescent="0.2">
      <c r="B523" s="143" t="s">
        <v>22</v>
      </c>
      <c r="C523" s="143">
        <v>60</v>
      </c>
      <c r="D523" s="143">
        <v>2039</v>
      </c>
      <c r="E523" s="687">
        <v>1.4435576782249999</v>
      </c>
      <c r="F523" s="687">
        <v>1.7883897999999999E-2</v>
      </c>
      <c r="G523" s="687">
        <v>3.919568E-3</v>
      </c>
      <c r="H523" s="216">
        <v>1175.23396</v>
      </c>
    </row>
    <row r="524" spans="2:8" ht="21.95" customHeight="1" x14ac:dyDescent="0.2">
      <c r="B524" s="143" t="s">
        <v>22</v>
      </c>
      <c r="C524" s="143">
        <v>60</v>
      </c>
      <c r="D524" s="143">
        <v>2040</v>
      </c>
      <c r="E524" s="687">
        <v>1.4203152395</v>
      </c>
      <c r="F524" s="687">
        <v>1.723187E-2</v>
      </c>
      <c r="G524" s="687">
        <v>3.88748E-3</v>
      </c>
      <c r="H524" s="216">
        <v>1165.709961</v>
      </c>
    </row>
    <row r="525" spans="2:8" ht="21.95" customHeight="1" x14ac:dyDescent="0.2">
      <c r="B525" s="143" t="s">
        <v>22</v>
      </c>
      <c r="C525" s="143">
        <v>60</v>
      </c>
      <c r="D525" s="143">
        <v>2041</v>
      </c>
      <c r="E525" s="687">
        <v>1.414178928775</v>
      </c>
      <c r="F525" s="687">
        <v>1.7055602E-2</v>
      </c>
      <c r="G525" s="687">
        <v>3.8834339999999998E-3</v>
      </c>
      <c r="H525" s="216">
        <v>1164.4969604999999</v>
      </c>
    </row>
    <row r="526" spans="2:8" ht="21.95" customHeight="1" x14ac:dyDescent="0.2">
      <c r="B526" s="143" t="s">
        <v>22</v>
      </c>
      <c r="C526" s="143">
        <v>60</v>
      </c>
      <c r="D526" s="143">
        <v>2042</v>
      </c>
      <c r="E526" s="687">
        <v>1.4080426180500001</v>
      </c>
      <c r="F526" s="687">
        <v>1.6879333999999999E-2</v>
      </c>
      <c r="G526" s="687">
        <v>3.8793880000000001E-3</v>
      </c>
      <c r="H526" s="216">
        <v>1163.28396</v>
      </c>
    </row>
    <row r="527" spans="2:8" ht="21.95" customHeight="1" x14ac:dyDescent="0.2">
      <c r="B527" s="143" t="s">
        <v>22</v>
      </c>
      <c r="C527" s="143">
        <v>60</v>
      </c>
      <c r="D527" s="143">
        <v>2043</v>
      </c>
      <c r="E527" s="687">
        <v>1.401906307325</v>
      </c>
      <c r="F527" s="687">
        <v>1.6703065999999999E-2</v>
      </c>
      <c r="G527" s="687">
        <v>3.8753419999999999E-3</v>
      </c>
      <c r="H527" s="216">
        <v>1162.0709595000001</v>
      </c>
    </row>
    <row r="528" spans="2:8" ht="21.95" customHeight="1" x14ac:dyDescent="0.2">
      <c r="B528" s="143" t="s">
        <v>22</v>
      </c>
      <c r="C528" s="143">
        <v>60</v>
      </c>
      <c r="D528" s="143">
        <v>2044</v>
      </c>
      <c r="E528" s="687">
        <v>1.3957699965999999</v>
      </c>
      <c r="F528" s="687">
        <v>1.6526797999999999E-2</v>
      </c>
      <c r="G528" s="687">
        <v>3.8712960000000002E-3</v>
      </c>
      <c r="H528" s="216">
        <v>1160.8579589999999</v>
      </c>
    </row>
    <row r="529" spans="2:8" ht="21.95" customHeight="1" x14ac:dyDescent="0.2">
      <c r="B529" s="143" t="s">
        <v>22</v>
      </c>
      <c r="C529" s="143">
        <v>60</v>
      </c>
      <c r="D529" s="143">
        <v>2045</v>
      </c>
      <c r="E529" s="687">
        <v>1.389633685875</v>
      </c>
      <c r="F529" s="687">
        <v>1.6350529999999999E-2</v>
      </c>
      <c r="G529" s="687">
        <v>3.86725E-3</v>
      </c>
      <c r="H529" s="216">
        <v>1159.6449585</v>
      </c>
    </row>
    <row r="530" spans="2:8" ht="21.95" customHeight="1" x14ac:dyDescent="0.2">
      <c r="B530" s="143" t="s">
        <v>22</v>
      </c>
      <c r="C530" s="143">
        <v>60</v>
      </c>
      <c r="D530" s="143">
        <v>2046</v>
      </c>
      <c r="E530" s="687">
        <v>1.3834973751499999</v>
      </c>
      <c r="F530" s="687">
        <v>1.6174261999999998E-2</v>
      </c>
      <c r="G530" s="687">
        <v>3.8632039999999999E-3</v>
      </c>
      <c r="H530" s="216">
        <v>1158.4319579999999</v>
      </c>
    </row>
    <row r="531" spans="2:8" ht="21.95" customHeight="1" x14ac:dyDescent="0.2">
      <c r="B531" s="143" t="s">
        <v>22</v>
      </c>
      <c r="C531" s="143">
        <v>60</v>
      </c>
      <c r="D531" s="143">
        <v>2047</v>
      </c>
      <c r="E531" s="687">
        <v>1.3773610644250001</v>
      </c>
      <c r="F531" s="687">
        <v>1.5997994000000001E-2</v>
      </c>
      <c r="G531" s="687">
        <v>3.8591580000000001E-3</v>
      </c>
      <c r="H531" s="216">
        <v>1157.2189575</v>
      </c>
    </row>
    <row r="532" spans="2:8" ht="21.95" customHeight="1" x14ac:dyDescent="0.2">
      <c r="B532" s="143" t="s">
        <v>22</v>
      </c>
      <c r="C532" s="143">
        <v>60</v>
      </c>
      <c r="D532" s="143">
        <v>2048</v>
      </c>
      <c r="E532" s="687">
        <v>1.3712247537</v>
      </c>
      <c r="F532" s="687">
        <v>1.5821726000000001E-2</v>
      </c>
      <c r="G532" s="687">
        <v>3.8551119999999999E-3</v>
      </c>
      <c r="H532" s="216">
        <v>1156.0059570000001</v>
      </c>
    </row>
    <row r="533" spans="2:8" ht="21.95" customHeight="1" x14ac:dyDescent="0.2">
      <c r="B533" s="143" t="s">
        <v>22</v>
      </c>
      <c r="C533" s="143">
        <v>60</v>
      </c>
      <c r="D533" s="143">
        <v>2049</v>
      </c>
      <c r="E533" s="687">
        <v>1.3650884429750001</v>
      </c>
      <c r="F533" s="687">
        <v>1.5645458000000001E-2</v>
      </c>
      <c r="G533" s="687">
        <v>3.8510660000000002E-3</v>
      </c>
      <c r="H533" s="216">
        <v>1154.7929564999999</v>
      </c>
    </row>
    <row r="534" spans="2:8" ht="21.95" customHeight="1" x14ac:dyDescent="0.2">
      <c r="B534" s="143" t="s">
        <v>22</v>
      </c>
      <c r="C534" s="143">
        <v>60</v>
      </c>
      <c r="D534" s="143">
        <v>2050</v>
      </c>
      <c r="E534" s="687">
        <v>1.35895213225</v>
      </c>
      <c r="F534" s="687">
        <v>1.5469190000000001E-2</v>
      </c>
      <c r="G534" s="687">
        <v>3.84702E-3</v>
      </c>
      <c r="H534" s="216">
        <v>1153.579956</v>
      </c>
    </row>
    <row r="535" spans="2:8" ht="21.95" customHeight="1" x14ac:dyDescent="0.2">
      <c r="B535" s="143" t="s">
        <v>22</v>
      </c>
      <c r="C535" s="143">
        <v>60</v>
      </c>
      <c r="D535" s="143">
        <v>2051</v>
      </c>
      <c r="E535" s="687">
        <v>1.3550454529</v>
      </c>
      <c r="F535" s="687">
        <v>1.5343124E-2</v>
      </c>
      <c r="G535" s="687">
        <v>3.8465499999999998E-3</v>
      </c>
      <c r="H535" s="216">
        <v>1153.4389647999999</v>
      </c>
    </row>
    <row r="536" spans="2:8" ht="21.95" customHeight="1" x14ac:dyDescent="0.2">
      <c r="B536" s="143" t="s">
        <v>22</v>
      </c>
      <c r="C536" s="143">
        <v>60</v>
      </c>
      <c r="D536" s="143">
        <v>2052</v>
      </c>
      <c r="E536" s="687">
        <v>1.35113877355</v>
      </c>
      <c r="F536" s="687">
        <v>1.5217058E-2</v>
      </c>
      <c r="G536" s="687">
        <v>3.84608E-3</v>
      </c>
      <c r="H536" s="216">
        <v>1153.2979736</v>
      </c>
    </row>
    <row r="537" spans="2:8" ht="21.95" customHeight="1" x14ac:dyDescent="0.2">
      <c r="B537" s="143" t="s">
        <v>22</v>
      </c>
      <c r="C537" s="143">
        <v>60</v>
      </c>
      <c r="D537" s="143">
        <v>2053</v>
      </c>
      <c r="E537" s="687">
        <v>1.3472320942</v>
      </c>
      <c r="F537" s="687">
        <v>1.5090991999999999E-2</v>
      </c>
      <c r="G537" s="687">
        <v>3.8456100000000002E-3</v>
      </c>
      <c r="H537" s="216">
        <v>1153.1569824000001</v>
      </c>
    </row>
    <row r="538" spans="2:8" ht="21.95" customHeight="1" x14ac:dyDescent="0.2">
      <c r="B538" s="143" t="s">
        <v>22</v>
      </c>
      <c r="C538" s="143">
        <v>60</v>
      </c>
      <c r="D538" s="143">
        <v>2054</v>
      </c>
      <c r="E538" s="687">
        <v>1.34332541485</v>
      </c>
      <c r="F538" s="687">
        <v>1.4964926E-2</v>
      </c>
      <c r="G538" s="687">
        <v>3.8451399999999999E-3</v>
      </c>
      <c r="H538" s="216">
        <v>1153.0159911999999</v>
      </c>
    </row>
    <row r="539" spans="2:8" ht="21.95" customHeight="1" x14ac:dyDescent="0.2">
      <c r="B539" s="143" t="s">
        <v>22</v>
      </c>
      <c r="C539" s="143">
        <v>60</v>
      </c>
      <c r="D539" s="143">
        <v>2055</v>
      </c>
      <c r="E539" s="687">
        <v>1.3394187355</v>
      </c>
      <c r="F539" s="687">
        <v>1.4838860000000001E-2</v>
      </c>
      <c r="G539" s="687">
        <v>3.8446700000000001E-3</v>
      </c>
      <c r="H539" s="216">
        <v>1152.875</v>
      </c>
    </row>
    <row r="540" spans="2:8" ht="21.95" customHeight="1" x14ac:dyDescent="0.2">
      <c r="B540" s="143" t="s">
        <v>22</v>
      </c>
      <c r="C540" s="143">
        <v>60</v>
      </c>
      <c r="D540" s="143">
        <v>2056</v>
      </c>
      <c r="E540" s="687">
        <v>1.33551205615</v>
      </c>
      <c r="F540" s="687">
        <v>1.4712794E-2</v>
      </c>
      <c r="G540" s="687">
        <v>3.8441999999999999E-3</v>
      </c>
      <c r="H540" s="216">
        <v>1152.7340088000001</v>
      </c>
    </row>
    <row r="541" spans="2:8" ht="21.95" customHeight="1" x14ac:dyDescent="0.2">
      <c r="B541" s="143" t="s">
        <v>22</v>
      </c>
      <c r="C541" s="143">
        <v>60</v>
      </c>
      <c r="D541" s="143">
        <v>2057</v>
      </c>
      <c r="E541" s="687">
        <v>1.3316053768</v>
      </c>
      <c r="F541" s="687">
        <v>1.4586728E-2</v>
      </c>
      <c r="G541" s="687">
        <v>3.8437300000000001E-3</v>
      </c>
      <c r="H541" s="216">
        <v>1152.5930175999999</v>
      </c>
    </row>
    <row r="542" spans="2:8" ht="21.95" customHeight="1" x14ac:dyDescent="0.2">
      <c r="B542" s="143" t="s">
        <v>22</v>
      </c>
      <c r="C542" s="143">
        <v>60</v>
      </c>
      <c r="D542" s="143">
        <v>2058</v>
      </c>
      <c r="E542" s="687">
        <v>1.32769869745</v>
      </c>
      <c r="F542" s="687">
        <v>1.4460662000000001E-2</v>
      </c>
      <c r="G542" s="687">
        <v>3.8432599999999998E-3</v>
      </c>
      <c r="H542" s="216">
        <v>1152.4520264</v>
      </c>
    </row>
    <row r="543" spans="2:8" ht="21.95" customHeight="1" x14ac:dyDescent="0.2">
      <c r="B543" s="143" t="s">
        <v>22</v>
      </c>
      <c r="C543" s="143">
        <v>60</v>
      </c>
      <c r="D543" s="143">
        <v>2059</v>
      </c>
      <c r="E543" s="687">
        <v>1.3237920181</v>
      </c>
      <c r="F543" s="687">
        <v>1.4334596E-2</v>
      </c>
      <c r="G543" s="687">
        <v>3.84279E-3</v>
      </c>
      <c r="H543" s="216">
        <v>1152.3110352000001</v>
      </c>
    </row>
    <row r="544" spans="2:8" ht="21.95" customHeight="1" x14ac:dyDescent="0.2">
      <c r="B544" s="143" t="s">
        <v>22</v>
      </c>
      <c r="C544" s="143">
        <v>60</v>
      </c>
      <c r="D544" s="143">
        <v>2060</v>
      </c>
      <c r="E544" s="687">
        <v>1.31988533875</v>
      </c>
      <c r="F544" s="687">
        <v>1.420853E-2</v>
      </c>
      <c r="G544" s="687">
        <v>3.8423200000000002E-3</v>
      </c>
      <c r="H544" s="216">
        <v>1152.170044</v>
      </c>
    </row>
    <row r="545" spans="2:8" ht="21.95" customHeight="1" x14ac:dyDescent="0.2">
      <c r="B545" s="143" t="s">
        <v>22</v>
      </c>
      <c r="C545" s="143">
        <v>65</v>
      </c>
      <c r="D545" s="143">
        <v>2020</v>
      </c>
      <c r="E545" s="687">
        <v>3.5754828984999998</v>
      </c>
      <c r="F545" s="687">
        <v>7.5922696999999997E-2</v>
      </c>
      <c r="G545" s="687">
        <v>5.3880200000000003E-3</v>
      </c>
      <c r="H545" s="216">
        <v>1603.7299800000001</v>
      </c>
    </row>
    <row r="546" spans="2:8" ht="21.95" customHeight="1" x14ac:dyDescent="0.2">
      <c r="B546" s="143" t="s">
        <v>22</v>
      </c>
      <c r="C546" s="143">
        <v>65</v>
      </c>
      <c r="D546" s="143">
        <v>2021</v>
      </c>
      <c r="E546" s="687">
        <v>3.4001942741</v>
      </c>
      <c r="F546" s="687">
        <v>7.0834835200000001E-2</v>
      </c>
      <c r="G546" s="687">
        <v>5.2910969999999998E-3</v>
      </c>
      <c r="H546" s="216">
        <v>1575.7539790999999</v>
      </c>
    </row>
    <row r="547" spans="2:8" ht="21.95" customHeight="1" x14ac:dyDescent="0.2">
      <c r="B547" s="143" t="s">
        <v>22</v>
      </c>
      <c r="C547" s="143">
        <v>65</v>
      </c>
      <c r="D547" s="143">
        <v>2022</v>
      </c>
      <c r="E547" s="687">
        <v>3.2249056497000002</v>
      </c>
      <c r="F547" s="687">
        <v>6.5746973400000006E-2</v>
      </c>
      <c r="G547" s="687">
        <v>5.1941740000000002E-3</v>
      </c>
      <c r="H547" s="216">
        <v>1547.7779782</v>
      </c>
    </row>
    <row r="548" spans="2:8" ht="21.95" customHeight="1" x14ac:dyDescent="0.2">
      <c r="B548" s="143" t="s">
        <v>22</v>
      </c>
      <c r="C548" s="143">
        <v>65</v>
      </c>
      <c r="D548" s="143">
        <v>2023</v>
      </c>
      <c r="E548" s="687">
        <v>3.0496170252999999</v>
      </c>
      <c r="F548" s="687">
        <v>6.0659111600000003E-2</v>
      </c>
      <c r="G548" s="687">
        <v>5.0972509999999997E-3</v>
      </c>
      <c r="H548" s="216">
        <v>1519.8019773000001</v>
      </c>
    </row>
    <row r="549" spans="2:8" ht="21.95" customHeight="1" x14ac:dyDescent="0.2">
      <c r="B549" s="143" t="s">
        <v>22</v>
      </c>
      <c r="C549" s="143">
        <v>65</v>
      </c>
      <c r="D549" s="143">
        <v>2024</v>
      </c>
      <c r="E549" s="687">
        <v>2.8743284009000001</v>
      </c>
      <c r="F549" s="687">
        <v>5.55712498E-2</v>
      </c>
      <c r="G549" s="687">
        <v>5.0003280000000001E-3</v>
      </c>
      <c r="H549" s="216">
        <v>1491.8259763999999</v>
      </c>
    </row>
    <row r="550" spans="2:8" ht="21.95" customHeight="1" x14ac:dyDescent="0.2">
      <c r="B550" s="143" t="s">
        <v>22</v>
      </c>
      <c r="C550" s="143">
        <v>65</v>
      </c>
      <c r="D550" s="143">
        <v>2025</v>
      </c>
      <c r="E550" s="687">
        <v>2.6990397764999998</v>
      </c>
      <c r="F550" s="687">
        <v>5.0483387999999997E-2</v>
      </c>
      <c r="G550" s="687">
        <v>4.9034049999999996E-3</v>
      </c>
      <c r="H550" s="216">
        <v>1463.8499755</v>
      </c>
    </row>
    <row r="551" spans="2:8" ht="21.95" customHeight="1" x14ac:dyDescent="0.2">
      <c r="B551" s="143" t="s">
        <v>22</v>
      </c>
      <c r="C551" s="143">
        <v>65</v>
      </c>
      <c r="D551" s="143">
        <v>2026</v>
      </c>
      <c r="E551" s="687">
        <v>2.5237511521</v>
      </c>
      <c r="F551" s="687">
        <v>4.5395526200000001E-2</v>
      </c>
      <c r="G551" s="687">
        <v>4.8064819999999999E-3</v>
      </c>
      <c r="H551" s="216">
        <v>1435.8739746000001</v>
      </c>
    </row>
    <row r="552" spans="2:8" ht="21.95" customHeight="1" x14ac:dyDescent="0.2">
      <c r="B552" s="143" t="s">
        <v>22</v>
      </c>
      <c r="C552" s="143">
        <v>65</v>
      </c>
      <c r="D552" s="143">
        <v>2027</v>
      </c>
      <c r="E552" s="687">
        <v>2.3484625277000002</v>
      </c>
      <c r="F552" s="687">
        <v>4.0307664399999998E-2</v>
      </c>
      <c r="G552" s="687">
        <v>4.7095590000000003E-3</v>
      </c>
      <c r="H552" s="216">
        <v>1407.8979737</v>
      </c>
    </row>
    <row r="553" spans="2:8" ht="21.95" customHeight="1" x14ac:dyDescent="0.2">
      <c r="B553" s="143" t="s">
        <v>22</v>
      </c>
      <c r="C553" s="143">
        <v>65</v>
      </c>
      <c r="D553" s="143">
        <v>2028</v>
      </c>
      <c r="E553" s="687">
        <v>2.1731739032999999</v>
      </c>
      <c r="F553" s="687">
        <v>3.5219802600000003E-2</v>
      </c>
      <c r="G553" s="687">
        <v>4.6126359999999998E-3</v>
      </c>
      <c r="H553" s="216">
        <v>1379.9219728</v>
      </c>
    </row>
    <row r="554" spans="2:8" ht="21.95" customHeight="1" x14ac:dyDescent="0.2">
      <c r="B554" s="143" t="s">
        <v>22</v>
      </c>
      <c r="C554" s="143">
        <v>65</v>
      </c>
      <c r="D554" s="143">
        <v>2029</v>
      </c>
      <c r="E554" s="687">
        <v>1.9978852788999999</v>
      </c>
      <c r="F554" s="687">
        <v>3.01319408E-2</v>
      </c>
      <c r="G554" s="687">
        <v>4.5157130000000002E-3</v>
      </c>
      <c r="H554" s="216">
        <v>1351.9459718999999</v>
      </c>
    </row>
    <row r="555" spans="2:8" ht="21.95" customHeight="1" x14ac:dyDescent="0.2">
      <c r="B555" s="143" t="s">
        <v>22</v>
      </c>
      <c r="C555" s="143">
        <v>65</v>
      </c>
      <c r="D555" s="143">
        <v>2030</v>
      </c>
      <c r="E555" s="687">
        <v>1.8225966545000001</v>
      </c>
      <c r="F555" s="687">
        <v>2.5044079E-2</v>
      </c>
      <c r="G555" s="687">
        <v>4.4187899999999997E-3</v>
      </c>
      <c r="H555" s="216">
        <v>1323.969971</v>
      </c>
    </row>
    <row r="556" spans="2:8" ht="21.95" customHeight="1" x14ac:dyDescent="0.2">
      <c r="B556" s="143" t="s">
        <v>22</v>
      </c>
      <c r="C556" s="143">
        <v>65</v>
      </c>
      <c r="D556" s="143">
        <v>2031</v>
      </c>
      <c r="E556" s="687">
        <v>1.7981590881</v>
      </c>
      <c r="F556" s="687">
        <v>2.4368910099999998E-2</v>
      </c>
      <c r="G556" s="687">
        <v>4.3843950000000001E-3</v>
      </c>
      <c r="H556" s="216">
        <v>1313.7629763</v>
      </c>
    </row>
    <row r="557" spans="2:8" ht="21.95" customHeight="1" x14ac:dyDescent="0.2">
      <c r="B557" s="143" t="s">
        <v>22</v>
      </c>
      <c r="C557" s="143">
        <v>65</v>
      </c>
      <c r="D557" s="143">
        <v>2032</v>
      </c>
      <c r="E557" s="687">
        <v>1.7737215217</v>
      </c>
      <c r="F557" s="687">
        <v>2.36937412E-2</v>
      </c>
      <c r="G557" s="687">
        <v>4.3499999999999997E-3</v>
      </c>
      <c r="H557" s="216">
        <v>1303.5559816</v>
      </c>
    </row>
    <row r="558" spans="2:8" ht="21.95" customHeight="1" x14ac:dyDescent="0.2">
      <c r="B558" s="143" t="s">
        <v>22</v>
      </c>
      <c r="C558" s="143">
        <v>65</v>
      </c>
      <c r="D558" s="143">
        <v>2033</v>
      </c>
      <c r="E558" s="687">
        <v>1.7492839552999999</v>
      </c>
      <c r="F558" s="687">
        <v>2.3018572300000002E-2</v>
      </c>
      <c r="G558" s="687">
        <v>4.3156050000000001E-3</v>
      </c>
      <c r="H558" s="216">
        <v>1293.3489869</v>
      </c>
    </row>
    <row r="559" spans="2:8" ht="21.95" customHeight="1" x14ac:dyDescent="0.2">
      <c r="B559" s="143" t="s">
        <v>22</v>
      </c>
      <c r="C559" s="143">
        <v>65</v>
      </c>
      <c r="D559" s="143">
        <v>2034</v>
      </c>
      <c r="E559" s="687">
        <v>1.7248463889000001</v>
      </c>
      <c r="F559" s="687">
        <v>2.23434034E-2</v>
      </c>
      <c r="G559" s="687">
        <v>4.2812099999999997E-3</v>
      </c>
      <c r="H559" s="216">
        <v>1283.1419922</v>
      </c>
    </row>
    <row r="560" spans="2:8" ht="21.95" customHeight="1" x14ac:dyDescent="0.2">
      <c r="B560" s="143" t="s">
        <v>22</v>
      </c>
      <c r="C560" s="143">
        <v>65</v>
      </c>
      <c r="D560" s="143">
        <v>2035</v>
      </c>
      <c r="E560" s="687">
        <v>1.7004088225</v>
      </c>
      <c r="F560" s="687">
        <v>2.1668234500000001E-2</v>
      </c>
      <c r="G560" s="687">
        <v>4.2468150000000001E-3</v>
      </c>
      <c r="H560" s="216">
        <v>1272.9349975</v>
      </c>
    </row>
    <row r="561" spans="2:8" ht="21.95" customHeight="1" x14ac:dyDescent="0.2">
      <c r="B561" s="143" t="s">
        <v>22</v>
      </c>
      <c r="C561" s="143">
        <v>65</v>
      </c>
      <c r="D561" s="143">
        <v>2036</v>
      </c>
      <c r="E561" s="687">
        <v>1.6759712561</v>
      </c>
      <c r="F561" s="687">
        <v>2.0993065599999999E-2</v>
      </c>
      <c r="G561" s="687">
        <v>4.2124199999999997E-3</v>
      </c>
      <c r="H561" s="216">
        <v>1262.7280028</v>
      </c>
    </row>
    <row r="562" spans="2:8" ht="21.95" customHeight="1" x14ac:dyDescent="0.2">
      <c r="B562" s="143" t="s">
        <v>22</v>
      </c>
      <c r="C562" s="143">
        <v>65</v>
      </c>
      <c r="D562" s="143">
        <v>2037</v>
      </c>
      <c r="E562" s="687">
        <v>1.6515336896999999</v>
      </c>
      <c r="F562" s="687">
        <v>2.0317896700000001E-2</v>
      </c>
      <c r="G562" s="687">
        <v>4.1780250000000001E-3</v>
      </c>
      <c r="H562" s="216">
        <v>1252.5210081</v>
      </c>
    </row>
    <row r="563" spans="2:8" ht="21.95" customHeight="1" x14ac:dyDescent="0.2">
      <c r="B563" s="143" t="s">
        <v>22</v>
      </c>
      <c r="C563" s="143">
        <v>65</v>
      </c>
      <c r="D563" s="143">
        <v>2038</v>
      </c>
      <c r="E563" s="687">
        <v>1.6270961233000001</v>
      </c>
      <c r="F563" s="687">
        <v>1.9642727799999999E-2</v>
      </c>
      <c r="G563" s="687">
        <v>4.1436299999999997E-3</v>
      </c>
      <c r="H563" s="216">
        <v>1242.3140134</v>
      </c>
    </row>
    <row r="564" spans="2:8" ht="21.95" customHeight="1" x14ac:dyDescent="0.2">
      <c r="B564" s="143" t="s">
        <v>22</v>
      </c>
      <c r="C564" s="143">
        <v>65</v>
      </c>
      <c r="D564" s="143">
        <v>2039</v>
      </c>
      <c r="E564" s="687">
        <v>1.6026585569</v>
      </c>
      <c r="F564" s="687">
        <v>1.8967558900000001E-2</v>
      </c>
      <c r="G564" s="687">
        <v>4.1092350000000001E-3</v>
      </c>
      <c r="H564" s="216">
        <v>1232.1070187</v>
      </c>
    </row>
    <row r="565" spans="2:8" ht="21.95" customHeight="1" x14ac:dyDescent="0.2">
      <c r="B565" s="143" t="s">
        <v>22</v>
      </c>
      <c r="C565" s="143">
        <v>65</v>
      </c>
      <c r="D565" s="143">
        <v>2040</v>
      </c>
      <c r="E565" s="687">
        <v>1.5782209905</v>
      </c>
      <c r="F565" s="687">
        <v>1.8292389999999999E-2</v>
      </c>
      <c r="G565" s="687">
        <v>4.0748399999999997E-3</v>
      </c>
      <c r="H565" s="216">
        <v>1221.900024</v>
      </c>
    </row>
    <row r="566" spans="2:8" ht="21.95" customHeight="1" x14ac:dyDescent="0.2">
      <c r="B566" s="143" t="s">
        <v>22</v>
      </c>
      <c r="C566" s="143">
        <v>65</v>
      </c>
      <c r="D566" s="143">
        <v>2041</v>
      </c>
      <c r="E566" s="687">
        <v>1.5716789249750001</v>
      </c>
      <c r="F566" s="687">
        <v>1.8110363000000001E-2</v>
      </c>
      <c r="G566" s="687">
        <v>4.0705050000000003E-3</v>
      </c>
      <c r="H566" s="216">
        <v>1220.6000240000001</v>
      </c>
    </row>
    <row r="567" spans="2:8" ht="21.95" customHeight="1" x14ac:dyDescent="0.2">
      <c r="B567" s="143" t="s">
        <v>22</v>
      </c>
      <c r="C567" s="143">
        <v>65</v>
      </c>
      <c r="D567" s="143">
        <v>2042</v>
      </c>
      <c r="E567" s="687">
        <v>1.5651368594499999</v>
      </c>
      <c r="F567" s="687">
        <v>1.7928336E-2</v>
      </c>
      <c r="G567" s="687">
        <v>4.06617E-3</v>
      </c>
      <c r="H567" s="216">
        <v>1219.3000239999999</v>
      </c>
    </row>
    <row r="568" spans="2:8" ht="21.95" customHeight="1" x14ac:dyDescent="0.2">
      <c r="B568" s="143" t="s">
        <v>22</v>
      </c>
      <c r="C568" s="143">
        <v>65</v>
      </c>
      <c r="D568" s="143">
        <v>2043</v>
      </c>
      <c r="E568" s="687">
        <v>1.558594793925</v>
      </c>
      <c r="F568" s="687">
        <v>1.7746308999999998E-2</v>
      </c>
      <c r="G568" s="687">
        <v>4.0618349999999998E-3</v>
      </c>
      <c r="H568" s="216">
        <v>1218.0000239999999</v>
      </c>
    </row>
    <row r="569" spans="2:8" ht="21.95" customHeight="1" x14ac:dyDescent="0.2">
      <c r="B569" s="143" t="s">
        <v>22</v>
      </c>
      <c r="C569" s="143">
        <v>65</v>
      </c>
      <c r="D569" s="143">
        <v>2044</v>
      </c>
      <c r="E569" s="687">
        <v>1.5520527284000001</v>
      </c>
      <c r="F569" s="687">
        <v>1.7564282000000001E-2</v>
      </c>
      <c r="G569" s="687">
        <v>4.0575000000000003E-3</v>
      </c>
      <c r="H569" s="216">
        <v>1216.700024</v>
      </c>
    </row>
    <row r="570" spans="2:8" ht="21.95" customHeight="1" x14ac:dyDescent="0.2">
      <c r="B570" s="143" t="s">
        <v>22</v>
      </c>
      <c r="C570" s="143">
        <v>65</v>
      </c>
      <c r="D570" s="143">
        <v>2045</v>
      </c>
      <c r="E570" s="687">
        <v>1.5455106628749999</v>
      </c>
      <c r="F570" s="687">
        <v>1.7382254999999999E-2</v>
      </c>
      <c r="G570" s="687">
        <v>4.0531650000000001E-3</v>
      </c>
      <c r="H570" s="216">
        <v>1215.400024</v>
      </c>
    </row>
    <row r="571" spans="2:8" ht="21.95" customHeight="1" x14ac:dyDescent="0.2">
      <c r="B571" s="143" t="s">
        <v>22</v>
      </c>
      <c r="C571" s="143">
        <v>65</v>
      </c>
      <c r="D571" s="143">
        <v>2046</v>
      </c>
      <c r="E571" s="687">
        <v>1.53896859735</v>
      </c>
      <c r="F571" s="687">
        <v>1.7200228000000001E-2</v>
      </c>
      <c r="G571" s="687">
        <v>4.0488299999999998E-3</v>
      </c>
      <c r="H571" s="216">
        <v>1214.1000240000001</v>
      </c>
    </row>
    <row r="572" spans="2:8" ht="21.95" customHeight="1" x14ac:dyDescent="0.2">
      <c r="B572" s="143" t="s">
        <v>22</v>
      </c>
      <c r="C572" s="143">
        <v>65</v>
      </c>
      <c r="D572" s="143">
        <v>2047</v>
      </c>
      <c r="E572" s="687">
        <v>1.5324265318250001</v>
      </c>
      <c r="F572" s="687">
        <v>1.7018201E-2</v>
      </c>
      <c r="G572" s="687">
        <v>4.0444950000000004E-3</v>
      </c>
      <c r="H572" s="216">
        <v>1212.8000239999999</v>
      </c>
    </row>
    <row r="573" spans="2:8" ht="21.95" customHeight="1" x14ac:dyDescent="0.2">
      <c r="B573" s="143" t="s">
        <v>22</v>
      </c>
      <c r="C573" s="143">
        <v>65</v>
      </c>
      <c r="D573" s="143">
        <v>2048</v>
      </c>
      <c r="E573" s="687">
        <v>1.5258844663</v>
      </c>
      <c r="F573" s="687">
        <v>1.6836173999999999E-2</v>
      </c>
      <c r="G573" s="687">
        <v>4.0401600000000001E-3</v>
      </c>
      <c r="H573" s="216">
        <v>1211.5000239999999</v>
      </c>
    </row>
    <row r="574" spans="2:8" ht="21.95" customHeight="1" x14ac:dyDescent="0.2">
      <c r="B574" s="143" t="s">
        <v>22</v>
      </c>
      <c r="C574" s="143">
        <v>65</v>
      </c>
      <c r="D574" s="143">
        <v>2049</v>
      </c>
      <c r="E574" s="687">
        <v>1.519342400775</v>
      </c>
      <c r="F574" s="687">
        <v>1.6654147000000001E-2</v>
      </c>
      <c r="G574" s="687">
        <v>4.0358249999999998E-3</v>
      </c>
      <c r="H574" s="216">
        <v>1210.200024</v>
      </c>
    </row>
    <row r="575" spans="2:8" ht="21.95" customHeight="1" x14ac:dyDescent="0.2">
      <c r="B575" s="143" t="s">
        <v>22</v>
      </c>
      <c r="C575" s="143">
        <v>65</v>
      </c>
      <c r="D575" s="143">
        <v>2050</v>
      </c>
      <c r="E575" s="687">
        <v>1.5128003352499999</v>
      </c>
      <c r="F575" s="687">
        <v>1.647212E-2</v>
      </c>
      <c r="G575" s="687">
        <v>4.0314900000000004E-3</v>
      </c>
      <c r="H575" s="216">
        <v>1208.900024</v>
      </c>
    </row>
    <row r="576" spans="2:8" ht="21.95" customHeight="1" x14ac:dyDescent="0.2">
      <c r="B576" s="143" t="s">
        <v>22</v>
      </c>
      <c r="C576" s="143">
        <v>65</v>
      </c>
      <c r="D576" s="143">
        <v>2051</v>
      </c>
      <c r="E576" s="687">
        <v>1.5086040141749999</v>
      </c>
      <c r="F576" s="687">
        <v>1.6341892E-2</v>
      </c>
      <c r="G576" s="687">
        <v>4.0309589999999998E-3</v>
      </c>
      <c r="H576" s="216">
        <v>1208.7400265000001</v>
      </c>
    </row>
    <row r="577" spans="2:8" ht="21.95" customHeight="1" x14ac:dyDescent="0.2">
      <c r="B577" s="143" t="s">
        <v>22</v>
      </c>
      <c r="C577" s="143">
        <v>65</v>
      </c>
      <c r="D577" s="143">
        <v>2052</v>
      </c>
      <c r="E577" s="687">
        <v>1.5044076931000001</v>
      </c>
      <c r="F577" s="687">
        <v>1.6211664000000001E-2</v>
      </c>
      <c r="G577" s="687">
        <v>4.030428E-3</v>
      </c>
      <c r="H577" s="216">
        <v>1208.580029</v>
      </c>
    </row>
    <row r="578" spans="2:8" ht="21.95" customHeight="1" x14ac:dyDescent="0.2">
      <c r="B578" s="143" t="s">
        <v>22</v>
      </c>
      <c r="C578" s="143">
        <v>65</v>
      </c>
      <c r="D578" s="143">
        <v>2053</v>
      </c>
      <c r="E578" s="687">
        <v>1.5002113720250001</v>
      </c>
      <c r="F578" s="687">
        <v>1.6081436000000001E-2</v>
      </c>
      <c r="G578" s="687">
        <v>4.0298970000000002E-3</v>
      </c>
      <c r="H578" s="216">
        <v>1208.4200315000001</v>
      </c>
    </row>
    <row r="579" spans="2:8" ht="21.95" customHeight="1" x14ac:dyDescent="0.2">
      <c r="B579" s="143" t="s">
        <v>22</v>
      </c>
      <c r="C579" s="143">
        <v>65</v>
      </c>
      <c r="D579" s="143">
        <v>2054</v>
      </c>
      <c r="E579" s="687">
        <v>1.4960150509500001</v>
      </c>
      <c r="F579" s="687">
        <v>1.5951208000000001E-2</v>
      </c>
      <c r="G579" s="687">
        <v>4.0293660000000004E-3</v>
      </c>
      <c r="H579" s="216">
        <v>1208.2600339999999</v>
      </c>
    </row>
    <row r="580" spans="2:8" ht="21.95" customHeight="1" x14ac:dyDescent="0.2">
      <c r="B580" s="143" t="s">
        <v>22</v>
      </c>
      <c r="C580" s="143">
        <v>65</v>
      </c>
      <c r="D580" s="143">
        <v>2055</v>
      </c>
      <c r="E580" s="687">
        <v>1.4918187298750001</v>
      </c>
      <c r="F580" s="687">
        <v>1.5820979999999998E-2</v>
      </c>
      <c r="G580" s="687">
        <v>4.0288349999999997E-3</v>
      </c>
      <c r="H580" s="216">
        <v>1208.1000365</v>
      </c>
    </row>
    <row r="581" spans="2:8" ht="21.95" customHeight="1" x14ac:dyDescent="0.2">
      <c r="B581" s="143" t="s">
        <v>22</v>
      </c>
      <c r="C581" s="143">
        <v>65</v>
      </c>
      <c r="D581" s="143">
        <v>2056</v>
      </c>
      <c r="E581" s="687">
        <v>1.4876224088000001</v>
      </c>
      <c r="F581" s="687">
        <v>1.5690751999999999E-2</v>
      </c>
      <c r="G581" s="687">
        <v>4.0283039999999999E-3</v>
      </c>
      <c r="H581" s="216">
        <v>1207.9400390000001</v>
      </c>
    </row>
    <row r="582" spans="2:8" ht="21.95" customHeight="1" x14ac:dyDescent="0.2">
      <c r="B582" s="143" t="s">
        <v>22</v>
      </c>
      <c r="C582" s="143">
        <v>65</v>
      </c>
      <c r="D582" s="143">
        <v>2057</v>
      </c>
      <c r="E582" s="687">
        <v>1.4834260877250001</v>
      </c>
      <c r="F582" s="687">
        <v>1.5560523999999999E-2</v>
      </c>
      <c r="G582" s="687">
        <v>4.0277730000000001E-3</v>
      </c>
      <c r="H582" s="216">
        <v>1207.7800414999999</v>
      </c>
    </row>
    <row r="583" spans="2:8" ht="21.95" customHeight="1" x14ac:dyDescent="0.2">
      <c r="B583" s="143" t="s">
        <v>22</v>
      </c>
      <c r="C583" s="143">
        <v>65</v>
      </c>
      <c r="D583" s="143">
        <v>2058</v>
      </c>
      <c r="E583" s="687">
        <v>1.4792297666500001</v>
      </c>
      <c r="F583" s="687">
        <v>1.5430296E-2</v>
      </c>
      <c r="G583" s="687">
        <v>4.0272420000000003E-3</v>
      </c>
      <c r="H583" s="216">
        <v>1207.620044</v>
      </c>
    </row>
    <row r="584" spans="2:8" ht="21.95" customHeight="1" x14ac:dyDescent="0.2">
      <c r="B584" s="143" t="s">
        <v>22</v>
      </c>
      <c r="C584" s="143">
        <v>65</v>
      </c>
      <c r="D584" s="143">
        <v>2059</v>
      </c>
      <c r="E584" s="687">
        <v>1.475033445575</v>
      </c>
      <c r="F584" s="687">
        <v>1.5300068E-2</v>
      </c>
      <c r="G584" s="687">
        <v>4.0267109999999997E-3</v>
      </c>
      <c r="H584" s="216">
        <v>1207.4600465000001</v>
      </c>
    </row>
    <row r="585" spans="2:8" ht="21.95" customHeight="1" x14ac:dyDescent="0.2">
      <c r="B585" s="143" t="s">
        <v>22</v>
      </c>
      <c r="C585" s="143">
        <v>65</v>
      </c>
      <c r="D585" s="143">
        <v>2060</v>
      </c>
      <c r="E585" s="687">
        <v>1.4708371245</v>
      </c>
      <c r="F585" s="687">
        <v>1.516984E-2</v>
      </c>
      <c r="G585" s="687">
        <v>4.0261799999999999E-3</v>
      </c>
      <c r="H585" s="216">
        <v>1207.3000489999999</v>
      </c>
    </row>
    <row r="586" spans="2:8" ht="21.95" customHeight="1" x14ac:dyDescent="0.2">
      <c r="B586" s="143" t="s">
        <v>22</v>
      </c>
      <c r="C586" s="143">
        <v>70</v>
      </c>
      <c r="D586" s="143">
        <v>2020</v>
      </c>
      <c r="E586" s="687">
        <v>3.79988875475</v>
      </c>
      <c r="F586" s="687">
        <v>7.8827804000000001E-2</v>
      </c>
      <c r="G586" s="687">
        <v>5.6387E-3</v>
      </c>
      <c r="H586" s="216">
        <v>1678.130005</v>
      </c>
    </row>
    <row r="587" spans="2:8" ht="21.95" customHeight="1" x14ac:dyDescent="0.2">
      <c r="B587" s="143" t="s">
        <v>22</v>
      </c>
      <c r="C587" s="143">
        <v>70</v>
      </c>
      <c r="D587" s="143">
        <v>2021</v>
      </c>
      <c r="E587" s="687">
        <v>3.6167191348749999</v>
      </c>
      <c r="F587" s="687">
        <v>7.3560165499999997E-2</v>
      </c>
      <c r="G587" s="687">
        <v>5.5347460625000001E-3</v>
      </c>
      <c r="H587" s="216">
        <v>1648.1160035</v>
      </c>
    </row>
    <row r="588" spans="2:8" ht="21.95" customHeight="1" x14ac:dyDescent="0.2">
      <c r="B588" s="143" t="s">
        <v>22</v>
      </c>
      <c r="C588" s="143">
        <v>70</v>
      </c>
      <c r="D588" s="143">
        <v>2022</v>
      </c>
      <c r="E588" s="687">
        <v>3.4335495150000002</v>
      </c>
      <c r="F588" s="687">
        <v>6.8292527000000006E-2</v>
      </c>
      <c r="G588" s="687">
        <v>5.4307921250000002E-3</v>
      </c>
      <c r="H588" s="216">
        <v>1618.1020020000001</v>
      </c>
    </row>
    <row r="589" spans="2:8" ht="21.95" customHeight="1" x14ac:dyDescent="0.2">
      <c r="B589" s="143" t="s">
        <v>22</v>
      </c>
      <c r="C589" s="143">
        <v>70</v>
      </c>
      <c r="D589" s="143">
        <v>2023</v>
      </c>
      <c r="E589" s="687">
        <v>3.250379895125</v>
      </c>
      <c r="F589" s="687">
        <v>6.3024888500000001E-2</v>
      </c>
      <c r="G589" s="687">
        <v>5.3268381875000003E-3</v>
      </c>
      <c r="H589" s="216">
        <v>1588.0880004999999</v>
      </c>
    </row>
    <row r="590" spans="2:8" ht="21.95" customHeight="1" x14ac:dyDescent="0.2">
      <c r="B590" s="143" t="s">
        <v>22</v>
      </c>
      <c r="C590" s="143">
        <v>70</v>
      </c>
      <c r="D590" s="143">
        <v>2024</v>
      </c>
      <c r="E590" s="687">
        <v>3.0672102752499999</v>
      </c>
      <c r="F590" s="687">
        <v>5.7757250000000003E-2</v>
      </c>
      <c r="G590" s="687">
        <v>5.2228842500000004E-3</v>
      </c>
      <c r="H590" s="216">
        <v>1558.073999</v>
      </c>
    </row>
    <row r="591" spans="2:8" ht="21.95" customHeight="1" x14ac:dyDescent="0.2">
      <c r="B591" s="143" t="s">
        <v>22</v>
      </c>
      <c r="C591" s="143">
        <v>70</v>
      </c>
      <c r="D591" s="143">
        <v>2025</v>
      </c>
      <c r="E591" s="687">
        <v>2.8840406553750002</v>
      </c>
      <c r="F591" s="687">
        <v>5.2489611499999998E-2</v>
      </c>
      <c r="G591" s="687">
        <v>5.1189303124999997E-3</v>
      </c>
      <c r="H591" s="216">
        <v>1528.0599975</v>
      </c>
    </row>
    <row r="592" spans="2:8" ht="21.95" customHeight="1" x14ac:dyDescent="0.2">
      <c r="B592" s="143" t="s">
        <v>22</v>
      </c>
      <c r="C592" s="143">
        <v>70</v>
      </c>
      <c r="D592" s="143">
        <v>2026</v>
      </c>
      <c r="E592" s="687">
        <v>2.7008710355000001</v>
      </c>
      <c r="F592" s="687">
        <v>4.7221973E-2</v>
      </c>
      <c r="G592" s="687">
        <v>5.0149763749999998E-3</v>
      </c>
      <c r="H592" s="216">
        <v>1498.0459960000001</v>
      </c>
    </row>
    <row r="593" spans="2:8" ht="21.95" customHeight="1" x14ac:dyDescent="0.2">
      <c r="B593" s="143" t="s">
        <v>22</v>
      </c>
      <c r="C593" s="143">
        <v>70</v>
      </c>
      <c r="D593" s="143">
        <v>2027</v>
      </c>
      <c r="E593" s="687">
        <v>2.5177014156249999</v>
      </c>
      <c r="F593" s="687">
        <v>4.1954334500000003E-2</v>
      </c>
      <c r="G593" s="687">
        <v>4.9110224374999999E-3</v>
      </c>
      <c r="H593" s="216">
        <v>1468.0319945000001</v>
      </c>
    </row>
    <row r="594" spans="2:8" ht="21.95" customHeight="1" x14ac:dyDescent="0.2">
      <c r="B594" s="143" t="s">
        <v>22</v>
      </c>
      <c r="C594" s="143">
        <v>70</v>
      </c>
      <c r="D594" s="143">
        <v>2028</v>
      </c>
      <c r="E594" s="687">
        <v>2.3345317957499998</v>
      </c>
      <c r="F594" s="687">
        <v>3.6686695999999998E-2</v>
      </c>
      <c r="G594" s="687">
        <v>4.8070685E-3</v>
      </c>
      <c r="H594" s="216">
        <v>1438.0179929999999</v>
      </c>
    </row>
    <row r="595" spans="2:8" ht="21.95" customHeight="1" x14ac:dyDescent="0.2">
      <c r="B595" s="143" t="s">
        <v>22</v>
      </c>
      <c r="C595" s="143">
        <v>70</v>
      </c>
      <c r="D595" s="143">
        <v>2029</v>
      </c>
      <c r="E595" s="687">
        <v>2.1513621758750001</v>
      </c>
      <c r="F595" s="687">
        <v>3.14190575E-2</v>
      </c>
      <c r="G595" s="687">
        <v>4.7031145625000001E-3</v>
      </c>
      <c r="H595" s="216">
        <v>1408.0039915</v>
      </c>
    </row>
    <row r="596" spans="2:8" ht="21.95" customHeight="1" x14ac:dyDescent="0.2">
      <c r="B596" s="143" t="s">
        <v>22</v>
      </c>
      <c r="C596" s="143">
        <v>70</v>
      </c>
      <c r="D596" s="143">
        <v>2030</v>
      </c>
      <c r="E596" s="687">
        <v>1.968192556</v>
      </c>
      <c r="F596" s="687">
        <v>2.6151418999999999E-2</v>
      </c>
      <c r="G596" s="687">
        <v>4.5991606250000002E-3</v>
      </c>
      <c r="H596" s="216">
        <v>1377.98999</v>
      </c>
    </row>
    <row r="597" spans="2:8" ht="21.95" customHeight="1" x14ac:dyDescent="0.2">
      <c r="B597" s="143" t="s">
        <v>22</v>
      </c>
      <c r="C597" s="143">
        <v>70</v>
      </c>
      <c r="D597" s="143">
        <v>2031</v>
      </c>
      <c r="E597" s="687">
        <v>1.942730286275</v>
      </c>
      <c r="F597" s="687">
        <v>2.5456408E-2</v>
      </c>
      <c r="G597" s="687">
        <v>4.5627875625000001E-3</v>
      </c>
      <c r="H597" s="216">
        <v>1367.1959959000001</v>
      </c>
    </row>
    <row r="598" spans="2:8" ht="21.95" customHeight="1" x14ac:dyDescent="0.2">
      <c r="B598" s="143" t="s">
        <v>22</v>
      </c>
      <c r="C598" s="143">
        <v>70</v>
      </c>
      <c r="D598" s="143">
        <v>2032</v>
      </c>
      <c r="E598" s="687">
        <v>1.91726801655</v>
      </c>
      <c r="F598" s="687">
        <v>2.4761397000000001E-2</v>
      </c>
      <c r="G598" s="687">
        <v>4.5264145E-3</v>
      </c>
      <c r="H598" s="216">
        <v>1356.4020018000001</v>
      </c>
    </row>
    <row r="599" spans="2:8" ht="21.95" customHeight="1" x14ac:dyDescent="0.2">
      <c r="B599" s="143" t="s">
        <v>22</v>
      </c>
      <c r="C599" s="143">
        <v>70</v>
      </c>
      <c r="D599" s="143">
        <v>2033</v>
      </c>
      <c r="E599" s="687">
        <v>1.891805746825</v>
      </c>
      <c r="F599" s="687">
        <v>2.4066385999999999E-2</v>
      </c>
      <c r="G599" s="687">
        <v>4.4900414374999999E-3</v>
      </c>
      <c r="H599" s="216">
        <v>1345.6080076999999</v>
      </c>
    </row>
    <row r="600" spans="2:8" ht="21.95" customHeight="1" x14ac:dyDescent="0.2">
      <c r="B600" s="143" t="s">
        <v>22</v>
      </c>
      <c r="C600" s="143">
        <v>70</v>
      </c>
      <c r="D600" s="143">
        <v>2034</v>
      </c>
      <c r="E600" s="687">
        <v>1.8663434771</v>
      </c>
      <c r="F600" s="687">
        <v>2.3371375E-2</v>
      </c>
      <c r="G600" s="687">
        <v>4.4536683749999998E-3</v>
      </c>
      <c r="H600" s="216">
        <v>1334.8140136</v>
      </c>
    </row>
    <row r="601" spans="2:8" ht="21.95" customHeight="1" x14ac:dyDescent="0.2">
      <c r="B601" s="143" t="s">
        <v>22</v>
      </c>
      <c r="C601" s="143">
        <v>70</v>
      </c>
      <c r="D601" s="143">
        <v>2035</v>
      </c>
      <c r="E601" s="687">
        <v>1.8408812073750001</v>
      </c>
      <c r="F601" s="687">
        <v>2.2676364000000001E-2</v>
      </c>
      <c r="G601" s="687">
        <v>4.4172953124999997E-3</v>
      </c>
      <c r="H601" s="216">
        <v>1324.0200195</v>
      </c>
    </row>
    <row r="602" spans="2:8" ht="21.95" customHeight="1" x14ac:dyDescent="0.2">
      <c r="B602" s="143" t="s">
        <v>22</v>
      </c>
      <c r="C602" s="143">
        <v>70</v>
      </c>
      <c r="D602" s="143">
        <v>2036</v>
      </c>
      <c r="E602" s="687">
        <v>1.8154189376500001</v>
      </c>
      <c r="F602" s="687">
        <v>2.1981352999999999E-2</v>
      </c>
      <c r="G602" s="687">
        <v>4.3809222499999996E-3</v>
      </c>
      <c r="H602" s="216">
        <v>1313.2260254</v>
      </c>
    </row>
    <row r="603" spans="2:8" ht="21.95" customHeight="1" x14ac:dyDescent="0.2">
      <c r="B603" s="143" t="s">
        <v>22</v>
      </c>
      <c r="C603" s="143">
        <v>70</v>
      </c>
      <c r="D603" s="143">
        <v>2037</v>
      </c>
      <c r="E603" s="687">
        <v>1.7899566679250001</v>
      </c>
      <c r="F603" s="687">
        <v>2.1286342E-2</v>
      </c>
      <c r="G603" s="687">
        <v>4.3445491875000004E-3</v>
      </c>
      <c r="H603" s="216">
        <v>1302.4320313000001</v>
      </c>
    </row>
    <row r="604" spans="2:8" ht="21.95" customHeight="1" x14ac:dyDescent="0.2">
      <c r="B604" s="143" t="s">
        <v>22</v>
      </c>
      <c r="C604" s="143">
        <v>70</v>
      </c>
      <c r="D604" s="143">
        <v>2038</v>
      </c>
      <c r="E604" s="687">
        <v>1.7644943982000001</v>
      </c>
      <c r="F604" s="687">
        <v>2.0591331000000001E-2</v>
      </c>
      <c r="G604" s="687">
        <v>4.3081761250000003E-3</v>
      </c>
      <c r="H604" s="216">
        <v>1291.6380372000001</v>
      </c>
    </row>
    <row r="605" spans="2:8" ht="21.95" customHeight="1" x14ac:dyDescent="0.2">
      <c r="B605" s="143" t="s">
        <v>22</v>
      </c>
      <c r="C605" s="143">
        <v>70</v>
      </c>
      <c r="D605" s="143">
        <v>2039</v>
      </c>
      <c r="E605" s="687">
        <v>1.7390321284750001</v>
      </c>
      <c r="F605" s="687">
        <v>1.9896319999999999E-2</v>
      </c>
      <c r="G605" s="687">
        <v>4.2718030625000002E-3</v>
      </c>
      <c r="H605" s="216">
        <v>1280.8440430999999</v>
      </c>
    </row>
    <row r="606" spans="2:8" ht="21.95" customHeight="1" x14ac:dyDescent="0.2">
      <c r="B606" s="143" t="s">
        <v>22</v>
      </c>
      <c r="C606" s="143">
        <v>70</v>
      </c>
      <c r="D606" s="143">
        <v>2040</v>
      </c>
      <c r="E606" s="687">
        <v>1.7135698587499999</v>
      </c>
      <c r="F606" s="687">
        <v>1.9201309E-2</v>
      </c>
      <c r="G606" s="687">
        <v>4.2354300000000001E-3</v>
      </c>
      <c r="H606" s="216">
        <v>1270.0500489999999</v>
      </c>
    </row>
    <row r="607" spans="2:8" ht="21.95" customHeight="1" x14ac:dyDescent="0.2">
      <c r="B607" s="143" t="s">
        <v>22</v>
      </c>
      <c r="C607" s="143">
        <v>70</v>
      </c>
      <c r="D607" s="143">
        <v>2041</v>
      </c>
      <c r="E607" s="687">
        <v>1.7066797175999999</v>
      </c>
      <c r="F607" s="687">
        <v>1.9014359099999999E-2</v>
      </c>
      <c r="G607" s="687">
        <v>4.2308470000000003E-3</v>
      </c>
      <c r="H607" s="216">
        <v>1268.67605</v>
      </c>
    </row>
    <row r="608" spans="2:8" ht="21.95" customHeight="1" x14ac:dyDescent="0.2">
      <c r="B608" s="143" t="s">
        <v>22</v>
      </c>
      <c r="C608" s="143">
        <v>70</v>
      </c>
      <c r="D608" s="143">
        <v>2042</v>
      </c>
      <c r="E608" s="687">
        <v>1.69978957645</v>
      </c>
      <c r="F608" s="687">
        <v>1.8827409199999999E-2</v>
      </c>
      <c r="G608" s="687">
        <v>4.2262640000000004E-3</v>
      </c>
      <c r="H608" s="216">
        <v>1267.3020509999999</v>
      </c>
    </row>
    <row r="609" spans="2:8" ht="21.95" customHeight="1" x14ac:dyDescent="0.2">
      <c r="B609" s="143" t="s">
        <v>22</v>
      </c>
      <c r="C609" s="143">
        <v>70</v>
      </c>
      <c r="D609" s="143">
        <v>2043</v>
      </c>
      <c r="E609" s="687">
        <v>1.6928994353</v>
      </c>
      <c r="F609" s="687">
        <v>1.8640459299999999E-2</v>
      </c>
      <c r="G609" s="687">
        <v>4.2216809999999997E-3</v>
      </c>
      <c r="H609" s="216">
        <v>1265.928052</v>
      </c>
    </row>
    <row r="610" spans="2:8" ht="21.95" customHeight="1" x14ac:dyDescent="0.2">
      <c r="B610" s="143" t="s">
        <v>22</v>
      </c>
      <c r="C610" s="143">
        <v>70</v>
      </c>
      <c r="D610" s="143">
        <v>2044</v>
      </c>
      <c r="E610" s="687">
        <v>1.68600929415</v>
      </c>
      <c r="F610" s="687">
        <v>1.8453509399999998E-2</v>
      </c>
      <c r="G610" s="687">
        <v>4.2170979999999999E-3</v>
      </c>
      <c r="H610" s="216">
        <v>1264.5540530000001</v>
      </c>
    </row>
    <row r="611" spans="2:8" ht="21.95" customHeight="1" x14ac:dyDescent="0.2">
      <c r="B611" s="143" t="s">
        <v>22</v>
      </c>
      <c r="C611" s="143">
        <v>70</v>
      </c>
      <c r="D611" s="143">
        <v>2045</v>
      </c>
      <c r="E611" s="687">
        <v>1.679119153</v>
      </c>
      <c r="F611" s="687">
        <v>1.8266559500000001E-2</v>
      </c>
      <c r="G611" s="687">
        <v>4.212515E-3</v>
      </c>
      <c r="H611" s="216">
        <v>1263.1800539999999</v>
      </c>
    </row>
    <row r="612" spans="2:8" ht="21.95" customHeight="1" x14ac:dyDescent="0.2">
      <c r="B612" s="143" t="s">
        <v>22</v>
      </c>
      <c r="C612" s="143">
        <v>70</v>
      </c>
      <c r="D612" s="143">
        <v>2046</v>
      </c>
      <c r="E612" s="687">
        <v>1.6722290118500001</v>
      </c>
      <c r="F612" s="687">
        <v>1.8079609600000001E-2</v>
      </c>
      <c r="G612" s="687">
        <v>4.2079320000000002E-3</v>
      </c>
      <c r="H612" s="216">
        <v>1261.806055</v>
      </c>
    </row>
    <row r="613" spans="2:8" ht="21.95" customHeight="1" x14ac:dyDescent="0.2">
      <c r="B613" s="143" t="s">
        <v>22</v>
      </c>
      <c r="C613" s="143">
        <v>70</v>
      </c>
      <c r="D613" s="143">
        <v>2047</v>
      </c>
      <c r="E613" s="687">
        <v>1.6653388707000001</v>
      </c>
      <c r="F613" s="687">
        <v>1.7892659700000001E-2</v>
      </c>
      <c r="G613" s="687">
        <v>4.2033490000000003E-3</v>
      </c>
      <c r="H613" s="216">
        <v>1260.4320560000001</v>
      </c>
    </row>
    <row r="614" spans="2:8" ht="21.95" customHeight="1" x14ac:dyDescent="0.2">
      <c r="B614" s="143" t="s">
        <v>22</v>
      </c>
      <c r="C614" s="143">
        <v>70</v>
      </c>
      <c r="D614" s="143">
        <v>2048</v>
      </c>
      <c r="E614" s="687">
        <v>1.6584487295499999</v>
      </c>
      <c r="F614" s="687">
        <v>1.77057098E-2</v>
      </c>
      <c r="G614" s="687">
        <v>4.1987659999999996E-3</v>
      </c>
      <c r="H614" s="216">
        <v>1259.058057</v>
      </c>
    </row>
    <row r="615" spans="2:8" ht="21.95" customHeight="1" x14ac:dyDescent="0.2">
      <c r="B615" s="143" t="s">
        <v>22</v>
      </c>
      <c r="C615" s="143">
        <v>70</v>
      </c>
      <c r="D615" s="143">
        <v>2049</v>
      </c>
      <c r="E615" s="687">
        <v>1.6515585883999999</v>
      </c>
      <c r="F615" s="687">
        <v>1.75187599E-2</v>
      </c>
      <c r="G615" s="687">
        <v>4.1941829999999998E-3</v>
      </c>
      <c r="H615" s="216">
        <v>1257.6840580000001</v>
      </c>
    </row>
    <row r="616" spans="2:8" ht="21.95" customHeight="1" x14ac:dyDescent="0.2">
      <c r="B616" s="143" t="s">
        <v>22</v>
      </c>
      <c r="C616" s="143">
        <v>70</v>
      </c>
      <c r="D616" s="143">
        <v>2050</v>
      </c>
      <c r="E616" s="687">
        <v>1.6446684472499999</v>
      </c>
      <c r="F616" s="687">
        <v>1.733181E-2</v>
      </c>
      <c r="G616" s="687">
        <v>4.1895999999999999E-3</v>
      </c>
      <c r="H616" s="216">
        <v>1256.3100589999999</v>
      </c>
    </row>
    <row r="617" spans="2:8" ht="21.95" customHeight="1" x14ac:dyDescent="0.2">
      <c r="B617" s="143" t="s">
        <v>22</v>
      </c>
      <c r="C617" s="143">
        <v>70</v>
      </c>
      <c r="D617" s="143">
        <v>2051</v>
      </c>
      <c r="E617" s="687">
        <v>1.6402236374750001</v>
      </c>
      <c r="F617" s="687">
        <v>1.7198016999999999E-2</v>
      </c>
      <c r="G617" s="687">
        <v>4.1890169999999997E-3</v>
      </c>
      <c r="H617" s="216">
        <v>1256.135059</v>
      </c>
    </row>
    <row r="618" spans="2:8" ht="21.95" customHeight="1" x14ac:dyDescent="0.2">
      <c r="B618" s="143" t="s">
        <v>22</v>
      </c>
      <c r="C618" s="143">
        <v>70</v>
      </c>
      <c r="D618" s="143">
        <v>2052</v>
      </c>
      <c r="E618" s="687">
        <v>1.6357788277</v>
      </c>
      <c r="F618" s="687">
        <v>1.7064223999999999E-2</v>
      </c>
      <c r="G618" s="687">
        <v>4.1884340000000004E-3</v>
      </c>
      <c r="H618" s="216">
        <v>1255.960059</v>
      </c>
    </row>
    <row r="619" spans="2:8" ht="21.95" customHeight="1" x14ac:dyDescent="0.2">
      <c r="B619" s="143" t="s">
        <v>22</v>
      </c>
      <c r="C619" s="143">
        <v>70</v>
      </c>
      <c r="D619" s="143">
        <v>2053</v>
      </c>
      <c r="E619" s="687">
        <v>1.631334017925</v>
      </c>
      <c r="F619" s="687">
        <v>1.6930430999999999E-2</v>
      </c>
      <c r="G619" s="687">
        <v>4.1878510000000002E-3</v>
      </c>
      <c r="H619" s="216">
        <v>1255.785059</v>
      </c>
    </row>
    <row r="620" spans="2:8" ht="21.95" customHeight="1" x14ac:dyDescent="0.2">
      <c r="B620" s="143" t="s">
        <v>22</v>
      </c>
      <c r="C620" s="143">
        <v>70</v>
      </c>
      <c r="D620" s="143">
        <v>2054</v>
      </c>
      <c r="E620" s="687">
        <v>1.6268892081499999</v>
      </c>
      <c r="F620" s="687">
        <v>1.6796637999999999E-2</v>
      </c>
      <c r="G620" s="687">
        <v>4.1872680000000001E-3</v>
      </c>
      <c r="H620" s="216">
        <v>1255.6100590000001</v>
      </c>
    </row>
    <row r="621" spans="2:8" ht="21.95" customHeight="1" x14ac:dyDescent="0.2">
      <c r="B621" s="143" t="s">
        <v>22</v>
      </c>
      <c r="C621" s="143">
        <v>70</v>
      </c>
      <c r="D621" s="143">
        <v>2055</v>
      </c>
      <c r="E621" s="687">
        <v>1.6224443983750001</v>
      </c>
      <c r="F621" s="687">
        <v>1.6662844999999999E-2</v>
      </c>
      <c r="G621" s="687">
        <v>4.1866849999999999E-3</v>
      </c>
      <c r="H621" s="216">
        <v>1255.4350589999999</v>
      </c>
    </row>
    <row r="622" spans="2:8" ht="21.95" customHeight="1" x14ac:dyDescent="0.2">
      <c r="B622" s="143" t="s">
        <v>22</v>
      </c>
      <c r="C622" s="143">
        <v>70</v>
      </c>
      <c r="D622" s="143">
        <v>2056</v>
      </c>
      <c r="E622" s="687">
        <v>1.6179995886</v>
      </c>
      <c r="F622" s="687">
        <v>1.6529051999999999E-2</v>
      </c>
      <c r="G622" s="687">
        <v>4.1861019999999997E-3</v>
      </c>
      <c r="H622" s="216">
        <v>1255.260059</v>
      </c>
    </row>
    <row r="623" spans="2:8" ht="21.95" customHeight="1" x14ac:dyDescent="0.2">
      <c r="B623" s="143" t="s">
        <v>22</v>
      </c>
      <c r="C623" s="143">
        <v>70</v>
      </c>
      <c r="D623" s="143">
        <v>2057</v>
      </c>
      <c r="E623" s="687">
        <v>1.613554778825</v>
      </c>
      <c r="F623" s="687">
        <v>1.6395258999999999E-2</v>
      </c>
      <c r="G623" s="687">
        <v>4.1855190000000004E-3</v>
      </c>
      <c r="H623" s="216">
        <v>1255.085059</v>
      </c>
    </row>
    <row r="624" spans="2:8" ht="21.95" customHeight="1" x14ac:dyDescent="0.2">
      <c r="B624" s="143" t="s">
        <v>22</v>
      </c>
      <c r="C624" s="143">
        <v>70</v>
      </c>
      <c r="D624" s="143">
        <v>2058</v>
      </c>
      <c r="E624" s="687">
        <v>1.6091099690499999</v>
      </c>
      <c r="F624" s="687">
        <v>1.6261465999999999E-2</v>
      </c>
      <c r="G624" s="687">
        <v>4.1849360000000002E-3</v>
      </c>
      <c r="H624" s="216">
        <v>1254.910059</v>
      </c>
    </row>
    <row r="625" spans="2:8" ht="21.95" customHeight="1" x14ac:dyDescent="0.2">
      <c r="B625" s="143" t="s">
        <v>22</v>
      </c>
      <c r="C625" s="143">
        <v>70</v>
      </c>
      <c r="D625" s="143">
        <v>2059</v>
      </c>
      <c r="E625" s="687">
        <v>1.6046651592750001</v>
      </c>
      <c r="F625" s="687">
        <v>1.6127672999999999E-2</v>
      </c>
      <c r="G625" s="687">
        <v>4.184353E-3</v>
      </c>
      <c r="H625" s="216">
        <v>1254.7350590000001</v>
      </c>
    </row>
    <row r="626" spans="2:8" ht="21.95" customHeight="1" x14ac:dyDescent="0.2">
      <c r="B626" s="143" t="s">
        <v>22</v>
      </c>
      <c r="C626" s="143">
        <v>70</v>
      </c>
      <c r="D626" s="143">
        <v>2060</v>
      </c>
      <c r="E626" s="687">
        <v>1.6002203495</v>
      </c>
      <c r="F626" s="687">
        <v>1.5993879999999999E-2</v>
      </c>
      <c r="G626" s="687">
        <v>4.1837699999999999E-3</v>
      </c>
      <c r="H626" s="216">
        <v>1254.5600589999999</v>
      </c>
    </row>
    <row r="627" spans="2:8" ht="21.95" customHeight="1" x14ac:dyDescent="0.2">
      <c r="B627" s="143" t="s">
        <v>22</v>
      </c>
      <c r="C627" s="143">
        <v>75</v>
      </c>
      <c r="D627" s="143">
        <v>2020</v>
      </c>
      <c r="E627" s="687">
        <v>4.0496930069374999</v>
      </c>
      <c r="F627" s="687">
        <v>8.3384868000000001E-2</v>
      </c>
      <c r="G627" s="687">
        <v>5.9001100000000001E-3</v>
      </c>
      <c r="H627" s="216">
        <v>1755.5600589999999</v>
      </c>
    </row>
    <row r="628" spans="2:8" ht="21.95" customHeight="1" x14ac:dyDescent="0.2">
      <c r="B628" s="143" t="s">
        <v>22</v>
      </c>
      <c r="C628" s="143">
        <v>75</v>
      </c>
      <c r="D628" s="143">
        <v>2021</v>
      </c>
      <c r="E628" s="687">
        <v>3.8571823023937499</v>
      </c>
      <c r="F628" s="687">
        <v>7.7816695137500003E-2</v>
      </c>
      <c r="G628" s="687">
        <v>5.7900567499999996E-3</v>
      </c>
      <c r="H628" s="216">
        <v>1723.8040530999999</v>
      </c>
    </row>
    <row r="629" spans="2:8" ht="21.95" customHeight="1" x14ac:dyDescent="0.2">
      <c r="B629" s="143" t="s">
        <v>22</v>
      </c>
      <c r="C629" s="143">
        <v>75</v>
      </c>
      <c r="D629" s="143">
        <v>2022</v>
      </c>
      <c r="E629" s="687">
        <v>3.66467159785</v>
      </c>
      <c r="F629" s="687">
        <v>7.2248522275000004E-2</v>
      </c>
      <c r="G629" s="687">
        <v>5.6800035E-3</v>
      </c>
      <c r="H629" s="216">
        <v>1692.0480471999999</v>
      </c>
    </row>
    <row r="630" spans="2:8" ht="21.95" customHeight="1" x14ac:dyDescent="0.2">
      <c r="B630" s="143" t="s">
        <v>22</v>
      </c>
      <c r="C630" s="143">
        <v>75</v>
      </c>
      <c r="D630" s="143">
        <v>2023</v>
      </c>
      <c r="E630" s="687">
        <v>3.47216089330625</v>
      </c>
      <c r="F630" s="687">
        <v>6.6680349412500006E-2</v>
      </c>
      <c r="G630" s="687">
        <v>5.5699502499999996E-3</v>
      </c>
      <c r="H630" s="216">
        <v>1660.2920412999999</v>
      </c>
    </row>
    <row r="631" spans="2:8" ht="21.95" customHeight="1" x14ac:dyDescent="0.2">
      <c r="B631" s="143" t="s">
        <v>22</v>
      </c>
      <c r="C631" s="143">
        <v>75</v>
      </c>
      <c r="D631" s="143">
        <v>2024</v>
      </c>
      <c r="E631" s="687">
        <v>3.2796501887625</v>
      </c>
      <c r="F631" s="687">
        <v>6.1112176550000001E-2</v>
      </c>
      <c r="G631" s="687">
        <v>5.459897E-3</v>
      </c>
      <c r="H631" s="216">
        <v>1628.5360353999999</v>
      </c>
    </row>
    <row r="632" spans="2:8" ht="21.95" customHeight="1" x14ac:dyDescent="0.2">
      <c r="B632" s="143" t="s">
        <v>22</v>
      </c>
      <c r="C632" s="143">
        <v>75</v>
      </c>
      <c r="D632" s="143">
        <v>2025</v>
      </c>
      <c r="E632" s="687">
        <v>3.0871394842187501</v>
      </c>
      <c r="F632" s="687">
        <v>5.5544003687500003E-2</v>
      </c>
      <c r="G632" s="687">
        <v>5.3498437500000004E-3</v>
      </c>
      <c r="H632" s="216">
        <v>1596.7800295</v>
      </c>
    </row>
    <row r="633" spans="2:8" ht="21.95" customHeight="1" x14ac:dyDescent="0.2">
      <c r="B633" s="143" t="s">
        <v>22</v>
      </c>
      <c r="C633" s="143">
        <v>75</v>
      </c>
      <c r="D633" s="143">
        <v>2026</v>
      </c>
      <c r="E633" s="687">
        <v>2.8946287796750001</v>
      </c>
      <c r="F633" s="687">
        <v>4.9975830824999998E-2</v>
      </c>
      <c r="G633" s="687">
        <v>5.2397905E-3</v>
      </c>
      <c r="H633" s="216">
        <v>1565.0240236</v>
      </c>
    </row>
    <row r="634" spans="2:8" ht="21.95" customHeight="1" x14ac:dyDescent="0.2">
      <c r="B634" s="143" t="s">
        <v>22</v>
      </c>
      <c r="C634" s="143">
        <v>75</v>
      </c>
      <c r="D634" s="143">
        <v>2027</v>
      </c>
      <c r="E634" s="687">
        <v>2.7021180751312501</v>
      </c>
      <c r="F634" s="687">
        <v>4.44076579625E-2</v>
      </c>
      <c r="G634" s="687">
        <v>5.1297372500000004E-3</v>
      </c>
      <c r="H634" s="216">
        <v>1533.2680177</v>
      </c>
    </row>
    <row r="635" spans="2:8" ht="21.95" customHeight="1" x14ac:dyDescent="0.2">
      <c r="B635" s="143" t="s">
        <v>22</v>
      </c>
      <c r="C635" s="143">
        <v>75</v>
      </c>
      <c r="D635" s="143">
        <v>2028</v>
      </c>
      <c r="E635" s="687">
        <v>2.5096073705875002</v>
      </c>
      <c r="F635" s="687">
        <v>3.8839485100000001E-2</v>
      </c>
      <c r="G635" s="687">
        <v>5.019684E-3</v>
      </c>
      <c r="H635" s="216">
        <v>1501.5120118</v>
      </c>
    </row>
    <row r="636" spans="2:8" ht="21.95" customHeight="1" x14ac:dyDescent="0.2">
      <c r="B636" s="143" t="s">
        <v>22</v>
      </c>
      <c r="C636" s="143">
        <v>75</v>
      </c>
      <c r="D636" s="143">
        <v>2029</v>
      </c>
      <c r="E636" s="687">
        <v>2.3170966660437502</v>
      </c>
      <c r="F636" s="687">
        <v>3.3271312237500003E-2</v>
      </c>
      <c r="G636" s="687">
        <v>4.9096307500000004E-3</v>
      </c>
      <c r="H636" s="216">
        <v>1469.7560059</v>
      </c>
    </row>
    <row r="637" spans="2:8" ht="21.95" customHeight="1" x14ac:dyDescent="0.2">
      <c r="B637" s="143" t="s">
        <v>22</v>
      </c>
      <c r="C637" s="143">
        <v>75</v>
      </c>
      <c r="D637" s="143">
        <v>2030</v>
      </c>
      <c r="E637" s="687">
        <v>2.1245859614999998</v>
      </c>
      <c r="F637" s="687">
        <v>2.7703139375000001E-2</v>
      </c>
      <c r="G637" s="687">
        <v>4.7995774999999999E-3</v>
      </c>
      <c r="H637" s="216">
        <v>1438</v>
      </c>
    </row>
    <row r="638" spans="2:8" ht="21.95" customHeight="1" x14ac:dyDescent="0.2">
      <c r="B638" s="143" t="s">
        <v>22</v>
      </c>
      <c r="C638" s="143">
        <v>75</v>
      </c>
      <c r="D638" s="143">
        <v>2031</v>
      </c>
      <c r="E638" s="687">
        <v>2.0971719335499999</v>
      </c>
      <c r="F638" s="687">
        <v>2.6979442537499999E-2</v>
      </c>
      <c r="G638" s="687">
        <v>4.7611897500000003E-3</v>
      </c>
      <c r="H638" s="216">
        <v>1426.6109985000001</v>
      </c>
    </row>
    <row r="639" spans="2:8" ht="21.95" customHeight="1" x14ac:dyDescent="0.2">
      <c r="B639" s="143" t="s">
        <v>22</v>
      </c>
      <c r="C639" s="143">
        <v>75</v>
      </c>
      <c r="D639" s="143">
        <v>2032</v>
      </c>
      <c r="E639" s="687">
        <v>2.0697579055999999</v>
      </c>
      <c r="F639" s="687">
        <v>2.6255745699999999E-2</v>
      </c>
      <c r="G639" s="687">
        <v>4.7228019999999999E-3</v>
      </c>
      <c r="H639" s="216">
        <v>1415.2219970000001</v>
      </c>
    </row>
    <row r="640" spans="2:8" ht="21.95" customHeight="1" x14ac:dyDescent="0.2">
      <c r="B640" s="143" t="s">
        <v>22</v>
      </c>
      <c r="C640" s="143">
        <v>75</v>
      </c>
      <c r="D640" s="143">
        <v>2033</v>
      </c>
      <c r="E640" s="687">
        <v>2.04234387765</v>
      </c>
      <c r="F640" s="687">
        <v>2.55320488625E-2</v>
      </c>
      <c r="G640" s="687">
        <v>4.6844142500000003E-3</v>
      </c>
      <c r="H640" s="216">
        <v>1403.8329954999999</v>
      </c>
    </row>
    <row r="641" spans="2:8" ht="21.95" customHeight="1" x14ac:dyDescent="0.2">
      <c r="B641" s="143" t="s">
        <v>22</v>
      </c>
      <c r="C641" s="143">
        <v>75</v>
      </c>
      <c r="D641" s="143">
        <v>2034</v>
      </c>
      <c r="E641" s="687">
        <v>2.0149298497000001</v>
      </c>
      <c r="F641" s="687">
        <v>2.4808352025000001E-2</v>
      </c>
      <c r="G641" s="687">
        <v>4.6460264999999999E-3</v>
      </c>
      <c r="H641" s="216">
        <v>1392.443994</v>
      </c>
    </row>
    <row r="642" spans="2:8" ht="21.95" customHeight="1" x14ac:dyDescent="0.2">
      <c r="B642" s="143" t="s">
        <v>22</v>
      </c>
      <c r="C642" s="143">
        <v>75</v>
      </c>
      <c r="D642" s="143">
        <v>2035</v>
      </c>
      <c r="E642" s="687">
        <v>1.98751582175</v>
      </c>
      <c r="F642" s="687">
        <v>2.4084655187500002E-2</v>
      </c>
      <c r="G642" s="687">
        <v>4.6076387500000003E-3</v>
      </c>
      <c r="H642" s="216">
        <v>1381.0549925</v>
      </c>
    </row>
    <row r="643" spans="2:8" ht="21.95" customHeight="1" x14ac:dyDescent="0.2">
      <c r="B643" s="143" t="s">
        <v>22</v>
      </c>
      <c r="C643" s="143">
        <v>75</v>
      </c>
      <c r="D643" s="143">
        <v>2036</v>
      </c>
      <c r="E643" s="687">
        <v>1.9601017938</v>
      </c>
      <c r="F643" s="687">
        <v>2.3360958349999999E-2</v>
      </c>
      <c r="G643" s="687">
        <v>4.5692509999999999E-3</v>
      </c>
      <c r="H643" s="216">
        <v>1369.6659910000001</v>
      </c>
    </row>
    <row r="644" spans="2:8" ht="21.95" customHeight="1" x14ac:dyDescent="0.2">
      <c r="B644" s="143" t="s">
        <v>22</v>
      </c>
      <c r="C644" s="143">
        <v>75</v>
      </c>
      <c r="D644" s="143">
        <v>2037</v>
      </c>
      <c r="E644" s="687">
        <v>1.9326877658499999</v>
      </c>
      <c r="F644" s="687">
        <v>2.26372615125E-2</v>
      </c>
      <c r="G644" s="687">
        <v>4.5308632500000003E-3</v>
      </c>
      <c r="H644" s="216">
        <v>1358.2769894999999</v>
      </c>
    </row>
    <row r="645" spans="2:8" ht="21.95" customHeight="1" x14ac:dyDescent="0.2">
      <c r="B645" s="143" t="s">
        <v>22</v>
      </c>
      <c r="C645" s="143">
        <v>75</v>
      </c>
      <c r="D645" s="143">
        <v>2038</v>
      </c>
      <c r="E645" s="687">
        <v>1.9052737379</v>
      </c>
      <c r="F645" s="687">
        <v>2.1913564675E-2</v>
      </c>
      <c r="G645" s="687">
        <v>4.4924754999999999E-3</v>
      </c>
      <c r="H645" s="216">
        <v>1346.887988</v>
      </c>
    </row>
    <row r="646" spans="2:8" ht="21.95" customHeight="1" x14ac:dyDescent="0.2">
      <c r="B646" s="143" t="s">
        <v>22</v>
      </c>
      <c r="C646" s="143">
        <v>75</v>
      </c>
      <c r="D646" s="143">
        <v>2039</v>
      </c>
      <c r="E646" s="687">
        <v>1.8778597099500001</v>
      </c>
      <c r="F646" s="687">
        <v>2.1189867837500001E-2</v>
      </c>
      <c r="G646" s="687">
        <v>4.4540877500000003E-3</v>
      </c>
      <c r="H646" s="216">
        <v>1335.4989865</v>
      </c>
    </row>
    <row r="647" spans="2:8" ht="21.95" customHeight="1" x14ac:dyDescent="0.2">
      <c r="B647" s="143" t="s">
        <v>22</v>
      </c>
      <c r="C647" s="143">
        <v>75</v>
      </c>
      <c r="D647" s="143">
        <v>2040</v>
      </c>
      <c r="E647" s="687">
        <v>1.8504456819999999</v>
      </c>
      <c r="F647" s="687">
        <v>2.0466170999999998E-2</v>
      </c>
      <c r="G647" s="687">
        <v>4.4156999999999998E-3</v>
      </c>
      <c r="H647" s="216">
        <v>1324.1099850000001</v>
      </c>
    </row>
    <row r="648" spans="2:8" ht="21.95" customHeight="1" x14ac:dyDescent="0.2">
      <c r="B648" s="143" t="s">
        <v>22</v>
      </c>
      <c r="C648" s="143">
        <v>75</v>
      </c>
      <c r="D648" s="143">
        <v>2041</v>
      </c>
      <c r="E648" s="687">
        <v>1.8431377853624999</v>
      </c>
      <c r="F648" s="687">
        <v>2.0271949899999999E-2</v>
      </c>
      <c r="G648" s="687">
        <v>4.4108769999999997E-3</v>
      </c>
      <c r="H648" s="216">
        <v>1322.6639889</v>
      </c>
    </row>
    <row r="649" spans="2:8" ht="21.95" customHeight="1" x14ac:dyDescent="0.2">
      <c r="B649" s="143" t="s">
        <v>22</v>
      </c>
      <c r="C649" s="143">
        <v>75</v>
      </c>
      <c r="D649" s="143">
        <v>2042</v>
      </c>
      <c r="E649" s="687">
        <v>1.835829888725</v>
      </c>
      <c r="F649" s="687">
        <v>2.00777288E-2</v>
      </c>
      <c r="G649" s="687">
        <v>4.4060540000000004E-3</v>
      </c>
      <c r="H649" s="216">
        <v>1321.2179928</v>
      </c>
    </row>
    <row r="650" spans="2:8" ht="21.95" customHeight="1" x14ac:dyDescent="0.2">
      <c r="B650" s="143" t="s">
        <v>22</v>
      </c>
      <c r="C650" s="143">
        <v>75</v>
      </c>
      <c r="D650" s="143">
        <v>2043</v>
      </c>
      <c r="E650" s="687">
        <v>1.8285219920875</v>
      </c>
      <c r="F650" s="687">
        <v>1.9883507700000001E-2</v>
      </c>
      <c r="G650" s="687">
        <v>4.4012310000000002E-3</v>
      </c>
      <c r="H650" s="216">
        <v>1319.7719967</v>
      </c>
    </row>
    <row r="651" spans="2:8" ht="21.95" customHeight="1" x14ac:dyDescent="0.2">
      <c r="B651" s="143" t="s">
        <v>22</v>
      </c>
      <c r="C651" s="143">
        <v>75</v>
      </c>
      <c r="D651" s="143">
        <v>2044</v>
      </c>
      <c r="E651" s="687">
        <v>1.82121409545</v>
      </c>
      <c r="F651" s="687">
        <v>1.9689286600000001E-2</v>
      </c>
      <c r="G651" s="687">
        <v>4.3964080000000001E-3</v>
      </c>
      <c r="H651" s="216">
        <v>1318.3260006</v>
      </c>
    </row>
    <row r="652" spans="2:8" ht="21.95" customHeight="1" x14ac:dyDescent="0.2">
      <c r="B652" s="143" t="s">
        <v>22</v>
      </c>
      <c r="C652" s="143">
        <v>75</v>
      </c>
      <c r="D652" s="143">
        <v>2045</v>
      </c>
      <c r="E652" s="687">
        <v>1.8139061988125</v>
      </c>
      <c r="F652" s="687">
        <v>1.9495065499999999E-2</v>
      </c>
      <c r="G652" s="687">
        <v>4.3915849999999999E-3</v>
      </c>
      <c r="H652" s="216">
        <v>1316.8800045</v>
      </c>
    </row>
    <row r="653" spans="2:8" ht="21.95" customHeight="1" x14ac:dyDescent="0.2">
      <c r="B653" s="143" t="s">
        <v>22</v>
      </c>
      <c r="C653" s="143">
        <v>75</v>
      </c>
      <c r="D653" s="143">
        <v>2046</v>
      </c>
      <c r="E653" s="687">
        <v>1.8065983021750001</v>
      </c>
      <c r="F653" s="687">
        <v>1.9300844399999999E-2</v>
      </c>
      <c r="G653" s="687">
        <v>4.3867619999999998E-3</v>
      </c>
      <c r="H653" s="216">
        <v>1315.4340084</v>
      </c>
    </row>
    <row r="654" spans="2:8" ht="21.95" customHeight="1" x14ac:dyDescent="0.2">
      <c r="B654" s="143" t="s">
        <v>22</v>
      </c>
      <c r="C654" s="143">
        <v>75</v>
      </c>
      <c r="D654" s="143">
        <v>2047</v>
      </c>
      <c r="E654" s="687">
        <v>1.7992904055375001</v>
      </c>
      <c r="F654" s="687">
        <v>1.91066233E-2</v>
      </c>
      <c r="G654" s="687">
        <v>4.3819389999999996E-3</v>
      </c>
      <c r="H654" s="216">
        <v>1313.9880123</v>
      </c>
    </row>
    <row r="655" spans="2:8" ht="21.95" customHeight="1" x14ac:dyDescent="0.2">
      <c r="B655" s="143" t="s">
        <v>22</v>
      </c>
      <c r="C655" s="143">
        <v>75</v>
      </c>
      <c r="D655" s="143">
        <v>2048</v>
      </c>
      <c r="E655" s="687">
        <v>1.7919825089000001</v>
      </c>
      <c r="F655" s="687">
        <v>1.8912402200000001E-2</v>
      </c>
      <c r="G655" s="687">
        <v>4.3771160000000003E-3</v>
      </c>
      <c r="H655" s="216">
        <v>1312.5420162</v>
      </c>
    </row>
    <row r="656" spans="2:8" ht="21.95" customHeight="1" x14ac:dyDescent="0.2">
      <c r="B656" s="143" t="s">
        <v>22</v>
      </c>
      <c r="C656" s="143">
        <v>75</v>
      </c>
      <c r="D656" s="143">
        <v>2049</v>
      </c>
      <c r="E656" s="687">
        <v>1.7846746122624999</v>
      </c>
      <c r="F656" s="687">
        <v>1.8718181099999998E-2</v>
      </c>
      <c r="G656" s="687">
        <v>4.3722930000000002E-3</v>
      </c>
      <c r="H656" s="216">
        <v>1311.0960201</v>
      </c>
    </row>
    <row r="657" spans="2:8" ht="21.95" customHeight="1" x14ac:dyDescent="0.2">
      <c r="B657" s="143" t="s">
        <v>22</v>
      </c>
      <c r="C657" s="143">
        <v>75</v>
      </c>
      <c r="D657" s="143">
        <v>2050</v>
      </c>
      <c r="E657" s="687">
        <v>1.7773667156249999</v>
      </c>
      <c r="F657" s="687">
        <v>1.8523959999999999E-2</v>
      </c>
      <c r="G657" s="687">
        <v>4.36747E-3</v>
      </c>
      <c r="H657" s="216">
        <v>1309.650024</v>
      </c>
    </row>
    <row r="658" spans="2:8" ht="21.95" customHeight="1" x14ac:dyDescent="0.2">
      <c r="B658" s="143" t="s">
        <v>22</v>
      </c>
      <c r="C658" s="143">
        <v>75</v>
      </c>
      <c r="D658" s="143">
        <v>2051</v>
      </c>
      <c r="E658" s="687">
        <v>1.7726823746875</v>
      </c>
      <c r="F658" s="687">
        <v>1.8384727E-2</v>
      </c>
      <c r="G658" s="687">
        <v>4.3668270000000002E-3</v>
      </c>
      <c r="H658" s="216">
        <v>1309.4570186999999</v>
      </c>
    </row>
    <row r="659" spans="2:8" ht="21.95" customHeight="1" x14ac:dyDescent="0.2">
      <c r="B659" s="143" t="s">
        <v>22</v>
      </c>
      <c r="C659" s="143">
        <v>75</v>
      </c>
      <c r="D659" s="143">
        <v>2052</v>
      </c>
      <c r="E659" s="687">
        <v>1.7679980337500001</v>
      </c>
      <c r="F659" s="687">
        <v>1.8245494000000001E-2</v>
      </c>
      <c r="G659" s="687">
        <v>4.3661840000000004E-3</v>
      </c>
      <c r="H659" s="216">
        <v>1309.2640134000001</v>
      </c>
    </row>
    <row r="660" spans="2:8" ht="21.95" customHeight="1" x14ac:dyDescent="0.2">
      <c r="B660" s="143" t="s">
        <v>22</v>
      </c>
      <c r="C660" s="143">
        <v>75</v>
      </c>
      <c r="D660" s="143">
        <v>2053</v>
      </c>
      <c r="E660" s="687">
        <v>1.7633136928124999</v>
      </c>
      <c r="F660" s="687">
        <v>1.8106260999999998E-2</v>
      </c>
      <c r="G660" s="687">
        <v>4.3655409999999997E-3</v>
      </c>
      <c r="H660" s="216">
        <v>1309.0710081</v>
      </c>
    </row>
    <row r="661" spans="2:8" ht="21.95" customHeight="1" x14ac:dyDescent="0.2">
      <c r="B661" s="143" t="s">
        <v>22</v>
      </c>
      <c r="C661" s="143">
        <v>75</v>
      </c>
      <c r="D661" s="143">
        <v>2054</v>
      </c>
      <c r="E661" s="687">
        <v>1.758629351875</v>
      </c>
      <c r="F661" s="687">
        <v>1.7967027999999999E-2</v>
      </c>
      <c r="G661" s="687">
        <v>4.3648979999999999E-3</v>
      </c>
      <c r="H661" s="216">
        <v>1308.8780028000001</v>
      </c>
    </row>
    <row r="662" spans="2:8" ht="21.95" customHeight="1" x14ac:dyDescent="0.2">
      <c r="B662" s="143" t="s">
        <v>22</v>
      </c>
      <c r="C662" s="143">
        <v>75</v>
      </c>
      <c r="D662" s="143">
        <v>2055</v>
      </c>
      <c r="E662" s="687">
        <v>1.7539450109375001</v>
      </c>
      <c r="F662" s="687">
        <v>1.7827795E-2</v>
      </c>
      <c r="G662" s="687">
        <v>4.364255E-3</v>
      </c>
      <c r="H662" s="216">
        <v>1308.6849975</v>
      </c>
    </row>
    <row r="663" spans="2:8" ht="21.95" customHeight="1" x14ac:dyDescent="0.2">
      <c r="B663" s="143" t="s">
        <v>22</v>
      </c>
      <c r="C663" s="143">
        <v>75</v>
      </c>
      <c r="D663" s="143">
        <v>2056</v>
      </c>
      <c r="E663" s="687">
        <v>1.74926067</v>
      </c>
      <c r="F663" s="687">
        <v>1.7688562000000001E-2</v>
      </c>
      <c r="G663" s="687">
        <v>4.3636120000000002E-3</v>
      </c>
      <c r="H663" s="216">
        <v>1308.4919921999999</v>
      </c>
    </row>
    <row r="664" spans="2:8" ht="21.95" customHeight="1" x14ac:dyDescent="0.2">
      <c r="B664" s="143" t="s">
        <v>22</v>
      </c>
      <c r="C664" s="143">
        <v>75</v>
      </c>
      <c r="D664" s="143">
        <v>2057</v>
      </c>
      <c r="E664" s="687">
        <v>1.7445763290625</v>
      </c>
      <c r="F664" s="687">
        <v>1.7549328999999999E-2</v>
      </c>
      <c r="G664" s="687">
        <v>4.3629690000000004E-3</v>
      </c>
      <c r="H664" s="216">
        <v>1308.2989869</v>
      </c>
    </row>
    <row r="665" spans="2:8" ht="21.95" customHeight="1" x14ac:dyDescent="0.2">
      <c r="B665" s="143" t="s">
        <v>22</v>
      </c>
      <c r="C665" s="143">
        <v>75</v>
      </c>
      <c r="D665" s="143">
        <v>2058</v>
      </c>
      <c r="E665" s="687">
        <v>1.7398919881249999</v>
      </c>
      <c r="F665" s="687">
        <v>1.7410096E-2</v>
      </c>
      <c r="G665" s="687">
        <v>4.3623259999999997E-3</v>
      </c>
      <c r="H665" s="216">
        <v>1308.1059816</v>
      </c>
    </row>
    <row r="666" spans="2:8" ht="21.95" customHeight="1" x14ac:dyDescent="0.2">
      <c r="B666" s="143" t="s">
        <v>22</v>
      </c>
      <c r="C666" s="143">
        <v>75</v>
      </c>
      <c r="D666" s="143">
        <v>2059</v>
      </c>
      <c r="E666" s="687">
        <v>1.7352076471875</v>
      </c>
      <c r="F666" s="687">
        <v>1.7270863000000001E-2</v>
      </c>
      <c r="G666" s="687">
        <v>4.3616829999999999E-3</v>
      </c>
      <c r="H666" s="216">
        <v>1307.9129763000001</v>
      </c>
    </row>
    <row r="667" spans="2:8" ht="21.95" customHeight="1" x14ac:dyDescent="0.2">
      <c r="B667" s="143" t="s">
        <v>22</v>
      </c>
      <c r="C667" s="143">
        <v>75</v>
      </c>
      <c r="D667" s="143">
        <v>2060</v>
      </c>
      <c r="E667" s="687">
        <v>1.7305233062500001</v>
      </c>
      <c r="F667" s="687">
        <v>1.7131629999999998E-2</v>
      </c>
      <c r="G667" s="687">
        <v>4.3610400000000001E-3</v>
      </c>
      <c r="H667" s="216">
        <v>1307.719971</v>
      </c>
    </row>
    <row r="668" spans="2:8" ht="21.95" customHeight="1" x14ac:dyDescent="0.2">
      <c r="B668" s="143" t="s">
        <v>23</v>
      </c>
      <c r="C668" s="143">
        <v>2.5</v>
      </c>
      <c r="D668" s="143">
        <v>2020</v>
      </c>
      <c r="E668" s="687">
        <v>0.28057084968750001</v>
      </c>
      <c r="F668" s="687">
        <v>8.5052048750000001E-3</v>
      </c>
      <c r="G668" s="687">
        <v>1.1559699999999999E-2</v>
      </c>
      <c r="H668" s="216">
        <v>1740.12252825</v>
      </c>
    </row>
    <row r="669" spans="2:8" ht="21.95" customHeight="1" x14ac:dyDescent="0.2">
      <c r="B669" s="143" t="s">
        <v>23</v>
      </c>
      <c r="C669" s="143">
        <v>2.5</v>
      </c>
      <c r="D669" s="143">
        <v>2021</v>
      </c>
      <c r="E669" s="687">
        <v>0.25712464223749998</v>
      </c>
      <c r="F669" s="687">
        <v>8.2968635999999991E-3</v>
      </c>
      <c r="G669" s="687">
        <v>1.1316187E-2</v>
      </c>
      <c r="H669" s="216">
        <v>1703.4652711250001</v>
      </c>
    </row>
    <row r="670" spans="2:8" ht="21.95" customHeight="1" x14ac:dyDescent="0.2">
      <c r="B670" s="143" t="s">
        <v>23</v>
      </c>
      <c r="C670" s="143">
        <v>2.5</v>
      </c>
      <c r="D670" s="143">
        <v>2022</v>
      </c>
      <c r="E670" s="687">
        <v>0.2336784347875</v>
      </c>
      <c r="F670" s="687">
        <v>8.0885223249999999E-3</v>
      </c>
      <c r="G670" s="687">
        <v>1.1072673999999999E-2</v>
      </c>
      <c r="H670" s="216">
        <v>1666.808014</v>
      </c>
    </row>
    <row r="671" spans="2:8" ht="21.95" customHeight="1" x14ac:dyDescent="0.2">
      <c r="B671" s="143" t="s">
        <v>23</v>
      </c>
      <c r="C671" s="143">
        <v>2.5</v>
      </c>
      <c r="D671" s="143">
        <v>2023</v>
      </c>
      <c r="E671" s="687">
        <v>0.21023222733749999</v>
      </c>
      <c r="F671" s="687">
        <v>7.8801810500000007E-3</v>
      </c>
      <c r="G671" s="687">
        <v>1.0829161E-2</v>
      </c>
      <c r="H671" s="216">
        <v>1630.1507568750001</v>
      </c>
    </row>
    <row r="672" spans="2:8" ht="21.95" customHeight="1" x14ac:dyDescent="0.2">
      <c r="B672" s="143" t="s">
        <v>23</v>
      </c>
      <c r="C672" s="143">
        <v>2.5</v>
      </c>
      <c r="D672" s="143">
        <v>2024</v>
      </c>
      <c r="E672" s="687">
        <v>0.18678601988749999</v>
      </c>
      <c r="F672" s="687">
        <v>7.6718397749999997E-3</v>
      </c>
      <c r="G672" s="687">
        <v>1.0585648E-2</v>
      </c>
      <c r="H672" s="216">
        <v>1593.49349975</v>
      </c>
    </row>
    <row r="673" spans="2:8" ht="21.95" customHeight="1" x14ac:dyDescent="0.2">
      <c r="B673" s="143" t="s">
        <v>23</v>
      </c>
      <c r="C673" s="143">
        <v>2.5</v>
      </c>
      <c r="D673" s="143">
        <v>2025</v>
      </c>
      <c r="E673" s="687">
        <v>0.16333981243750001</v>
      </c>
      <c r="F673" s="687">
        <v>7.4634984999999996E-3</v>
      </c>
      <c r="G673" s="687">
        <v>1.0342135000000001E-2</v>
      </c>
      <c r="H673" s="216">
        <v>1556.8362426250001</v>
      </c>
    </row>
    <row r="674" spans="2:8" ht="21.95" customHeight="1" x14ac:dyDescent="0.2">
      <c r="B674" s="143" t="s">
        <v>23</v>
      </c>
      <c r="C674" s="143">
        <v>2.5</v>
      </c>
      <c r="D674" s="143">
        <v>2026</v>
      </c>
      <c r="E674" s="687">
        <v>0.1398936049875</v>
      </c>
      <c r="F674" s="687">
        <v>7.2551572250000003E-3</v>
      </c>
      <c r="G674" s="687">
        <v>1.0098622E-2</v>
      </c>
      <c r="H674" s="216">
        <v>1520.1789855</v>
      </c>
    </row>
    <row r="675" spans="2:8" ht="21.95" customHeight="1" x14ac:dyDescent="0.2">
      <c r="B675" s="143" t="s">
        <v>23</v>
      </c>
      <c r="C675" s="143">
        <v>2.5</v>
      </c>
      <c r="D675" s="143">
        <v>2027</v>
      </c>
      <c r="E675" s="687">
        <v>0.1164473975375</v>
      </c>
      <c r="F675" s="687">
        <v>7.0468159500000002E-3</v>
      </c>
      <c r="G675" s="687">
        <v>9.8551090000000008E-3</v>
      </c>
      <c r="H675" s="216">
        <v>1483.5217283750001</v>
      </c>
    </row>
    <row r="676" spans="2:8" ht="21.95" customHeight="1" x14ac:dyDescent="0.2">
      <c r="B676" s="143" t="s">
        <v>23</v>
      </c>
      <c r="C676" s="143">
        <v>2.5</v>
      </c>
      <c r="D676" s="143">
        <v>2028</v>
      </c>
      <c r="E676" s="687">
        <v>9.3001190087500005E-2</v>
      </c>
      <c r="F676" s="687">
        <v>6.8384746750000001E-3</v>
      </c>
      <c r="G676" s="687">
        <v>9.611596E-3</v>
      </c>
      <c r="H676" s="216">
        <v>1446.86447125</v>
      </c>
    </row>
    <row r="677" spans="2:8" ht="21.95" customHeight="1" x14ac:dyDescent="0.2">
      <c r="B677" s="143" t="s">
        <v>23</v>
      </c>
      <c r="C677" s="143">
        <v>2.5</v>
      </c>
      <c r="D677" s="143">
        <v>2029</v>
      </c>
      <c r="E677" s="687">
        <v>6.9554982637499999E-2</v>
      </c>
      <c r="F677" s="687">
        <v>6.6301334E-3</v>
      </c>
      <c r="G677" s="687">
        <v>9.3680829999999993E-3</v>
      </c>
      <c r="H677" s="216">
        <v>1410.2072141250001</v>
      </c>
    </row>
    <row r="678" spans="2:8" ht="21.95" customHeight="1" x14ac:dyDescent="0.2">
      <c r="B678" s="143" t="s">
        <v>23</v>
      </c>
      <c r="C678" s="143">
        <v>2.5</v>
      </c>
      <c r="D678" s="143">
        <v>2030</v>
      </c>
      <c r="E678" s="687">
        <v>4.6108775187499999E-2</v>
      </c>
      <c r="F678" s="687">
        <v>6.4217921249999999E-3</v>
      </c>
      <c r="G678" s="687">
        <v>9.1245700000000002E-3</v>
      </c>
      <c r="H678" s="216">
        <v>1373.5499569999999</v>
      </c>
    </row>
    <row r="679" spans="2:8" ht="21.95" customHeight="1" x14ac:dyDescent="0.2">
      <c r="B679" s="143" t="s">
        <v>23</v>
      </c>
      <c r="C679" s="143">
        <v>2.5</v>
      </c>
      <c r="D679" s="143">
        <v>2031</v>
      </c>
      <c r="E679" s="687">
        <v>4.2322790562499997E-2</v>
      </c>
      <c r="F679" s="687">
        <v>6.3279436125000003E-3</v>
      </c>
      <c r="G679" s="687">
        <v>9.0362637500000006E-3</v>
      </c>
      <c r="H679" s="216">
        <v>1360.2569577500001</v>
      </c>
    </row>
    <row r="680" spans="2:8" ht="21.95" customHeight="1" x14ac:dyDescent="0.2">
      <c r="B680" s="143" t="s">
        <v>23</v>
      </c>
      <c r="C680" s="143">
        <v>2.5</v>
      </c>
      <c r="D680" s="143">
        <v>2032</v>
      </c>
      <c r="E680" s="687">
        <v>3.8536805937500002E-2</v>
      </c>
      <c r="F680" s="687">
        <v>6.2340950999999999E-3</v>
      </c>
      <c r="G680" s="687">
        <v>8.9479574999999992E-3</v>
      </c>
      <c r="H680" s="216">
        <v>1346.9639585</v>
      </c>
    </row>
    <row r="681" spans="2:8" ht="21.95" customHeight="1" x14ac:dyDescent="0.2">
      <c r="B681" s="143" t="s">
        <v>23</v>
      </c>
      <c r="C681" s="143">
        <v>2.5</v>
      </c>
      <c r="D681" s="143">
        <v>2033</v>
      </c>
      <c r="E681" s="687">
        <v>3.4750821312499999E-2</v>
      </c>
      <c r="F681" s="687">
        <v>6.1402465875000003E-3</v>
      </c>
      <c r="G681" s="687">
        <v>8.8596512499999995E-3</v>
      </c>
      <c r="H681" s="216">
        <v>1333.6709592499999</v>
      </c>
    </row>
    <row r="682" spans="2:8" ht="21.95" customHeight="1" x14ac:dyDescent="0.2">
      <c r="B682" s="143" t="s">
        <v>23</v>
      </c>
      <c r="C682" s="143">
        <v>2.5</v>
      </c>
      <c r="D682" s="143">
        <v>2034</v>
      </c>
      <c r="E682" s="687">
        <v>3.09648366875E-2</v>
      </c>
      <c r="F682" s="687">
        <v>6.0463980749999998E-3</v>
      </c>
      <c r="G682" s="687">
        <v>8.7713449999999998E-3</v>
      </c>
      <c r="H682" s="216">
        <v>1320.37796</v>
      </c>
    </row>
    <row r="683" spans="2:8" ht="21.95" customHeight="1" x14ac:dyDescent="0.2">
      <c r="B683" s="143" t="s">
        <v>23</v>
      </c>
      <c r="C683" s="143">
        <v>2.5</v>
      </c>
      <c r="D683" s="143">
        <v>2035</v>
      </c>
      <c r="E683" s="687">
        <v>2.7178852062500002E-2</v>
      </c>
      <c r="F683" s="687">
        <v>5.9525495625000003E-3</v>
      </c>
      <c r="G683" s="687">
        <v>8.6830387500000002E-3</v>
      </c>
      <c r="H683" s="216">
        <v>1307.0849607499999</v>
      </c>
    </row>
    <row r="684" spans="2:8" ht="21.95" customHeight="1" x14ac:dyDescent="0.2">
      <c r="B684" s="143" t="s">
        <v>23</v>
      </c>
      <c r="C684" s="143">
        <v>2.5</v>
      </c>
      <c r="D684" s="143">
        <v>2036</v>
      </c>
      <c r="E684" s="687">
        <v>2.3392867437499999E-2</v>
      </c>
      <c r="F684" s="687">
        <v>5.8587010499999998E-3</v>
      </c>
      <c r="G684" s="687">
        <v>8.5947325000000005E-3</v>
      </c>
      <c r="H684" s="216">
        <v>1293.7919615000001</v>
      </c>
    </row>
    <row r="685" spans="2:8" ht="21.95" customHeight="1" x14ac:dyDescent="0.2">
      <c r="B685" s="143" t="s">
        <v>23</v>
      </c>
      <c r="C685" s="143">
        <v>2.5</v>
      </c>
      <c r="D685" s="143">
        <v>2037</v>
      </c>
      <c r="E685" s="687">
        <v>1.96068828125E-2</v>
      </c>
      <c r="F685" s="687">
        <v>5.7648525375000002E-3</v>
      </c>
      <c r="G685" s="687">
        <v>8.5064262500000008E-3</v>
      </c>
      <c r="H685" s="216">
        <v>1280.49896225</v>
      </c>
    </row>
    <row r="686" spans="2:8" ht="21.95" customHeight="1" x14ac:dyDescent="0.2">
      <c r="B686" s="143" t="s">
        <v>23</v>
      </c>
      <c r="C686" s="143">
        <v>2.5</v>
      </c>
      <c r="D686" s="143">
        <v>2038</v>
      </c>
      <c r="E686" s="687">
        <v>1.5820898187500002E-2</v>
      </c>
      <c r="F686" s="687">
        <v>5.6710040249999998E-3</v>
      </c>
      <c r="G686" s="687">
        <v>8.4181199999999994E-3</v>
      </c>
      <c r="H686" s="216">
        <v>1267.2059630000001</v>
      </c>
    </row>
    <row r="687" spans="2:8" ht="21.95" customHeight="1" x14ac:dyDescent="0.2">
      <c r="B687" s="143" t="s">
        <v>23</v>
      </c>
      <c r="C687" s="143">
        <v>2.5</v>
      </c>
      <c r="D687" s="143">
        <v>2039</v>
      </c>
      <c r="E687" s="687">
        <v>1.2034913562499999E-2</v>
      </c>
      <c r="F687" s="687">
        <v>5.5771555125000002E-3</v>
      </c>
      <c r="G687" s="687">
        <v>8.3298137499999998E-3</v>
      </c>
      <c r="H687" s="216">
        <v>1253.91296375</v>
      </c>
    </row>
    <row r="688" spans="2:8" ht="21.95" customHeight="1" x14ac:dyDescent="0.2">
      <c r="B688" s="143" t="s">
        <v>23</v>
      </c>
      <c r="C688" s="143">
        <v>2.5</v>
      </c>
      <c r="D688" s="143">
        <v>2040</v>
      </c>
      <c r="E688" s="687">
        <v>8.2489289375000004E-3</v>
      </c>
      <c r="F688" s="687">
        <v>5.4833069999999998E-3</v>
      </c>
      <c r="G688" s="687">
        <v>8.2415075000000001E-3</v>
      </c>
      <c r="H688" s="216">
        <v>1240.6199644999999</v>
      </c>
    </row>
    <row r="689" spans="2:8" ht="21.95" customHeight="1" x14ac:dyDescent="0.2">
      <c r="B689" s="143" t="s">
        <v>23</v>
      </c>
      <c r="C689" s="143">
        <v>2.5</v>
      </c>
      <c r="D689" s="143">
        <v>2041</v>
      </c>
      <c r="E689" s="687">
        <v>7.9342424437499996E-3</v>
      </c>
      <c r="F689" s="687">
        <v>5.468583525E-3</v>
      </c>
      <c r="G689" s="687">
        <v>8.2245647499999998E-3</v>
      </c>
      <c r="H689" s="216">
        <v>1238.0697203750001</v>
      </c>
    </row>
    <row r="690" spans="2:8" ht="21.95" customHeight="1" x14ac:dyDescent="0.2">
      <c r="B690" s="143" t="s">
        <v>23</v>
      </c>
      <c r="C690" s="143">
        <v>2.5</v>
      </c>
      <c r="D690" s="143">
        <v>2042</v>
      </c>
      <c r="E690" s="687">
        <v>7.6195559499999998E-3</v>
      </c>
      <c r="F690" s="687">
        <v>5.4538600500000003E-3</v>
      </c>
      <c r="G690" s="687">
        <v>8.2076219999999995E-3</v>
      </c>
      <c r="H690" s="216">
        <v>1235.51947625</v>
      </c>
    </row>
    <row r="691" spans="2:8" ht="21.95" customHeight="1" x14ac:dyDescent="0.2">
      <c r="B691" s="143" t="s">
        <v>23</v>
      </c>
      <c r="C691" s="143">
        <v>2.5</v>
      </c>
      <c r="D691" s="143">
        <v>2043</v>
      </c>
      <c r="E691" s="687">
        <v>7.3048694562499999E-3</v>
      </c>
      <c r="F691" s="687">
        <v>5.4391365749999997E-3</v>
      </c>
      <c r="G691" s="687">
        <v>8.1906792499999992E-3</v>
      </c>
      <c r="H691" s="216">
        <v>1232.969232125</v>
      </c>
    </row>
    <row r="692" spans="2:8" ht="21.95" customHeight="1" x14ac:dyDescent="0.2">
      <c r="B692" s="143" t="s">
        <v>23</v>
      </c>
      <c r="C692" s="143">
        <v>2.5</v>
      </c>
      <c r="D692" s="143">
        <v>2044</v>
      </c>
      <c r="E692" s="687">
        <v>6.9901829625E-3</v>
      </c>
      <c r="F692" s="687">
        <v>5.4244130999999999E-3</v>
      </c>
      <c r="G692" s="687">
        <v>8.1737365000000006E-3</v>
      </c>
      <c r="H692" s="216">
        <v>1230.4189879999999</v>
      </c>
    </row>
    <row r="693" spans="2:8" ht="21.95" customHeight="1" x14ac:dyDescent="0.2">
      <c r="B693" s="143" t="s">
        <v>23</v>
      </c>
      <c r="C693" s="143">
        <v>2.5</v>
      </c>
      <c r="D693" s="143">
        <v>2045</v>
      </c>
      <c r="E693" s="687">
        <v>6.6754964687500001E-3</v>
      </c>
      <c r="F693" s="687">
        <v>5.4096896250000002E-3</v>
      </c>
      <c r="G693" s="687">
        <v>8.1567937500000003E-3</v>
      </c>
      <c r="H693" s="216">
        <v>1227.8687438750001</v>
      </c>
    </row>
    <row r="694" spans="2:8" ht="21.95" customHeight="1" x14ac:dyDescent="0.2">
      <c r="B694" s="143" t="s">
        <v>23</v>
      </c>
      <c r="C694" s="143">
        <v>2.5</v>
      </c>
      <c r="D694" s="143">
        <v>2046</v>
      </c>
      <c r="E694" s="687">
        <v>6.3608099750000003E-3</v>
      </c>
      <c r="F694" s="687">
        <v>5.3949661499999996E-3</v>
      </c>
      <c r="G694" s="687">
        <v>8.139851E-3</v>
      </c>
      <c r="H694" s="216">
        <v>1225.31849975</v>
      </c>
    </row>
    <row r="695" spans="2:8" ht="21.95" customHeight="1" x14ac:dyDescent="0.2">
      <c r="B695" s="143" t="s">
        <v>23</v>
      </c>
      <c r="C695" s="143">
        <v>2.5</v>
      </c>
      <c r="D695" s="143">
        <v>2047</v>
      </c>
      <c r="E695" s="687">
        <v>6.0461234812500004E-3</v>
      </c>
      <c r="F695" s="687">
        <v>5.3802426749999998E-3</v>
      </c>
      <c r="G695" s="687">
        <v>8.1229082499999997E-3</v>
      </c>
      <c r="H695" s="216">
        <v>1222.7682556249999</v>
      </c>
    </row>
    <row r="696" spans="2:8" ht="21.95" customHeight="1" x14ac:dyDescent="0.2">
      <c r="B696" s="143" t="s">
        <v>23</v>
      </c>
      <c r="C696" s="143">
        <v>2.5</v>
      </c>
      <c r="D696" s="143">
        <v>2048</v>
      </c>
      <c r="E696" s="687">
        <v>5.7314369874999996E-3</v>
      </c>
      <c r="F696" s="687">
        <v>5.3655192000000001E-3</v>
      </c>
      <c r="G696" s="687">
        <v>8.1059654999999994E-3</v>
      </c>
      <c r="H696" s="216">
        <v>1220.2180115000001</v>
      </c>
    </row>
    <row r="697" spans="2:8" ht="21.95" customHeight="1" x14ac:dyDescent="0.2">
      <c r="B697" s="143" t="s">
        <v>23</v>
      </c>
      <c r="C697" s="143">
        <v>2.5</v>
      </c>
      <c r="D697" s="143">
        <v>2049</v>
      </c>
      <c r="E697" s="687">
        <v>5.4167504937499998E-3</v>
      </c>
      <c r="F697" s="687">
        <v>5.3507957250000003E-3</v>
      </c>
      <c r="G697" s="687">
        <v>8.0890227499999991E-3</v>
      </c>
      <c r="H697" s="216">
        <v>1217.667767375</v>
      </c>
    </row>
    <row r="698" spans="2:8" ht="21.95" customHeight="1" x14ac:dyDescent="0.2">
      <c r="B698" s="143" t="s">
        <v>23</v>
      </c>
      <c r="C698" s="143">
        <v>2.5</v>
      </c>
      <c r="D698" s="143">
        <v>2050</v>
      </c>
      <c r="E698" s="687">
        <v>5.1020639999999999E-3</v>
      </c>
      <c r="F698" s="687">
        <v>5.3360722499999997E-3</v>
      </c>
      <c r="G698" s="687">
        <v>8.0720800000000006E-3</v>
      </c>
      <c r="H698" s="216">
        <v>1215.11752325</v>
      </c>
    </row>
    <row r="699" spans="2:8" ht="21.95" customHeight="1" x14ac:dyDescent="0.2">
      <c r="B699" s="143" t="s">
        <v>23</v>
      </c>
      <c r="C699" s="143">
        <v>2.5</v>
      </c>
      <c r="D699" s="143">
        <v>2051</v>
      </c>
      <c r="E699" s="687">
        <v>5.04558E-3</v>
      </c>
      <c r="F699" s="687">
        <v>5.3387071999999999E-3</v>
      </c>
      <c r="G699" s="687">
        <v>8.0704147499999993E-3</v>
      </c>
      <c r="H699" s="216">
        <v>1214.8665253250001</v>
      </c>
    </row>
    <row r="700" spans="2:8" ht="21.95" customHeight="1" x14ac:dyDescent="0.2">
      <c r="B700" s="143" t="s">
        <v>23</v>
      </c>
      <c r="C700" s="143">
        <v>2.5</v>
      </c>
      <c r="D700" s="143">
        <v>2052</v>
      </c>
      <c r="E700" s="687">
        <v>4.9890960000000002E-3</v>
      </c>
      <c r="F700" s="687">
        <v>5.3413421500000001E-3</v>
      </c>
      <c r="G700" s="687">
        <v>8.0687494999999998E-3</v>
      </c>
      <c r="H700" s="216">
        <v>1214.6155274</v>
      </c>
    </row>
    <row r="701" spans="2:8" ht="21.95" customHeight="1" x14ac:dyDescent="0.2">
      <c r="B701" s="143" t="s">
        <v>23</v>
      </c>
      <c r="C701" s="143">
        <v>2.5</v>
      </c>
      <c r="D701" s="143">
        <v>2053</v>
      </c>
      <c r="E701" s="687">
        <v>4.9326120000000003E-3</v>
      </c>
      <c r="F701" s="687">
        <v>5.3439771000000002E-3</v>
      </c>
      <c r="G701" s="687">
        <v>8.0670842500000003E-3</v>
      </c>
      <c r="H701" s="216">
        <v>1214.3645294749999</v>
      </c>
    </row>
    <row r="702" spans="2:8" ht="21.95" customHeight="1" x14ac:dyDescent="0.2">
      <c r="B702" s="143" t="s">
        <v>23</v>
      </c>
      <c r="C702" s="143">
        <v>2.5</v>
      </c>
      <c r="D702" s="143">
        <v>2054</v>
      </c>
      <c r="E702" s="687">
        <v>4.8761280000000004E-3</v>
      </c>
      <c r="F702" s="687">
        <v>5.3466120500000004E-3</v>
      </c>
      <c r="G702" s="687">
        <v>8.0654190000000008E-3</v>
      </c>
      <c r="H702" s="216">
        <v>1214.1135315500001</v>
      </c>
    </row>
    <row r="703" spans="2:8" ht="21.95" customHeight="1" x14ac:dyDescent="0.2">
      <c r="B703" s="143" t="s">
        <v>23</v>
      </c>
      <c r="C703" s="143">
        <v>2.5</v>
      </c>
      <c r="D703" s="143">
        <v>2055</v>
      </c>
      <c r="E703" s="687">
        <v>4.8196439999999997E-3</v>
      </c>
      <c r="F703" s="687">
        <v>5.3492469999999997E-3</v>
      </c>
      <c r="G703" s="687">
        <v>8.0637537499999995E-3</v>
      </c>
      <c r="H703" s="216">
        <v>1213.862533625</v>
      </c>
    </row>
    <row r="704" spans="2:8" ht="21.95" customHeight="1" x14ac:dyDescent="0.2">
      <c r="B704" s="143" t="s">
        <v>23</v>
      </c>
      <c r="C704" s="143">
        <v>2.5</v>
      </c>
      <c r="D704" s="143">
        <v>2056</v>
      </c>
      <c r="E704" s="687">
        <v>4.7631599999999998E-3</v>
      </c>
      <c r="F704" s="687">
        <v>5.3518819499999998E-3</v>
      </c>
      <c r="G704" s="687">
        <v>8.0620885E-3</v>
      </c>
      <c r="H704" s="216">
        <v>1213.6115357000001</v>
      </c>
    </row>
    <row r="705" spans="2:8" ht="21.95" customHeight="1" x14ac:dyDescent="0.2">
      <c r="B705" s="143" t="s">
        <v>23</v>
      </c>
      <c r="C705" s="143">
        <v>2.5</v>
      </c>
      <c r="D705" s="143">
        <v>2057</v>
      </c>
      <c r="E705" s="687">
        <v>4.7066759999999999E-3</v>
      </c>
      <c r="F705" s="687">
        <v>5.3545169E-3</v>
      </c>
      <c r="G705" s="687">
        <v>8.0604232500000005E-3</v>
      </c>
      <c r="H705" s="216">
        <v>1213.360537775</v>
      </c>
    </row>
    <row r="706" spans="2:8" ht="21.95" customHeight="1" x14ac:dyDescent="0.2">
      <c r="B706" s="143" t="s">
        <v>23</v>
      </c>
      <c r="C706" s="143">
        <v>2.5</v>
      </c>
      <c r="D706" s="143">
        <v>2058</v>
      </c>
      <c r="E706" s="687">
        <v>4.650192E-3</v>
      </c>
      <c r="F706" s="687">
        <v>5.3571518500000002E-3</v>
      </c>
      <c r="G706" s="687">
        <v>8.0587579999999992E-3</v>
      </c>
      <c r="H706" s="216">
        <v>1213.1095398499999</v>
      </c>
    </row>
    <row r="707" spans="2:8" ht="21.95" customHeight="1" x14ac:dyDescent="0.2">
      <c r="B707" s="143" t="s">
        <v>23</v>
      </c>
      <c r="C707" s="143">
        <v>2.5</v>
      </c>
      <c r="D707" s="143">
        <v>2059</v>
      </c>
      <c r="E707" s="687">
        <v>4.5937080000000002E-3</v>
      </c>
      <c r="F707" s="687">
        <v>5.3597868000000003E-3</v>
      </c>
      <c r="G707" s="687">
        <v>8.0570927499999997E-3</v>
      </c>
      <c r="H707" s="216">
        <v>1212.8585419250001</v>
      </c>
    </row>
    <row r="708" spans="2:8" ht="21.95" customHeight="1" x14ac:dyDescent="0.2">
      <c r="B708" s="143" t="s">
        <v>23</v>
      </c>
      <c r="C708" s="143">
        <v>2.5</v>
      </c>
      <c r="D708" s="143">
        <v>2060</v>
      </c>
      <c r="E708" s="687">
        <v>4.5372240000000003E-3</v>
      </c>
      <c r="F708" s="687">
        <v>5.3624217499999996E-3</v>
      </c>
      <c r="G708" s="687">
        <v>8.0554275000000002E-3</v>
      </c>
      <c r="H708" s="216">
        <v>1212.607544</v>
      </c>
    </row>
    <row r="709" spans="2:8" ht="21.95" customHeight="1" x14ac:dyDescent="0.2">
      <c r="B709" s="143" t="s">
        <v>23</v>
      </c>
      <c r="C709" s="143">
        <v>5</v>
      </c>
      <c r="D709" s="143">
        <v>2020</v>
      </c>
      <c r="E709" s="687">
        <v>0.22435359974999999</v>
      </c>
      <c r="F709" s="687">
        <v>5.3861925000000003E-3</v>
      </c>
      <c r="G709" s="687">
        <v>6.4339487499999997E-3</v>
      </c>
      <c r="H709" s="216">
        <v>968.52124779999997</v>
      </c>
    </row>
    <row r="710" spans="2:8" ht="21.95" customHeight="1" x14ac:dyDescent="0.2">
      <c r="B710" s="143" t="s">
        <v>23</v>
      </c>
      <c r="C710" s="143">
        <v>5</v>
      </c>
      <c r="D710" s="143">
        <v>2021</v>
      </c>
      <c r="E710" s="687">
        <v>0.20586427445</v>
      </c>
      <c r="F710" s="687">
        <v>5.2327946875000003E-3</v>
      </c>
      <c r="G710" s="687">
        <v>6.2982198750000003E-3</v>
      </c>
      <c r="H710" s="216">
        <v>948.08954767</v>
      </c>
    </row>
    <row r="711" spans="2:8" ht="21.95" customHeight="1" x14ac:dyDescent="0.2">
      <c r="B711" s="143" t="s">
        <v>23</v>
      </c>
      <c r="C711" s="143">
        <v>5</v>
      </c>
      <c r="D711" s="143">
        <v>2022</v>
      </c>
      <c r="E711" s="687">
        <v>0.18737494915</v>
      </c>
      <c r="F711" s="687">
        <v>5.0793968750000003E-3</v>
      </c>
      <c r="G711" s="687">
        <v>6.162491E-3</v>
      </c>
      <c r="H711" s="216">
        <v>927.65784754000003</v>
      </c>
    </row>
    <row r="712" spans="2:8" ht="21.95" customHeight="1" x14ac:dyDescent="0.2">
      <c r="B712" s="143" t="s">
        <v>23</v>
      </c>
      <c r="C712" s="143">
        <v>5</v>
      </c>
      <c r="D712" s="143">
        <v>2023</v>
      </c>
      <c r="E712" s="687">
        <v>0.16888562385</v>
      </c>
      <c r="F712" s="687">
        <v>4.9259990625000003E-3</v>
      </c>
      <c r="G712" s="687">
        <v>6.0267621249999997E-3</v>
      </c>
      <c r="H712" s="216">
        <v>907.22614740999995</v>
      </c>
    </row>
    <row r="713" spans="2:8" ht="21.95" customHeight="1" x14ac:dyDescent="0.2">
      <c r="B713" s="143" t="s">
        <v>23</v>
      </c>
      <c r="C713" s="143">
        <v>5</v>
      </c>
      <c r="D713" s="143">
        <v>2024</v>
      </c>
      <c r="E713" s="687">
        <v>0.15039629855</v>
      </c>
      <c r="F713" s="687">
        <v>4.7726012500000003E-3</v>
      </c>
      <c r="G713" s="687">
        <v>5.8910332500000002E-3</v>
      </c>
      <c r="H713" s="216">
        <v>886.79444727999999</v>
      </c>
    </row>
    <row r="714" spans="2:8" ht="21.95" customHeight="1" x14ac:dyDescent="0.2">
      <c r="B714" s="143" t="s">
        <v>23</v>
      </c>
      <c r="C714" s="143">
        <v>5</v>
      </c>
      <c r="D714" s="143">
        <v>2025</v>
      </c>
      <c r="E714" s="687">
        <v>0.13190697325</v>
      </c>
      <c r="F714" s="687">
        <v>4.6192034375000003E-3</v>
      </c>
      <c r="G714" s="687">
        <v>5.755304375E-3</v>
      </c>
      <c r="H714" s="216">
        <v>866.36274715000002</v>
      </c>
    </row>
    <row r="715" spans="2:8" ht="21.95" customHeight="1" x14ac:dyDescent="0.2">
      <c r="B715" s="143" t="s">
        <v>23</v>
      </c>
      <c r="C715" s="143">
        <v>5</v>
      </c>
      <c r="D715" s="143">
        <v>2026</v>
      </c>
      <c r="E715" s="687">
        <v>0.11341764795000001</v>
      </c>
      <c r="F715" s="687">
        <v>4.4658056250000003E-3</v>
      </c>
      <c r="G715" s="687">
        <v>5.6195754999999997E-3</v>
      </c>
      <c r="H715" s="216">
        <v>845.93104702000005</v>
      </c>
    </row>
    <row r="716" spans="2:8" ht="21.95" customHeight="1" x14ac:dyDescent="0.2">
      <c r="B716" s="143" t="s">
        <v>23</v>
      </c>
      <c r="C716" s="143">
        <v>5</v>
      </c>
      <c r="D716" s="143">
        <v>2027</v>
      </c>
      <c r="E716" s="687">
        <v>9.4928322649999994E-2</v>
      </c>
      <c r="F716" s="687">
        <v>4.3124078125000003E-3</v>
      </c>
      <c r="G716" s="687">
        <v>5.4838466250000002E-3</v>
      </c>
      <c r="H716" s="216">
        <v>825.49934688999997</v>
      </c>
    </row>
    <row r="717" spans="2:8" ht="21.95" customHeight="1" x14ac:dyDescent="0.2">
      <c r="B717" s="143" t="s">
        <v>23</v>
      </c>
      <c r="C717" s="143">
        <v>5</v>
      </c>
      <c r="D717" s="143">
        <v>2028</v>
      </c>
      <c r="E717" s="687">
        <v>7.6438997349999996E-2</v>
      </c>
      <c r="F717" s="687">
        <v>4.1590100000000003E-3</v>
      </c>
      <c r="G717" s="687">
        <v>5.3481177499999999E-3</v>
      </c>
      <c r="H717" s="216">
        <v>805.06764676</v>
      </c>
    </row>
    <row r="718" spans="2:8" ht="21.95" customHeight="1" x14ac:dyDescent="0.2">
      <c r="B718" s="143" t="s">
        <v>23</v>
      </c>
      <c r="C718" s="143">
        <v>5</v>
      </c>
      <c r="D718" s="143">
        <v>2029</v>
      </c>
      <c r="E718" s="687">
        <v>5.7949672049999998E-2</v>
      </c>
      <c r="F718" s="687">
        <v>4.0056121875000003E-3</v>
      </c>
      <c r="G718" s="687">
        <v>5.2123888749999996E-3</v>
      </c>
      <c r="H718" s="216">
        <v>784.63594663000003</v>
      </c>
    </row>
    <row r="719" spans="2:8" ht="21.95" customHeight="1" x14ac:dyDescent="0.2">
      <c r="B719" s="143" t="s">
        <v>23</v>
      </c>
      <c r="C719" s="143">
        <v>5</v>
      </c>
      <c r="D719" s="143">
        <v>2030</v>
      </c>
      <c r="E719" s="687">
        <v>3.946034675E-2</v>
      </c>
      <c r="F719" s="687">
        <v>3.8522143749999999E-3</v>
      </c>
      <c r="G719" s="687">
        <v>5.0766600000000002E-3</v>
      </c>
      <c r="H719" s="216">
        <v>764.20424649999995</v>
      </c>
    </row>
    <row r="720" spans="2:8" ht="21.95" customHeight="1" x14ac:dyDescent="0.2">
      <c r="B720" s="143" t="s">
        <v>23</v>
      </c>
      <c r="C720" s="143">
        <v>5</v>
      </c>
      <c r="D720" s="143">
        <v>2031</v>
      </c>
      <c r="E720" s="687">
        <v>3.6219864962500001E-2</v>
      </c>
      <c r="F720" s="687">
        <v>3.7860551750000001E-3</v>
      </c>
      <c r="G720" s="687">
        <v>5.0273637499999996E-3</v>
      </c>
      <c r="H720" s="216">
        <v>756.78353345874996</v>
      </c>
    </row>
    <row r="721" spans="2:8" ht="21.95" customHeight="1" x14ac:dyDescent="0.2">
      <c r="B721" s="143" t="s">
        <v>23</v>
      </c>
      <c r="C721" s="143">
        <v>5</v>
      </c>
      <c r="D721" s="143">
        <v>2032</v>
      </c>
      <c r="E721" s="687">
        <v>3.2979383175000002E-2</v>
      </c>
      <c r="F721" s="687">
        <v>3.719895975E-3</v>
      </c>
      <c r="G721" s="687">
        <v>4.9780674999999998E-3</v>
      </c>
      <c r="H721" s="216">
        <v>749.36282041749996</v>
      </c>
    </row>
    <row r="722" spans="2:8" ht="21.95" customHeight="1" x14ac:dyDescent="0.2">
      <c r="B722" s="143" t="s">
        <v>23</v>
      </c>
      <c r="C722" s="143">
        <v>5</v>
      </c>
      <c r="D722" s="143">
        <v>2033</v>
      </c>
      <c r="E722" s="687">
        <v>2.9738901387499999E-2</v>
      </c>
      <c r="F722" s="687">
        <v>3.6537367749999998E-3</v>
      </c>
      <c r="G722" s="687">
        <v>4.9287712500000001E-3</v>
      </c>
      <c r="H722" s="216">
        <v>741.94210737624996</v>
      </c>
    </row>
    <row r="723" spans="2:8" ht="21.95" customHeight="1" x14ac:dyDescent="0.2">
      <c r="B723" s="143" t="s">
        <v>23</v>
      </c>
      <c r="C723" s="143">
        <v>5</v>
      </c>
      <c r="D723" s="143">
        <v>2034</v>
      </c>
      <c r="E723" s="687">
        <v>2.64984196E-2</v>
      </c>
      <c r="F723" s="687">
        <v>3.5875775750000001E-3</v>
      </c>
      <c r="G723" s="687">
        <v>4.8794750000000003E-3</v>
      </c>
      <c r="H723" s="216">
        <v>734.52139433499997</v>
      </c>
    </row>
    <row r="724" spans="2:8" ht="21.95" customHeight="1" x14ac:dyDescent="0.2">
      <c r="B724" s="143" t="s">
        <v>23</v>
      </c>
      <c r="C724" s="143">
        <v>5</v>
      </c>
      <c r="D724" s="143">
        <v>2035</v>
      </c>
      <c r="E724" s="687">
        <v>2.3257937812500001E-2</v>
      </c>
      <c r="F724" s="687">
        <v>3.5214183749999999E-3</v>
      </c>
      <c r="G724" s="687">
        <v>4.8301787499999997E-3</v>
      </c>
      <c r="H724" s="216">
        <v>727.10068129374997</v>
      </c>
    </row>
    <row r="725" spans="2:8" ht="21.95" customHeight="1" x14ac:dyDescent="0.2">
      <c r="B725" s="143" t="s">
        <v>23</v>
      </c>
      <c r="C725" s="143">
        <v>5</v>
      </c>
      <c r="D725" s="143">
        <v>2036</v>
      </c>
      <c r="E725" s="687">
        <v>2.0017456025000002E-2</v>
      </c>
      <c r="F725" s="687">
        <v>3.4552591750000002E-3</v>
      </c>
      <c r="G725" s="687">
        <v>4.7808824999999999E-3</v>
      </c>
      <c r="H725" s="216">
        <v>719.67996825249998</v>
      </c>
    </row>
    <row r="726" spans="2:8" ht="21.95" customHeight="1" x14ac:dyDescent="0.2">
      <c r="B726" s="143" t="s">
        <v>23</v>
      </c>
      <c r="C726" s="143">
        <v>5</v>
      </c>
      <c r="D726" s="143">
        <v>2037</v>
      </c>
      <c r="E726" s="687">
        <v>1.6776974237499999E-2</v>
      </c>
      <c r="F726" s="687">
        <v>3.389099975E-3</v>
      </c>
      <c r="G726" s="687">
        <v>4.7315862500000002E-3</v>
      </c>
      <c r="H726" s="216">
        <v>712.25925521124998</v>
      </c>
    </row>
    <row r="727" spans="2:8" ht="21.95" customHeight="1" x14ac:dyDescent="0.2">
      <c r="B727" s="143" t="s">
        <v>23</v>
      </c>
      <c r="C727" s="143">
        <v>5</v>
      </c>
      <c r="D727" s="143">
        <v>2038</v>
      </c>
      <c r="E727" s="687">
        <v>1.353649245E-2</v>
      </c>
      <c r="F727" s="687">
        <v>3.3229407749999999E-3</v>
      </c>
      <c r="G727" s="687">
        <v>4.6822900000000004E-3</v>
      </c>
      <c r="H727" s="216">
        <v>704.83854216999998</v>
      </c>
    </row>
    <row r="728" spans="2:8" ht="21.95" customHeight="1" x14ac:dyDescent="0.2">
      <c r="B728" s="143" t="s">
        <v>23</v>
      </c>
      <c r="C728" s="143">
        <v>5</v>
      </c>
      <c r="D728" s="143">
        <v>2039</v>
      </c>
      <c r="E728" s="687">
        <v>1.0296010662500001E-2</v>
      </c>
      <c r="F728" s="687">
        <v>3.2567815750000001E-3</v>
      </c>
      <c r="G728" s="687">
        <v>4.6329937499999998E-3</v>
      </c>
      <c r="H728" s="216">
        <v>697.41782912874999</v>
      </c>
    </row>
    <row r="729" spans="2:8" ht="21.95" customHeight="1" x14ac:dyDescent="0.2">
      <c r="B729" s="143" t="s">
        <v>23</v>
      </c>
      <c r="C729" s="143">
        <v>5</v>
      </c>
      <c r="D729" s="143">
        <v>2040</v>
      </c>
      <c r="E729" s="687">
        <v>7.0555288749999997E-3</v>
      </c>
      <c r="F729" s="687">
        <v>3.190622375E-3</v>
      </c>
      <c r="G729" s="687">
        <v>4.5836975E-3</v>
      </c>
      <c r="H729" s="216">
        <v>689.99711608749999</v>
      </c>
    </row>
    <row r="730" spans="2:8" ht="21.95" customHeight="1" x14ac:dyDescent="0.2">
      <c r="B730" s="143" t="s">
        <v>23</v>
      </c>
      <c r="C730" s="143">
        <v>5</v>
      </c>
      <c r="D730" s="143">
        <v>2041</v>
      </c>
      <c r="E730" s="687">
        <v>6.7861727125E-3</v>
      </c>
      <c r="F730" s="687">
        <v>3.1820549E-3</v>
      </c>
      <c r="G730" s="687">
        <v>4.5742738749999998E-3</v>
      </c>
      <c r="H730" s="216">
        <v>688.57860412499997</v>
      </c>
    </row>
    <row r="731" spans="2:8" ht="21.95" customHeight="1" x14ac:dyDescent="0.2">
      <c r="B731" s="143" t="s">
        <v>23</v>
      </c>
      <c r="C731" s="143">
        <v>5</v>
      </c>
      <c r="D731" s="143">
        <v>2042</v>
      </c>
      <c r="E731" s="687">
        <v>6.5168165500000003E-3</v>
      </c>
      <c r="F731" s="687">
        <v>3.173487425E-3</v>
      </c>
      <c r="G731" s="687">
        <v>4.5648502500000004E-3</v>
      </c>
      <c r="H731" s="216">
        <v>687.16009216249995</v>
      </c>
    </row>
    <row r="732" spans="2:8" ht="21.95" customHeight="1" x14ac:dyDescent="0.2">
      <c r="B732" s="143" t="s">
        <v>23</v>
      </c>
      <c r="C732" s="143">
        <v>5</v>
      </c>
      <c r="D732" s="143">
        <v>2043</v>
      </c>
      <c r="E732" s="687">
        <v>6.2474603874999998E-3</v>
      </c>
      <c r="F732" s="687">
        <v>3.1649199500000001E-3</v>
      </c>
      <c r="G732" s="687">
        <v>4.5554266250000001E-3</v>
      </c>
      <c r="H732" s="216">
        <v>685.74158020000004</v>
      </c>
    </row>
    <row r="733" spans="2:8" ht="21.95" customHeight="1" x14ac:dyDescent="0.2">
      <c r="B733" s="143" t="s">
        <v>23</v>
      </c>
      <c r="C733" s="143">
        <v>5</v>
      </c>
      <c r="D733" s="143">
        <v>2044</v>
      </c>
      <c r="E733" s="687">
        <v>5.9781042250000001E-3</v>
      </c>
      <c r="F733" s="687">
        <v>3.1563524750000001E-3</v>
      </c>
      <c r="G733" s="687">
        <v>4.5460029999999998E-3</v>
      </c>
      <c r="H733" s="216">
        <v>684.32306823750002</v>
      </c>
    </row>
    <row r="734" spans="2:8" ht="21.95" customHeight="1" x14ac:dyDescent="0.2">
      <c r="B734" s="143" t="s">
        <v>23</v>
      </c>
      <c r="C734" s="143">
        <v>5</v>
      </c>
      <c r="D734" s="143">
        <v>2045</v>
      </c>
      <c r="E734" s="687">
        <v>5.7087480624999996E-3</v>
      </c>
      <c r="F734" s="687">
        <v>3.1477850000000002E-3</v>
      </c>
      <c r="G734" s="687">
        <v>4.5365793749999996E-3</v>
      </c>
      <c r="H734" s="216">
        <v>682.904556275</v>
      </c>
    </row>
    <row r="735" spans="2:8" ht="21.95" customHeight="1" x14ac:dyDescent="0.2">
      <c r="B735" s="143" t="s">
        <v>23</v>
      </c>
      <c r="C735" s="143">
        <v>5</v>
      </c>
      <c r="D735" s="143">
        <v>2046</v>
      </c>
      <c r="E735" s="687">
        <v>5.4393918999999999E-3</v>
      </c>
      <c r="F735" s="687">
        <v>3.1392175250000002E-3</v>
      </c>
      <c r="G735" s="687">
        <v>4.5271557500000002E-3</v>
      </c>
      <c r="H735" s="216">
        <v>681.48604431249998</v>
      </c>
    </row>
    <row r="736" spans="2:8" ht="21.95" customHeight="1" x14ac:dyDescent="0.2">
      <c r="B736" s="143" t="s">
        <v>23</v>
      </c>
      <c r="C736" s="143">
        <v>5</v>
      </c>
      <c r="D736" s="143">
        <v>2047</v>
      </c>
      <c r="E736" s="687">
        <v>5.1700357375000002E-3</v>
      </c>
      <c r="F736" s="687">
        <v>3.1306500499999998E-3</v>
      </c>
      <c r="G736" s="687">
        <v>4.5177321249999999E-3</v>
      </c>
      <c r="H736" s="216">
        <v>680.06753234999996</v>
      </c>
    </row>
    <row r="737" spans="2:8" ht="21.95" customHeight="1" x14ac:dyDescent="0.2">
      <c r="B737" s="143" t="s">
        <v>23</v>
      </c>
      <c r="C737" s="143">
        <v>5</v>
      </c>
      <c r="D737" s="143">
        <v>2048</v>
      </c>
      <c r="E737" s="687">
        <v>4.9006795749999997E-3</v>
      </c>
      <c r="F737" s="687">
        <v>3.1220825749999999E-3</v>
      </c>
      <c r="G737" s="687">
        <v>4.5083084999999997E-3</v>
      </c>
      <c r="H737" s="216">
        <v>678.64902038749995</v>
      </c>
    </row>
    <row r="738" spans="2:8" ht="21.95" customHeight="1" x14ac:dyDescent="0.2">
      <c r="B738" s="143" t="s">
        <v>23</v>
      </c>
      <c r="C738" s="143">
        <v>5</v>
      </c>
      <c r="D738" s="143">
        <v>2049</v>
      </c>
      <c r="E738" s="687">
        <v>4.6313234125E-3</v>
      </c>
      <c r="F738" s="687">
        <v>3.1135150999999999E-3</v>
      </c>
      <c r="G738" s="687">
        <v>4.4988848750000003E-3</v>
      </c>
      <c r="H738" s="216">
        <v>677.23050842500004</v>
      </c>
    </row>
    <row r="739" spans="2:8" ht="21.95" customHeight="1" x14ac:dyDescent="0.2">
      <c r="B739" s="143" t="s">
        <v>23</v>
      </c>
      <c r="C739" s="143">
        <v>5</v>
      </c>
      <c r="D739" s="143">
        <v>2050</v>
      </c>
      <c r="E739" s="687">
        <v>4.3619672500000003E-3</v>
      </c>
      <c r="F739" s="687">
        <v>3.1049476249999999E-3</v>
      </c>
      <c r="G739" s="687">
        <v>4.48946125E-3</v>
      </c>
      <c r="H739" s="216">
        <v>675.81199646250002</v>
      </c>
    </row>
    <row r="740" spans="2:8" ht="21.95" customHeight="1" x14ac:dyDescent="0.2">
      <c r="B740" s="143" t="s">
        <v>23</v>
      </c>
      <c r="C740" s="143">
        <v>5</v>
      </c>
      <c r="D740" s="143">
        <v>2051</v>
      </c>
      <c r="E740" s="687">
        <v>4.3136231062500001E-3</v>
      </c>
      <c r="F740" s="687">
        <v>3.1064808999999999E-3</v>
      </c>
      <c r="G740" s="687">
        <v>4.4885354999999998E-3</v>
      </c>
      <c r="H740" s="216">
        <v>675.67260971124995</v>
      </c>
    </row>
    <row r="741" spans="2:8" ht="21.95" customHeight="1" x14ac:dyDescent="0.2">
      <c r="B741" s="143" t="s">
        <v>23</v>
      </c>
      <c r="C741" s="143">
        <v>5</v>
      </c>
      <c r="D741" s="143">
        <v>2052</v>
      </c>
      <c r="E741" s="687">
        <v>4.2652789624999998E-3</v>
      </c>
      <c r="F741" s="687">
        <v>3.1080141749999998E-3</v>
      </c>
      <c r="G741" s="687">
        <v>4.4876097499999996E-3</v>
      </c>
      <c r="H741" s="216">
        <v>675.53322295999999</v>
      </c>
    </row>
    <row r="742" spans="2:8" ht="21.95" customHeight="1" x14ac:dyDescent="0.2">
      <c r="B742" s="143" t="s">
        <v>23</v>
      </c>
      <c r="C742" s="143">
        <v>5</v>
      </c>
      <c r="D742" s="143">
        <v>2053</v>
      </c>
      <c r="E742" s="687">
        <v>4.2169348187500004E-3</v>
      </c>
      <c r="F742" s="687">
        <v>3.1095474500000002E-3</v>
      </c>
      <c r="G742" s="687">
        <v>4.4866840000000003E-3</v>
      </c>
      <c r="H742" s="216">
        <v>675.39383620875003</v>
      </c>
    </row>
    <row r="743" spans="2:8" ht="21.95" customHeight="1" x14ac:dyDescent="0.2">
      <c r="B743" s="143" t="s">
        <v>23</v>
      </c>
      <c r="C743" s="143">
        <v>5</v>
      </c>
      <c r="D743" s="143">
        <v>2054</v>
      </c>
      <c r="E743" s="687">
        <v>4.1685906750000001E-3</v>
      </c>
      <c r="F743" s="687">
        <v>3.1110807250000001E-3</v>
      </c>
      <c r="G743" s="687">
        <v>4.4857582500000001E-3</v>
      </c>
      <c r="H743" s="216">
        <v>675.25444945749996</v>
      </c>
    </row>
    <row r="744" spans="2:8" ht="21.95" customHeight="1" x14ac:dyDescent="0.2">
      <c r="B744" s="143" t="s">
        <v>23</v>
      </c>
      <c r="C744" s="143">
        <v>5</v>
      </c>
      <c r="D744" s="143">
        <v>2055</v>
      </c>
      <c r="E744" s="687">
        <v>4.1202465312499999E-3</v>
      </c>
      <c r="F744" s="687">
        <v>3.1126140000000001E-3</v>
      </c>
      <c r="G744" s="687">
        <v>4.4848325E-3</v>
      </c>
      <c r="H744" s="216">
        <v>675.11506270625</v>
      </c>
    </row>
    <row r="745" spans="2:8" ht="21.95" customHeight="1" x14ac:dyDescent="0.2">
      <c r="B745" s="143" t="s">
        <v>23</v>
      </c>
      <c r="C745" s="143">
        <v>5</v>
      </c>
      <c r="D745" s="143">
        <v>2056</v>
      </c>
      <c r="E745" s="687">
        <v>4.0719023874999996E-3</v>
      </c>
      <c r="F745" s="687">
        <v>3.114147275E-3</v>
      </c>
      <c r="G745" s="687">
        <v>4.4839067499999998E-3</v>
      </c>
      <c r="H745" s="216">
        <v>674.97567595500004</v>
      </c>
    </row>
    <row r="746" spans="2:8" ht="21.95" customHeight="1" x14ac:dyDescent="0.2">
      <c r="B746" s="143" t="s">
        <v>23</v>
      </c>
      <c r="C746" s="143">
        <v>5</v>
      </c>
      <c r="D746" s="143">
        <v>2057</v>
      </c>
      <c r="E746" s="687">
        <v>4.0235582437500002E-3</v>
      </c>
      <c r="F746" s="687">
        <v>3.11568055E-3</v>
      </c>
      <c r="G746" s="687">
        <v>4.4829809999999996E-3</v>
      </c>
      <c r="H746" s="216">
        <v>674.83628920374997</v>
      </c>
    </row>
    <row r="747" spans="2:8" ht="21.95" customHeight="1" x14ac:dyDescent="0.2">
      <c r="B747" s="143" t="s">
        <v>23</v>
      </c>
      <c r="C747" s="143">
        <v>5</v>
      </c>
      <c r="D747" s="143">
        <v>2058</v>
      </c>
      <c r="E747" s="687">
        <v>3.9752141E-3</v>
      </c>
      <c r="F747" s="687">
        <v>3.1172138249999999E-3</v>
      </c>
      <c r="G747" s="687">
        <v>4.4820552500000003E-3</v>
      </c>
      <c r="H747" s="216">
        <v>674.69690245250001</v>
      </c>
    </row>
    <row r="748" spans="2:8" ht="21.95" customHeight="1" x14ac:dyDescent="0.2">
      <c r="B748" s="143" t="s">
        <v>23</v>
      </c>
      <c r="C748" s="143">
        <v>5</v>
      </c>
      <c r="D748" s="143">
        <v>2059</v>
      </c>
      <c r="E748" s="687">
        <v>3.9268699562499997E-3</v>
      </c>
      <c r="F748" s="687">
        <v>3.1187470999999999E-3</v>
      </c>
      <c r="G748" s="687">
        <v>4.4811295000000001E-3</v>
      </c>
      <c r="H748" s="216">
        <v>674.55751570125005</v>
      </c>
    </row>
    <row r="749" spans="2:8" ht="21.95" customHeight="1" x14ac:dyDescent="0.2">
      <c r="B749" s="143" t="s">
        <v>23</v>
      </c>
      <c r="C749" s="143">
        <v>5</v>
      </c>
      <c r="D749" s="143">
        <v>2060</v>
      </c>
      <c r="E749" s="687">
        <v>3.8785258124999999E-3</v>
      </c>
      <c r="F749" s="687">
        <v>3.1202803749999998E-3</v>
      </c>
      <c r="G749" s="687">
        <v>4.4802037499999999E-3</v>
      </c>
      <c r="H749" s="216">
        <v>674.41812894999998</v>
      </c>
    </row>
    <row r="750" spans="2:8" ht="21.95" customHeight="1" x14ac:dyDescent="0.2">
      <c r="B750" s="143" t="s">
        <v>23</v>
      </c>
      <c r="C750" s="143">
        <v>10</v>
      </c>
      <c r="D750" s="143">
        <v>2020</v>
      </c>
      <c r="E750" s="687">
        <v>0.19175492187500001</v>
      </c>
      <c r="F750" s="687">
        <v>3.6995882500000001E-3</v>
      </c>
      <c r="G750" s="687">
        <v>3.8831062500000002E-3</v>
      </c>
      <c r="H750" s="216">
        <v>584.53562165000005</v>
      </c>
    </row>
    <row r="751" spans="2:8" ht="21.95" customHeight="1" x14ac:dyDescent="0.2">
      <c r="B751" s="143" t="s">
        <v>23</v>
      </c>
      <c r="C751" s="143">
        <v>10</v>
      </c>
      <c r="D751" s="143">
        <v>2021</v>
      </c>
      <c r="E751" s="687">
        <v>0.17609695481250001</v>
      </c>
      <c r="F751" s="687">
        <v>3.5789519875000001E-3</v>
      </c>
      <c r="G751" s="687">
        <v>3.8010352499999998E-3</v>
      </c>
      <c r="H751" s="216">
        <v>572.18123398249998</v>
      </c>
    </row>
    <row r="752" spans="2:8" ht="21.95" customHeight="1" x14ac:dyDescent="0.2">
      <c r="B752" s="143" t="s">
        <v>23</v>
      </c>
      <c r="C752" s="143">
        <v>10</v>
      </c>
      <c r="D752" s="143">
        <v>2022</v>
      </c>
      <c r="E752" s="687">
        <v>0.16043898775000001</v>
      </c>
      <c r="F752" s="687">
        <v>3.4583157250000001E-3</v>
      </c>
      <c r="G752" s="687">
        <v>3.7189642499999998E-3</v>
      </c>
      <c r="H752" s="216">
        <v>559.82684631500001</v>
      </c>
    </row>
    <row r="753" spans="2:8" ht="21.95" customHeight="1" x14ac:dyDescent="0.2">
      <c r="B753" s="143" t="s">
        <v>23</v>
      </c>
      <c r="C753" s="143">
        <v>10</v>
      </c>
      <c r="D753" s="143">
        <v>2023</v>
      </c>
      <c r="E753" s="687">
        <v>0.14478102068750001</v>
      </c>
      <c r="F753" s="687">
        <v>3.3376794625000002E-3</v>
      </c>
      <c r="G753" s="687">
        <v>3.6368932499999999E-3</v>
      </c>
      <c r="H753" s="216">
        <v>547.47245864750005</v>
      </c>
    </row>
    <row r="754" spans="2:8" ht="21.95" customHeight="1" x14ac:dyDescent="0.2">
      <c r="B754" s="143" t="s">
        <v>23</v>
      </c>
      <c r="C754" s="143">
        <v>10</v>
      </c>
      <c r="D754" s="143">
        <v>2024</v>
      </c>
      <c r="E754" s="687">
        <v>0.12912305362500001</v>
      </c>
      <c r="F754" s="687">
        <v>3.2170431999999998E-3</v>
      </c>
      <c r="G754" s="687">
        <v>3.5548222499999999E-3</v>
      </c>
      <c r="H754" s="216">
        <v>535.11807097999997</v>
      </c>
    </row>
    <row r="755" spans="2:8" ht="21.95" customHeight="1" x14ac:dyDescent="0.2">
      <c r="B755" s="143" t="s">
        <v>23</v>
      </c>
      <c r="C755" s="143">
        <v>10</v>
      </c>
      <c r="D755" s="143">
        <v>2025</v>
      </c>
      <c r="E755" s="687">
        <v>0.1134650865625</v>
      </c>
      <c r="F755" s="687">
        <v>3.0964069374999998E-3</v>
      </c>
      <c r="G755" s="687">
        <v>3.4727512499999999E-3</v>
      </c>
      <c r="H755" s="216">
        <v>522.76368331250001</v>
      </c>
    </row>
    <row r="756" spans="2:8" ht="21.95" customHeight="1" x14ac:dyDescent="0.2">
      <c r="B756" s="143" t="s">
        <v>23</v>
      </c>
      <c r="C756" s="143">
        <v>10</v>
      </c>
      <c r="D756" s="143">
        <v>2026</v>
      </c>
      <c r="E756" s="687">
        <v>9.7807119499999998E-2</v>
      </c>
      <c r="F756" s="687">
        <v>2.9757706749999999E-3</v>
      </c>
      <c r="G756" s="687">
        <v>3.39068025E-3</v>
      </c>
      <c r="H756" s="216">
        <v>510.40929564499999</v>
      </c>
    </row>
    <row r="757" spans="2:8" ht="21.95" customHeight="1" x14ac:dyDescent="0.2">
      <c r="B757" s="143" t="s">
        <v>23</v>
      </c>
      <c r="C757" s="143">
        <v>10</v>
      </c>
      <c r="D757" s="143">
        <v>2027</v>
      </c>
      <c r="E757" s="687">
        <v>8.2149152437499998E-2</v>
      </c>
      <c r="F757" s="687">
        <v>2.8551344124999999E-3</v>
      </c>
      <c r="G757" s="687">
        <v>3.30860925E-3</v>
      </c>
      <c r="H757" s="216">
        <v>498.05490797750002</v>
      </c>
    </row>
    <row r="758" spans="2:8" ht="21.95" customHeight="1" x14ac:dyDescent="0.2">
      <c r="B758" s="143" t="s">
        <v>23</v>
      </c>
      <c r="C758" s="143">
        <v>10</v>
      </c>
      <c r="D758" s="143">
        <v>2028</v>
      </c>
      <c r="E758" s="687">
        <v>6.6491185374999998E-2</v>
      </c>
      <c r="F758" s="687">
        <v>2.73449815E-3</v>
      </c>
      <c r="G758" s="687">
        <v>3.22653825E-3</v>
      </c>
      <c r="H758" s="216">
        <v>485.70052031</v>
      </c>
    </row>
    <row r="759" spans="2:8" ht="21.95" customHeight="1" x14ac:dyDescent="0.2">
      <c r="B759" s="143" t="s">
        <v>23</v>
      </c>
      <c r="C759" s="143">
        <v>10</v>
      </c>
      <c r="D759" s="143">
        <v>2029</v>
      </c>
      <c r="E759" s="687">
        <v>5.0833218312499998E-2</v>
      </c>
      <c r="F759" s="687">
        <v>2.6138618875E-3</v>
      </c>
      <c r="G759" s="687">
        <v>3.1444672500000001E-3</v>
      </c>
      <c r="H759" s="216">
        <v>473.34613264249998</v>
      </c>
    </row>
    <row r="760" spans="2:8" ht="21.95" customHeight="1" x14ac:dyDescent="0.2">
      <c r="B760" s="143" t="s">
        <v>23</v>
      </c>
      <c r="C760" s="143">
        <v>10</v>
      </c>
      <c r="D760" s="143">
        <v>2030</v>
      </c>
      <c r="E760" s="687">
        <v>3.5175251249999998E-2</v>
      </c>
      <c r="F760" s="687">
        <v>2.4932256250000001E-3</v>
      </c>
      <c r="G760" s="687">
        <v>3.0623962500000001E-3</v>
      </c>
      <c r="H760" s="216">
        <v>460.99174497500002</v>
      </c>
    </row>
    <row r="761" spans="2:8" ht="21.95" customHeight="1" x14ac:dyDescent="0.2">
      <c r="B761" s="143" t="s">
        <v>23</v>
      </c>
      <c r="C761" s="143">
        <v>10</v>
      </c>
      <c r="D761" s="143">
        <v>2031</v>
      </c>
      <c r="E761" s="687">
        <v>3.2286428087499999E-2</v>
      </c>
      <c r="F761" s="687">
        <v>2.4430359874999998E-3</v>
      </c>
      <c r="G761" s="687">
        <v>3.0325221250000001E-3</v>
      </c>
      <c r="H761" s="216">
        <v>456.49467085125002</v>
      </c>
    </row>
    <row r="762" spans="2:8" ht="21.95" customHeight="1" x14ac:dyDescent="0.2">
      <c r="B762" s="143" t="s">
        <v>23</v>
      </c>
      <c r="C762" s="143">
        <v>10</v>
      </c>
      <c r="D762" s="143">
        <v>2032</v>
      </c>
      <c r="E762" s="687">
        <v>2.9397604925000001E-2</v>
      </c>
      <c r="F762" s="687">
        <v>2.39284635E-3</v>
      </c>
      <c r="G762" s="687">
        <v>3.0026480000000001E-3</v>
      </c>
      <c r="H762" s="216">
        <v>451.99759672750002</v>
      </c>
    </row>
    <row r="763" spans="2:8" ht="21.95" customHeight="1" x14ac:dyDescent="0.2">
      <c r="B763" s="143" t="s">
        <v>23</v>
      </c>
      <c r="C763" s="143">
        <v>10</v>
      </c>
      <c r="D763" s="143">
        <v>2033</v>
      </c>
      <c r="E763" s="687">
        <v>2.6508781762499999E-2</v>
      </c>
      <c r="F763" s="687">
        <v>2.3426567124999998E-3</v>
      </c>
      <c r="G763" s="687">
        <v>2.9727738750000001E-3</v>
      </c>
      <c r="H763" s="216">
        <v>447.50052260375003</v>
      </c>
    </row>
    <row r="764" spans="2:8" ht="21.95" customHeight="1" x14ac:dyDescent="0.2">
      <c r="B764" s="143" t="s">
        <v>23</v>
      </c>
      <c r="C764" s="143">
        <v>10</v>
      </c>
      <c r="D764" s="143">
        <v>2034</v>
      </c>
      <c r="E764" s="687">
        <v>2.3619958600000001E-2</v>
      </c>
      <c r="F764" s="687">
        <v>2.292467075E-3</v>
      </c>
      <c r="G764" s="687">
        <v>2.9428997500000002E-3</v>
      </c>
      <c r="H764" s="216">
        <v>443.00344847999997</v>
      </c>
    </row>
    <row r="765" spans="2:8" ht="21.95" customHeight="1" x14ac:dyDescent="0.2">
      <c r="B765" s="143" t="s">
        <v>23</v>
      </c>
      <c r="C765" s="143">
        <v>10</v>
      </c>
      <c r="D765" s="143">
        <v>2035</v>
      </c>
      <c r="E765" s="687">
        <v>2.0731135437499999E-2</v>
      </c>
      <c r="F765" s="687">
        <v>2.2422774375000002E-3</v>
      </c>
      <c r="G765" s="687">
        <v>2.9130256250000002E-3</v>
      </c>
      <c r="H765" s="216">
        <v>438.50637435624998</v>
      </c>
    </row>
    <row r="766" spans="2:8" ht="21.95" customHeight="1" x14ac:dyDescent="0.2">
      <c r="B766" s="143" t="s">
        <v>23</v>
      </c>
      <c r="C766" s="143">
        <v>10</v>
      </c>
      <c r="D766" s="143">
        <v>2036</v>
      </c>
      <c r="E766" s="687">
        <v>1.7842312275000001E-2</v>
      </c>
      <c r="F766" s="687">
        <v>2.1920878E-3</v>
      </c>
      <c r="G766" s="687">
        <v>2.8831515000000002E-3</v>
      </c>
      <c r="H766" s="216">
        <v>434.00930023249998</v>
      </c>
    </row>
    <row r="767" spans="2:8" ht="21.95" customHeight="1" x14ac:dyDescent="0.2">
      <c r="B767" s="143" t="s">
        <v>23</v>
      </c>
      <c r="C767" s="143">
        <v>10</v>
      </c>
      <c r="D767" s="143">
        <v>2037</v>
      </c>
      <c r="E767" s="687">
        <v>1.4953489112499999E-2</v>
      </c>
      <c r="F767" s="687">
        <v>2.1418981625000002E-3</v>
      </c>
      <c r="G767" s="687">
        <v>2.8532773749999998E-3</v>
      </c>
      <c r="H767" s="216">
        <v>429.51222610874999</v>
      </c>
    </row>
    <row r="768" spans="2:8" ht="21.95" customHeight="1" x14ac:dyDescent="0.2">
      <c r="B768" s="143" t="s">
        <v>23</v>
      </c>
      <c r="C768" s="143">
        <v>10</v>
      </c>
      <c r="D768" s="143">
        <v>2038</v>
      </c>
      <c r="E768" s="687">
        <v>1.2064665949999999E-2</v>
      </c>
      <c r="F768" s="687">
        <v>2.0917085249999999E-3</v>
      </c>
      <c r="G768" s="687">
        <v>2.8234032499999998E-3</v>
      </c>
      <c r="H768" s="216">
        <v>425.01515198499999</v>
      </c>
    </row>
    <row r="769" spans="2:8" ht="21.95" customHeight="1" x14ac:dyDescent="0.2">
      <c r="B769" s="143" t="s">
        <v>23</v>
      </c>
      <c r="C769" s="143">
        <v>10</v>
      </c>
      <c r="D769" s="143">
        <v>2039</v>
      </c>
      <c r="E769" s="687">
        <v>9.1758427874999993E-3</v>
      </c>
      <c r="F769" s="687">
        <v>2.0415188875000001E-3</v>
      </c>
      <c r="G769" s="687">
        <v>2.7935291249999998E-3</v>
      </c>
      <c r="H769" s="216">
        <v>420.51807786124999</v>
      </c>
    </row>
    <row r="770" spans="2:8" ht="21.95" customHeight="1" x14ac:dyDescent="0.2">
      <c r="B770" s="143" t="s">
        <v>23</v>
      </c>
      <c r="C770" s="143">
        <v>10</v>
      </c>
      <c r="D770" s="143">
        <v>2040</v>
      </c>
      <c r="E770" s="687">
        <v>6.2870196250000001E-3</v>
      </c>
      <c r="F770" s="687">
        <v>1.9913292499999999E-3</v>
      </c>
      <c r="G770" s="687">
        <v>2.7636549999999998E-3</v>
      </c>
      <c r="H770" s="216">
        <v>416.0210037375</v>
      </c>
    </row>
    <row r="771" spans="2:8" ht="21.95" customHeight="1" x14ac:dyDescent="0.2">
      <c r="B771" s="143" t="s">
        <v>23</v>
      </c>
      <c r="C771" s="143">
        <v>10</v>
      </c>
      <c r="D771" s="143">
        <v>2041</v>
      </c>
      <c r="E771" s="687">
        <v>6.0468876437500003E-3</v>
      </c>
      <c r="F771" s="687">
        <v>1.9859821375E-3</v>
      </c>
      <c r="G771" s="687">
        <v>2.757972875E-3</v>
      </c>
      <c r="H771" s="216">
        <v>415.16567841624999</v>
      </c>
    </row>
    <row r="772" spans="2:8" ht="21.95" customHeight="1" x14ac:dyDescent="0.2">
      <c r="B772" s="143" t="s">
        <v>23</v>
      </c>
      <c r="C772" s="143">
        <v>10</v>
      </c>
      <c r="D772" s="143">
        <v>2042</v>
      </c>
      <c r="E772" s="687">
        <v>5.8067556625000004E-3</v>
      </c>
      <c r="F772" s="687">
        <v>1.980635025E-3</v>
      </c>
      <c r="G772" s="687">
        <v>2.7522907500000002E-3</v>
      </c>
      <c r="H772" s="216">
        <v>414.31035309499998</v>
      </c>
    </row>
    <row r="773" spans="2:8" ht="21.95" customHeight="1" x14ac:dyDescent="0.2">
      <c r="B773" s="143" t="s">
        <v>23</v>
      </c>
      <c r="C773" s="143">
        <v>10</v>
      </c>
      <c r="D773" s="143">
        <v>2043</v>
      </c>
      <c r="E773" s="687">
        <v>5.5666236812499997E-3</v>
      </c>
      <c r="F773" s="687">
        <v>1.9752879125000001E-3</v>
      </c>
      <c r="G773" s="687">
        <v>2.7466086249999999E-3</v>
      </c>
      <c r="H773" s="216">
        <v>413.45502777374998</v>
      </c>
    </row>
    <row r="774" spans="2:8" ht="21.95" customHeight="1" x14ac:dyDescent="0.2">
      <c r="B774" s="143" t="s">
        <v>23</v>
      </c>
      <c r="C774" s="143">
        <v>10</v>
      </c>
      <c r="D774" s="143">
        <v>2044</v>
      </c>
      <c r="E774" s="687">
        <v>5.3264916999999998E-3</v>
      </c>
      <c r="F774" s="687">
        <v>1.9699408000000002E-3</v>
      </c>
      <c r="G774" s="687">
        <v>2.7409265E-3</v>
      </c>
      <c r="H774" s="216">
        <v>412.59970245250003</v>
      </c>
    </row>
    <row r="775" spans="2:8" ht="21.95" customHeight="1" x14ac:dyDescent="0.2">
      <c r="B775" s="143" t="s">
        <v>23</v>
      </c>
      <c r="C775" s="143">
        <v>10</v>
      </c>
      <c r="D775" s="143">
        <v>2045</v>
      </c>
      <c r="E775" s="687">
        <v>5.08635971875E-3</v>
      </c>
      <c r="F775" s="687">
        <v>1.9645936874999998E-3</v>
      </c>
      <c r="G775" s="687">
        <v>2.7352443750000002E-3</v>
      </c>
      <c r="H775" s="216">
        <v>411.74437713125002</v>
      </c>
    </row>
    <row r="776" spans="2:8" ht="21.95" customHeight="1" x14ac:dyDescent="0.2">
      <c r="B776" s="143" t="s">
        <v>23</v>
      </c>
      <c r="C776" s="143">
        <v>10</v>
      </c>
      <c r="D776" s="143">
        <v>2046</v>
      </c>
      <c r="E776" s="687">
        <v>4.8462277375000001E-3</v>
      </c>
      <c r="F776" s="687">
        <v>1.9592465749999999E-3</v>
      </c>
      <c r="G776" s="687">
        <v>2.7295622499999999E-3</v>
      </c>
      <c r="H776" s="216">
        <v>410.88905181000001</v>
      </c>
    </row>
    <row r="777" spans="2:8" ht="21.95" customHeight="1" x14ac:dyDescent="0.2">
      <c r="B777" s="143" t="s">
        <v>23</v>
      </c>
      <c r="C777" s="143">
        <v>10</v>
      </c>
      <c r="D777" s="143">
        <v>2047</v>
      </c>
      <c r="E777" s="687">
        <v>4.6060957562500003E-3</v>
      </c>
      <c r="F777" s="687">
        <v>1.9538994624999999E-3</v>
      </c>
      <c r="G777" s="687">
        <v>2.7238801250000001E-3</v>
      </c>
      <c r="H777" s="216">
        <v>410.03372648875001</v>
      </c>
    </row>
    <row r="778" spans="2:8" ht="21.95" customHeight="1" x14ac:dyDescent="0.2">
      <c r="B778" s="143" t="s">
        <v>23</v>
      </c>
      <c r="C778" s="143">
        <v>10</v>
      </c>
      <c r="D778" s="143">
        <v>2048</v>
      </c>
      <c r="E778" s="687">
        <v>4.3659637750000004E-3</v>
      </c>
      <c r="F778" s="687">
        <v>1.94855235E-3</v>
      </c>
      <c r="G778" s="687">
        <v>2.7181979999999998E-3</v>
      </c>
      <c r="H778" s="216">
        <v>409.1784011675</v>
      </c>
    </row>
    <row r="779" spans="2:8" ht="21.95" customHeight="1" x14ac:dyDescent="0.2">
      <c r="B779" s="143" t="s">
        <v>23</v>
      </c>
      <c r="C779" s="143">
        <v>10</v>
      </c>
      <c r="D779" s="143">
        <v>2049</v>
      </c>
      <c r="E779" s="687">
        <v>4.1258317937499997E-3</v>
      </c>
      <c r="F779" s="687">
        <v>1.9432052375000001E-3</v>
      </c>
      <c r="G779" s="687">
        <v>2.712515875E-3</v>
      </c>
      <c r="H779" s="216">
        <v>408.32307584624999</v>
      </c>
    </row>
    <row r="780" spans="2:8" ht="21.95" customHeight="1" x14ac:dyDescent="0.2">
      <c r="B780" s="143" t="s">
        <v>23</v>
      </c>
      <c r="C780" s="143">
        <v>10</v>
      </c>
      <c r="D780" s="143">
        <v>2050</v>
      </c>
      <c r="E780" s="687">
        <v>3.8856998124999998E-3</v>
      </c>
      <c r="F780" s="687">
        <v>1.9378581249999999E-3</v>
      </c>
      <c r="G780" s="687">
        <v>2.7068337500000001E-3</v>
      </c>
      <c r="H780" s="216">
        <v>407.46775052499999</v>
      </c>
    </row>
    <row r="781" spans="2:8" ht="21.95" customHeight="1" x14ac:dyDescent="0.2">
      <c r="B781" s="143" t="s">
        <v>23</v>
      </c>
      <c r="C781" s="143">
        <v>10</v>
      </c>
      <c r="D781" s="143">
        <v>2051</v>
      </c>
      <c r="E781" s="687">
        <v>3.8426026562500002E-3</v>
      </c>
      <c r="F781" s="687">
        <v>1.938815E-3</v>
      </c>
      <c r="G781" s="687">
        <v>2.7062758750000001E-3</v>
      </c>
      <c r="H781" s="216">
        <v>407.38375012875002</v>
      </c>
    </row>
    <row r="782" spans="2:8" ht="21.95" customHeight="1" x14ac:dyDescent="0.2">
      <c r="B782" s="143" t="s">
        <v>23</v>
      </c>
      <c r="C782" s="143">
        <v>10</v>
      </c>
      <c r="D782" s="143">
        <v>2052</v>
      </c>
      <c r="E782" s="687">
        <v>3.7995055000000001E-3</v>
      </c>
      <c r="F782" s="687">
        <v>1.939771875E-3</v>
      </c>
      <c r="G782" s="687">
        <v>2.7057180000000002E-3</v>
      </c>
      <c r="H782" s="216">
        <v>407.2997497325</v>
      </c>
    </row>
    <row r="783" spans="2:8" ht="21.95" customHeight="1" x14ac:dyDescent="0.2">
      <c r="B783" s="143" t="s">
        <v>23</v>
      </c>
      <c r="C783" s="143">
        <v>10</v>
      </c>
      <c r="D783" s="143">
        <v>2053</v>
      </c>
      <c r="E783" s="687">
        <v>3.75640834375E-3</v>
      </c>
      <c r="F783" s="687">
        <v>1.9407287499999999E-3</v>
      </c>
      <c r="G783" s="687">
        <v>2.7051601249999998E-3</v>
      </c>
      <c r="H783" s="216">
        <v>407.21574933624998</v>
      </c>
    </row>
    <row r="784" spans="2:8" ht="21.95" customHeight="1" x14ac:dyDescent="0.2">
      <c r="B784" s="143" t="s">
        <v>23</v>
      </c>
      <c r="C784" s="143">
        <v>10</v>
      </c>
      <c r="D784" s="143">
        <v>2054</v>
      </c>
      <c r="E784" s="687">
        <v>3.7133111874999999E-3</v>
      </c>
      <c r="F784" s="687">
        <v>1.941685625E-3</v>
      </c>
      <c r="G784" s="687">
        <v>2.7046022499999998E-3</v>
      </c>
      <c r="H784" s="216">
        <v>407.13174894000002</v>
      </c>
    </row>
    <row r="785" spans="2:8" ht="21.95" customHeight="1" x14ac:dyDescent="0.2">
      <c r="B785" s="143" t="s">
        <v>23</v>
      </c>
      <c r="C785" s="143">
        <v>10</v>
      </c>
      <c r="D785" s="143">
        <v>2055</v>
      </c>
      <c r="E785" s="687">
        <v>3.6702140312500002E-3</v>
      </c>
      <c r="F785" s="687">
        <v>1.9426425E-3</v>
      </c>
      <c r="G785" s="687">
        <v>2.7040443749999999E-3</v>
      </c>
      <c r="H785" s="216">
        <v>407.04774854375</v>
      </c>
    </row>
    <row r="786" spans="2:8" ht="21.95" customHeight="1" x14ac:dyDescent="0.2">
      <c r="B786" s="143" t="s">
        <v>23</v>
      </c>
      <c r="C786" s="143">
        <v>10</v>
      </c>
      <c r="D786" s="143">
        <v>2056</v>
      </c>
      <c r="E786" s="687">
        <v>3.6271168750000001E-3</v>
      </c>
      <c r="F786" s="687">
        <v>1.9435993750000001E-3</v>
      </c>
      <c r="G786" s="687">
        <v>2.7034864999999999E-3</v>
      </c>
      <c r="H786" s="216">
        <v>406.96374814749998</v>
      </c>
    </row>
    <row r="787" spans="2:8" ht="21.95" customHeight="1" x14ac:dyDescent="0.2">
      <c r="B787" s="143" t="s">
        <v>23</v>
      </c>
      <c r="C787" s="143">
        <v>10</v>
      </c>
      <c r="D787" s="143">
        <v>2057</v>
      </c>
      <c r="E787" s="687">
        <v>3.58401971875E-3</v>
      </c>
      <c r="F787" s="687">
        <v>1.9445562499999999E-3</v>
      </c>
      <c r="G787" s="687">
        <v>2.7029286249999999E-3</v>
      </c>
      <c r="H787" s="216">
        <v>406.87974775125002</v>
      </c>
    </row>
    <row r="788" spans="2:8" ht="21.95" customHeight="1" x14ac:dyDescent="0.2">
      <c r="B788" s="143" t="s">
        <v>23</v>
      </c>
      <c r="C788" s="143">
        <v>10</v>
      </c>
      <c r="D788" s="143">
        <v>2058</v>
      </c>
      <c r="E788" s="687">
        <v>3.5409225624999999E-3</v>
      </c>
      <c r="F788" s="687">
        <v>1.945513125E-3</v>
      </c>
      <c r="G788" s="687">
        <v>2.70237075E-3</v>
      </c>
      <c r="H788" s="216">
        <v>406.795747355</v>
      </c>
    </row>
    <row r="789" spans="2:8" ht="21.95" customHeight="1" x14ac:dyDescent="0.2">
      <c r="B789" s="143" t="s">
        <v>23</v>
      </c>
      <c r="C789" s="143">
        <v>10</v>
      </c>
      <c r="D789" s="143">
        <v>2059</v>
      </c>
      <c r="E789" s="687">
        <v>3.4978254062500002E-3</v>
      </c>
      <c r="F789" s="687">
        <v>1.9464700000000001E-3</v>
      </c>
      <c r="G789" s="687">
        <v>2.701812875E-3</v>
      </c>
      <c r="H789" s="216">
        <v>406.71174695874998</v>
      </c>
    </row>
    <row r="790" spans="2:8" ht="21.95" customHeight="1" x14ac:dyDescent="0.2">
      <c r="B790" s="143" t="s">
        <v>23</v>
      </c>
      <c r="C790" s="143">
        <v>10</v>
      </c>
      <c r="D790" s="143">
        <v>2060</v>
      </c>
      <c r="E790" s="687">
        <v>3.4547282500000001E-3</v>
      </c>
      <c r="F790" s="687">
        <v>1.9474268749999999E-3</v>
      </c>
      <c r="G790" s="687">
        <v>2.7012550000000001E-3</v>
      </c>
      <c r="H790" s="216">
        <v>406.62774656250002</v>
      </c>
    </row>
    <row r="791" spans="2:8" ht="21.95" customHeight="1" x14ac:dyDescent="0.2">
      <c r="B791" s="143" t="s">
        <v>23</v>
      </c>
      <c r="C791" s="143">
        <v>15</v>
      </c>
      <c r="D791" s="143">
        <v>2020</v>
      </c>
      <c r="E791" s="687">
        <v>0.1721973879375</v>
      </c>
      <c r="F791" s="687">
        <v>2.8913649999999999E-3</v>
      </c>
      <c r="G791" s="687">
        <v>3.05613625E-3</v>
      </c>
      <c r="H791" s="216">
        <v>460.04925152499999</v>
      </c>
    </row>
    <row r="792" spans="2:8" ht="21.95" customHeight="1" x14ac:dyDescent="0.2">
      <c r="B792" s="143" t="s">
        <v>23</v>
      </c>
      <c r="C792" s="143">
        <v>15</v>
      </c>
      <c r="D792" s="143">
        <v>2021</v>
      </c>
      <c r="E792" s="687">
        <v>0.15816634541874999</v>
      </c>
      <c r="F792" s="687">
        <v>2.7918897875000002E-3</v>
      </c>
      <c r="G792" s="687">
        <v>2.9914961250000001E-3</v>
      </c>
      <c r="H792" s="216">
        <v>450.31876332000002</v>
      </c>
    </row>
    <row r="793" spans="2:8" ht="21.95" customHeight="1" x14ac:dyDescent="0.2">
      <c r="B793" s="143" t="s">
        <v>23</v>
      </c>
      <c r="C793" s="143">
        <v>15</v>
      </c>
      <c r="D793" s="143">
        <v>2022</v>
      </c>
      <c r="E793" s="687">
        <v>0.14413530290000001</v>
      </c>
      <c r="F793" s="687">
        <v>2.692414575E-3</v>
      </c>
      <c r="G793" s="687">
        <v>2.9268559999999998E-3</v>
      </c>
      <c r="H793" s="216">
        <v>440.58827511499999</v>
      </c>
    </row>
    <row r="794" spans="2:8" ht="21.95" customHeight="1" x14ac:dyDescent="0.2">
      <c r="B794" s="143" t="s">
        <v>23</v>
      </c>
      <c r="C794" s="143">
        <v>15</v>
      </c>
      <c r="D794" s="143">
        <v>2023</v>
      </c>
      <c r="E794" s="687">
        <v>0.13010426038125</v>
      </c>
      <c r="F794" s="687">
        <v>2.5929393624999999E-3</v>
      </c>
      <c r="G794" s="687">
        <v>2.862215875E-3</v>
      </c>
      <c r="H794" s="216">
        <v>430.85778691000002</v>
      </c>
    </row>
    <row r="795" spans="2:8" ht="21.95" customHeight="1" x14ac:dyDescent="0.2">
      <c r="B795" s="143" t="s">
        <v>23</v>
      </c>
      <c r="C795" s="143">
        <v>15</v>
      </c>
      <c r="D795" s="143">
        <v>2024</v>
      </c>
      <c r="E795" s="687">
        <v>0.11607321786249999</v>
      </c>
      <c r="F795" s="687">
        <v>2.4934641500000002E-3</v>
      </c>
      <c r="G795" s="687">
        <v>2.7975757500000001E-3</v>
      </c>
      <c r="H795" s="216">
        <v>421.12729870499999</v>
      </c>
    </row>
    <row r="796" spans="2:8" ht="21.95" customHeight="1" x14ac:dyDescent="0.2">
      <c r="B796" s="143" t="s">
        <v>23</v>
      </c>
      <c r="C796" s="143">
        <v>15</v>
      </c>
      <c r="D796" s="143">
        <v>2025</v>
      </c>
      <c r="E796" s="687">
        <v>0.10204217534375</v>
      </c>
      <c r="F796" s="687">
        <v>2.3939889375E-3</v>
      </c>
      <c r="G796" s="687">
        <v>2.7329356249999998E-3</v>
      </c>
      <c r="H796" s="216">
        <v>411.39681050000002</v>
      </c>
    </row>
    <row r="797" spans="2:8" ht="21.95" customHeight="1" x14ac:dyDescent="0.2">
      <c r="B797" s="143" t="s">
        <v>23</v>
      </c>
      <c r="C797" s="143">
        <v>15</v>
      </c>
      <c r="D797" s="143">
        <v>2026</v>
      </c>
      <c r="E797" s="687">
        <v>8.8011132825000005E-2</v>
      </c>
      <c r="F797" s="687">
        <v>2.2945137249999999E-3</v>
      </c>
      <c r="G797" s="687">
        <v>2.6682955E-3</v>
      </c>
      <c r="H797" s="216">
        <v>401.66632229499999</v>
      </c>
    </row>
    <row r="798" spans="2:8" ht="21.95" customHeight="1" x14ac:dyDescent="0.2">
      <c r="B798" s="143" t="s">
        <v>23</v>
      </c>
      <c r="C798" s="143">
        <v>15</v>
      </c>
      <c r="D798" s="143">
        <v>2027</v>
      </c>
      <c r="E798" s="687">
        <v>7.3980090306249996E-2</v>
      </c>
      <c r="F798" s="687">
        <v>2.1950385125000002E-3</v>
      </c>
      <c r="G798" s="687">
        <v>2.6036553750000001E-3</v>
      </c>
      <c r="H798" s="216">
        <v>391.93583409000001</v>
      </c>
    </row>
    <row r="799" spans="2:8" ht="21.95" customHeight="1" x14ac:dyDescent="0.2">
      <c r="B799" s="143" t="s">
        <v>23</v>
      </c>
      <c r="C799" s="143">
        <v>15</v>
      </c>
      <c r="D799" s="143">
        <v>2028</v>
      </c>
      <c r="E799" s="687">
        <v>5.9949047787500001E-2</v>
      </c>
      <c r="F799" s="687">
        <v>2.0955633E-3</v>
      </c>
      <c r="G799" s="687">
        <v>2.5390152499999998E-3</v>
      </c>
      <c r="H799" s="216">
        <v>382.20534588499999</v>
      </c>
    </row>
    <row r="800" spans="2:8" ht="21.95" customHeight="1" x14ac:dyDescent="0.2">
      <c r="B800" s="143" t="s">
        <v>23</v>
      </c>
      <c r="C800" s="143">
        <v>15</v>
      </c>
      <c r="D800" s="143">
        <v>2029</v>
      </c>
      <c r="E800" s="687">
        <v>4.5918005268749999E-2</v>
      </c>
      <c r="F800" s="687">
        <v>1.9960880874999999E-3</v>
      </c>
      <c r="G800" s="687">
        <v>2.4743751249999999E-3</v>
      </c>
      <c r="H800" s="216">
        <v>372.47485768000001</v>
      </c>
    </row>
    <row r="801" spans="2:8" ht="21.95" customHeight="1" x14ac:dyDescent="0.2">
      <c r="B801" s="143" t="s">
        <v>23</v>
      </c>
      <c r="C801" s="143">
        <v>15</v>
      </c>
      <c r="D801" s="143">
        <v>2030</v>
      </c>
      <c r="E801" s="687">
        <v>3.1886962749999997E-2</v>
      </c>
      <c r="F801" s="687">
        <v>1.896612875E-3</v>
      </c>
      <c r="G801" s="687">
        <v>2.4097350000000001E-3</v>
      </c>
      <c r="H801" s="216">
        <v>362.74436947499998</v>
      </c>
    </row>
    <row r="802" spans="2:8" ht="21.95" customHeight="1" x14ac:dyDescent="0.2">
      <c r="B802" s="143" t="s">
        <v>23</v>
      </c>
      <c r="C802" s="143">
        <v>15</v>
      </c>
      <c r="D802" s="143">
        <v>2031</v>
      </c>
      <c r="E802" s="687">
        <v>2.9268095312499999E-2</v>
      </c>
      <c r="F802" s="687">
        <v>1.8558587624999999E-3</v>
      </c>
      <c r="G802" s="687">
        <v>2.3861749999999999E-3</v>
      </c>
      <c r="H802" s="216">
        <v>359.19780652125002</v>
      </c>
    </row>
    <row r="803" spans="2:8" ht="21.95" customHeight="1" x14ac:dyDescent="0.2">
      <c r="B803" s="143" t="s">
        <v>23</v>
      </c>
      <c r="C803" s="143">
        <v>15</v>
      </c>
      <c r="D803" s="143">
        <v>2032</v>
      </c>
      <c r="E803" s="687">
        <v>2.6649227875000001E-2</v>
      </c>
      <c r="F803" s="687">
        <v>1.8151046499999999E-3</v>
      </c>
      <c r="G803" s="687">
        <v>2.3626150000000002E-3</v>
      </c>
      <c r="H803" s="216">
        <v>355.65124356749999</v>
      </c>
    </row>
    <row r="804" spans="2:8" ht="21.95" customHeight="1" x14ac:dyDescent="0.2">
      <c r="B804" s="143" t="s">
        <v>23</v>
      </c>
      <c r="C804" s="143">
        <v>15</v>
      </c>
      <c r="D804" s="143">
        <v>2033</v>
      </c>
      <c r="E804" s="687">
        <v>2.4030360437499999E-2</v>
      </c>
      <c r="F804" s="687">
        <v>1.7743505375000001E-3</v>
      </c>
      <c r="G804" s="687">
        <v>2.339055E-3</v>
      </c>
      <c r="H804" s="216">
        <v>352.10468061375002</v>
      </c>
    </row>
    <row r="805" spans="2:8" ht="21.95" customHeight="1" x14ac:dyDescent="0.2">
      <c r="B805" s="143" t="s">
        <v>23</v>
      </c>
      <c r="C805" s="143">
        <v>15</v>
      </c>
      <c r="D805" s="143">
        <v>2034</v>
      </c>
      <c r="E805" s="687">
        <v>2.1411493E-2</v>
      </c>
      <c r="F805" s="687">
        <v>1.733596425E-3</v>
      </c>
      <c r="G805" s="687">
        <v>2.3154949999999999E-3</v>
      </c>
      <c r="H805" s="216">
        <v>348.55811765999999</v>
      </c>
    </row>
    <row r="806" spans="2:8" ht="21.95" customHeight="1" x14ac:dyDescent="0.2">
      <c r="B806" s="143" t="s">
        <v>23</v>
      </c>
      <c r="C806" s="143">
        <v>15</v>
      </c>
      <c r="D806" s="143">
        <v>2035</v>
      </c>
      <c r="E806" s="687">
        <v>1.8792625562499998E-2</v>
      </c>
      <c r="F806" s="687">
        <v>1.6928423125E-3</v>
      </c>
      <c r="G806" s="687">
        <v>2.2919350000000002E-3</v>
      </c>
      <c r="H806" s="216">
        <v>345.01155470625002</v>
      </c>
    </row>
    <row r="807" spans="2:8" ht="21.95" customHeight="1" x14ac:dyDescent="0.2">
      <c r="B807" s="143" t="s">
        <v>23</v>
      </c>
      <c r="C807" s="143">
        <v>15</v>
      </c>
      <c r="D807" s="143">
        <v>2036</v>
      </c>
      <c r="E807" s="687">
        <v>1.6173758125E-2</v>
      </c>
      <c r="F807" s="687">
        <v>1.6520882E-3</v>
      </c>
      <c r="G807" s="687">
        <v>2.268375E-3</v>
      </c>
      <c r="H807" s="216">
        <v>341.4649917525</v>
      </c>
    </row>
    <row r="808" spans="2:8" ht="21.95" customHeight="1" x14ac:dyDescent="0.2">
      <c r="B808" s="143" t="s">
        <v>23</v>
      </c>
      <c r="C808" s="143">
        <v>15</v>
      </c>
      <c r="D808" s="143">
        <v>2037</v>
      </c>
      <c r="E808" s="687">
        <v>1.35548906875E-2</v>
      </c>
      <c r="F808" s="687">
        <v>1.6113340874999999E-3</v>
      </c>
      <c r="G808" s="687">
        <v>2.2448149999999998E-3</v>
      </c>
      <c r="H808" s="216">
        <v>337.91842879875003</v>
      </c>
    </row>
    <row r="809" spans="2:8" ht="21.95" customHeight="1" x14ac:dyDescent="0.2">
      <c r="B809" s="143" t="s">
        <v>23</v>
      </c>
      <c r="C809" s="143">
        <v>15</v>
      </c>
      <c r="D809" s="143">
        <v>2038</v>
      </c>
      <c r="E809" s="687">
        <v>1.0936023249999999E-2</v>
      </c>
      <c r="F809" s="687">
        <v>1.5705799749999999E-3</v>
      </c>
      <c r="G809" s="687">
        <v>2.2212550000000001E-3</v>
      </c>
      <c r="H809" s="216">
        <v>334.371865845</v>
      </c>
    </row>
    <row r="810" spans="2:8" ht="21.95" customHeight="1" x14ac:dyDescent="0.2">
      <c r="B810" s="143" t="s">
        <v>23</v>
      </c>
      <c r="C810" s="143">
        <v>15</v>
      </c>
      <c r="D810" s="143">
        <v>2039</v>
      </c>
      <c r="E810" s="687">
        <v>8.3171558124999993E-3</v>
      </c>
      <c r="F810" s="687">
        <v>1.5298258625000001E-3</v>
      </c>
      <c r="G810" s="687">
        <v>2.1976949999999999E-3</v>
      </c>
      <c r="H810" s="216">
        <v>330.82530289124998</v>
      </c>
    </row>
    <row r="811" spans="2:8" ht="21.95" customHeight="1" x14ac:dyDescent="0.2">
      <c r="B811" s="143" t="s">
        <v>23</v>
      </c>
      <c r="C811" s="143">
        <v>15</v>
      </c>
      <c r="D811" s="143">
        <v>2040</v>
      </c>
      <c r="E811" s="687">
        <v>5.6982883749999999E-3</v>
      </c>
      <c r="F811" s="687">
        <v>1.4890717500000001E-3</v>
      </c>
      <c r="G811" s="687">
        <v>2.1741349999999998E-3</v>
      </c>
      <c r="H811" s="216">
        <v>327.27873993750001</v>
      </c>
    </row>
    <row r="812" spans="2:8" ht="21.95" customHeight="1" x14ac:dyDescent="0.2">
      <c r="B812" s="143" t="s">
        <v>23</v>
      </c>
      <c r="C812" s="143">
        <v>15</v>
      </c>
      <c r="D812" s="143">
        <v>2041</v>
      </c>
      <c r="E812" s="687">
        <v>5.4805933625000003E-3</v>
      </c>
      <c r="F812" s="687">
        <v>1.4850733874999999E-3</v>
      </c>
      <c r="G812" s="687">
        <v>2.16966475E-3</v>
      </c>
      <c r="H812" s="216">
        <v>326.60581627750003</v>
      </c>
    </row>
    <row r="813" spans="2:8" ht="21.95" customHeight="1" x14ac:dyDescent="0.2">
      <c r="B813" s="143" t="s">
        <v>23</v>
      </c>
      <c r="C813" s="143">
        <v>15</v>
      </c>
      <c r="D813" s="143">
        <v>2042</v>
      </c>
      <c r="E813" s="687">
        <v>5.2628983499999997E-3</v>
      </c>
      <c r="F813" s="687">
        <v>1.481075025E-3</v>
      </c>
      <c r="G813" s="687">
        <v>2.1651944999999998E-3</v>
      </c>
      <c r="H813" s="216">
        <v>325.93289261749999</v>
      </c>
    </row>
    <row r="814" spans="2:8" ht="21.95" customHeight="1" x14ac:dyDescent="0.2">
      <c r="B814" s="143" t="s">
        <v>23</v>
      </c>
      <c r="C814" s="143">
        <v>15</v>
      </c>
      <c r="D814" s="143">
        <v>2043</v>
      </c>
      <c r="E814" s="687">
        <v>5.0452033375E-3</v>
      </c>
      <c r="F814" s="687">
        <v>1.4770766625000001E-3</v>
      </c>
      <c r="G814" s="687">
        <v>2.16072425E-3</v>
      </c>
      <c r="H814" s="216">
        <v>325.25996895750001</v>
      </c>
    </row>
    <row r="815" spans="2:8" ht="21.95" customHeight="1" x14ac:dyDescent="0.2">
      <c r="B815" s="143" t="s">
        <v>23</v>
      </c>
      <c r="C815" s="143">
        <v>15</v>
      </c>
      <c r="D815" s="143">
        <v>2044</v>
      </c>
      <c r="E815" s="687">
        <v>4.8275083250000003E-3</v>
      </c>
      <c r="F815" s="687">
        <v>1.4730782999999999E-3</v>
      </c>
      <c r="G815" s="687">
        <v>2.1562539999999998E-3</v>
      </c>
      <c r="H815" s="216">
        <v>324.58704529750003</v>
      </c>
    </row>
    <row r="816" spans="2:8" ht="21.95" customHeight="1" x14ac:dyDescent="0.2">
      <c r="B816" s="143" t="s">
        <v>23</v>
      </c>
      <c r="C816" s="143">
        <v>15</v>
      </c>
      <c r="D816" s="143">
        <v>2045</v>
      </c>
      <c r="E816" s="687">
        <v>4.6098133124999998E-3</v>
      </c>
      <c r="F816" s="687">
        <v>1.4690799375E-3</v>
      </c>
      <c r="G816" s="687">
        <v>2.15178375E-3</v>
      </c>
      <c r="H816" s="216">
        <v>323.91412163749999</v>
      </c>
    </row>
    <row r="817" spans="2:8" ht="21.95" customHeight="1" x14ac:dyDescent="0.2">
      <c r="B817" s="143" t="s">
        <v>23</v>
      </c>
      <c r="C817" s="143">
        <v>15</v>
      </c>
      <c r="D817" s="143">
        <v>2046</v>
      </c>
      <c r="E817" s="687">
        <v>4.3921183000000001E-3</v>
      </c>
      <c r="F817" s="687">
        <v>1.4650815749999999E-3</v>
      </c>
      <c r="G817" s="687">
        <v>2.1473134999999998E-3</v>
      </c>
      <c r="H817" s="216">
        <v>323.24119797750001</v>
      </c>
    </row>
    <row r="818" spans="2:8" ht="21.95" customHeight="1" x14ac:dyDescent="0.2">
      <c r="B818" s="143" t="s">
        <v>23</v>
      </c>
      <c r="C818" s="143">
        <v>15</v>
      </c>
      <c r="D818" s="143">
        <v>2047</v>
      </c>
      <c r="E818" s="687">
        <v>4.1744232875000004E-3</v>
      </c>
      <c r="F818" s="687">
        <v>1.4610832125E-3</v>
      </c>
      <c r="G818" s="687">
        <v>2.14284325E-3</v>
      </c>
      <c r="H818" s="216">
        <v>322.56827431750003</v>
      </c>
    </row>
    <row r="819" spans="2:8" ht="21.95" customHeight="1" x14ac:dyDescent="0.2">
      <c r="B819" s="143" t="s">
        <v>23</v>
      </c>
      <c r="C819" s="143">
        <v>15</v>
      </c>
      <c r="D819" s="143">
        <v>2048</v>
      </c>
      <c r="E819" s="687">
        <v>3.9567282749999998E-3</v>
      </c>
      <c r="F819" s="687">
        <v>1.4570848500000001E-3</v>
      </c>
      <c r="G819" s="687">
        <v>2.1383729999999998E-3</v>
      </c>
      <c r="H819" s="216">
        <v>321.89535065749999</v>
      </c>
    </row>
    <row r="820" spans="2:8" ht="21.95" customHeight="1" x14ac:dyDescent="0.2">
      <c r="B820" s="143" t="s">
        <v>23</v>
      </c>
      <c r="C820" s="143">
        <v>15</v>
      </c>
      <c r="D820" s="143">
        <v>2049</v>
      </c>
      <c r="E820" s="687">
        <v>3.7390332625000001E-3</v>
      </c>
      <c r="F820" s="687">
        <v>1.4530864874999999E-3</v>
      </c>
      <c r="G820" s="687">
        <v>2.1339027500000001E-3</v>
      </c>
      <c r="H820" s="216">
        <v>321.22242699750001</v>
      </c>
    </row>
    <row r="821" spans="2:8" ht="21.95" customHeight="1" x14ac:dyDescent="0.2">
      <c r="B821" s="143" t="s">
        <v>23</v>
      </c>
      <c r="C821" s="143">
        <v>15</v>
      </c>
      <c r="D821" s="143">
        <v>2050</v>
      </c>
      <c r="E821" s="687">
        <v>3.52133825E-3</v>
      </c>
      <c r="F821" s="687">
        <v>1.449088125E-3</v>
      </c>
      <c r="G821" s="687">
        <v>2.1294324999999998E-3</v>
      </c>
      <c r="H821" s="216">
        <v>320.54950333750003</v>
      </c>
    </row>
    <row r="822" spans="2:8" ht="21.95" customHeight="1" x14ac:dyDescent="0.2">
      <c r="B822" s="143" t="s">
        <v>23</v>
      </c>
      <c r="C822" s="143">
        <v>15</v>
      </c>
      <c r="D822" s="143">
        <v>2051</v>
      </c>
      <c r="E822" s="687">
        <v>3.4822686125000001E-3</v>
      </c>
      <c r="F822" s="687">
        <v>1.4498034374999999E-3</v>
      </c>
      <c r="G822" s="687">
        <v>2.128993875E-3</v>
      </c>
      <c r="H822" s="216">
        <v>320.48347855750001</v>
      </c>
    </row>
    <row r="823" spans="2:8" ht="21.95" customHeight="1" x14ac:dyDescent="0.2">
      <c r="B823" s="143" t="s">
        <v>23</v>
      </c>
      <c r="C823" s="143">
        <v>15</v>
      </c>
      <c r="D823" s="143">
        <v>2052</v>
      </c>
      <c r="E823" s="687">
        <v>3.4431989750000002E-3</v>
      </c>
      <c r="F823" s="687">
        <v>1.4505187500000001E-3</v>
      </c>
      <c r="G823" s="687">
        <v>2.1285552500000002E-3</v>
      </c>
      <c r="H823" s="216">
        <v>320.41745377749999</v>
      </c>
    </row>
    <row r="824" spans="2:8" ht="21.95" customHeight="1" x14ac:dyDescent="0.2">
      <c r="B824" s="143" t="s">
        <v>23</v>
      </c>
      <c r="C824" s="143">
        <v>15</v>
      </c>
      <c r="D824" s="143">
        <v>2053</v>
      </c>
      <c r="E824" s="687">
        <v>3.4041293374999998E-3</v>
      </c>
      <c r="F824" s="687">
        <v>1.4512340625E-3</v>
      </c>
      <c r="G824" s="687">
        <v>2.1281166249999999E-3</v>
      </c>
      <c r="H824" s="216">
        <v>320.35142899750002</v>
      </c>
    </row>
    <row r="825" spans="2:8" ht="21.95" customHeight="1" x14ac:dyDescent="0.2">
      <c r="B825" s="143" t="s">
        <v>23</v>
      </c>
      <c r="C825" s="143">
        <v>15</v>
      </c>
      <c r="D825" s="143">
        <v>2054</v>
      </c>
      <c r="E825" s="687">
        <v>3.3650596999999999E-3</v>
      </c>
      <c r="F825" s="687">
        <v>1.4519493749999999E-3</v>
      </c>
      <c r="G825" s="687">
        <v>2.127678E-3</v>
      </c>
      <c r="H825" s="216">
        <v>320.2854042175</v>
      </c>
    </row>
    <row r="826" spans="2:8" ht="21.95" customHeight="1" x14ac:dyDescent="0.2">
      <c r="B826" s="143" t="s">
        <v>23</v>
      </c>
      <c r="C826" s="143">
        <v>15</v>
      </c>
      <c r="D826" s="143">
        <v>2055</v>
      </c>
      <c r="E826" s="687">
        <v>3.3259900625E-3</v>
      </c>
      <c r="F826" s="687">
        <v>1.4526646875000001E-3</v>
      </c>
      <c r="G826" s="687">
        <v>2.1272393750000002E-3</v>
      </c>
      <c r="H826" s="216">
        <v>320.21937943749998</v>
      </c>
    </row>
    <row r="827" spans="2:8" ht="21.95" customHeight="1" x14ac:dyDescent="0.2">
      <c r="B827" s="143" t="s">
        <v>23</v>
      </c>
      <c r="C827" s="143">
        <v>15</v>
      </c>
      <c r="D827" s="143">
        <v>2056</v>
      </c>
      <c r="E827" s="687">
        <v>3.2869204250000001E-3</v>
      </c>
      <c r="F827" s="687">
        <v>1.45338E-3</v>
      </c>
      <c r="G827" s="687">
        <v>2.1268007499999999E-3</v>
      </c>
      <c r="H827" s="216">
        <v>320.15335465750002</v>
      </c>
    </row>
    <row r="828" spans="2:8" ht="21.95" customHeight="1" x14ac:dyDescent="0.2">
      <c r="B828" s="143" t="s">
        <v>23</v>
      </c>
      <c r="C828" s="143">
        <v>15</v>
      </c>
      <c r="D828" s="143">
        <v>2057</v>
      </c>
      <c r="E828" s="687">
        <v>3.2478507875000001E-3</v>
      </c>
      <c r="F828" s="687">
        <v>1.4540953124999999E-3</v>
      </c>
      <c r="G828" s="687">
        <v>2.1263621250000001E-3</v>
      </c>
      <c r="H828" s="216">
        <v>320.0873298775</v>
      </c>
    </row>
    <row r="829" spans="2:8" ht="21.95" customHeight="1" x14ac:dyDescent="0.2">
      <c r="B829" s="143" t="s">
        <v>23</v>
      </c>
      <c r="C829" s="143">
        <v>15</v>
      </c>
      <c r="D829" s="143">
        <v>2058</v>
      </c>
      <c r="E829" s="687">
        <v>3.2087811499999998E-3</v>
      </c>
      <c r="F829" s="687">
        <v>1.4548106250000001E-3</v>
      </c>
      <c r="G829" s="687">
        <v>2.1259234999999998E-3</v>
      </c>
      <c r="H829" s="216">
        <v>320.02130509749998</v>
      </c>
    </row>
    <row r="830" spans="2:8" ht="21.95" customHeight="1" x14ac:dyDescent="0.2">
      <c r="B830" s="143" t="s">
        <v>23</v>
      </c>
      <c r="C830" s="143">
        <v>15</v>
      </c>
      <c r="D830" s="143">
        <v>2059</v>
      </c>
      <c r="E830" s="687">
        <v>3.1697115124999999E-3</v>
      </c>
      <c r="F830" s="687">
        <v>1.4555259375E-3</v>
      </c>
      <c r="G830" s="687">
        <v>2.1254848749999999E-3</v>
      </c>
      <c r="H830" s="216">
        <v>319.95528031750001</v>
      </c>
    </row>
    <row r="831" spans="2:8" ht="21.95" customHeight="1" x14ac:dyDescent="0.2">
      <c r="B831" s="143" t="s">
        <v>23</v>
      </c>
      <c r="C831" s="143">
        <v>15</v>
      </c>
      <c r="D831" s="143">
        <v>2060</v>
      </c>
      <c r="E831" s="687">
        <v>3.130641875E-3</v>
      </c>
      <c r="F831" s="687">
        <v>1.4562412499999999E-3</v>
      </c>
      <c r="G831" s="687">
        <v>2.1250462500000001E-3</v>
      </c>
      <c r="H831" s="216">
        <v>319.88925553749999</v>
      </c>
    </row>
    <row r="832" spans="2:8" ht="21.95" customHeight="1" x14ac:dyDescent="0.2">
      <c r="B832" s="143" t="s">
        <v>23</v>
      </c>
      <c r="C832" s="143">
        <v>20</v>
      </c>
      <c r="D832" s="143">
        <v>2020</v>
      </c>
      <c r="E832" s="687">
        <v>0.158288080375</v>
      </c>
      <c r="F832" s="687">
        <v>2.4471555000000001E-3</v>
      </c>
      <c r="G832" s="687">
        <v>2.5846749999999998E-3</v>
      </c>
      <c r="H832" s="216">
        <v>389.07887651250002</v>
      </c>
    </row>
    <row r="833" spans="2:8" ht="21.95" customHeight="1" x14ac:dyDescent="0.2">
      <c r="B833" s="143" t="s">
        <v>23</v>
      </c>
      <c r="C833" s="143">
        <v>20</v>
      </c>
      <c r="D833" s="143">
        <v>2021</v>
      </c>
      <c r="E833" s="687">
        <v>0.14539002835625001</v>
      </c>
      <c r="F833" s="687">
        <v>2.3624845125000001E-3</v>
      </c>
      <c r="G833" s="687">
        <v>2.5300828749999999E-3</v>
      </c>
      <c r="H833" s="216">
        <v>380.86095086624999</v>
      </c>
    </row>
    <row r="834" spans="2:8" ht="21.95" customHeight="1" x14ac:dyDescent="0.2">
      <c r="B834" s="143" t="s">
        <v>23</v>
      </c>
      <c r="C834" s="143">
        <v>20</v>
      </c>
      <c r="D834" s="143">
        <v>2022</v>
      </c>
      <c r="E834" s="687">
        <v>0.13249197633750001</v>
      </c>
      <c r="F834" s="687">
        <v>2.2778135250000001E-3</v>
      </c>
      <c r="G834" s="687">
        <v>2.4754907499999999E-3</v>
      </c>
      <c r="H834" s="216">
        <v>372.64302522000003</v>
      </c>
    </row>
    <row r="835" spans="2:8" ht="21.95" customHeight="1" x14ac:dyDescent="0.2">
      <c r="B835" s="143" t="s">
        <v>23</v>
      </c>
      <c r="C835" s="143">
        <v>20</v>
      </c>
      <c r="D835" s="143">
        <v>2023</v>
      </c>
      <c r="E835" s="687">
        <v>0.11959392431875</v>
      </c>
      <c r="F835" s="687">
        <v>2.1931425375000002E-3</v>
      </c>
      <c r="G835" s="687">
        <v>2.420898625E-3</v>
      </c>
      <c r="H835" s="216">
        <v>364.42509957375</v>
      </c>
    </row>
    <row r="836" spans="2:8" ht="21.95" customHeight="1" x14ac:dyDescent="0.2">
      <c r="B836" s="143" t="s">
        <v>23</v>
      </c>
      <c r="C836" s="143">
        <v>20</v>
      </c>
      <c r="D836" s="143">
        <v>2024</v>
      </c>
      <c r="E836" s="687">
        <v>0.10669587229999999</v>
      </c>
      <c r="F836" s="687">
        <v>2.1084715500000002E-3</v>
      </c>
      <c r="G836" s="687">
        <v>2.3663065E-3</v>
      </c>
      <c r="H836" s="216">
        <v>356.20717392749998</v>
      </c>
    </row>
    <row r="837" spans="2:8" ht="21.95" customHeight="1" x14ac:dyDescent="0.2">
      <c r="B837" s="143" t="s">
        <v>23</v>
      </c>
      <c r="C837" s="143">
        <v>20</v>
      </c>
      <c r="D837" s="143">
        <v>2025</v>
      </c>
      <c r="E837" s="687">
        <v>9.3797820281249999E-2</v>
      </c>
      <c r="F837" s="687">
        <v>2.0238005625000002E-3</v>
      </c>
      <c r="G837" s="687">
        <v>2.3117143750000001E-3</v>
      </c>
      <c r="H837" s="216">
        <v>347.98924828125001</v>
      </c>
    </row>
    <row r="838" spans="2:8" ht="21.95" customHeight="1" x14ac:dyDescent="0.2">
      <c r="B838" s="143" t="s">
        <v>23</v>
      </c>
      <c r="C838" s="143">
        <v>20</v>
      </c>
      <c r="D838" s="143">
        <v>2026</v>
      </c>
      <c r="E838" s="687">
        <v>8.0899768262500005E-2</v>
      </c>
      <c r="F838" s="687">
        <v>1.939129575E-3</v>
      </c>
      <c r="G838" s="687">
        <v>2.2571222500000002E-3</v>
      </c>
      <c r="H838" s="216">
        <v>339.77132263499999</v>
      </c>
    </row>
    <row r="839" spans="2:8" ht="21.95" customHeight="1" x14ac:dyDescent="0.2">
      <c r="B839" s="143" t="s">
        <v>23</v>
      </c>
      <c r="C839" s="143">
        <v>20</v>
      </c>
      <c r="D839" s="143">
        <v>2027</v>
      </c>
      <c r="E839" s="687">
        <v>6.8001716243749996E-2</v>
      </c>
      <c r="F839" s="687">
        <v>1.8544585875000001E-3</v>
      </c>
      <c r="G839" s="687">
        <v>2.2025301249999998E-3</v>
      </c>
      <c r="H839" s="216">
        <v>331.55339698875002</v>
      </c>
    </row>
    <row r="840" spans="2:8" ht="21.95" customHeight="1" x14ac:dyDescent="0.2">
      <c r="B840" s="143" t="s">
        <v>23</v>
      </c>
      <c r="C840" s="143">
        <v>20</v>
      </c>
      <c r="D840" s="143">
        <v>2028</v>
      </c>
      <c r="E840" s="687">
        <v>5.5103664225000001E-2</v>
      </c>
      <c r="F840" s="687">
        <v>1.7697876000000001E-3</v>
      </c>
      <c r="G840" s="687">
        <v>2.1479379999999998E-3</v>
      </c>
      <c r="H840" s="216">
        <v>323.3354713425</v>
      </c>
    </row>
    <row r="841" spans="2:8" ht="21.95" customHeight="1" x14ac:dyDescent="0.2">
      <c r="B841" s="143" t="s">
        <v>23</v>
      </c>
      <c r="C841" s="143">
        <v>20</v>
      </c>
      <c r="D841" s="143">
        <v>2029</v>
      </c>
      <c r="E841" s="687">
        <v>4.220561220625E-2</v>
      </c>
      <c r="F841" s="687">
        <v>1.6851166124999999E-3</v>
      </c>
      <c r="G841" s="687">
        <v>2.0933458749999999E-3</v>
      </c>
      <c r="H841" s="216">
        <v>315.11754569624998</v>
      </c>
    </row>
    <row r="842" spans="2:8" ht="21.95" customHeight="1" x14ac:dyDescent="0.2">
      <c r="B842" s="143" t="s">
        <v>23</v>
      </c>
      <c r="C842" s="143">
        <v>20</v>
      </c>
      <c r="D842" s="143">
        <v>2030</v>
      </c>
      <c r="E842" s="687">
        <v>2.9307560187500001E-2</v>
      </c>
      <c r="F842" s="687">
        <v>1.6004456249999999E-3</v>
      </c>
      <c r="G842" s="687">
        <v>2.03875375E-3</v>
      </c>
      <c r="H842" s="216">
        <v>306.89962005000001</v>
      </c>
    </row>
    <row r="843" spans="2:8" ht="21.95" customHeight="1" x14ac:dyDescent="0.2">
      <c r="B843" s="143" t="s">
        <v>23</v>
      </c>
      <c r="C843" s="143">
        <v>20</v>
      </c>
      <c r="D843" s="143">
        <v>2031</v>
      </c>
      <c r="E843" s="687">
        <v>2.690050695625E-2</v>
      </c>
      <c r="F843" s="687">
        <v>1.5659906750000001E-3</v>
      </c>
      <c r="G843" s="687">
        <v>2.0188369999999999E-3</v>
      </c>
      <c r="H843" s="216">
        <v>303.90147017875</v>
      </c>
    </row>
    <row r="844" spans="2:8" ht="21.95" customHeight="1" x14ac:dyDescent="0.2">
      <c r="B844" s="143" t="s">
        <v>23</v>
      </c>
      <c r="C844" s="143">
        <v>20</v>
      </c>
      <c r="D844" s="143">
        <v>2032</v>
      </c>
      <c r="E844" s="687">
        <v>2.4493453724999999E-2</v>
      </c>
      <c r="F844" s="687">
        <v>1.531535725E-3</v>
      </c>
      <c r="G844" s="687">
        <v>1.9989202499999998E-3</v>
      </c>
      <c r="H844" s="216">
        <v>300.9033203075</v>
      </c>
    </row>
    <row r="845" spans="2:8" ht="21.95" customHeight="1" x14ac:dyDescent="0.2">
      <c r="B845" s="143" t="s">
        <v>23</v>
      </c>
      <c r="C845" s="143">
        <v>20</v>
      </c>
      <c r="D845" s="143">
        <v>2033</v>
      </c>
      <c r="E845" s="687">
        <v>2.2086400493749998E-2</v>
      </c>
      <c r="F845" s="687">
        <v>1.497080775E-3</v>
      </c>
      <c r="G845" s="687">
        <v>1.9790035000000002E-3</v>
      </c>
      <c r="H845" s="216">
        <v>297.90517043624999</v>
      </c>
    </row>
    <row r="846" spans="2:8" ht="21.95" customHeight="1" x14ac:dyDescent="0.2">
      <c r="B846" s="143" t="s">
        <v>23</v>
      </c>
      <c r="C846" s="143">
        <v>20</v>
      </c>
      <c r="D846" s="143">
        <v>2034</v>
      </c>
      <c r="E846" s="687">
        <v>1.9679347262500001E-2</v>
      </c>
      <c r="F846" s="687">
        <v>1.4626258249999999E-3</v>
      </c>
      <c r="G846" s="687">
        <v>1.9590867500000001E-3</v>
      </c>
      <c r="H846" s="216">
        <v>294.90702056499998</v>
      </c>
    </row>
    <row r="847" spans="2:8" ht="21.95" customHeight="1" x14ac:dyDescent="0.2">
      <c r="B847" s="143" t="s">
        <v>23</v>
      </c>
      <c r="C847" s="143">
        <v>20</v>
      </c>
      <c r="D847" s="143">
        <v>2035</v>
      </c>
      <c r="E847" s="687">
        <v>1.727229403125E-2</v>
      </c>
      <c r="F847" s="687">
        <v>1.4281708750000001E-3</v>
      </c>
      <c r="G847" s="687">
        <v>1.93917E-3</v>
      </c>
      <c r="H847" s="216">
        <v>291.90887069374998</v>
      </c>
    </row>
    <row r="848" spans="2:8" ht="21.95" customHeight="1" x14ac:dyDescent="0.2">
      <c r="B848" s="143" t="s">
        <v>23</v>
      </c>
      <c r="C848" s="143">
        <v>20</v>
      </c>
      <c r="D848" s="143">
        <v>2036</v>
      </c>
      <c r="E848" s="687">
        <v>1.48652408E-2</v>
      </c>
      <c r="F848" s="687">
        <v>1.393715925E-3</v>
      </c>
      <c r="G848" s="687">
        <v>1.91925325E-3</v>
      </c>
      <c r="H848" s="216">
        <v>288.91072082250002</v>
      </c>
    </row>
    <row r="849" spans="2:8" ht="21.95" customHeight="1" x14ac:dyDescent="0.2">
      <c r="B849" s="143" t="s">
        <v>23</v>
      </c>
      <c r="C849" s="143">
        <v>20</v>
      </c>
      <c r="D849" s="143">
        <v>2037</v>
      </c>
      <c r="E849" s="687">
        <v>1.2458187568749999E-2</v>
      </c>
      <c r="F849" s="687">
        <v>1.3592609749999999E-3</v>
      </c>
      <c r="G849" s="687">
        <v>1.8993364999999999E-3</v>
      </c>
      <c r="H849" s="216">
        <v>285.91257095125002</v>
      </c>
    </row>
    <row r="850" spans="2:8" ht="21.95" customHeight="1" x14ac:dyDescent="0.2">
      <c r="B850" s="143" t="s">
        <v>23</v>
      </c>
      <c r="C850" s="143">
        <v>20</v>
      </c>
      <c r="D850" s="143">
        <v>2038</v>
      </c>
      <c r="E850" s="687">
        <v>1.00511343375E-2</v>
      </c>
      <c r="F850" s="687">
        <v>1.3248060250000001E-3</v>
      </c>
      <c r="G850" s="687">
        <v>1.8794197500000001E-3</v>
      </c>
      <c r="H850" s="216">
        <v>282.91442108000001</v>
      </c>
    </row>
    <row r="851" spans="2:8" ht="21.95" customHeight="1" x14ac:dyDescent="0.2">
      <c r="B851" s="143" t="s">
        <v>23</v>
      </c>
      <c r="C851" s="143">
        <v>20</v>
      </c>
      <c r="D851" s="143">
        <v>2039</v>
      </c>
      <c r="E851" s="687">
        <v>7.6440811062499997E-3</v>
      </c>
      <c r="F851" s="687">
        <v>1.290351075E-3</v>
      </c>
      <c r="G851" s="687">
        <v>1.859503E-3</v>
      </c>
      <c r="H851" s="216">
        <v>279.91627120875</v>
      </c>
    </row>
    <row r="852" spans="2:8" ht="21.95" customHeight="1" x14ac:dyDescent="0.2">
      <c r="B852" s="143" t="s">
        <v>23</v>
      </c>
      <c r="C852" s="143">
        <v>20</v>
      </c>
      <c r="D852" s="143">
        <v>2040</v>
      </c>
      <c r="E852" s="687">
        <v>5.2370278750000004E-3</v>
      </c>
      <c r="F852" s="687">
        <v>1.255896125E-3</v>
      </c>
      <c r="G852" s="687">
        <v>1.8395862499999999E-3</v>
      </c>
      <c r="H852" s="216">
        <v>276.9181213375</v>
      </c>
    </row>
    <row r="853" spans="2:8" ht="21.95" customHeight="1" x14ac:dyDescent="0.2">
      <c r="B853" s="143" t="s">
        <v>23</v>
      </c>
      <c r="C853" s="143">
        <v>20</v>
      </c>
      <c r="D853" s="143">
        <v>2041</v>
      </c>
      <c r="E853" s="687">
        <v>5.0369391625000003E-3</v>
      </c>
      <c r="F853" s="687">
        <v>1.25252385E-3</v>
      </c>
      <c r="G853" s="687">
        <v>1.835803375E-3</v>
      </c>
      <c r="H853" s="216">
        <v>276.34873428374999</v>
      </c>
    </row>
    <row r="854" spans="2:8" ht="21.95" customHeight="1" x14ac:dyDescent="0.2">
      <c r="B854" s="143" t="s">
        <v>23</v>
      </c>
      <c r="C854" s="143">
        <v>20</v>
      </c>
      <c r="D854" s="143">
        <v>2042</v>
      </c>
      <c r="E854" s="687">
        <v>4.8368504500000001E-3</v>
      </c>
      <c r="F854" s="687">
        <v>1.2491515750000001E-3</v>
      </c>
      <c r="G854" s="687">
        <v>1.8320204999999999E-3</v>
      </c>
      <c r="H854" s="216">
        <v>275.77934722999998</v>
      </c>
    </row>
    <row r="855" spans="2:8" ht="21.95" customHeight="1" x14ac:dyDescent="0.2">
      <c r="B855" s="143" t="s">
        <v>23</v>
      </c>
      <c r="C855" s="143">
        <v>20</v>
      </c>
      <c r="D855" s="143">
        <v>2043</v>
      </c>
      <c r="E855" s="687">
        <v>4.6367617375E-3</v>
      </c>
      <c r="F855" s="687">
        <v>1.2457792999999999E-3</v>
      </c>
      <c r="G855" s="687">
        <v>1.828237625E-3</v>
      </c>
      <c r="H855" s="216">
        <v>275.20996017624998</v>
      </c>
    </row>
    <row r="856" spans="2:8" ht="21.95" customHeight="1" x14ac:dyDescent="0.2">
      <c r="B856" s="143" t="s">
        <v>23</v>
      </c>
      <c r="C856" s="143">
        <v>20</v>
      </c>
      <c r="D856" s="143">
        <v>2044</v>
      </c>
      <c r="E856" s="687">
        <v>4.4366730249999998E-3</v>
      </c>
      <c r="F856" s="687">
        <v>1.242407025E-3</v>
      </c>
      <c r="G856" s="687">
        <v>1.8244547499999999E-3</v>
      </c>
      <c r="H856" s="216">
        <v>274.64057312249997</v>
      </c>
    </row>
    <row r="857" spans="2:8" ht="21.95" customHeight="1" x14ac:dyDescent="0.2">
      <c r="B857" s="143" t="s">
        <v>23</v>
      </c>
      <c r="C857" s="143">
        <v>20</v>
      </c>
      <c r="D857" s="143">
        <v>2045</v>
      </c>
      <c r="E857" s="687">
        <v>4.2365843124999997E-3</v>
      </c>
      <c r="F857" s="687">
        <v>1.23903475E-3</v>
      </c>
      <c r="G857" s="687">
        <v>1.820671875E-3</v>
      </c>
      <c r="H857" s="216">
        <v>274.07118606875002</v>
      </c>
    </row>
    <row r="858" spans="2:8" ht="21.95" customHeight="1" x14ac:dyDescent="0.2">
      <c r="B858" s="143" t="s">
        <v>23</v>
      </c>
      <c r="C858" s="143">
        <v>20</v>
      </c>
      <c r="D858" s="143">
        <v>2046</v>
      </c>
      <c r="E858" s="687">
        <v>4.0364956000000004E-3</v>
      </c>
      <c r="F858" s="687">
        <v>1.2356624750000001E-3</v>
      </c>
      <c r="G858" s="687">
        <v>1.8168889999999999E-3</v>
      </c>
      <c r="H858" s="216">
        <v>273.50179901500002</v>
      </c>
    </row>
    <row r="859" spans="2:8" ht="21.95" customHeight="1" x14ac:dyDescent="0.2">
      <c r="B859" s="143" t="s">
        <v>23</v>
      </c>
      <c r="C859" s="143">
        <v>20</v>
      </c>
      <c r="D859" s="143">
        <v>2047</v>
      </c>
      <c r="E859" s="687">
        <v>3.8364068874999998E-3</v>
      </c>
      <c r="F859" s="687">
        <v>1.2322902000000001E-3</v>
      </c>
      <c r="G859" s="687">
        <v>1.813106125E-3</v>
      </c>
      <c r="H859" s="216">
        <v>272.93241196125001</v>
      </c>
    </row>
    <row r="860" spans="2:8" ht="21.95" customHeight="1" x14ac:dyDescent="0.2">
      <c r="B860" s="143" t="s">
        <v>23</v>
      </c>
      <c r="C860" s="143">
        <v>20</v>
      </c>
      <c r="D860" s="143">
        <v>2048</v>
      </c>
      <c r="E860" s="687">
        <v>3.6363181750000001E-3</v>
      </c>
      <c r="F860" s="687">
        <v>1.2289179249999999E-3</v>
      </c>
      <c r="G860" s="687">
        <v>1.8093232499999999E-3</v>
      </c>
      <c r="H860" s="216">
        <v>272.36302490750001</v>
      </c>
    </row>
    <row r="861" spans="2:8" ht="21.95" customHeight="1" x14ac:dyDescent="0.2">
      <c r="B861" s="143" t="s">
        <v>23</v>
      </c>
      <c r="C861" s="143">
        <v>20</v>
      </c>
      <c r="D861" s="143">
        <v>2049</v>
      </c>
      <c r="E861" s="687">
        <v>3.4362294624999999E-3</v>
      </c>
      <c r="F861" s="687">
        <v>1.22554565E-3</v>
      </c>
      <c r="G861" s="687">
        <v>1.805540375E-3</v>
      </c>
      <c r="H861" s="216">
        <v>271.79363785375</v>
      </c>
    </row>
    <row r="862" spans="2:8" ht="21.95" customHeight="1" x14ac:dyDescent="0.2">
      <c r="B862" s="143" t="s">
        <v>23</v>
      </c>
      <c r="C862" s="143">
        <v>20</v>
      </c>
      <c r="D862" s="143">
        <v>2050</v>
      </c>
      <c r="E862" s="687">
        <v>3.2361407499999998E-3</v>
      </c>
      <c r="F862" s="687">
        <v>1.222173375E-3</v>
      </c>
      <c r="G862" s="687">
        <v>1.8017574999999999E-3</v>
      </c>
      <c r="H862" s="216">
        <v>271.22425079999999</v>
      </c>
    </row>
    <row r="863" spans="2:8" ht="21.95" customHeight="1" x14ac:dyDescent="0.2">
      <c r="B863" s="143" t="s">
        <v>23</v>
      </c>
      <c r="C863" s="143">
        <v>20</v>
      </c>
      <c r="D863" s="143">
        <v>2051</v>
      </c>
      <c r="E863" s="687">
        <v>3.2002311874999999E-3</v>
      </c>
      <c r="F863" s="687">
        <v>1.2227767999999999E-3</v>
      </c>
      <c r="G863" s="687">
        <v>1.8013868750000001E-3</v>
      </c>
      <c r="H863" s="216">
        <v>271.16838798999999</v>
      </c>
    </row>
    <row r="864" spans="2:8" ht="21.95" customHeight="1" x14ac:dyDescent="0.2">
      <c r="B864" s="143" t="s">
        <v>23</v>
      </c>
      <c r="C864" s="143">
        <v>20</v>
      </c>
      <c r="D864" s="143">
        <v>2052</v>
      </c>
      <c r="E864" s="687">
        <v>3.164321625E-3</v>
      </c>
      <c r="F864" s="687">
        <v>1.223380225E-3</v>
      </c>
      <c r="G864" s="687">
        <v>1.80101625E-3</v>
      </c>
      <c r="H864" s="216">
        <v>271.11252517999998</v>
      </c>
    </row>
    <row r="865" spans="2:8" ht="21.95" customHeight="1" x14ac:dyDescent="0.2">
      <c r="B865" s="143" t="s">
        <v>23</v>
      </c>
      <c r="C865" s="143">
        <v>20</v>
      </c>
      <c r="D865" s="143">
        <v>2053</v>
      </c>
      <c r="E865" s="687">
        <v>3.1284120625000001E-3</v>
      </c>
      <c r="F865" s="687">
        <v>1.2239836500000001E-3</v>
      </c>
      <c r="G865" s="687">
        <v>1.8006456249999999E-3</v>
      </c>
      <c r="H865" s="216">
        <v>271.05666237000003</v>
      </c>
    </row>
    <row r="866" spans="2:8" ht="21.95" customHeight="1" x14ac:dyDescent="0.2">
      <c r="B866" s="143" t="s">
        <v>23</v>
      </c>
      <c r="C866" s="143">
        <v>20</v>
      </c>
      <c r="D866" s="143">
        <v>2054</v>
      </c>
      <c r="E866" s="687">
        <v>3.0925025000000002E-3</v>
      </c>
      <c r="F866" s="687">
        <v>1.224587075E-3</v>
      </c>
      <c r="G866" s="687">
        <v>1.8002750000000001E-3</v>
      </c>
      <c r="H866" s="216">
        <v>271.00079956000002</v>
      </c>
    </row>
    <row r="867" spans="2:8" ht="21.95" customHeight="1" x14ac:dyDescent="0.2">
      <c r="B867" s="143" t="s">
        <v>23</v>
      </c>
      <c r="C867" s="143">
        <v>20</v>
      </c>
      <c r="D867" s="143">
        <v>2055</v>
      </c>
      <c r="E867" s="687">
        <v>3.0565929374999998E-3</v>
      </c>
      <c r="F867" s="687">
        <v>1.2251905000000001E-3</v>
      </c>
      <c r="G867" s="687">
        <v>1.799904375E-3</v>
      </c>
      <c r="H867" s="216">
        <v>270.94493675000001</v>
      </c>
    </row>
    <row r="868" spans="2:8" ht="21.95" customHeight="1" x14ac:dyDescent="0.2">
      <c r="B868" s="143" t="s">
        <v>23</v>
      </c>
      <c r="C868" s="143">
        <v>20</v>
      </c>
      <c r="D868" s="143">
        <v>2056</v>
      </c>
      <c r="E868" s="687">
        <v>3.0206833749999999E-3</v>
      </c>
      <c r="F868" s="687">
        <v>1.225793925E-3</v>
      </c>
      <c r="G868" s="687">
        <v>1.7995337499999999E-3</v>
      </c>
      <c r="H868" s="216">
        <v>270.88907394</v>
      </c>
    </row>
    <row r="869" spans="2:8" ht="21.95" customHeight="1" x14ac:dyDescent="0.2">
      <c r="B869" s="143" t="s">
        <v>23</v>
      </c>
      <c r="C869" s="143">
        <v>20</v>
      </c>
      <c r="D869" s="143">
        <v>2057</v>
      </c>
      <c r="E869" s="687">
        <v>2.9847738125E-3</v>
      </c>
      <c r="F869" s="687">
        <v>1.2263973500000001E-3</v>
      </c>
      <c r="G869" s="687">
        <v>1.799163125E-3</v>
      </c>
      <c r="H869" s="216">
        <v>270.83321113</v>
      </c>
    </row>
    <row r="870" spans="2:8" ht="21.95" customHeight="1" x14ac:dyDescent="0.2">
      <c r="B870" s="143" t="s">
        <v>23</v>
      </c>
      <c r="C870" s="143">
        <v>20</v>
      </c>
      <c r="D870" s="143">
        <v>2058</v>
      </c>
      <c r="E870" s="687">
        <v>2.9488642500000001E-3</v>
      </c>
      <c r="F870" s="687">
        <v>1.2270007749999999E-3</v>
      </c>
      <c r="G870" s="687">
        <v>1.7987925E-3</v>
      </c>
      <c r="H870" s="216">
        <v>270.77734831999999</v>
      </c>
    </row>
    <row r="871" spans="2:8" ht="21.95" customHeight="1" x14ac:dyDescent="0.2">
      <c r="B871" s="143" t="s">
        <v>23</v>
      </c>
      <c r="C871" s="143">
        <v>20</v>
      </c>
      <c r="D871" s="143">
        <v>2059</v>
      </c>
      <c r="E871" s="687">
        <v>2.9129546874999998E-3</v>
      </c>
      <c r="F871" s="687">
        <v>1.2276042E-3</v>
      </c>
      <c r="G871" s="687">
        <v>1.7984218750000001E-3</v>
      </c>
      <c r="H871" s="216">
        <v>270.72148550999998</v>
      </c>
    </row>
    <row r="872" spans="2:8" ht="21.95" customHeight="1" x14ac:dyDescent="0.2">
      <c r="B872" s="143" t="s">
        <v>23</v>
      </c>
      <c r="C872" s="143">
        <v>20</v>
      </c>
      <c r="D872" s="143">
        <v>2060</v>
      </c>
      <c r="E872" s="687">
        <v>2.8770451249999999E-3</v>
      </c>
      <c r="F872" s="687">
        <v>1.2282076249999999E-3</v>
      </c>
      <c r="G872" s="687">
        <v>1.79805125E-3</v>
      </c>
      <c r="H872" s="216">
        <v>270.66562269999997</v>
      </c>
    </row>
    <row r="873" spans="2:8" ht="21.95" customHeight="1" x14ac:dyDescent="0.2">
      <c r="B873" s="143" t="s">
        <v>23</v>
      </c>
      <c r="C873" s="143">
        <v>25</v>
      </c>
      <c r="D873" s="143">
        <v>2020</v>
      </c>
      <c r="E873" s="687">
        <v>0.1541534761875</v>
      </c>
      <c r="F873" s="687">
        <v>2.091411125E-3</v>
      </c>
      <c r="G873" s="687">
        <v>2.2974975000000001E-3</v>
      </c>
      <c r="H873" s="216">
        <v>345.84962082499999</v>
      </c>
    </row>
    <row r="874" spans="2:8" ht="21.95" customHeight="1" x14ac:dyDescent="0.2">
      <c r="B874" s="143" t="s">
        <v>23</v>
      </c>
      <c r="C874" s="143">
        <v>25</v>
      </c>
      <c r="D874" s="143">
        <v>2021</v>
      </c>
      <c r="E874" s="687">
        <v>0.14161899505</v>
      </c>
      <c r="F874" s="687">
        <v>2.0216567375E-3</v>
      </c>
      <c r="G874" s="687">
        <v>2.2489922499999999E-3</v>
      </c>
      <c r="H874" s="216">
        <v>338.54793320499999</v>
      </c>
    </row>
    <row r="875" spans="2:8" ht="21.95" customHeight="1" x14ac:dyDescent="0.2">
      <c r="B875" s="143" t="s">
        <v>23</v>
      </c>
      <c r="C875" s="143">
        <v>25</v>
      </c>
      <c r="D875" s="143">
        <v>2022</v>
      </c>
      <c r="E875" s="687">
        <v>0.1290845139125</v>
      </c>
      <c r="F875" s="687">
        <v>1.9519023500000001E-3</v>
      </c>
      <c r="G875" s="687">
        <v>2.2004870000000001E-3</v>
      </c>
      <c r="H875" s="216">
        <v>331.246245585</v>
      </c>
    </row>
    <row r="876" spans="2:8" ht="21.95" customHeight="1" x14ac:dyDescent="0.2">
      <c r="B876" s="143" t="s">
        <v>23</v>
      </c>
      <c r="C876" s="143">
        <v>25</v>
      </c>
      <c r="D876" s="143">
        <v>2023</v>
      </c>
      <c r="E876" s="687">
        <v>0.11655003277500001</v>
      </c>
      <c r="F876" s="687">
        <v>1.8821479625000001E-3</v>
      </c>
      <c r="G876" s="687">
        <v>2.1519817499999999E-3</v>
      </c>
      <c r="H876" s="216">
        <v>323.944557965</v>
      </c>
    </row>
    <row r="877" spans="2:8" ht="21.95" customHeight="1" x14ac:dyDescent="0.2">
      <c r="B877" s="143" t="s">
        <v>23</v>
      </c>
      <c r="C877" s="143">
        <v>25</v>
      </c>
      <c r="D877" s="143">
        <v>2024</v>
      </c>
      <c r="E877" s="687">
        <v>0.10401555163749999</v>
      </c>
      <c r="F877" s="687">
        <v>1.8123935749999999E-3</v>
      </c>
      <c r="G877" s="687">
        <v>2.1034765000000001E-3</v>
      </c>
      <c r="H877" s="216">
        <v>316.64287034500001</v>
      </c>
    </row>
    <row r="878" spans="2:8" ht="21.95" customHeight="1" x14ac:dyDescent="0.2">
      <c r="B878" s="143" t="s">
        <v>23</v>
      </c>
      <c r="C878" s="143">
        <v>25</v>
      </c>
      <c r="D878" s="143">
        <v>2025</v>
      </c>
      <c r="E878" s="687">
        <v>9.1481070499999997E-2</v>
      </c>
      <c r="F878" s="687">
        <v>1.7426391874999999E-3</v>
      </c>
      <c r="G878" s="687">
        <v>2.0549712499999999E-3</v>
      </c>
      <c r="H878" s="216">
        <v>309.34118272500001</v>
      </c>
    </row>
    <row r="879" spans="2:8" ht="21.95" customHeight="1" x14ac:dyDescent="0.2">
      <c r="B879" s="143" t="s">
        <v>23</v>
      </c>
      <c r="C879" s="143">
        <v>25</v>
      </c>
      <c r="D879" s="143">
        <v>2026</v>
      </c>
      <c r="E879" s="687">
        <v>7.89465893625E-2</v>
      </c>
      <c r="F879" s="687">
        <v>1.6728848E-3</v>
      </c>
      <c r="G879" s="687">
        <v>2.0064660000000002E-3</v>
      </c>
      <c r="H879" s="216">
        <v>302.03949510500001</v>
      </c>
    </row>
    <row r="880" spans="2:8" ht="21.95" customHeight="1" x14ac:dyDescent="0.2">
      <c r="B880" s="143" t="s">
        <v>23</v>
      </c>
      <c r="C880" s="143">
        <v>25</v>
      </c>
      <c r="D880" s="143">
        <v>2027</v>
      </c>
      <c r="E880" s="687">
        <v>6.6412108225000002E-2</v>
      </c>
      <c r="F880" s="687">
        <v>1.6031304125E-3</v>
      </c>
      <c r="G880" s="687">
        <v>1.9579607499999999E-3</v>
      </c>
      <c r="H880" s="216">
        <v>294.73780748500002</v>
      </c>
    </row>
    <row r="881" spans="2:8" ht="21.95" customHeight="1" x14ac:dyDescent="0.2">
      <c r="B881" s="143" t="s">
        <v>23</v>
      </c>
      <c r="C881" s="143">
        <v>25</v>
      </c>
      <c r="D881" s="143">
        <v>2028</v>
      </c>
      <c r="E881" s="687">
        <v>5.3877627087499998E-2</v>
      </c>
      <c r="F881" s="687">
        <v>1.533376025E-3</v>
      </c>
      <c r="G881" s="687">
        <v>1.9094555E-3</v>
      </c>
      <c r="H881" s="216">
        <v>287.43611986500002</v>
      </c>
    </row>
    <row r="882" spans="2:8" ht="21.95" customHeight="1" x14ac:dyDescent="0.2">
      <c r="B882" s="143" t="s">
        <v>23</v>
      </c>
      <c r="C882" s="143">
        <v>25</v>
      </c>
      <c r="D882" s="143">
        <v>2029</v>
      </c>
      <c r="E882" s="687">
        <v>4.134314595E-2</v>
      </c>
      <c r="F882" s="687">
        <v>1.4636216375000001E-3</v>
      </c>
      <c r="G882" s="687">
        <v>1.86095025E-3</v>
      </c>
      <c r="H882" s="216">
        <v>280.13443224500003</v>
      </c>
    </row>
    <row r="883" spans="2:8" ht="21.95" customHeight="1" x14ac:dyDescent="0.2">
      <c r="B883" s="143" t="s">
        <v>23</v>
      </c>
      <c r="C883" s="143">
        <v>25</v>
      </c>
      <c r="D883" s="143">
        <v>2030</v>
      </c>
      <c r="E883" s="687">
        <v>2.8808664812499999E-2</v>
      </c>
      <c r="F883" s="687">
        <v>1.3938672500000001E-3</v>
      </c>
      <c r="G883" s="687">
        <v>1.812445E-3</v>
      </c>
      <c r="H883" s="216">
        <v>272.83274462499998</v>
      </c>
    </row>
    <row r="884" spans="2:8" ht="21.95" customHeight="1" x14ac:dyDescent="0.2">
      <c r="B884" s="143" t="s">
        <v>23</v>
      </c>
      <c r="C884" s="143">
        <v>25</v>
      </c>
      <c r="D884" s="143">
        <v>2031</v>
      </c>
      <c r="E884" s="687">
        <v>2.6442573681250001E-2</v>
      </c>
      <c r="F884" s="687">
        <v>1.366499475E-3</v>
      </c>
      <c r="G884" s="687">
        <v>1.7947372499999999E-3</v>
      </c>
      <c r="H884" s="216">
        <v>270.1671079875</v>
      </c>
    </row>
    <row r="885" spans="2:8" ht="21.95" customHeight="1" x14ac:dyDescent="0.2">
      <c r="B885" s="143" t="s">
        <v>23</v>
      </c>
      <c r="C885" s="143">
        <v>25</v>
      </c>
      <c r="D885" s="143">
        <v>2032</v>
      </c>
      <c r="E885" s="687">
        <v>2.407648255E-2</v>
      </c>
      <c r="F885" s="687">
        <v>1.3391316999999999E-3</v>
      </c>
      <c r="G885" s="687">
        <v>1.7770295E-3</v>
      </c>
      <c r="H885" s="216">
        <v>267.50147134999997</v>
      </c>
    </row>
    <row r="886" spans="2:8" ht="21.95" customHeight="1" x14ac:dyDescent="0.2">
      <c r="B886" s="143" t="s">
        <v>23</v>
      </c>
      <c r="C886" s="143">
        <v>25</v>
      </c>
      <c r="D886" s="143">
        <v>2033</v>
      </c>
      <c r="E886" s="687">
        <v>2.1710391418749999E-2</v>
      </c>
      <c r="F886" s="687">
        <v>1.3117639250000001E-3</v>
      </c>
      <c r="G886" s="687">
        <v>1.7593217499999999E-3</v>
      </c>
      <c r="H886" s="216">
        <v>264.8358347125</v>
      </c>
    </row>
    <row r="887" spans="2:8" ht="21.95" customHeight="1" x14ac:dyDescent="0.2">
      <c r="B887" s="143" t="s">
        <v>23</v>
      </c>
      <c r="C887" s="143">
        <v>25</v>
      </c>
      <c r="D887" s="143">
        <v>2034</v>
      </c>
      <c r="E887" s="687">
        <v>1.9344300287500001E-2</v>
      </c>
      <c r="F887" s="687">
        <v>1.28439615E-3</v>
      </c>
      <c r="G887" s="687">
        <v>1.7416140000000001E-3</v>
      </c>
      <c r="H887" s="216">
        <v>262.17019807499997</v>
      </c>
    </row>
    <row r="888" spans="2:8" ht="21.95" customHeight="1" x14ac:dyDescent="0.2">
      <c r="B888" s="143" t="s">
        <v>23</v>
      </c>
      <c r="C888" s="143">
        <v>25</v>
      </c>
      <c r="D888" s="143">
        <v>2035</v>
      </c>
      <c r="E888" s="687">
        <v>1.697820915625E-2</v>
      </c>
      <c r="F888" s="687">
        <v>1.2570283749999999E-3</v>
      </c>
      <c r="G888" s="687">
        <v>1.72390625E-3</v>
      </c>
      <c r="H888" s="216">
        <v>259.5045614375</v>
      </c>
    </row>
    <row r="889" spans="2:8" ht="21.95" customHeight="1" x14ac:dyDescent="0.2">
      <c r="B889" s="143" t="s">
        <v>23</v>
      </c>
      <c r="C889" s="143">
        <v>25</v>
      </c>
      <c r="D889" s="143">
        <v>2036</v>
      </c>
      <c r="E889" s="687">
        <v>1.4612118025000001E-2</v>
      </c>
      <c r="F889" s="687">
        <v>1.2296606E-3</v>
      </c>
      <c r="G889" s="687">
        <v>1.7061985000000001E-3</v>
      </c>
      <c r="H889" s="216">
        <v>256.83892479999997</v>
      </c>
    </row>
    <row r="890" spans="2:8" ht="21.95" customHeight="1" x14ac:dyDescent="0.2">
      <c r="B890" s="143" t="s">
        <v>23</v>
      </c>
      <c r="C890" s="143">
        <v>25</v>
      </c>
      <c r="D890" s="143">
        <v>2037</v>
      </c>
      <c r="E890" s="687">
        <v>1.2246026893749999E-2</v>
      </c>
      <c r="F890" s="687">
        <v>1.2022928249999999E-3</v>
      </c>
      <c r="G890" s="687">
        <v>1.68849075E-3</v>
      </c>
      <c r="H890" s="216">
        <v>254.1732881625</v>
      </c>
    </row>
    <row r="891" spans="2:8" ht="21.95" customHeight="1" x14ac:dyDescent="0.2">
      <c r="B891" s="143" t="s">
        <v>23</v>
      </c>
      <c r="C891" s="143">
        <v>25</v>
      </c>
      <c r="D891" s="143">
        <v>2038</v>
      </c>
      <c r="E891" s="687">
        <v>9.8799357625000001E-3</v>
      </c>
      <c r="F891" s="687">
        <v>1.1749250500000001E-3</v>
      </c>
      <c r="G891" s="687">
        <v>1.6707829999999999E-3</v>
      </c>
      <c r="H891" s="216">
        <v>251.507651525</v>
      </c>
    </row>
    <row r="892" spans="2:8" ht="21.95" customHeight="1" x14ac:dyDescent="0.2">
      <c r="B892" s="143" t="s">
        <v>23</v>
      </c>
      <c r="C892" s="143">
        <v>25</v>
      </c>
      <c r="D892" s="143">
        <v>2039</v>
      </c>
      <c r="E892" s="687">
        <v>7.5138446312499997E-3</v>
      </c>
      <c r="F892" s="687">
        <v>1.147557275E-3</v>
      </c>
      <c r="G892" s="687">
        <v>1.65307525E-3</v>
      </c>
      <c r="H892" s="216">
        <v>248.8420148875</v>
      </c>
    </row>
    <row r="893" spans="2:8" ht="21.95" customHeight="1" x14ac:dyDescent="0.2">
      <c r="B893" s="143" t="s">
        <v>23</v>
      </c>
      <c r="C893" s="143">
        <v>25</v>
      </c>
      <c r="D893" s="143">
        <v>2040</v>
      </c>
      <c r="E893" s="687">
        <v>5.1477535000000003E-3</v>
      </c>
      <c r="F893" s="687">
        <v>1.1201894999999999E-3</v>
      </c>
      <c r="G893" s="687">
        <v>1.6353674999999999E-3</v>
      </c>
      <c r="H893" s="216">
        <v>246.17637825</v>
      </c>
    </row>
    <row r="894" spans="2:8" ht="21.95" customHeight="1" x14ac:dyDescent="0.2">
      <c r="B894" s="143" t="s">
        <v>23</v>
      </c>
      <c r="C894" s="143">
        <v>25</v>
      </c>
      <c r="D894" s="143">
        <v>2041</v>
      </c>
      <c r="E894" s="687">
        <v>4.9510696374999996E-3</v>
      </c>
      <c r="F894" s="687">
        <v>1.1171816000000001E-3</v>
      </c>
      <c r="G894" s="687">
        <v>1.6320043750000001E-3</v>
      </c>
      <c r="H894" s="216">
        <v>245.67016544000001</v>
      </c>
    </row>
    <row r="895" spans="2:8" ht="21.95" customHeight="1" x14ac:dyDescent="0.2">
      <c r="B895" s="143" t="s">
        <v>23</v>
      </c>
      <c r="C895" s="143">
        <v>25</v>
      </c>
      <c r="D895" s="143">
        <v>2042</v>
      </c>
      <c r="E895" s="687">
        <v>4.7543857749999998E-3</v>
      </c>
      <c r="F895" s="687">
        <v>1.1141737E-3</v>
      </c>
      <c r="G895" s="687">
        <v>1.62864125E-3</v>
      </c>
      <c r="H895" s="216">
        <v>245.16395263000001</v>
      </c>
    </row>
    <row r="896" spans="2:8" ht="21.95" customHeight="1" x14ac:dyDescent="0.2">
      <c r="B896" s="143" t="s">
        <v>23</v>
      </c>
      <c r="C896" s="143">
        <v>25</v>
      </c>
      <c r="D896" s="143">
        <v>2043</v>
      </c>
      <c r="E896" s="687">
        <v>4.5577019125E-3</v>
      </c>
      <c r="F896" s="687">
        <v>1.1111658E-3</v>
      </c>
      <c r="G896" s="687">
        <v>1.6252781249999999E-3</v>
      </c>
      <c r="H896" s="216">
        <v>244.65773981999999</v>
      </c>
    </row>
    <row r="897" spans="2:8" ht="21.95" customHeight="1" x14ac:dyDescent="0.2">
      <c r="B897" s="143" t="s">
        <v>23</v>
      </c>
      <c r="C897" s="143">
        <v>25</v>
      </c>
      <c r="D897" s="143">
        <v>2044</v>
      </c>
      <c r="E897" s="687">
        <v>4.3610180500000002E-3</v>
      </c>
      <c r="F897" s="687">
        <v>1.1081578999999999E-3</v>
      </c>
      <c r="G897" s="687">
        <v>1.621915E-3</v>
      </c>
      <c r="H897" s="216">
        <v>244.15152701</v>
      </c>
    </row>
    <row r="898" spans="2:8" ht="21.95" customHeight="1" x14ac:dyDescent="0.2">
      <c r="B898" s="143" t="s">
        <v>23</v>
      </c>
      <c r="C898" s="143">
        <v>25</v>
      </c>
      <c r="D898" s="143">
        <v>2045</v>
      </c>
      <c r="E898" s="687">
        <v>4.1643341875000003E-3</v>
      </c>
      <c r="F898" s="687">
        <v>1.1051500000000001E-3</v>
      </c>
      <c r="G898" s="687">
        <v>1.6185518749999999E-3</v>
      </c>
      <c r="H898" s="216">
        <v>243.6453142</v>
      </c>
    </row>
    <row r="899" spans="2:8" ht="21.95" customHeight="1" x14ac:dyDescent="0.2">
      <c r="B899" s="143" t="s">
        <v>23</v>
      </c>
      <c r="C899" s="143">
        <v>25</v>
      </c>
      <c r="D899" s="143">
        <v>2046</v>
      </c>
      <c r="E899" s="687">
        <v>3.9676503249999997E-3</v>
      </c>
      <c r="F899" s="687">
        <v>1.1021421E-3</v>
      </c>
      <c r="G899" s="687">
        <v>1.6151887500000001E-3</v>
      </c>
      <c r="H899" s="216">
        <v>243.13910139000001</v>
      </c>
    </row>
    <row r="900" spans="2:8" ht="21.95" customHeight="1" x14ac:dyDescent="0.2">
      <c r="B900" s="143" t="s">
        <v>23</v>
      </c>
      <c r="C900" s="143">
        <v>25</v>
      </c>
      <c r="D900" s="143">
        <v>2047</v>
      </c>
      <c r="E900" s="687">
        <v>3.7709664624999998E-3</v>
      </c>
      <c r="F900" s="687">
        <v>1.0991341999999999E-3</v>
      </c>
      <c r="G900" s="687">
        <v>1.611825625E-3</v>
      </c>
      <c r="H900" s="216">
        <v>242.63288858000001</v>
      </c>
    </row>
    <row r="901" spans="2:8" ht="21.95" customHeight="1" x14ac:dyDescent="0.2">
      <c r="B901" s="143" t="s">
        <v>23</v>
      </c>
      <c r="C901" s="143">
        <v>25</v>
      </c>
      <c r="D901" s="143">
        <v>2048</v>
      </c>
      <c r="E901" s="687">
        <v>3.5742826E-3</v>
      </c>
      <c r="F901" s="687">
        <v>1.0961263000000001E-3</v>
      </c>
      <c r="G901" s="687">
        <v>1.6084624999999999E-3</v>
      </c>
      <c r="H901" s="216">
        <v>242.12667576999999</v>
      </c>
    </row>
    <row r="902" spans="2:8" ht="21.95" customHeight="1" x14ac:dyDescent="0.2">
      <c r="B902" s="143" t="s">
        <v>23</v>
      </c>
      <c r="C902" s="143">
        <v>25</v>
      </c>
      <c r="D902" s="143">
        <v>2049</v>
      </c>
      <c r="E902" s="687">
        <v>3.3775987375000002E-3</v>
      </c>
      <c r="F902" s="687">
        <v>1.0931184E-3</v>
      </c>
      <c r="G902" s="687">
        <v>1.605099375E-3</v>
      </c>
      <c r="H902" s="216">
        <v>241.62046296</v>
      </c>
    </row>
    <row r="903" spans="2:8" ht="21.95" customHeight="1" x14ac:dyDescent="0.2">
      <c r="B903" s="143" t="s">
        <v>23</v>
      </c>
      <c r="C903" s="143">
        <v>25</v>
      </c>
      <c r="D903" s="143">
        <v>2050</v>
      </c>
      <c r="E903" s="687">
        <v>3.1809148749999999E-3</v>
      </c>
      <c r="F903" s="687">
        <v>1.0901105E-3</v>
      </c>
      <c r="G903" s="687">
        <v>1.60173625E-3</v>
      </c>
      <c r="H903" s="216">
        <v>241.11425015</v>
      </c>
    </row>
    <row r="904" spans="2:8" ht="21.95" customHeight="1" x14ac:dyDescent="0.2">
      <c r="B904" s="143" t="s">
        <v>23</v>
      </c>
      <c r="C904" s="143">
        <v>25</v>
      </c>
      <c r="D904" s="143">
        <v>2051</v>
      </c>
      <c r="E904" s="687">
        <v>3.1456163124999998E-3</v>
      </c>
      <c r="F904" s="687">
        <v>1.0906486125E-3</v>
      </c>
      <c r="G904" s="687">
        <v>1.6014067499999999E-3</v>
      </c>
      <c r="H904" s="216">
        <v>241.06464974125001</v>
      </c>
    </row>
    <row r="905" spans="2:8" ht="21.95" customHeight="1" x14ac:dyDescent="0.2">
      <c r="B905" s="143" t="s">
        <v>23</v>
      </c>
      <c r="C905" s="143">
        <v>25</v>
      </c>
      <c r="D905" s="143">
        <v>2052</v>
      </c>
      <c r="E905" s="687">
        <v>3.1103177500000001E-3</v>
      </c>
      <c r="F905" s="687">
        <v>1.091186725E-3</v>
      </c>
      <c r="G905" s="687">
        <v>1.6010772500000001E-3</v>
      </c>
      <c r="H905" s="216">
        <v>241.01504933250001</v>
      </c>
    </row>
    <row r="906" spans="2:8" ht="21.95" customHeight="1" x14ac:dyDescent="0.2">
      <c r="B906" s="143" t="s">
        <v>23</v>
      </c>
      <c r="C906" s="143">
        <v>25</v>
      </c>
      <c r="D906" s="143">
        <v>2053</v>
      </c>
      <c r="E906" s="687">
        <v>3.0750191874999999E-3</v>
      </c>
      <c r="F906" s="687">
        <v>1.0917248375E-3</v>
      </c>
      <c r="G906" s="687">
        <v>1.6007477500000001E-3</v>
      </c>
      <c r="H906" s="216">
        <v>240.96544892374999</v>
      </c>
    </row>
    <row r="907" spans="2:8" ht="21.95" customHeight="1" x14ac:dyDescent="0.2">
      <c r="B907" s="143" t="s">
        <v>23</v>
      </c>
      <c r="C907" s="143">
        <v>25</v>
      </c>
      <c r="D907" s="143">
        <v>2054</v>
      </c>
      <c r="E907" s="687">
        <v>3.0397206250000002E-3</v>
      </c>
      <c r="F907" s="687">
        <v>1.09226295E-3</v>
      </c>
      <c r="G907" s="687">
        <v>1.60041825E-3</v>
      </c>
      <c r="H907" s="216">
        <v>240.91584851499999</v>
      </c>
    </row>
    <row r="908" spans="2:8" ht="21.95" customHeight="1" x14ac:dyDescent="0.2">
      <c r="B908" s="143" t="s">
        <v>23</v>
      </c>
      <c r="C908" s="143">
        <v>25</v>
      </c>
      <c r="D908" s="143">
        <v>2055</v>
      </c>
      <c r="E908" s="687">
        <v>3.0044220625E-3</v>
      </c>
      <c r="F908" s="687">
        <v>1.0928010625E-3</v>
      </c>
      <c r="G908" s="687">
        <v>1.60008875E-3</v>
      </c>
      <c r="H908" s="216">
        <v>240.86624810625</v>
      </c>
    </row>
    <row r="909" spans="2:8" ht="21.95" customHeight="1" x14ac:dyDescent="0.2">
      <c r="B909" s="143" t="s">
        <v>23</v>
      </c>
      <c r="C909" s="143">
        <v>25</v>
      </c>
      <c r="D909" s="143">
        <v>2056</v>
      </c>
      <c r="E909" s="687">
        <v>2.9691234999999999E-3</v>
      </c>
      <c r="F909" s="687">
        <v>1.093339175E-3</v>
      </c>
      <c r="G909" s="687">
        <v>1.5997592499999999E-3</v>
      </c>
      <c r="H909" s="216">
        <v>240.8166476975</v>
      </c>
    </row>
    <row r="910" spans="2:8" ht="21.95" customHeight="1" x14ac:dyDescent="0.2">
      <c r="B910" s="143" t="s">
        <v>23</v>
      </c>
      <c r="C910" s="143">
        <v>25</v>
      </c>
      <c r="D910" s="143">
        <v>2057</v>
      </c>
      <c r="E910" s="687">
        <v>2.9338249375000002E-3</v>
      </c>
      <c r="F910" s="687">
        <v>1.0938772875E-3</v>
      </c>
      <c r="G910" s="687">
        <v>1.5994297499999999E-3</v>
      </c>
      <c r="H910" s="216">
        <v>240.76704728875001</v>
      </c>
    </row>
    <row r="911" spans="2:8" ht="21.95" customHeight="1" x14ac:dyDescent="0.2">
      <c r="B911" s="143" t="s">
        <v>23</v>
      </c>
      <c r="C911" s="143">
        <v>25</v>
      </c>
      <c r="D911" s="143">
        <v>2058</v>
      </c>
      <c r="E911" s="687">
        <v>2.898526375E-3</v>
      </c>
      <c r="F911" s="687">
        <v>1.0944154E-3</v>
      </c>
      <c r="G911" s="687">
        <v>1.5991002500000001E-3</v>
      </c>
      <c r="H911" s="216">
        <v>240.71744688000001</v>
      </c>
    </row>
    <row r="912" spans="2:8" ht="21.95" customHeight="1" x14ac:dyDescent="0.2">
      <c r="B912" s="143" t="s">
        <v>23</v>
      </c>
      <c r="C912" s="143">
        <v>25</v>
      </c>
      <c r="D912" s="143">
        <v>2059</v>
      </c>
      <c r="E912" s="687">
        <v>2.8632278124999999E-3</v>
      </c>
      <c r="F912" s="687">
        <v>1.0949535125E-3</v>
      </c>
      <c r="G912" s="687">
        <v>1.59877075E-3</v>
      </c>
      <c r="H912" s="216">
        <v>240.66784647124999</v>
      </c>
    </row>
    <row r="913" spans="2:8" ht="21.95" customHeight="1" x14ac:dyDescent="0.2">
      <c r="B913" s="143" t="s">
        <v>23</v>
      </c>
      <c r="C913" s="143">
        <v>25</v>
      </c>
      <c r="D913" s="143">
        <v>2060</v>
      </c>
      <c r="E913" s="687">
        <v>2.8279292500000002E-3</v>
      </c>
      <c r="F913" s="687">
        <v>1.095491625E-3</v>
      </c>
      <c r="G913" s="687">
        <v>1.59844125E-3</v>
      </c>
      <c r="H913" s="216">
        <v>240.61824606249999</v>
      </c>
    </row>
    <row r="914" spans="2:8" ht="21.95" customHeight="1" x14ac:dyDescent="0.2">
      <c r="B914" s="143" t="s">
        <v>23</v>
      </c>
      <c r="C914" s="143">
        <v>30</v>
      </c>
      <c r="D914" s="143">
        <v>2020</v>
      </c>
      <c r="E914" s="687">
        <v>0.14592720881249999</v>
      </c>
      <c r="F914" s="687">
        <v>2.0347788750000001E-3</v>
      </c>
      <c r="G914" s="687">
        <v>2.08175375E-3</v>
      </c>
      <c r="H914" s="216">
        <v>313.37299728750003</v>
      </c>
    </row>
    <row r="915" spans="2:8" ht="21.95" customHeight="1" x14ac:dyDescent="0.2">
      <c r="B915" s="143" t="s">
        <v>23</v>
      </c>
      <c r="C915" s="143">
        <v>30</v>
      </c>
      <c r="D915" s="143">
        <v>2021</v>
      </c>
      <c r="E915" s="687">
        <v>0.13408288721875</v>
      </c>
      <c r="F915" s="687">
        <v>1.9638903874999998E-3</v>
      </c>
      <c r="G915" s="687">
        <v>2.0378097499999998E-3</v>
      </c>
      <c r="H915" s="216">
        <v>306.75790958750002</v>
      </c>
    </row>
    <row r="916" spans="2:8" ht="21.95" customHeight="1" x14ac:dyDescent="0.2">
      <c r="B916" s="143" t="s">
        <v>23</v>
      </c>
      <c r="C916" s="143">
        <v>30</v>
      </c>
      <c r="D916" s="143">
        <v>2022</v>
      </c>
      <c r="E916" s="687">
        <v>0.122238565625</v>
      </c>
      <c r="F916" s="687">
        <v>1.8930018999999999E-3</v>
      </c>
      <c r="G916" s="687">
        <v>1.9938657500000001E-3</v>
      </c>
      <c r="H916" s="216">
        <v>300.14282188750002</v>
      </c>
    </row>
    <row r="917" spans="2:8" ht="21.95" customHeight="1" x14ac:dyDescent="0.2">
      <c r="B917" s="143" t="s">
        <v>23</v>
      </c>
      <c r="C917" s="143">
        <v>30</v>
      </c>
      <c r="D917" s="143">
        <v>2023</v>
      </c>
      <c r="E917" s="687">
        <v>0.11039424403125001</v>
      </c>
      <c r="F917" s="687">
        <v>1.8221134125000001E-3</v>
      </c>
      <c r="G917" s="687">
        <v>1.9499217499999999E-3</v>
      </c>
      <c r="H917" s="216">
        <v>293.52773418750002</v>
      </c>
    </row>
    <row r="918" spans="2:8" ht="21.95" customHeight="1" x14ac:dyDescent="0.2">
      <c r="B918" s="143" t="s">
        <v>23</v>
      </c>
      <c r="C918" s="143">
        <v>30</v>
      </c>
      <c r="D918" s="143">
        <v>2024</v>
      </c>
      <c r="E918" s="687">
        <v>9.8549922437500007E-2</v>
      </c>
      <c r="F918" s="687">
        <v>1.751224925E-3</v>
      </c>
      <c r="G918" s="687">
        <v>1.9059777499999999E-3</v>
      </c>
      <c r="H918" s="216">
        <v>286.91264648750001</v>
      </c>
    </row>
    <row r="919" spans="2:8" ht="21.95" customHeight="1" x14ac:dyDescent="0.2">
      <c r="B919" s="143" t="s">
        <v>23</v>
      </c>
      <c r="C919" s="143">
        <v>30</v>
      </c>
      <c r="D919" s="143">
        <v>2025</v>
      </c>
      <c r="E919" s="687">
        <v>8.6705600843749994E-2</v>
      </c>
      <c r="F919" s="687">
        <v>1.6803364374999999E-3</v>
      </c>
      <c r="G919" s="687">
        <v>1.86203375E-3</v>
      </c>
      <c r="H919" s="216">
        <v>280.29755878750001</v>
      </c>
    </row>
    <row r="920" spans="2:8" ht="21.95" customHeight="1" x14ac:dyDescent="0.2">
      <c r="B920" s="143" t="s">
        <v>23</v>
      </c>
      <c r="C920" s="143">
        <v>30</v>
      </c>
      <c r="D920" s="143">
        <v>2026</v>
      </c>
      <c r="E920" s="687">
        <v>7.4861279249999996E-2</v>
      </c>
      <c r="F920" s="687">
        <v>1.6094479500000001E-3</v>
      </c>
      <c r="G920" s="687">
        <v>1.81808975E-3</v>
      </c>
      <c r="H920" s="216">
        <v>273.68247108750001</v>
      </c>
    </row>
    <row r="921" spans="2:8" ht="21.95" customHeight="1" x14ac:dyDescent="0.2">
      <c r="B921" s="143" t="s">
        <v>23</v>
      </c>
      <c r="C921" s="143">
        <v>30</v>
      </c>
      <c r="D921" s="143">
        <v>2027</v>
      </c>
      <c r="E921" s="687">
        <v>6.3016957656249997E-2</v>
      </c>
      <c r="F921" s="687">
        <v>1.5385594625E-3</v>
      </c>
      <c r="G921" s="687">
        <v>1.77414575E-3</v>
      </c>
      <c r="H921" s="216">
        <v>267.0673833875</v>
      </c>
    </row>
    <row r="922" spans="2:8" ht="21.95" customHeight="1" x14ac:dyDescent="0.2">
      <c r="B922" s="143" t="s">
        <v>23</v>
      </c>
      <c r="C922" s="143">
        <v>30</v>
      </c>
      <c r="D922" s="143">
        <v>2028</v>
      </c>
      <c r="E922" s="687">
        <v>5.1172636062499999E-2</v>
      </c>
      <c r="F922" s="687">
        <v>1.4676709749999999E-3</v>
      </c>
      <c r="G922" s="687">
        <v>1.73020175E-3</v>
      </c>
      <c r="H922" s="216">
        <v>260.4522956875</v>
      </c>
    </row>
    <row r="923" spans="2:8" ht="21.95" customHeight="1" x14ac:dyDescent="0.2">
      <c r="B923" s="143" t="s">
        <v>23</v>
      </c>
      <c r="C923" s="143">
        <v>30</v>
      </c>
      <c r="D923" s="143">
        <v>2029</v>
      </c>
      <c r="E923" s="687">
        <v>3.932831446875E-2</v>
      </c>
      <c r="F923" s="687">
        <v>1.3967824875000001E-3</v>
      </c>
      <c r="G923" s="687">
        <v>1.6862577500000001E-3</v>
      </c>
      <c r="H923" s="216">
        <v>253.83720798749999</v>
      </c>
    </row>
    <row r="924" spans="2:8" ht="21.95" customHeight="1" x14ac:dyDescent="0.2">
      <c r="B924" s="143" t="s">
        <v>23</v>
      </c>
      <c r="C924" s="143">
        <v>30</v>
      </c>
      <c r="D924" s="143">
        <v>2030</v>
      </c>
      <c r="E924" s="687">
        <v>2.7483992874999998E-2</v>
      </c>
      <c r="F924" s="687">
        <v>1.325894E-3</v>
      </c>
      <c r="G924" s="687">
        <v>1.6423137500000001E-3</v>
      </c>
      <c r="H924" s="216">
        <v>247.22212028749999</v>
      </c>
    </row>
    <row r="925" spans="2:8" ht="21.95" customHeight="1" x14ac:dyDescent="0.2">
      <c r="B925" s="143" t="s">
        <v>23</v>
      </c>
      <c r="C925" s="143">
        <v>30</v>
      </c>
      <c r="D925" s="143">
        <v>2031</v>
      </c>
      <c r="E925" s="687">
        <v>2.5226692487500001E-2</v>
      </c>
      <c r="F925" s="687">
        <v>1.29877875E-3</v>
      </c>
      <c r="G925" s="687">
        <v>1.626266625E-3</v>
      </c>
      <c r="H925" s="216">
        <v>244.80654583</v>
      </c>
    </row>
    <row r="926" spans="2:8" ht="21.95" customHeight="1" x14ac:dyDescent="0.2">
      <c r="B926" s="143" t="s">
        <v>23</v>
      </c>
      <c r="C926" s="143">
        <v>30</v>
      </c>
      <c r="D926" s="143">
        <v>2032</v>
      </c>
      <c r="E926" s="687">
        <v>2.29693921E-2</v>
      </c>
      <c r="F926" s="687">
        <v>1.2716635000000001E-3</v>
      </c>
      <c r="G926" s="687">
        <v>1.6102194999999999E-3</v>
      </c>
      <c r="H926" s="216">
        <v>242.39097137249999</v>
      </c>
    </row>
    <row r="927" spans="2:8" ht="21.95" customHeight="1" x14ac:dyDescent="0.2">
      <c r="B927" s="143" t="s">
        <v>23</v>
      </c>
      <c r="C927" s="143">
        <v>30</v>
      </c>
      <c r="D927" s="143">
        <v>2033</v>
      </c>
      <c r="E927" s="687">
        <v>2.0712091712499998E-2</v>
      </c>
      <c r="F927" s="687">
        <v>1.2445482499999999E-3</v>
      </c>
      <c r="G927" s="687">
        <v>1.5941723750000001E-3</v>
      </c>
      <c r="H927" s="216">
        <v>239.975396915</v>
      </c>
    </row>
    <row r="928" spans="2:8" ht="21.95" customHeight="1" x14ac:dyDescent="0.2">
      <c r="B928" s="143" t="s">
        <v>23</v>
      </c>
      <c r="C928" s="143">
        <v>30</v>
      </c>
      <c r="D928" s="143">
        <v>2034</v>
      </c>
      <c r="E928" s="687">
        <v>1.8454791325000001E-2</v>
      </c>
      <c r="F928" s="687">
        <v>1.217433E-3</v>
      </c>
      <c r="G928" s="687">
        <v>1.57812525E-3</v>
      </c>
      <c r="H928" s="216">
        <v>237.55982245749999</v>
      </c>
    </row>
    <row r="929" spans="2:8" ht="21.95" customHeight="1" x14ac:dyDescent="0.2">
      <c r="B929" s="143" t="s">
        <v>23</v>
      </c>
      <c r="C929" s="143">
        <v>30</v>
      </c>
      <c r="D929" s="143">
        <v>2035</v>
      </c>
      <c r="E929" s="687">
        <v>1.61974909375E-2</v>
      </c>
      <c r="F929" s="687">
        <v>1.19031775E-3</v>
      </c>
      <c r="G929" s="687">
        <v>1.5620781250000001E-3</v>
      </c>
      <c r="H929" s="216">
        <v>235.144248</v>
      </c>
    </row>
    <row r="930" spans="2:8" ht="21.95" customHeight="1" x14ac:dyDescent="0.2">
      <c r="B930" s="143" t="s">
        <v>23</v>
      </c>
      <c r="C930" s="143">
        <v>30</v>
      </c>
      <c r="D930" s="143">
        <v>2036</v>
      </c>
      <c r="E930" s="687">
        <v>1.394019055E-2</v>
      </c>
      <c r="F930" s="687">
        <v>1.1632025000000001E-3</v>
      </c>
      <c r="G930" s="687">
        <v>1.546031E-3</v>
      </c>
      <c r="H930" s="216">
        <v>232.72867354249999</v>
      </c>
    </row>
    <row r="931" spans="2:8" ht="21.95" customHeight="1" x14ac:dyDescent="0.2">
      <c r="B931" s="143" t="s">
        <v>23</v>
      </c>
      <c r="C931" s="143">
        <v>30</v>
      </c>
      <c r="D931" s="143">
        <v>2037</v>
      </c>
      <c r="E931" s="687">
        <v>1.1682890162499999E-2</v>
      </c>
      <c r="F931" s="687">
        <v>1.1360872499999999E-3</v>
      </c>
      <c r="G931" s="687">
        <v>1.5299838749999999E-3</v>
      </c>
      <c r="H931" s="216">
        <v>230.313099085</v>
      </c>
    </row>
    <row r="932" spans="2:8" ht="21.95" customHeight="1" x14ac:dyDescent="0.2">
      <c r="B932" s="143" t="s">
        <v>23</v>
      </c>
      <c r="C932" s="143">
        <v>30</v>
      </c>
      <c r="D932" s="143">
        <v>2038</v>
      </c>
      <c r="E932" s="687">
        <v>9.4255897749999998E-3</v>
      </c>
      <c r="F932" s="687">
        <v>1.108972E-3</v>
      </c>
      <c r="G932" s="687">
        <v>1.5139367500000001E-3</v>
      </c>
      <c r="H932" s="216">
        <v>227.89752462749999</v>
      </c>
    </row>
    <row r="933" spans="2:8" ht="21.95" customHeight="1" x14ac:dyDescent="0.2">
      <c r="B933" s="143" t="s">
        <v>23</v>
      </c>
      <c r="C933" s="143">
        <v>30</v>
      </c>
      <c r="D933" s="143">
        <v>2039</v>
      </c>
      <c r="E933" s="687">
        <v>7.1682893875000004E-3</v>
      </c>
      <c r="F933" s="687">
        <v>1.08185675E-3</v>
      </c>
      <c r="G933" s="687">
        <v>1.497889625E-3</v>
      </c>
      <c r="H933" s="216">
        <v>225.48195017</v>
      </c>
    </row>
    <row r="934" spans="2:8" ht="21.95" customHeight="1" x14ac:dyDescent="0.2">
      <c r="B934" s="143" t="s">
        <v>23</v>
      </c>
      <c r="C934" s="143">
        <v>30</v>
      </c>
      <c r="D934" s="143">
        <v>2040</v>
      </c>
      <c r="E934" s="687">
        <v>4.9109890000000002E-3</v>
      </c>
      <c r="F934" s="687">
        <v>1.0547415000000001E-3</v>
      </c>
      <c r="G934" s="687">
        <v>1.4818425000000001E-3</v>
      </c>
      <c r="H934" s="216">
        <v>223.06637571249999</v>
      </c>
    </row>
    <row r="935" spans="2:8" ht="21.95" customHeight="1" x14ac:dyDescent="0.2">
      <c r="B935" s="143" t="s">
        <v>23</v>
      </c>
      <c r="C935" s="143">
        <v>30</v>
      </c>
      <c r="D935" s="143">
        <v>2041</v>
      </c>
      <c r="E935" s="687">
        <v>4.7233481750000002E-3</v>
      </c>
      <c r="F935" s="687">
        <v>1.0519093187500001E-3</v>
      </c>
      <c r="G935" s="687">
        <v>1.4787954999999999E-3</v>
      </c>
      <c r="H935" s="216">
        <v>222.60770071249999</v>
      </c>
    </row>
    <row r="936" spans="2:8" ht="21.95" customHeight="1" x14ac:dyDescent="0.2">
      <c r="B936" s="143" t="s">
        <v>23</v>
      </c>
      <c r="C936" s="143">
        <v>30</v>
      </c>
      <c r="D936" s="143">
        <v>2042</v>
      </c>
      <c r="E936" s="687">
        <v>4.5357073500000003E-3</v>
      </c>
      <c r="F936" s="687">
        <v>1.0490771374999999E-3</v>
      </c>
      <c r="G936" s="687">
        <v>1.4757485E-3</v>
      </c>
      <c r="H936" s="216">
        <v>222.14902571249999</v>
      </c>
    </row>
    <row r="937" spans="2:8" ht="21.95" customHeight="1" x14ac:dyDescent="0.2">
      <c r="B937" s="143" t="s">
        <v>23</v>
      </c>
      <c r="C937" s="143">
        <v>30</v>
      </c>
      <c r="D937" s="143">
        <v>2043</v>
      </c>
      <c r="E937" s="687">
        <v>4.3480665250000003E-3</v>
      </c>
      <c r="F937" s="687">
        <v>1.04624495625E-3</v>
      </c>
      <c r="G937" s="687">
        <v>1.4727015E-3</v>
      </c>
      <c r="H937" s="216">
        <v>221.69035071249999</v>
      </c>
    </row>
    <row r="938" spans="2:8" ht="21.95" customHeight="1" x14ac:dyDescent="0.2">
      <c r="B938" s="143" t="s">
        <v>23</v>
      </c>
      <c r="C938" s="143">
        <v>30</v>
      </c>
      <c r="D938" s="143">
        <v>2044</v>
      </c>
      <c r="E938" s="687">
        <v>4.1604257000000004E-3</v>
      </c>
      <c r="F938" s="687">
        <v>1.043412775E-3</v>
      </c>
      <c r="G938" s="687">
        <v>1.4696545000000001E-3</v>
      </c>
      <c r="H938" s="216">
        <v>221.23167571249999</v>
      </c>
    </row>
    <row r="939" spans="2:8" ht="21.95" customHeight="1" x14ac:dyDescent="0.2">
      <c r="B939" s="143" t="s">
        <v>23</v>
      </c>
      <c r="C939" s="143">
        <v>30</v>
      </c>
      <c r="D939" s="143">
        <v>2045</v>
      </c>
      <c r="E939" s="687">
        <v>3.9727848749999996E-3</v>
      </c>
      <c r="F939" s="687">
        <v>1.0405805937500001E-3</v>
      </c>
      <c r="G939" s="687">
        <v>1.4666074999999999E-3</v>
      </c>
      <c r="H939" s="216">
        <v>220.77300071249999</v>
      </c>
    </row>
    <row r="940" spans="2:8" ht="21.95" customHeight="1" x14ac:dyDescent="0.2">
      <c r="B940" s="143" t="s">
        <v>23</v>
      </c>
      <c r="C940" s="143">
        <v>30</v>
      </c>
      <c r="D940" s="143">
        <v>2046</v>
      </c>
      <c r="E940" s="687">
        <v>3.7851440500000001E-3</v>
      </c>
      <c r="F940" s="687">
        <v>1.0377484125000001E-3</v>
      </c>
      <c r="G940" s="687">
        <v>1.4635605E-3</v>
      </c>
      <c r="H940" s="216">
        <v>220.31432571249999</v>
      </c>
    </row>
    <row r="941" spans="2:8" ht="21.95" customHeight="1" x14ac:dyDescent="0.2">
      <c r="B941" s="143" t="s">
        <v>23</v>
      </c>
      <c r="C941" s="143">
        <v>30</v>
      </c>
      <c r="D941" s="143">
        <v>2047</v>
      </c>
      <c r="E941" s="687">
        <v>3.5975032250000001E-3</v>
      </c>
      <c r="F941" s="687">
        <v>1.0349162312499999E-3</v>
      </c>
      <c r="G941" s="687">
        <v>1.4605135E-3</v>
      </c>
      <c r="H941" s="216">
        <v>219.85565071249999</v>
      </c>
    </row>
    <row r="942" spans="2:8" ht="21.95" customHeight="1" x14ac:dyDescent="0.2">
      <c r="B942" s="143" t="s">
        <v>23</v>
      </c>
      <c r="C942" s="143">
        <v>30</v>
      </c>
      <c r="D942" s="143">
        <v>2048</v>
      </c>
      <c r="E942" s="687">
        <v>3.4098624000000002E-3</v>
      </c>
      <c r="F942" s="687">
        <v>1.03208405E-3</v>
      </c>
      <c r="G942" s="687">
        <v>1.4574665000000001E-3</v>
      </c>
      <c r="H942" s="216">
        <v>219.39697571249999</v>
      </c>
    </row>
    <row r="943" spans="2:8" ht="21.95" customHeight="1" x14ac:dyDescent="0.2">
      <c r="B943" s="143" t="s">
        <v>23</v>
      </c>
      <c r="C943" s="143">
        <v>30</v>
      </c>
      <c r="D943" s="143">
        <v>2049</v>
      </c>
      <c r="E943" s="687">
        <v>3.2222215749999998E-3</v>
      </c>
      <c r="F943" s="687">
        <v>1.02925186875E-3</v>
      </c>
      <c r="G943" s="687">
        <v>1.4544194999999999E-3</v>
      </c>
      <c r="H943" s="216">
        <v>218.93830071249999</v>
      </c>
    </row>
    <row r="944" spans="2:8" ht="21.95" customHeight="1" x14ac:dyDescent="0.2">
      <c r="B944" s="143" t="s">
        <v>23</v>
      </c>
      <c r="C944" s="143">
        <v>30</v>
      </c>
      <c r="D944" s="143">
        <v>2050</v>
      </c>
      <c r="E944" s="687">
        <v>3.0345807499999999E-3</v>
      </c>
      <c r="F944" s="687">
        <v>1.0264196875000001E-3</v>
      </c>
      <c r="G944" s="687">
        <v>1.4513725E-3</v>
      </c>
      <c r="H944" s="216">
        <v>218.4796257125</v>
      </c>
    </row>
    <row r="945" spans="2:8" ht="21.95" customHeight="1" x14ac:dyDescent="0.2">
      <c r="B945" s="143" t="s">
        <v>23</v>
      </c>
      <c r="C945" s="143">
        <v>30</v>
      </c>
      <c r="D945" s="143">
        <v>2051</v>
      </c>
      <c r="E945" s="687">
        <v>3.0009051125000001E-3</v>
      </c>
      <c r="F945" s="687">
        <v>1.02692641875E-3</v>
      </c>
      <c r="G945" s="687">
        <v>1.451073875E-3</v>
      </c>
      <c r="H945" s="216">
        <v>218.43467598749999</v>
      </c>
    </row>
    <row r="946" spans="2:8" ht="21.95" customHeight="1" x14ac:dyDescent="0.2">
      <c r="B946" s="143" t="s">
        <v>23</v>
      </c>
      <c r="C946" s="143">
        <v>30</v>
      </c>
      <c r="D946" s="143">
        <v>2052</v>
      </c>
      <c r="E946" s="687">
        <v>2.9672294749999999E-3</v>
      </c>
      <c r="F946" s="687">
        <v>1.02743315E-3</v>
      </c>
      <c r="G946" s="687">
        <v>1.4507752499999999E-3</v>
      </c>
      <c r="H946" s="216">
        <v>218.38972626250001</v>
      </c>
    </row>
    <row r="947" spans="2:8" ht="21.95" customHeight="1" x14ac:dyDescent="0.2">
      <c r="B947" s="143" t="s">
        <v>23</v>
      </c>
      <c r="C947" s="143">
        <v>30</v>
      </c>
      <c r="D947" s="143">
        <v>2053</v>
      </c>
      <c r="E947" s="687">
        <v>2.9335538375000001E-3</v>
      </c>
      <c r="F947" s="687">
        <v>1.0279398812499999E-3</v>
      </c>
      <c r="G947" s="687">
        <v>1.4504766249999999E-3</v>
      </c>
      <c r="H947" s="216">
        <v>218.3447765375</v>
      </c>
    </row>
    <row r="948" spans="2:8" ht="21.95" customHeight="1" x14ac:dyDescent="0.2">
      <c r="B948" s="143" t="s">
        <v>23</v>
      </c>
      <c r="C948" s="143">
        <v>30</v>
      </c>
      <c r="D948" s="143">
        <v>2054</v>
      </c>
      <c r="E948" s="687">
        <v>2.8998781999999999E-3</v>
      </c>
      <c r="F948" s="687">
        <v>1.0284466125000001E-3</v>
      </c>
      <c r="G948" s="687">
        <v>1.4501780000000001E-3</v>
      </c>
      <c r="H948" s="216">
        <v>218.29982681249999</v>
      </c>
    </row>
    <row r="949" spans="2:8" ht="21.95" customHeight="1" x14ac:dyDescent="0.2">
      <c r="B949" s="143" t="s">
        <v>23</v>
      </c>
      <c r="C949" s="143">
        <v>30</v>
      </c>
      <c r="D949" s="143">
        <v>2055</v>
      </c>
      <c r="E949" s="687">
        <v>2.8662025625000001E-3</v>
      </c>
      <c r="F949" s="687">
        <v>1.02895334375E-3</v>
      </c>
      <c r="G949" s="687">
        <v>1.4498793750000001E-3</v>
      </c>
      <c r="H949" s="216">
        <v>218.25487708750001</v>
      </c>
    </row>
    <row r="950" spans="2:8" ht="21.95" customHeight="1" x14ac:dyDescent="0.2">
      <c r="B950" s="143" t="s">
        <v>23</v>
      </c>
      <c r="C950" s="143">
        <v>30</v>
      </c>
      <c r="D950" s="143">
        <v>2056</v>
      </c>
      <c r="E950" s="687">
        <v>2.8325269249999999E-3</v>
      </c>
      <c r="F950" s="687">
        <v>1.029460075E-3</v>
      </c>
      <c r="G950" s="687">
        <v>1.44958075E-3</v>
      </c>
      <c r="H950" s="216">
        <v>218.2099273625</v>
      </c>
    </row>
    <row r="951" spans="2:8" ht="21.95" customHeight="1" x14ac:dyDescent="0.2">
      <c r="B951" s="143" t="s">
        <v>23</v>
      </c>
      <c r="C951" s="143">
        <v>30</v>
      </c>
      <c r="D951" s="143">
        <v>2057</v>
      </c>
      <c r="E951" s="687">
        <v>2.7988512875000001E-3</v>
      </c>
      <c r="F951" s="687">
        <v>1.0299668062499999E-3</v>
      </c>
      <c r="G951" s="687">
        <v>1.449282125E-3</v>
      </c>
      <c r="H951" s="216">
        <v>218.16497763749999</v>
      </c>
    </row>
    <row r="952" spans="2:8" ht="21.95" customHeight="1" x14ac:dyDescent="0.2">
      <c r="B952" s="143" t="s">
        <v>23</v>
      </c>
      <c r="C952" s="143">
        <v>30</v>
      </c>
      <c r="D952" s="143">
        <v>2058</v>
      </c>
      <c r="E952" s="687">
        <v>2.7651756499999999E-3</v>
      </c>
      <c r="F952" s="687">
        <v>1.0304735375000001E-3</v>
      </c>
      <c r="G952" s="687">
        <v>1.4489835E-3</v>
      </c>
      <c r="H952" s="216">
        <v>218.12002791250001</v>
      </c>
    </row>
    <row r="953" spans="2:8" ht="21.95" customHeight="1" x14ac:dyDescent="0.2">
      <c r="B953" s="143" t="s">
        <v>23</v>
      </c>
      <c r="C953" s="143">
        <v>30</v>
      </c>
      <c r="D953" s="143">
        <v>2059</v>
      </c>
      <c r="E953" s="687">
        <v>2.7315000125000002E-3</v>
      </c>
      <c r="F953" s="687">
        <v>1.03098026875E-3</v>
      </c>
      <c r="G953" s="687">
        <v>1.448684875E-3</v>
      </c>
      <c r="H953" s="216">
        <v>218.0750781875</v>
      </c>
    </row>
    <row r="954" spans="2:8" ht="21.95" customHeight="1" x14ac:dyDescent="0.2">
      <c r="B954" s="143" t="s">
        <v>23</v>
      </c>
      <c r="C954" s="143">
        <v>30</v>
      </c>
      <c r="D954" s="143">
        <v>2060</v>
      </c>
      <c r="E954" s="687">
        <v>2.6978243749999999E-3</v>
      </c>
      <c r="F954" s="687">
        <v>1.031487E-3</v>
      </c>
      <c r="G954" s="687">
        <v>1.4483862499999999E-3</v>
      </c>
      <c r="H954" s="216">
        <v>218.03012846249999</v>
      </c>
    </row>
    <row r="955" spans="2:8" ht="21.95" customHeight="1" x14ac:dyDescent="0.2">
      <c r="B955" s="143" t="s">
        <v>23</v>
      </c>
      <c r="C955" s="143">
        <v>35</v>
      </c>
      <c r="D955" s="143">
        <v>2020</v>
      </c>
      <c r="E955" s="687">
        <v>0.1447170388125</v>
      </c>
      <c r="F955" s="687">
        <v>1.9921739374999998E-3</v>
      </c>
      <c r="G955" s="687">
        <v>1.9813600000000002E-3</v>
      </c>
      <c r="H955" s="216">
        <v>298.25963018750002</v>
      </c>
    </row>
    <row r="956" spans="2:8" ht="21.95" customHeight="1" x14ac:dyDescent="0.2">
      <c r="B956" s="143" t="s">
        <v>23</v>
      </c>
      <c r="C956" s="143">
        <v>35</v>
      </c>
      <c r="D956" s="143">
        <v>2021</v>
      </c>
      <c r="E956" s="687">
        <v>0.13301254936250001</v>
      </c>
      <c r="F956" s="687">
        <v>1.9197969624999999E-3</v>
      </c>
      <c r="G956" s="687">
        <v>1.9395635E-3</v>
      </c>
      <c r="H956" s="216">
        <v>291.96790493437499</v>
      </c>
    </row>
    <row r="957" spans="2:8" ht="21.95" customHeight="1" x14ac:dyDescent="0.2">
      <c r="B957" s="143" t="s">
        <v>23</v>
      </c>
      <c r="C957" s="143">
        <v>35</v>
      </c>
      <c r="D957" s="143">
        <v>2022</v>
      </c>
      <c r="E957" s="687">
        <v>0.1213080599125</v>
      </c>
      <c r="F957" s="687">
        <v>1.8474199875000001E-3</v>
      </c>
      <c r="G957" s="687">
        <v>1.8977670000000001E-3</v>
      </c>
      <c r="H957" s="216">
        <v>285.67617968125001</v>
      </c>
    </row>
    <row r="958" spans="2:8" ht="21.95" customHeight="1" x14ac:dyDescent="0.2">
      <c r="B958" s="143" t="s">
        <v>23</v>
      </c>
      <c r="C958" s="143">
        <v>35</v>
      </c>
      <c r="D958" s="143">
        <v>2023</v>
      </c>
      <c r="E958" s="687">
        <v>0.10960357046249999</v>
      </c>
      <c r="F958" s="687">
        <v>1.7750430125E-3</v>
      </c>
      <c r="G958" s="687">
        <v>1.8559704999999999E-3</v>
      </c>
      <c r="H958" s="216">
        <v>279.38445442812503</v>
      </c>
    </row>
    <row r="959" spans="2:8" ht="21.95" customHeight="1" x14ac:dyDescent="0.2">
      <c r="B959" s="143" t="s">
        <v>23</v>
      </c>
      <c r="C959" s="143">
        <v>35</v>
      </c>
      <c r="D959" s="143">
        <v>2024</v>
      </c>
      <c r="E959" s="687">
        <v>9.78990810125E-2</v>
      </c>
      <c r="F959" s="687">
        <v>1.7026660375000001E-3</v>
      </c>
      <c r="G959" s="687">
        <v>1.814174E-3</v>
      </c>
      <c r="H959" s="216">
        <v>273.09272917499999</v>
      </c>
    </row>
    <row r="960" spans="2:8" ht="21.95" customHeight="1" x14ac:dyDescent="0.2">
      <c r="B960" s="143" t="s">
        <v>23</v>
      </c>
      <c r="C960" s="143">
        <v>35</v>
      </c>
      <c r="D960" s="143">
        <v>2025</v>
      </c>
      <c r="E960" s="687">
        <v>8.6194591562500006E-2</v>
      </c>
      <c r="F960" s="687">
        <v>1.6302890625E-3</v>
      </c>
      <c r="G960" s="687">
        <v>1.7723775000000001E-3</v>
      </c>
      <c r="H960" s="216">
        <v>266.80100392187501</v>
      </c>
    </row>
    <row r="961" spans="2:8" ht="21.95" customHeight="1" x14ac:dyDescent="0.2">
      <c r="B961" s="143" t="s">
        <v>23</v>
      </c>
      <c r="C961" s="143">
        <v>35</v>
      </c>
      <c r="D961" s="143">
        <v>2026</v>
      </c>
      <c r="E961" s="687">
        <v>7.4490102112499998E-2</v>
      </c>
      <c r="F961" s="687">
        <v>1.5579120874999999E-3</v>
      </c>
      <c r="G961" s="687">
        <v>1.7305809999999999E-3</v>
      </c>
      <c r="H961" s="216">
        <v>260.50927866875003</v>
      </c>
    </row>
    <row r="962" spans="2:8" ht="21.95" customHeight="1" x14ac:dyDescent="0.2">
      <c r="B962" s="143" t="s">
        <v>23</v>
      </c>
      <c r="C962" s="143">
        <v>35</v>
      </c>
      <c r="D962" s="143">
        <v>2027</v>
      </c>
      <c r="E962" s="687">
        <v>6.2785612662500004E-2</v>
      </c>
      <c r="F962" s="687">
        <v>1.4855351125000001E-3</v>
      </c>
      <c r="G962" s="687">
        <v>1.6887845E-3</v>
      </c>
      <c r="H962" s="216">
        <v>254.21755341562499</v>
      </c>
    </row>
    <row r="963" spans="2:8" ht="21.95" customHeight="1" x14ac:dyDescent="0.2">
      <c r="B963" s="143" t="s">
        <v>23</v>
      </c>
      <c r="C963" s="143">
        <v>35</v>
      </c>
      <c r="D963" s="143">
        <v>2028</v>
      </c>
      <c r="E963" s="687">
        <v>5.1081123212500003E-2</v>
      </c>
      <c r="F963" s="687">
        <v>1.4131581375E-3</v>
      </c>
      <c r="G963" s="687">
        <v>1.6469880000000001E-3</v>
      </c>
      <c r="H963" s="216">
        <v>247.92582816250001</v>
      </c>
    </row>
    <row r="964" spans="2:8" ht="21.95" customHeight="1" x14ac:dyDescent="0.2">
      <c r="B964" s="143" t="s">
        <v>23</v>
      </c>
      <c r="C964" s="143">
        <v>35</v>
      </c>
      <c r="D964" s="143">
        <v>2029</v>
      </c>
      <c r="E964" s="687">
        <v>3.9376633762500002E-2</v>
      </c>
      <c r="F964" s="687">
        <v>1.3407811625000001E-3</v>
      </c>
      <c r="G964" s="687">
        <v>1.6051914999999999E-3</v>
      </c>
      <c r="H964" s="216">
        <v>241.634102909375</v>
      </c>
    </row>
    <row r="965" spans="2:8" ht="21.95" customHeight="1" x14ac:dyDescent="0.2">
      <c r="B965" s="143" t="s">
        <v>23</v>
      </c>
      <c r="C965" s="143">
        <v>35</v>
      </c>
      <c r="D965" s="143">
        <v>2030</v>
      </c>
      <c r="E965" s="687">
        <v>2.7672144312500001E-2</v>
      </c>
      <c r="F965" s="687">
        <v>1.2684041875E-3</v>
      </c>
      <c r="G965" s="687">
        <v>1.563395E-3</v>
      </c>
      <c r="H965" s="216">
        <v>235.34237765624999</v>
      </c>
    </row>
    <row r="966" spans="2:8" ht="21.95" customHeight="1" x14ac:dyDescent="0.2">
      <c r="B966" s="143" t="s">
        <v>23</v>
      </c>
      <c r="C966" s="143">
        <v>35</v>
      </c>
      <c r="D966" s="143">
        <v>2031</v>
      </c>
      <c r="E966" s="687">
        <v>2.539938915625E-2</v>
      </c>
      <c r="F966" s="687">
        <v>1.243432275E-3</v>
      </c>
      <c r="G966" s="687">
        <v>1.5481341875E-3</v>
      </c>
      <c r="H966" s="216">
        <v>233.04512738687501</v>
      </c>
    </row>
    <row r="967" spans="2:8" ht="21.95" customHeight="1" x14ac:dyDescent="0.2">
      <c r="B967" s="143" t="s">
        <v>23</v>
      </c>
      <c r="C967" s="143">
        <v>35</v>
      </c>
      <c r="D967" s="143">
        <v>2032</v>
      </c>
      <c r="E967" s="687">
        <v>2.3126634E-2</v>
      </c>
      <c r="F967" s="687">
        <v>1.2184603625000001E-3</v>
      </c>
      <c r="G967" s="687">
        <v>1.5328733749999999E-3</v>
      </c>
      <c r="H967" s="216">
        <v>230.7478771175</v>
      </c>
    </row>
    <row r="968" spans="2:8" ht="21.95" customHeight="1" x14ac:dyDescent="0.2">
      <c r="B968" s="143" t="s">
        <v>23</v>
      </c>
      <c r="C968" s="143">
        <v>35</v>
      </c>
      <c r="D968" s="143">
        <v>2033</v>
      </c>
      <c r="E968" s="687">
        <v>2.085387884375E-2</v>
      </c>
      <c r="F968" s="687">
        <v>1.1934884500000001E-3</v>
      </c>
      <c r="G968" s="687">
        <v>1.5176125624999999E-3</v>
      </c>
      <c r="H968" s="216">
        <v>228.45062684812501</v>
      </c>
    </row>
    <row r="969" spans="2:8" ht="21.95" customHeight="1" x14ac:dyDescent="0.2">
      <c r="B969" s="143" t="s">
        <v>23</v>
      </c>
      <c r="C969" s="143">
        <v>35</v>
      </c>
      <c r="D969" s="143">
        <v>2034</v>
      </c>
      <c r="E969" s="687">
        <v>1.8581123687499999E-2</v>
      </c>
      <c r="F969" s="687">
        <v>1.1685165375000001E-3</v>
      </c>
      <c r="G969" s="687">
        <v>1.5023517499999999E-3</v>
      </c>
      <c r="H969" s="216">
        <v>226.15337657875</v>
      </c>
    </row>
    <row r="970" spans="2:8" ht="21.95" customHeight="1" x14ac:dyDescent="0.2">
      <c r="B970" s="143" t="s">
        <v>23</v>
      </c>
      <c r="C970" s="143">
        <v>35</v>
      </c>
      <c r="D970" s="143">
        <v>2035</v>
      </c>
      <c r="E970" s="687">
        <v>1.6308368531249999E-2</v>
      </c>
      <c r="F970" s="687">
        <v>1.1435446249999999E-3</v>
      </c>
      <c r="G970" s="687">
        <v>1.4870909375000001E-3</v>
      </c>
      <c r="H970" s="216">
        <v>223.85612630937499</v>
      </c>
    </row>
    <row r="971" spans="2:8" ht="21.95" customHeight="1" x14ac:dyDescent="0.2">
      <c r="B971" s="143" t="s">
        <v>23</v>
      </c>
      <c r="C971" s="143">
        <v>35</v>
      </c>
      <c r="D971" s="143">
        <v>2036</v>
      </c>
      <c r="E971" s="687">
        <v>1.4035613375E-2</v>
      </c>
      <c r="F971" s="687">
        <v>1.1185727124999999E-3</v>
      </c>
      <c r="G971" s="687">
        <v>1.4718301250000001E-3</v>
      </c>
      <c r="H971" s="216">
        <v>221.55887604</v>
      </c>
    </row>
    <row r="972" spans="2:8" ht="21.95" customHeight="1" x14ac:dyDescent="0.2">
      <c r="B972" s="143" t="s">
        <v>23</v>
      </c>
      <c r="C972" s="143">
        <v>35</v>
      </c>
      <c r="D972" s="143">
        <v>2037</v>
      </c>
      <c r="E972" s="687">
        <v>1.176285821875E-2</v>
      </c>
      <c r="F972" s="687">
        <v>1.0936008E-3</v>
      </c>
      <c r="G972" s="687">
        <v>1.4565693125000001E-3</v>
      </c>
      <c r="H972" s="216">
        <v>219.26162577062499</v>
      </c>
    </row>
    <row r="973" spans="2:8" ht="21.95" customHeight="1" x14ac:dyDescent="0.2">
      <c r="B973" s="143" t="s">
        <v>23</v>
      </c>
      <c r="C973" s="143">
        <v>35</v>
      </c>
      <c r="D973" s="143">
        <v>2038</v>
      </c>
      <c r="E973" s="687">
        <v>9.4901030624999997E-3</v>
      </c>
      <c r="F973" s="687">
        <v>1.0686288875E-3</v>
      </c>
      <c r="G973" s="687">
        <v>1.4413085E-3</v>
      </c>
      <c r="H973" s="216">
        <v>216.96437550125</v>
      </c>
    </row>
    <row r="974" spans="2:8" ht="21.95" customHeight="1" x14ac:dyDescent="0.2">
      <c r="B974" s="143" t="s">
        <v>23</v>
      </c>
      <c r="C974" s="143">
        <v>35</v>
      </c>
      <c r="D974" s="143">
        <v>2039</v>
      </c>
      <c r="E974" s="687">
        <v>7.2173479062500002E-3</v>
      </c>
      <c r="F974" s="687">
        <v>1.043656975E-3</v>
      </c>
      <c r="G974" s="687">
        <v>1.4260476875E-3</v>
      </c>
      <c r="H974" s="216">
        <v>214.66712523187499</v>
      </c>
    </row>
    <row r="975" spans="2:8" ht="21.95" customHeight="1" x14ac:dyDescent="0.2">
      <c r="B975" s="143" t="s">
        <v>23</v>
      </c>
      <c r="C975" s="143">
        <v>35</v>
      </c>
      <c r="D975" s="143">
        <v>2040</v>
      </c>
      <c r="E975" s="687">
        <v>4.9445927499999999E-3</v>
      </c>
      <c r="F975" s="687">
        <v>1.0186850625E-3</v>
      </c>
      <c r="G975" s="687">
        <v>1.410786875E-3</v>
      </c>
      <c r="H975" s="216">
        <v>212.36987496250001</v>
      </c>
    </row>
    <row r="976" spans="2:8" ht="21.95" customHeight="1" x14ac:dyDescent="0.2">
      <c r="B976" s="143" t="s">
        <v>23</v>
      </c>
      <c r="C976" s="143">
        <v>35</v>
      </c>
      <c r="D976" s="143">
        <v>2041</v>
      </c>
      <c r="E976" s="687">
        <v>4.7556669312500003E-3</v>
      </c>
      <c r="F976" s="687">
        <v>1.0159497937499999E-3</v>
      </c>
      <c r="G976" s="687">
        <v>1.40788575E-3</v>
      </c>
      <c r="H976" s="216">
        <v>211.93316832562499</v>
      </c>
    </row>
    <row r="977" spans="2:8" ht="21.95" customHeight="1" x14ac:dyDescent="0.2">
      <c r="B977" s="143" t="s">
        <v>23</v>
      </c>
      <c r="C977" s="143">
        <v>35</v>
      </c>
      <c r="D977" s="143">
        <v>2042</v>
      </c>
      <c r="E977" s="687">
        <v>4.5667411124999998E-3</v>
      </c>
      <c r="F977" s="687">
        <v>1.013214525E-3</v>
      </c>
      <c r="G977" s="687">
        <v>1.4049846250000001E-3</v>
      </c>
      <c r="H977" s="216">
        <v>211.49646168875</v>
      </c>
    </row>
    <row r="978" spans="2:8" ht="21.95" customHeight="1" x14ac:dyDescent="0.2">
      <c r="B978" s="143" t="s">
        <v>23</v>
      </c>
      <c r="C978" s="143">
        <v>35</v>
      </c>
      <c r="D978" s="143">
        <v>2043</v>
      </c>
      <c r="E978" s="687">
        <v>4.3778152937500002E-3</v>
      </c>
      <c r="F978" s="687">
        <v>1.0104792562500001E-3</v>
      </c>
      <c r="G978" s="687">
        <v>1.4020835000000001E-3</v>
      </c>
      <c r="H978" s="216">
        <v>211.05975505187499</v>
      </c>
    </row>
    <row r="979" spans="2:8" ht="21.95" customHeight="1" x14ac:dyDescent="0.2">
      <c r="B979" s="143" t="s">
        <v>23</v>
      </c>
      <c r="C979" s="143">
        <v>35</v>
      </c>
      <c r="D979" s="143">
        <v>2044</v>
      </c>
      <c r="E979" s="687">
        <v>4.1888894749999997E-3</v>
      </c>
      <c r="F979" s="687">
        <v>1.0077439874999999E-3</v>
      </c>
      <c r="G979" s="687">
        <v>1.3991823749999999E-3</v>
      </c>
      <c r="H979" s="216">
        <v>210.623048415</v>
      </c>
    </row>
    <row r="980" spans="2:8" ht="21.95" customHeight="1" x14ac:dyDescent="0.2">
      <c r="B980" s="143" t="s">
        <v>23</v>
      </c>
      <c r="C980" s="143">
        <v>35</v>
      </c>
      <c r="D980" s="143">
        <v>2045</v>
      </c>
      <c r="E980" s="687">
        <v>3.9999636562500001E-3</v>
      </c>
      <c r="F980" s="687">
        <v>1.00500871875E-3</v>
      </c>
      <c r="G980" s="687">
        <v>1.39628125E-3</v>
      </c>
      <c r="H980" s="216">
        <v>210.18634177812501</v>
      </c>
    </row>
    <row r="981" spans="2:8" ht="21.95" customHeight="1" x14ac:dyDescent="0.2">
      <c r="B981" s="143" t="s">
        <v>23</v>
      </c>
      <c r="C981" s="143">
        <v>35</v>
      </c>
      <c r="D981" s="143">
        <v>2046</v>
      </c>
      <c r="E981" s="687">
        <v>3.8110378375000001E-3</v>
      </c>
      <c r="F981" s="687">
        <v>1.0022734500000001E-3</v>
      </c>
      <c r="G981" s="687">
        <v>1.393380125E-3</v>
      </c>
      <c r="H981" s="216">
        <v>209.74963514125</v>
      </c>
    </row>
    <row r="982" spans="2:8" ht="21.95" customHeight="1" x14ac:dyDescent="0.2">
      <c r="B982" s="143" t="s">
        <v>23</v>
      </c>
      <c r="C982" s="143">
        <v>35</v>
      </c>
      <c r="D982" s="143">
        <v>2047</v>
      </c>
      <c r="E982" s="687">
        <v>3.6221120187500001E-3</v>
      </c>
      <c r="F982" s="687">
        <v>9.9953818124999994E-4</v>
      </c>
      <c r="G982" s="687">
        <v>1.390479E-3</v>
      </c>
      <c r="H982" s="216">
        <v>209.31292850437501</v>
      </c>
    </row>
    <row r="983" spans="2:8" ht="21.95" customHeight="1" x14ac:dyDescent="0.2">
      <c r="B983" s="143" t="s">
        <v>23</v>
      </c>
      <c r="C983" s="143">
        <v>35</v>
      </c>
      <c r="D983" s="143">
        <v>2048</v>
      </c>
      <c r="E983" s="687">
        <v>3.4331862E-3</v>
      </c>
      <c r="F983" s="687">
        <v>9.9680291250000001E-4</v>
      </c>
      <c r="G983" s="687">
        <v>1.3875778750000001E-3</v>
      </c>
      <c r="H983" s="216">
        <v>208.87622186749999</v>
      </c>
    </row>
    <row r="984" spans="2:8" ht="21.95" customHeight="1" x14ac:dyDescent="0.2">
      <c r="B984" s="143" t="s">
        <v>23</v>
      </c>
      <c r="C984" s="143">
        <v>35</v>
      </c>
      <c r="D984" s="143">
        <v>2049</v>
      </c>
      <c r="E984" s="687">
        <v>3.24426038125E-3</v>
      </c>
      <c r="F984" s="687">
        <v>9.9406764375000009E-4</v>
      </c>
      <c r="G984" s="687">
        <v>1.3846767500000001E-3</v>
      </c>
      <c r="H984" s="216">
        <v>208.43951523062501</v>
      </c>
    </row>
    <row r="985" spans="2:8" ht="21.95" customHeight="1" x14ac:dyDescent="0.2">
      <c r="B985" s="143" t="s">
        <v>23</v>
      </c>
      <c r="C985" s="143">
        <v>35</v>
      </c>
      <c r="D985" s="143">
        <v>2050</v>
      </c>
      <c r="E985" s="687">
        <v>3.0553345625E-3</v>
      </c>
      <c r="F985" s="687">
        <v>9.9133237499999995E-4</v>
      </c>
      <c r="G985" s="687">
        <v>1.3817756249999999E-3</v>
      </c>
      <c r="H985" s="216">
        <v>208.00280859374999</v>
      </c>
    </row>
    <row r="986" spans="2:8" ht="21.95" customHeight="1" x14ac:dyDescent="0.2">
      <c r="B986" s="143" t="s">
        <v>23</v>
      </c>
      <c r="C986" s="143">
        <v>35</v>
      </c>
      <c r="D986" s="143">
        <v>2051</v>
      </c>
      <c r="E986" s="687">
        <v>3.0214287187500001E-3</v>
      </c>
      <c r="F986" s="687">
        <v>9.9182184374999992E-4</v>
      </c>
      <c r="G986" s="687">
        <v>1.3814915625E-3</v>
      </c>
      <c r="H986" s="216">
        <v>207.96001531562499</v>
      </c>
    </row>
    <row r="987" spans="2:8" ht="21.95" customHeight="1" x14ac:dyDescent="0.2">
      <c r="B987" s="143" t="s">
        <v>23</v>
      </c>
      <c r="C987" s="143">
        <v>35</v>
      </c>
      <c r="D987" s="143">
        <v>2052</v>
      </c>
      <c r="E987" s="687">
        <v>2.9875228749999998E-3</v>
      </c>
      <c r="F987" s="687">
        <v>9.923113124999999E-4</v>
      </c>
      <c r="G987" s="687">
        <v>1.3812074999999999E-3</v>
      </c>
      <c r="H987" s="216">
        <v>207.91722203750001</v>
      </c>
    </row>
    <row r="988" spans="2:8" ht="21.95" customHeight="1" x14ac:dyDescent="0.2">
      <c r="B988" s="143" t="s">
        <v>23</v>
      </c>
      <c r="C988" s="143">
        <v>35</v>
      </c>
      <c r="D988" s="143">
        <v>2053</v>
      </c>
      <c r="E988" s="687">
        <v>2.9536170312499999E-3</v>
      </c>
      <c r="F988" s="687">
        <v>9.9280078125000009E-4</v>
      </c>
      <c r="G988" s="687">
        <v>1.3809234375E-3</v>
      </c>
      <c r="H988" s="216">
        <v>207.87442875937501</v>
      </c>
    </row>
    <row r="989" spans="2:8" ht="21.95" customHeight="1" x14ac:dyDescent="0.2">
      <c r="B989" s="143" t="s">
        <v>23</v>
      </c>
      <c r="C989" s="143">
        <v>35</v>
      </c>
      <c r="D989" s="143">
        <v>2054</v>
      </c>
      <c r="E989" s="687">
        <v>2.9197111875000001E-3</v>
      </c>
      <c r="F989" s="687">
        <v>9.9329025000000006E-4</v>
      </c>
      <c r="G989" s="687">
        <v>1.3806393749999999E-3</v>
      </c>
      <c r="H989" s="216">
        <v>207.83163548125</v>
      </c>
    </row>
    <row r="990" spans="2:8" ht="21.95" customHeight="1" x14ac:dyDescent="0.2">
      <c r="B990" s="143" t="s">
        <v>23</v>
      </c>
      <c r="C990" s="143">
        <v>35</v>
      </c>
      <c r="D990" s="143">
        <v>2055</v>
      </c>
      <c r="E990" s="687">
        <v>2.8858053437499998E-3</v>
      </c>
      <c r="F990" s="687">
        <v>9.9377971875000003E-4</v>
      </c>
      <c r="G990" s="687">
        <v>1.3803553125E-3</v>
      </c>
      <c r="H990" s="216">
        <v>207.788842203125</v>
      </c>
    </row>
    <row r="991" spans="2:8" ht="21.95" customHeight="1" x14ac:dyDescent="0.2">
      <c r="B991" s="143" t="s">
        <v>23</v>
      </c>
      <c r="C991" s="143">
        <v>35</v>
      </c>
      <c r="D991" s="143">
        <v>2056</v>
      </c>
      <c r="E991" s="687">
        <v>2.8518994999999999E-3</v>
      </c>
      <c r="F991" s="687">
        <v>9.942691875E-4</v>
      </c>
      <c r="G991" s="687">
        <v>1.3800712499999999E-3</v>
      </c>
      <c r="H991" s="216">
        <v>207.746048925</v>
      </c>
    </row>
    <row r="992" spans="2:8" ht="21.95" customHeight="1" x14ac:dyDescent="0.2">
      <c r="B992" s="143" t="s">
        <v>23</v>
      </c>
      <c r="C992" s="143">
        <v>35</v>
      </c>
      <c r="D992" s="143">
        <v>2057</v>
      </c>
      <c r="E992" s="687">
        <v>2.8179936562500001E-3</v>
      </c>
      <c r="F992" s="687">
        <v>9.9475865624999997E-4</v>
      </c>
      <c r="G992" s="687">
        <v>1.3797871875000001E-3</v>
      </c>
      <c r="H992" s="216">
        <v>207.70325564687499</v>
      </c>
    </row>
    <row r="993" spans="2:8" ht="21.95" customHeight="1" x14ac:dyDescent="0.2">
      <c r="B993" s="143" t="s">
        <v>23</v>
      </c>
      <c r="C993" s="143">
        <v>35</v>
      </c>
      <c r="D993" s="143">
        <v>2058</v>
      </c>
      <c r="E993" s="687">
        <v>2.7840878125000002E-3</v>
      </c>
      <c r="F993" s="687">
        <v>9.9524812499999994E-4</v>
      </c>
      <c r="G993" s="687">
        <v>1.379503125E-3</v>
      </c>
      <c r="H993" s="216">
        <v>207.66046236874999</v>
      </c>
    </row>
    <row r="994" spans="2:8" ht="21.95" customHeight="1" x14ac:dyDescent="0.2">
      <c r="B994" s="143" t="s">
        <v>23</v>
      </c>
      <c r="C994" s="143">
        <v>35</v>
      </c>
      <c r="D994" s="143">
        <v>2059</v>
      </c>
      <c r="E994" s="687">
        <v>2.7501819687499999E-3</v>
      </c>
      <c r="F994" s="687">
        <v>9.9573759374999992E-4</v>
      </c>
      <c r="G994" s="687">
        <v>1.3792190625000001E-3</v>
      </c>
      <c r="H994" s="216">
        <v>207.61766909062499</v>
      </c>
    </row>
    <row r="995" spans="2:8" ht="21.95" customHeight="1" x14ac:dyDescent="0.2">
      <c r="B995" s="143" t="s">
        <v>23</v>
      </c>
      <c r="C995" s="143">
        <v>35</v>
      </c>
      <c r="D995" s="143">
        <v>2060</v>
      </c>
      <c r="E995" s="687">
        <v>2.716276125E-3</v>
      </c>
      <c r="F995" s="687">
        <v>9.962270625000001E-4</v>
      </c>
      <c r="G995" s="687">
        <v>1.378935E-3</v>
      </c>
      <c r="H995" s="216">
        <v>207.57487581250001</v>
      </c>
    </row>
    <row r="996" spans="2:8" ht="21.95" customHeight="1" x14ac:dyDescent="0.2">
      <c r="B996" s="143" t="s">
        <v>23</v>
      </c>
      <c r="C996" s="143">
        <v>40</v>
      </c>
      <c r="D996" s="143">
        <v>2020</v>
      </c>
      <c r="E996" s="687">
        <v>0.14475472612500001</v>
      </c>
      <c r="F996" s="687">
        <v>1.9587034375000002E-3</v>
      </c>
      <c r="G996" s="687">
        <v>1.9155568750000001E-3</v>
      </c>
      <c r="H996" s="216">
        <v>288.35425378125001</v>
      </c>
    </row>
    <row r="997" spans="2:8" ht="21.95" customHeight="1" x14ac:dyDescent="0.2">
      <c r="B997" s="143" t="s">
        <v>23</v>
      </c>
      <c r="C997" s="143">
        <v>40</v>
      </c>
      <c r="D997" s="143">
        <v>2021</v>
      </c>
      <c r="E997" s="687">
        <v>0.13308286939375</v>
      </c>
      <c r="F997" s="687">
        <v>1.88518066875E-3</v>
      </c>
      <c r="G997" s="687">
        <v>1.8751740625E-3</v>
      </c>
      <c r="H997" s="216">
        <v>282.27531586687502</v>
      </c>
    </row>
    <row r="998" spans="2:8" ht="21.95" customHeight="1" x14ac:dyDescent="0.2">
      <c r="B998" s="143" t="s">
        <v>23</v>
      </c>
      <c r="C998" s="143">
        <v>40</v>
      </c>
      <c r="D998" s="143">
        <v>2022</v>
      </c>
      <c r="E998" s="687">
        <v>0.1214110126625</v>
      </c>
      <c r="F998" s="687">
        <v>1.8116579E-3</v>
      </c>
      <c r="G998" s="687">
        <v>1.83479125E-3</v>
      </c>
      <c r="H998" s="216">
        <v>276.19637795249997</v>
      </c>
    </row>
    <row r="999" spans="2:8" ht="21.95" customHeight="1" x14ac:dyDescent="0.2">
      <c r="B999" s="143" t="s">
        <v>23</v>
      </c>
      <c r="C999" s="143">
        <v>40</v>
      </c>
      <c r="D999" s="143">
        <v>2023</v>
      </c>
      <c r="E999" s="687">
        <v>0.10973915593125</v>
      </c>
      <c r="F999" s="687">
        <v>1.73813513125E-3</v>
      </c>
      <c r="G999" s="687">
        <v>1.7944084374999999E-3</v>
      </c>
      <c r="H999" s="216">
        <v>270.11744003812498</v>
      </c>
    </row>
    <row r="1000" spans="2:8" ht="21.95" customHeight="1" x14ac:dyDescent="0.2">
      <c r="B1000" s="143" t="s">
        <v>23</v>
      </c>
      <c r="C1000" s="143">
        <v>40</v>
      </c>
      <c r="D1000" s="143">
        <v>2024</v>
      </c>
      <c r="E1000" s="687">
        <v>9.8067299199999999E-2</v>
      </c>
      <c r="F1000" s="687">
        <v>1.6646123625000001E-3</v>
      </c>
      <c r="G1000" s="687">
        <v>1.7540256250000001E-3</v>
      </c>
      <c r="H1000" s="216">
        <v>264.03850212374999</v>
      </c>
    </row>
    <row r="1001" spans="2:8" ht="21.95" customHeight="1" x14ac:dyDescent="0.2">
      <c r="B1001" s="143" t="s">
        <v>23</v>
      </c>
      <c r="C1001" s="143">
        <v>40</v>
      </c>
      <c r="D1001" s="143">
        <v>2025</v>
      </c>
      <c r="E1001" s="687">
        <v>8.639544246875E-2</v>
      </c>
      <c r="F1001" s="687">
        <v>1.5910895937500001E-3</v>
      </c>
      <c r="G1001" s="687">
        <v>1.7136428125E-3</v>
      </c>
      <c r="H1001" s="216">
        <v>257.959564209375</v>
      </c>
    </row>
    <row r="1002" spans="2:8" ht="21.95" customHeight="1" x14ac:dyDescent="0.2">
      <c r="B1002" s="143" t="s">
        <v>23</v>
      </c>
      <c r="C1002" s="143">
        <v>40</v>
      </c>
      <c r="D1002" s="143">
        <v>2026</v>
      </c>
      <c r="E1002" s="687">
        <v>7.4723585737500001E-2</v>
      </c>
      <c r="F1002" s="687">
        <v>1.5175668250000001E-3</v>
      </c>
      <c r="G1002" s="687">
        <v>1.67326E-3</v>
      </c>
      <c r="H1002" s="216">
        <v>251.88062629500001</v>
      </c>
    </row>
    <row r="1003" spans="2:8" ht="21.95" customHeight="1" x14ac:dyDescent="0.2">
      <c r="B1003" s="143" t="s">
        <v>23</v>
      </c>
      <c r="C1003" s="143">
        <v>40</v>
      </c>
      <c r="D1003" s="143">
        <v>2027</v>
      </c>
      <c r="E1003" s="687">
        <v>6.3051729006250001E-2</v>
      </c>
      <c r="F1003" s="687">
        <v>1.4440440562499999E-3</v>
      </c>
      <c r="G1003" s="687">
        <v>1.6328771874999999E-3</v>
      </c>
      <c r="H1003" s="216">
        <v>245.801688380625</v>
      </c>
    </row>
    <row r="1004" spans="2:8" ht="21.95" customHeight="1" x14ac:dyDescent="0.2">
      <c r="B1004" s="143" t="s">
        <v>23</v>
      </c>
      <c r="C1004" s="143">
        <v>40</v>
      </c>
      <c r="D1004" s="143">
        <v>2028</v>
      </c>
      <c r="E1004" s="687">
        <v>5.1379872275000002E-2</v>
      </c>
      <c r="F1004" s="687">
        <v>1.3705212874999999E-3</v>
      </c>
      <c r="G1004" s="687">
        <v>1.5924943750000001E-3</v>
      </c>
      <c r="H1004" s="216">
        <v>239.72275046625001</v>
      </c>
    </row>
    <row r="1005" spans="2:8" ht="21.95" customHeight="1" x14ac:dyDescent="0.2">
      <c r="B1005" s="143" t="s">
        <v>23</v>
      </c>
      <c r="C1005" s="143">
        <v>40</v>
      </c>
      <c r="D1005" s="143">
        <v>2029</v>
      </c>
      <c r="E1005" s="687">
        <v>3.9708015543750003E-2</v>
      </c>
      <c r="F1005" s="687">
        <v>1.2969985187499999E-3</v>
      </c>
      <c r="G1005" s="687">
        <v>1.5521115625E-3</v>
      </c>
      <c r="H1005" s="216">
        <v>233.64381255187499</v>
      </c>
    </row>
    <row r="1006" spans="2:8" ht="21.95" customHeight="1" x14ac:dyDescent="0.2">
      <c r="B1006" s="143" t="s">
        <v>23</v>
      </c>
      <c r="C1006" s="143">
        <v>40</v>
      </c>
      <c r="D1006" s="143">
        <v>2030</v>
      </c>
      <c r="E1006" s="687">
        <v>2.80361588125E-2</v>
      </c>
      <c r="F1006" s="687">
        <v>1.2234757499999999E-3</v>
      </c>
      <c r="G1006" s="687">
        <v>1.51172875E-3</v>
      </c>
      <c r="H1006" s="216">
        <v>227.5648746375</v>
      </c>
    </row>
    <row r="1007" spans="2:8" ht="21.95" customHeight="1" x14ac:dyDescent="0.2">
      <c r="B1007" s="143" t="s">
        <v>23</v>
      </c>
      <c r="C1007" s="143">
        <v>40</v>
      </c>
      <c r="D1007" s="143">
        <v>2031</v>
      </c>
      <c r="E1007" s="687">
        <v>2.5733505899999998E-2</v>
      </c>
      <c r="F1007" s="687">
        <v>1.2004863812500001E-3</v>
      </c>
      <c r="G1007" s="687">
        <v>1.4969865625E-3</v>
      </c>
      <c r="H1007" s="216">
        <v>225.34568709437499</v>
      </c>
    </row>
    <row r="1008" spans="2:8" ht="21.95" customHeight="1" x14ac:dyDescent="0.2">
      <c r="B1008" s="143" t="s">
        <v>23</v>
      </c>
      <c r="C1008" s="143">
        <v>40</v>
      </c>
      <c r="D1008" s="143">
        <v>2032</v>
      </c>
      <c r="E1008" s="687">
        <v>2.34308529875E-2</v>
      </c>
      <c r="F1008" s="687">
        <v>1.1774970125E-3</v>
      </c>
      <c r="G1008" s="687">
        <v>1.482244375E-3</v>
      </c>
      <c r="H1008" s="216">
        <v>223.12649955124999</v>
      </c>
    </row>
    <row r="1009" spans="2:8" ht="21.95" customHeight="1" x14ac:dyDescent="0.2">
      <c r="B1009" s="143" t="s">
        <v>23</v>
      </c>
      <c r="C1009" s="143">
        <v>40</v>
      </c>
      <c r="D1009" s="143">
        <v>2033</v>
      </c>
      <c r="E1009" s="687">
        <v>2.1128200074999999E-2</v>
      </c>
      <c r="F1009" s="687">
        <v>1.1545076437500001E-3</v>
      </c>
      <c r="G1009" s="687">
        <v>1.4675021875E-3</v>
      </c>
      <c r="H1009" s="216">
        <v>220.90731200812499</v>
      </c>
    </row>
    <row r="1010" spans="2:8" ht="21.95" customHeight="1" x14ac:dyDescent="0.2">
      <c r="B1010" s="143" t="s">
        <v>23</v>
      </c>
      <c r="C1010" s="143">
        <v>40</v>
      </c>
      <c r="D1010" s="143">
        <v>2034</v>
      </c>
      <c r="E1010" s="687">
        <v>1.8825547162500001E-2</v>
      </c>
      <c r="F1010" s="687">
        <v>1.131518275E-3</v>
      </c>
      <c r="G1010" s="687">
        <v>1.45276E-3</v>
      </c>
      <c r="H1010" s="216">
        <v>218.68812446499999</v>
      </c>
    </row>
    <row r="1011" spans="2:8" ht="21.95" customHeight="1" x14ac:dyDescent="0.2">
      <c r="B1011" s="143" t="s">
        <v>23</v>
      </c>
      <c r="C1011" s="143">
        <v>40</v>
      </c>
      <c r="D1011" s="143">
        <v>2035</v>
      </c>
      <c r="E1011" s="687">
        <v>1.652289425E-2</v>
      </c>
      <c r="F1011" s="687">
        <v>1.1085289062500001E-3</v>
      </c>
      <c r="G1011" s="687">
        <v>1.4380178125E-3</v>
      </c>
      <c r="H1011" s="216">
        <v>216.46893692187501</v>
      </c>
    </row>
    <row r="1012" spans="2:8" ht="21.95" customHeight="1" x14ac:dyDescent="0.2">
      <c r="B1012" s="143" t="s">
        <v>23</v>
      </c>
      <c r="C1012" s="143">
        <v>40</v>
      </c>
      <c r="D1012" s="143">
        <v>2036</v>
      </c>
      <c r="E1012" s="687">
        <v>1.42202413375E-2</v>
      </c>
      <c r="F1012" s="687">
        <v>1.0855395375E-3</v>
      </c>
      <c r="G1012" s="687">
        <v>1.423275625E-3</v>
      </c>
      <c r="H1012" s="216">
        <v>214.24974937875001</v>
      </c>
    </row>
    <row r="1013" spans="2:8" ht="21.95" customHeight="1" x14ac:dyDescent="0.2">
      <c r="B1013" s="143" t="s">
        <v>23</v>
      </c>
      <c r="C1013" s="143">
        <v>40</v>
      </c>
      <c r="D1013" s="143">
        <v>2037</v>
      </c>
      <c r="E1013" s="687">
        <v>1.1917588425E-2</v>
      </c>
      <c r="F1013" s="687">
        <v>1.0625501687500001E-3</v>
      </c>
      <c r="G1013" s="687">
        <v>1.4085334375E-3</v>
      </c>
      <c r="H1013" s="216">
        <v>212.03056183562501</v>
      </c>
    </row>
    <row r="1014" spans="2:8" ht="21.95" customHeight="1" x14ac:dyDescent="0.2">
      <c r="B1014" s="143" t="s">
        <v>23</v>
      </c>
      <c r="C1014" s="143">
        <v>40</v>
      </c>
      <c r="D1014" s="143">
        <v>2038</v>
      </c>
      <c r="E1014" s="687">
        <v>9.6149355125000006E-3</v>
      </c>
      <c r="F1014" s="687">
        <v>1.0395608E-3</v>
      </c>
      <c r="G1014" s="687">
        <v>1.39379125E-3</v>
      </c>
      <c r="H1014" s="216">
        <v>209.81137429250001</v>
      </c>
    </row>
    <row r="1015" spans="2:8" ht="21.95" customHeight="1" x14ac:dyDescent="0.2">
      <c r="B1015" s="143" t="s">
        <v>23</v>
      </c>
      <c r="C1015" s="143">
        <v>40</v>
      </c>
      <c r="D1015" s="143">
        <v>2039</v>
      </c>
      <c r="E1015" s="687">
        <v>7.3122826E-3</v>
      </c>
      <c r="F1015" s="687">
        <v>1.0165714312500001E-3</v>
      </c>
      <c r="G1015" s="687">
        <v>1.3790490625E-3</v>
      </c>
      <c r="H1015" s="216">
        <v>207.592186749375</v>
      </c>
    </row>
    <row r="1016" spans="2:8" ht="21.95" customHeight="1" x14ac:dyDescent="0.2">
      <c r="B1016" s="143" t="s">
        <v>23</v>
      </c>
      <c r="C1016" s="143">
        <v>40</v>
      </c>
      <c r="D1016" s="143">
        <v>2040</v>
      </c>
      <c r="E1016" s="687">
        <v>5.0096296875000003E-3</v>
      </c>
      <c r="F1016" s="687">
        <v>9.9358206249999998E-4</v>
      </c>
      <c r="G1016" s="687">
        <v>1.364306875E-3</v>
      </c>
      <c r="H1016" s="216">
        <v>205.37299920625</v>
      </c>
    </row>
    <row r="1017" spans="2:8" ht="21.95" customHeight="1" x14ac:dyDescent="0.2">
      <c r="B1017" s="143" t="s">
        <v>23</v>
      </c>
      <c r="C1017" s="143">
        <v>40</v>
      </c>
      <c r="D1017" s="143">
        <v>2041</v>
      </c>
      <c r="E1017" s="687">
        <v>4.8182188562499997E-3</v>
      </c>
      <c r="F1017" s="687">
        <v>9.9091412500000001E-4</v>
      </c>
      <c r="G1017" s="687">
        <v>1.361501375E-3</v>
      </c>
      <c r="H1017" s="216">
        <v>204.95066195999999</v>
      </c>
    </row>
    <row r="1018" spans="2:8" ht="21.95" customHeight="1" x14ac:dyDescent="0.2">
      <c r="B1018" s="143" t="s">
        <v>23</v>
      </c>
      <c r="C1018" s="143">
        <v>40</v>
      </c>
      <c r="D1018" s="143">
        <v>2042</v>
      </c>
      <c r="E1018" s="687">
        <v>4.6268080249999999E-3</v>
      </c>
      <c r="F1018" s="687">
        <v>9.8824618750000003E-4</v>
      </c>
      <c r="G1018" s="687">
        <v>1.358695875E-3</v>
      </c>
      <c r="H1018" s="216">
        <v>204.52832471375001</v>
      </c>
    </row>
    <row r="1019" spans="2:8" ht="21.95" customHeight="1" x14ac:dyDescent="0.2">
      <c r="B1019" s="143" t="s">
        <v>23</v>
      </c>
      <c r="C1019" s="143">
        <v>40</v>
      </c>
      <c r="D1019" s="143">
        <v>2043</v>
      </c>
      <c r="E1019" s="687">
        <v>4.4353971937500002E-3</v>
      </c>
      <c r="F1019" s="687">
        <v>9.8557825000000006E-4</v>
      </c>
      <c r="G1019" s="687">
        <v>1.355890375E-3</v>
      </c>
      <c r="H1019" s="216">
        <v>204.1059874675</v>
      </c>
    </row>
    <row r="1020" spans="2:8" ht="21.95" customHeight="1" x14ac:dyDescent="0.2">
      <c r="B1020" s="143" t="s">
        <v>23</v>
      </c>
      <c r="C1020" s="143">
        <v>40</v>
      </c>
      <c r="D1020" s="143">
        <v>2044</v>
      </c>
      <c r="E1020" s="687">
        <v>4.2439863624999996E-3</v>
      </c>
      <c r="F1020" s="687">
        <v>9.8291031250000009E-4</v>
      </c>
      <c r="G1020" s="687">
        <v>1.353084875E-3</v>
      </c>
      <c r="H1020" s="216">
        <v>203.68365022124999</v>
      </c>
    </row>
    <row r="1021" spans="2:8" ht="21.95" customHeight="1" x14ac:dyDescent="0.2">
      <c r="B1021" s="143" t="s">
        <v>23</v>
      </c>
      <c r="C1021" s="143">
        <v>40</v>
      </c>
      <c r="D1021" s="143">
        <v>2045</v>
      </c>
      <c r="E1021" s="687">
        <v>4.0525755312499998E-3</v>
      </c>
      <c r="F1021" s="687">
        <v>9.802423749999999E-4</v>
      </c>
      <c r="G1021" s="687">
        <v>1.350279375E-3</v>
      </c>
      <c r="H1021" s="216">
        <v>203.26131297500001</v>
      </c>
    </row>
    <row r="1022" spans="2:8" ht="21.95" customHeight="1" x14ac:dyDescent="0.2">
      <c r="B1022" s="143" t="s">
        <v>23</v>
      </c>
      <c r="C1022" s="143">
        <v>40</v>
      </c>
      <c r="D1022" s="143">
        <v>2046</v>
      </c>
      <c r="E1022" s="687">
        <v>3.8611647000000001E-3</v>
      </c>
      <c r="F1022" s="687">
        <v>9.7757443749999992E-4</v>
      </c>
      <c r="G1022" s="687">
        <v>1.347473875E-3</v>
      </c>
      <c r="H1022" s="216">
        <v>202.83897572875</v>
      </c>
    </row>
    <row r="1023" spans="2:8" ht="21.95" customHeight="1" x14ac:dyDescent="0.2">
      <c r="B1023" s="143" t="s">
        <v>23</v>
      </c>
      <c r="C1023" s="143">
        <v>40</v>
      </c>
      <c r="D1023" s="143">
        <v>2047</v>
      </c>
      <c r="E1023" s="687">
        <v>3.6697538687499999E-3</v>
      </c>
      <c r="F1023" s="687">
        <v>9.7490649999999995E-4</v>
      </c>
      <c r="G1023" s="687">
        <v>1.3446683750000001E-3</v>
      </c>
      <c r="H1023" s="216">
        <v>202.41663848249999</v>
      </c>
    </row>
    <row r="1024" spans="2:8" ht="21.95" customHeight="1" x14ac:dyDescent="0.2">
      <c r="B1024" s="143" t="s">
        <v>23</v>
      </c>
      <c r="C1024" s="143">
        <v>40</v>
      </c>
      <c r="D1024" s="143">
        <v>2048</v>
      </c>
      <c r="E1024" s="687">
        <v>3.4783430375000001E-3</v>
      </c>
      <c r="F1024" s="687">
        <v>9.7223856249999997E-4</v>
      </c>
      <c r="G1024" s="687">
        <v>1.3418628750000001E-3</v>
      </c>
      <c r="H1024" s="216">
        <v>201.99430123625001</v>
      </c>
    </row>
    <row r="1025" spans="2:8" ht="21.95" customHeight="1" x14ac:dyDescent="0.2">
      <c r="B1025" s="143" t="s">
        <v>23</v>
      </c>
      <c r="C1025" s="143">
        <v>40</v>
      </c>
      <c r="D1025" s="143">
        <v>2049</v>
      </c>
      <c r="E1025" s="687">
        <v>3.2869322062499999E-3</v>
      </c>
      <c r="F1025" s="687">
        <v>9.69570625E-4</v>
      </c>
      <c r="G1025" s="687">
        <v>1.3390573750000001E-3</v>
      </c>
      <c r="H1025" s="216">
        <v>201.57196399</v>
      </c>
    </row>
    <row r="1026" spans="2:8" ht="21.95" customHeight="1" x14ac:dyDescent="0.2">
      <c r="B1026" s="143" t="s">
        <v>23</v>
      </c>
      <c r="C1026" s="143">
        <v>40</v>
      </c>
      <c r="D1026" s="143">
        <v>2050</v>
      </c>
      <c r="E1026" s="687">
        <v>3.0955213750000002E-3</v>
      </c>
      <c r="F1026" s="687">
        <v>9.6690268750000002E-4</v>
      </c>
      <c r="G1026" s="687">
        <v>1.3362518750000001E-3</v>
      </c>
      <c r="H1026" s="216">
        <v>201.14962674374999</v>
      </c>
    </row>
    <row r="1027" spans="2:8" ht="21.95" customHeight="1" x14ac:dyDescent="0.2">
      <c r="B1027" s="143" t="s">
        <v>23</v>
      </c>
      <c r="C1027" s="143">
        <v>40</v>
      </c>
      <c r="D1027" s="143">
        <v>2051</v>
      </c>
      <c r="E1027" s="687">
        <v>3.06116936875E-3</v>
      </c>
      <c r="F1027" s="687">
        <v>9.6738013749999999E-4</v>
      </c>
      <c r="G1027" s="687">
        <v>1.3359769374999999E-3</v>
      </c>
      <c r="H1027" s="216">
        <v>201.10828906374999</v>
      </c>
    </row>
    <row r="1028" spans="2:8" ht="21.95" customHeight="1" x14ac:dyDescent="0.2">
      <c r="B1028" s="143" t="s">
        <v>23</v>
      </c>
      <c r="C1028" s="143">
        <v>40</v>
      </c>
      <c r="D1028" s="143">
        <v>2052</v>
      </c>
      <c r="E1028" s="687">
        <v>3.0268173624999999E-3</v>
      </c>
      <c r="F1028" s="687">
        <v>9.6785758749999996E-4</v>
      </c>
      <c r="G1028" s="687">
        <v>1.335702E-3</v>
      </c>
      <c r="H1028" s="216">
        <v>201.06695138374999</v>
      </c>
    </row>
    <row r="1029" spans="2:8" ht="21.95" customHeight="1" x14ac:dyDescent="0.2">
      <c r="B1029" s="143" t="s">
        <v>23</v>
      </c>
      <c r="C1029" s="143">
        <v>40</v>
      </c>
      <c r="D1029" s="143">
        <v>2053</v>
      </c>
      <c r="E1029" s="687">
        <v>2.9924653562500001E-3</v>
      </c>
      <c r="F1029" s="687">
        <v>9.6833503750000003E-4</v>
      </c>
      <c r="G1029" s="687">
        <v>1.3354270624999999E-3</v>
      </c>
      <c r="H1029" s="216">
        <v>201.02561370375</v>
      </c>
    </row>
    <row r="1030" spans="2:8" ht="21.95" customHeight="1" x14ac:dyDescent="0.2">
      <c r="B1030" s="143" t="s">
        <v>23</v>
      </c>
      <c r="C1030" s="143">
        <v>40</v>
      </c>
      <c r="D1030" s="143">
        <v>2054</v>
      </c>
      <c r="E1030" s="687">
        <v>2.95811335E-3</v>
      </c>
      <c r="F1030" s="687">
        <v>9.688124875E-4</v>
      </c>
      <c r="G1030" s="687">
        <v>1.335152125E-3</v>
      </c>
      <c r="H1030" s="216">
        <v>200.98427602375</v>
      </c>
    </row>
    <row r="1031" spans="2:8" ht="21.95" customHeight="1" x14ac:dyDescent="0.2">
      <c r="B1031" s="143" t="s">
        <v>23</v>
      </c>
      <c r="C1031" s="143">
        <v>40</v>
      </c>
      <c r="D1031" s="143">
        <v>2055</v>
      </c>
      <c r="E1031" s="687">
        <v>2.9237613437499998E-3</v>
      </c>
      <c r="F1031" s="687">
        <v>9.6928993749999996E-4</v>
      </c>
      <c r="G1031" s="687">
        <v>1.3348771875000001E-3</v>
      </c>
      <c r="H1031" s="216">
        <v>200.94293834375</v>
      </c>
    </row>
    <row r="1032" spans="2:8" ht="21.95" customHeight="1" x14ac:dyDescent="0.2">
      <c r="B1032" s="143" t="s">
        <v>23</v>
      </c>
      <c r="C1032" s="143">
        <v>40</v>
      </c>
      <c r="D1032" s="143">
        <v>2056</v>
      </c>
      <c r="E1032" s="687">
        <v>2.8894093375000001E-3</v>
      </c>
      <c r="F1032" s="687">
        <v>9.6976738750000004E-4</v>
      </c>
      <c r="G1032" s="687">
        <v>1.3346022499999999E-3</v>
      </c>
      <c r="H1032" s="216">
        <v>200.90160066375</v>
      </c>
    </row>
    <row r="1033" spans="2:8" ht="21.95" customHeight="1" x14ac:dyDescent="0.2">
      <c r="B1033" s="143" t="s">
        <v>23</v>
      </c>
      <c r="C1033" s="143">
        <v>40</v>
      </c>
      <c r="D1033" s="143">
        <v>2057</v>
      </c>
      <c r="E1033" s="687">
        <v>2.8550573312499999E-3</v>
      </c>
      <c r="F1033" s="687">
        <v>9.702448375E-4</v>
      </c>
      <c r="G1033" s="687">
        <v>1.3343273125E-3</v>
      </c>
      <c r="H1033" s="216">
        <v>200.86026298375</v>
      </c>
    </row>
    <row r="1034" spans="2:8" ht="21.95" customHeight="1" x14ac:dyDescent="0.2">
      <c r="B1034" s="143" t="s">
        <v>23</v>
      </c>
      <c r="C1034" s="143">
        <v>40</v>
      </c>
      <c r="D1034" s="143">
        <v>2058</v>
      </c>
      <c r="E1034" s="687">
        <v>2.8207053250000002E-3</v>
      </c>
      <c r="F1034" s="687">
        <v>9.7072228749999997E-4</v>
      </c>
      <c r="G1034" s="687">
        <v>1.3340523750000001E-3</v>
      </c>
      <c r="H1034" s="216">
        <v>200.81892530375001</v>
      </c>
    </row>
    <row r="1035" spans="2:8" ht="21.95" customHeight="1" x14ac:dyDescent="0.2">
      <c r="B1035" s="143" t="s">
        <v>23</v>
      </c>
      <c r="C1035" s="143">
        <v>40</v>
      </c>
      <c r="D1035" s="143">
        <v>2059</v>
      </c>
      <c r="E1035" s="687">
        <v>2.78635331875E-3</v>
      </c>
      <c r="F1035" s="687">
        <v>9.7119973750000004E-4</v>
      </c>
      <c r="G1035" s="687">
        <v>1.3337774375E-3</v>
      </c>
      <c r="H1035" s="216">
        <v>200.77758762375001</v>
      </c>
    </row>
    <row r="1036" spans="2:8" ht="21.95" customHeight="1" x14ac:dyDescent="0.2">
      <c r="B1036" s="143" t="s">
        <v>23</v>
      </c>
      <c r="C1036" s="143">
        <v>40</v>
      </c>
      <c r="D1036" s="143">
        <v>2060</v>
      </c>
      <c r="E1036" s="687">
        <v>2.7520013124999998E-3</v>
      </c>
      <c r="F1036" s="687">
        <v>9.7167718750000001E-4</v>
      </c>
      <c r="G1036" s="687">
        <v>1.3335025E-3</v>
      </c>
      <c r="H1036" s="216">
        <v>200.73624994375001</v>
      </c>
    </row>
    <row r="1037" spans="2:8" ht="21.95" customHeight="1" x14ac:dyDescent="0.2">
      <c r="B1037" s="143" t="s">
        <v>23</v>
      </c>
      <c r="C1037" s="143">
        <v>45</v>
      </c>
      <c r="D1037" s="143">
        <v>2020</v>
      </c>
      <c r="E1037" s="687">
        <v>0.14523974587499999</v>
      </c>
      <c r="F1037" s="687">
        <v>1.9410054375E-3</v>
      </c>
      <c r="G1037" s="687">
        <v>1.865189375E-3</v>
      </c>
      <c r="H1037" s="216">
        <v>280.77262686249998</v>
      </c>
    </row>
    <row r="1038" spans="2:8" ht="21.95" customHeight="1" x14ac:dyDescent="0.2">
      <c r="B1038" s="143" t="s">
        <v>23</v>
      </c>
      <c r="C1038" s="143">
        <v>45</v>
      </c>
      <c r="D1038" s="143">
        <v>2021</v>
      </c>
      <c r="E1038" s="687">
        <v>0.13355641865000001</v>
      </c>
      <c r="F1038" s="687">
        <v>1.86629948125E-3</v>
      </c>
      <c r="G1038" s="687">
        <v>1.82588775E-3</v>
      </c>
      <c r="H1038" s="216">
        <v>274.85644530000002</v>
      </c>
    </row>
    <row r="1039" spans="2:8" ht="21.95" customHeight="1" x14ac:dyDescent="0.2">
      <c r="B1039" s="143" t="s">
        <v>23</v>
      </c>
      <c r="C1039" s="143">
        <v>45</v>
      </c>
      <c r="D1039" s="143">
        <v>2022</v>
      </c>
      <c r="E1039" s="687">
        <v>0.121873091425</v>
      </c>
      <c r="F1039" s="687">
        <v>1.791593525E-3</v>
      </c>
      <c r="G1039" s="687">
        <v>1.7865861250000001E-3</v>
      </c>
      <c r="H1039" s="216">
        <v>268.9402637375</v>
      </c>
    </row>
    <row r="1040" spans="2:8" ht="21.95" customHeight="1" x14ac:dyDescent="0.2">
      <c r="B1040" s="143" t="s">
        <v>23</v>
      </c>
      <c r="C1040" s="143">
        <v>45</v>
      </c>
      <c r="D1040" s="143">
        <v>2023</v>
      </c>
      <c r="E1040" s="687">
        <v>0.1101897642</v>
      </c>
      <c r="F1040" s="687">
        <v>1.7168875687500001E-3</v>
      </c>
      <c r="G1040" s="687">
        <v>1.7472844999999999E-3</v>
      </c>
      <c r="H1040" s="216">
        <v>263.02408217499999</v>
      </c>
    </row>
    <row r="1041" spans="2:8" ht="21.95" customHeight="1" x14ac:dyDescent="0.2">
      <c r="B1041" s="143" t="s">
        <v>23</v>
      </c>
      <c r="C1041" s="143">
        <v>45</v>
      </c>
      <c r="D1041" s="143">
        <v>2024</v>
      </c>
      <c r="E1041" s="687">
        <v>9.8506436975E-2</v>
      </c>
      <c r="F1041" s="687">
        <v>1.6421816125000001E-3</v>
      </c>
      <c r="G1041" s="687">
        <v>1.707982875E-3</v>
      </c>
      <c r="H1041" s="216">
        <v>257.10790061249998</v>
      </c>
    </row>
    <row r="1042" spans="2:8" ht="21.95" customHeight="1" x14ac:dyDescent="0.2">
      <c r="B1042" s="143" t="s">
        <v>23</v>
      </c>
      <c r="C1042" s="143">
        <v>45</v>
      </c>
      <c r="D1042" s="143">
        <v>2025</v>
      </c>
      <c r="E1042" s="687">
        <v>8.6823109750000002E-2</v>
      </c>
      <c r="F1042" s="687">
        <v>1.5674756562499999E-3</v>
      </c>
      <c r="G1042" s="687">
        <v>1.6686812500000001E-3</v>
      </c>
      <c r="H1042" s="216">
        <v>251.19171904999999</v>
      </c>
    </row>
    <row r="1043" spans="2:8" ht="21.95" customHeight="1" x14ac:dyDescent="0.2">
      <c r="B1043" s="143" t="s">
        <v>23</v>
      </c>
      <c r="C1043" s="143">
        <v>45</v>
      </c>
      <c r="D1043" s="143">
        <v>2026</v>
      </c>
      <c r="E1043" s="687">
        <v>7.5139782525000004E-2</v>
      </c>
      <c r="F1043" s="687">
        <v>1.4927696999999999E-3</v>
      </c>
      <c r="G1043" s="687">
        <v>1.6293796249999999E-3</v>
      </c>
      <c r="H1043" s="216">
        <v>245.2755374875</v>
      </c>
    </row>
    <row r="1044" spans="2:8" ht="21.95" customHeight="1" x14ac:dyDescent="0.2">
      <c r="B1044" s="143" t="s">
        <v>23</v>
      </c>
      <c r="C1044" s="143">
        <v>45</v>
      </c>
      <c r="D1044" s="143">
        <v>2027</v>
      </c>
      <c r="E1044" s="687">
        <v>6.3456455300000006E-2</v>
      </c>
      <c r="F1044" s="687">
        <v>1.41806374375E-3</v>
      </c>
      <c r="G1044" s="687">
        <v>1.590078E-3</v>
      </c>
      <c r="H1044" s="216">
        <v>239.35935592499999</v>
      </c>
    </row>
    <row r="1045" spans="2:8" ht="21.95" customHeight="1" x14ac:dyDescent="0.2">
      <c r="B1045" s="143" t="s">
        <v>23</v>
      </c>
      <c r="C1045" s="143">
        <v>45</v>
      </c>
      <c r="D1045" s="143">
        <v>2028</v>
      </c>
      <c r="E1045" s="687">
        <v>5.1773128075000001E-2</v>
      </c>
      <c r="F1045" s="687">
        <v>1.3433577875E-3</v>
      </c>
      <c r="G1045" s="687">
        <v>1.550776375E-3</v>
      </c>
      <c r="H1045" s="216">
        <v>233.4431743625</v>
      </c>
    </row>
    <row r="1046" spans="2:8" ht="21.95" customHeight="1" x14ac:dyDescent="0.2">
      <c r="B1046" s="143" t="s">
        <v>23</v>
      </c>
      <c r="C1046" s="143">
        <v>45</v>
      </c>
      <c r="D1046" s="143">
        <v>2029</v>
      </c>
      <c r="E1046" s="687">
        <v>4.0089800850000003E-2</v>
      </c>
      <c r="F1046" s="687">
        <v>1.26865183125E-3</v>
      </c>
      <c r="G1046" s="687">
        <v>1.5114747500000001E-3</v>
      </c>
      <c r="H1046" s="216">
        <v>227.52699279999999</v>
      </c>
    </row>
    <row r="1047" spans="2:8" ht="21.95" customHeight="1" x14ac:dyDescent="0.2">
      <c r="B1047" s="143" t="s">
        <v>23</v>
      </c>
      <c r="C1047" s="143">
        <v>45</v>
      </c>
      <c r="D1047" s="143">
        <v>2030</v>
      </c>
      <c r="E1047" s="687">
        <v>2.8406473625000001E-2</v>
      </c>
      <c r="F1047" s="687">
        <v>1.193945875E-3</v>
      </c>
      <c r="G1047" s="687">
        <v>1.4721731249999999E-3</v>
      </c>
      <c r="H1047" s="216">
        <v>221.6108112375</v>
      </c>
    </row>
    <row r="1048" spans="2:8" ht="21.95" customHeight="1" x14ac:dyDescent="0.2">
      <c r="B1048" s="143" t="s">
        <v>23</v>
      </c>
      <c r="C1048" s="143">
        <v>45</v>
      </c>
      <c r="D1048" s="143">
        <v>2031</v>
      </c>
      <c r="E1048" s="687">
        <v>2.6073406068749999E-2</v>
      </c>
      <c r="F1048" s="687">
        <v>1.17228478125E-3</v>
      </c>
      <c r="G1048" s="687">
        <v>1.4578270625E-3</v>
      </c>
      <c r="H1048" s="216">
        <v>219.45127373312499</v>
      </c>
    </row>
    <row r="1049" spans="2:8" ht="21.95" customHeight="1" x14ac:dyDescent="0.2">
      <c r="B1049" s="143" t="s">
        <v>23</v>
      </c>
      <c r="C1049" s="143">
        <v>45</v>
      </c>
      <c r="D1049" s="143">
        <v>2032</v>
      </c>
      <c r="E1049" s="687">
        <v>2.37403385125E-2</v>
      </c>
      <c r="F1049" s="687">
        <v>1.1506236875E-3</v>
      </c>
      <c r="G1049" s="687">
        <v>1.4434809999999999E-3</v>
      </c>
      <c r="H1049" s="216">
        <v>217.29173622875001</v>
      </c>
    </row>
    <row r="1050" spans="2:8" ht="21.95" customHeight="1" x14ac:dyDescent="0.2">
      <c r="B1050" s="143" t="s">
        <v>23</v>
      </c>
      <c r="C1050" s="143">
        <v>45</v>
      </c>
      <c r="D1050" s="143">
        <v>2033</v>
      </c>
      <c r="E1050" s="687">
        <v>2.1407270956249998E-2</v>
      </c>
      <c r="F1050" s="687">
        <v>1.12896259375E-3</v>
      </c>
      <c r="G1050" s="687">
        <v>1.4291349375E-3</v>
      </c>
      <c r="H1050" s="216">
        <v>215.132198724375</v>
      </c>
    </row>
    <row r="1051" spans="2:8" ht="21.95" customHeight="1" x14ac:dyDescent="0.2">
      <c r="B1051" s="143" t="s">
        <v>23</v>
      </c>
      <c r="C1051" s="143">
        <v>45</v>
      </c>
      <c r="D1051" s="143">
        <v>2034</v>
      </c>
      <c r="E1051" s="687">
        <v>1.90742034E-2</v>
      </c>
      <c r="F1051" s="687">
        <v>1.1073014999999999E-3</v>
      </c>
      <c r="G1051" s="687">
        <v>1.4147888749999999E-3</v>
      </c>
      <c r="H1051" s="216">
        <v>212.97266121999999</v>
      </c>
    </row>
    <row r="1052" spans="2:8" ht="21.95" customHeight="1" x14ac:dyDescent="0.2">
      <c r="B1052" s="143" t="s">
        <v>23</v>
      </c>
      <c r="C1052" s="143">
        <v>45</v>
      </c>
      <c r="D1052" s="143">
        <v>2035</v>
      </c>
      <c r="E1052" s="687">
        <v>1.6741135843750001E-2</v>
      </c>
      <c r="F1052" s="687">
        <v>1.0856404062499999E-3</v>
      </c>
      <c r="G1052" s="687">
        <v>1.4004428125E-3</v>
      </c>
      <c r="H1052" s="216">
        <v>210.81312371562501</v>
      </c>
    </row>
    <row r="1053" spans="2:8" ht="21.95" customHeight="1" x14ac:dyDescent="0.2">
      <c r="B1053" s="143" t="s">
        <v>23</v>
      </c>
      <c r="C1053" s="143">
        <v>45</v>
      </c>
      <c r="D1053" s="143">
        <v>2036</v>
      </c>
      <c r="E1053" s="687">
        <v>1.4408068287500001E-2</v>
      </c>
      <c r="F1053" s="687">
        <v>1.0639793125000001E-3</v>
      </c>
      <c r="G1053" s="687">
        <v>1.3860967499999999E-3</v>
      </c>
      <c r="H1053" s="216">
        <v>208.65358621125</v>
      </c>
    </row>
    <row r="1054" spans="2:8" ht="21.95" customHeight="1" x14ac:dyDescent="0.2">
      <c r="B1054" s="143" t="s">
        <v>23</v>
      </c>
      <c r="C1054" s="143">
        <v>45</v>
      </c>
      <c r="D1054" s="143">
        <v>2037</v>
      </c>
      <c r="E1054" s="687">
        <v>1.207500073125E-2</v>
      </c>
      <c r="F1054" s="687">
        <v>1.0423182187500001E-3</v>
      </c>
      <c r="G1054" s="687">
        <v>1.3717506875E-3</v>
      </c>
      <c r="H1054" s="216">
        <v>206.49404870687499</v>
      </c>
    </row>
    <row r="1055" spans="2:8" ht="21.95" customHeight="1" x14ac:dyDescent="0.2">
      <c r="B1055" s="143" t="s">
        <v>23</v>
      </c>
      <c r="C1055" s="143">
        <v>45</v>
      </c>
      <c r="D1055" s="143">
        <v>2038</v>
      </c>
      <c r="E1055" s="687">
        <v>9.7419331750000001E-3</v>
      </c>
      <c r="F1055" s="687">
        <v>1.0206571250000001E-3</v>
      </c>
      <c r="G1055" s="687">
        <v>1.3574046250000001E-3</v>
      </c>
      <c r="H1055" s="216">
        <v>204.33451120250001</v>
      </c>
    </row>
    <row r="1056" spans="2:8" ht="21.95" customHeight="1" x14ac:dyDescent="0.2">
      <c r="B1056" s="143" t="s">
        <v>23</v>
      </c>
      <c r="C1056" s="143">
        <v>45</v>
      </c>
      <c r="D1056" s="143">
        <v>2039</v>
      </c>
      <c r="E1056" s="687">
        <v>7.4088656187499997E-3</v>
      </c>
      <c r="F1056" s="687">
        <v>9.9899603125000003E-4</v>
      </c>
      <c r="G1056" s="687">
        <v>1.3430585625E-3</v>
      </c>
      <c r="H1056" s="216">
        <v>202.174973698125</v>
      </c>
    </row>
    <row r="1057" spans="2:8" ht="21.95" customHeight="1" x14ac:dyDescent="0.2">
      <c r="B1057" s="143" t="s">
        <v>23</v>
      </c>
      <c r="C1057" s="143">
        <v>45</v>
      </c>
      <c r="D1057" s="143">
        <v>2040</v>
      </c>
      <c r="E1057" s="687">
        <v>5.0757980625000003E-3</v>
      </c>
      <c r="F1057" s="687">
        <v>9.773349375E-4</v>
      </c>
      <c r="G1057" s="687">
        <v>1.3287125000000001E-3</v>
      </c>
      <c r="H1057" s="216">
        <v>200.01543619374999</v>
      </c>
    </row>
    <row r="1058" spans="2:8" ht="21.95" customHeight="1" x14ac:dyDescent="0.2">
      <c r="B1058" s="143" t="s">
        <v>23</v>
      </c>
      <c r="C1058" s="143">
        <v>45</v>
      </c>
      <c r="D1058" s="143">
        <v>2041</v>
      </c>
      <c r="E1058" s="687">
        <v>4.8818589250000004E-3</v>
      </c>
      <c r="F1058" s="687">
        <v>9.7471061874999996E-4</v>
      </c>
      <c r="G1058" s="687">
        <v>1.3259804375E-3</v>
      </c>
      <c r="H1058" s="216">
        <v>199.604111116875</v>
      </c>
    </row>
    <row r="1059" spans="2:8" ht="21.95" customHeight="1" x14ac:dyDescent="0.2">
      <c r="B1059" s="143" t="s">
        <v>23</v>
      </c>
      <c r="C1059" s="143">
        <v>45</v>
      </c>
      <c r="D1059" s="143">
        <v>2042</v>
      </c>
      <c r="E1059" s="687">
        <v>4.6879197874999997E-3</v>
      </c>
      <c r="F1059" s="687">
        <v>9.7208630000000004E-4</v>
      </c>
      <c r="G1059" s="687">
        <v>1.323248375E-3</v>
      </c>
      <c r="H1059" s="216">
        <v>199.19278603999999</v>
      </c>
    </row>
    <row r="1060" spans="2:8" ht="21.95" customHeight="1" x14ac:dyDescent="0.2">
      <c r="B1060" s="143" t="s">
        <v>23</v>
      </c>
      <c r="C1060" s="143">
        <v>45</v>
      </c>
      <c r="D1060" s="143">
        <v>2043</v>
      </c>
      <c r="E1060" s="687">
        <v>4.4939806499999999E-3</v>
      </c>
      <c r="F1060" s="687">
        <v>9.6946198125E-4</v>
      </c>
      <c r="G1060" s="687">
        <v>1.3205163124999999E-3</v>
      </c>
      <c r="H1060" s="216">
        <v>198.781460963125</v>
      </c>
    </row>
    <row r="1061" spans="2:8" ht="21.95" customHeight="1" x14ac:dyDescent="0.2">
      <c r="B1061" s="143" t="s">
        <v>23</v>
      </c>
      <c r="C1061" s="143">
        <v>45</v>
      </c>
      <c r="D1061" s="143">
        <v>2044</v>
      </c>
      <c r="E1061" s="687">
        <v>4.3000415125E-3</v>
      </c>
      <c r="F1061" s="687">
        <v>9.6683766249999997E-4</v>
      </c>
      <c r="G1061" s="687">
        <v>1.3177842500000001E-3</v>
      </c>
      <c r="H1061" s="216">
        <v>198.37013588625001</v>
      </c>
    </row>
    <row r="1062" spans="2:8" ht="21.95" customHeight="1" x14ac:dyDescent="0.2">
      <c r="B1062" s="143" t="s">
        <v>23</v>
      </c>
      <c r="C1062" s="143">
        <v>45</v>
      </c>
      <c r="D1062" s="143">
        <v>2045</v>
      </c>
      <c r="E1062" s="687">
        <v>4.1061023750000002E-3</v>
      </c>
      <c r="F1062" s="687">
        <v>9.6421334375000004E-4</v>
      </c>
      <c r="G1062" s="687">
        <v>1.3150521875E-3</v>
      </c>
      <c r="H1062" s="216">
        <v>197.958810809375</v>
      </c>
    </row>
    <row r="1063" spans="2:8" ht="21.95" customHeight="1" x14ac:dyDescent="0.2">
      <c r="B1063" s="143" t="s">
        <v>23</v>
      </c>
      <c r="C1063" s="143">
        <v>45</v>
      </c>
      <c r="D1063" s="143">
        <v>2046</v>
      </c>
      <c r="E1063" s="687">
        <v>3.9121632375000003E-3</v>
      </c>
      <c r="F1063" s="687">
        <v>9.6158902500000001E-4</v>
      </c>
      <c r="G1063" s="687">
        <v>1.312320125E-3</v>
      </c>
      <c r="H1063" s="216">
        <v>197.54748573250001</v>
      </c>
    </row>
    <row r="1064" spans="2:8" ht="21.95" customHeight="1" x14ac:dyDescent="0.2">
      <c r="B1064" s="143" t="s">
        <v>23</v>
      </c>
      <c r="C1064" s="143">
        <v>45</v>
      </c>
      <c r="D1064" s="143">
        <v>2047</v>
      </c>
      <c r="E1064" s="687">
        <v>3.7182241E-3</v>
      </c>
      <c r="F1064" s="687">
        <v>9.5896470624999997E-4</v>
      </c>
      <c r="G1064" s="687">
        <v>1.3095880625E-3</v>
      </c>
      <c r="H1064" s="216">
        <v>197.13616065562499</v>
      </c>
    </row>
    <row r="1065" spans="2:8" ht="21.95" customHeight="1" x14ac:dyDescent="0.2">
      <c r="B1065" s="143" t="s">
        <v>23</v>
      </c>
      <c r="C1065" s="143">
        <v>45</v>
      </c>
      <c r="D1065" s="143">
        <v>2048</v>
      </c>
      <c r="E1065" s="687">
        <v>3.5242849625000002E-3</v>
      </c>
      <c r="F1065" s="687">
        <v>9.5634038750000005E-4</v>
      </c>
      <c r="G1065" s="687">
        <v>1.3068559999999999E-3</v>
      </c>
      <c r="H1065" s="216">
        <v>196.72483557875</v>
      </c>
    </row>
    <row r="1066" spans="2:8" ht="21.95" customHeight="1" x14ac:dyDescent="0.2">
      <c r="B1066" s="143" t="s">
        <v>23</v>
      </c>
      <c r="C1066" s="143">
        <v>45</v>
      </c>
      <c r="D1066" s="143">
        <v>2049</v>
      </c>
      <c r="E1066" s="687">
        <v>3.3303458249999999E-3</v>
      </c>
      <c r="F1066" s="687">
        <v>9.5371606875000001E-4</v>
      </c>
      <c r="G1066" s="687">
        <v>1.3041239375000001E-3</v>
      </c>
      <c r="H1066" s="216">
        <v>196.31351050187499</v>
      </c>
    </row>
    <row r="1067" spans="2:8" ht="21.95" customHeight="1" x14ac:dyDescent="0.2">
      <c r="B1067" s="143" t="s">
        <v>23</v>
      </c>
      <c r="C1067" s="143">
        <v>45</v>
      </c>
      <c r="D1067" s="143">
        <v>2050</v>
      </c>
      <c r="E1067" s="687">
        <v>3.1364066875000001E-3</v>
      </c>
      <c r="F1067" s="687">
        <v>9.5109174999999998E-4</v>
      </c>
      <c r="G1067" s="687">
        <v>1.301391875E-3</v>
      </c>
      <c r="H1067" s="216">
        <v>195.902185425</v>
      </c>
    </row>
    <row r="1068" spans="2:8" ht="21.95" customHeight="1" x14ac:dyDescent="0.2">
      <c r="B1068" s="143" t="s">
        <v>23</v>
      </c>
      <c r="C1068" s="143">
        <v>45</v>
      </c>
      <c r="D1068" s="143">
        <v>2051</v>
      </c>
      <c r="E1068" s="687">
        <v>3.1016009749999999E-3</v>
      </c>
      <c r="F1068" s="687">
        <v>9.5156138124999996E-4</v>
      </c>
      <c r="G1068" s="687">
        <v>1.3011243124999999E-3</v>
      </c>
      <c r="H1068" s="216">
        <v>195.86189163624999</v>
      </c>
    </row>
    <row r="1069" spans="2:8" ht="21.95" customHeight="1" x14ac:dyDescent="0.2">
      <c r="B1069" s="143" t="s">
        <v>23</v>
      </c>
      <c r="C1069" s="143">
        <v>45</v>
      </c>
      <c r="D1069" s="143">
        <v>2052</v>
      </c>
      <c r="E1069" s="687">
        <v>3.0667952624999998E-3</v>
      </c>
      <c r="F1069" s="687">
        <v>9.5203101250000005E-4</v>
      </c>
      <c r="G1069" s="687">
        <v>1.30085675E-3</v>
      </c>
      <c r="H1069" s="216">
        <v>195.82159784749999</v>
      </c>
    </row>
    <row r="1070" spans="2:8" ht="21.95" customHeight="1" x14ac:dyDescent="0.2">
      <c r="B1070" s="143" t="s">
        <v>23</v>
      </c>
      <c r="C1070" s="143">
        <v>45</v>
      </c>
      <c r="D1070" s="143">
        <v>2053</v>
      </c>
      <c r="E1070" s="687">
        <v>3.0319895500000001E-3</v>
      </c>
      <c r="F1070" s="687">
        <v>9.5250064375000003E-4</v>
      </c>
      <c r="G1070" s="687">
        <v>1.3005891874999999E-3</v>
      </c>
      <c r="H1070" s="216">
        <v>195.78130405875001</v>
      </c>
    </row>
    <row r="1071" spans="2:8" ht="21.95" customHeight="1" x14ac:dyDescent="0.2">
      <c r="B1071" s="143" t="s">
        <v>23</v>
      </c>
      <c r="C1071" s="143">
        <v>45</v>
      </c>
      <c r="D1071" s="143">
        <v>2054</v>
      </c>
      <c r="E1071" s="687">
        <v>2.9971838375E-3</v>
      </c>
      <c r="F1071" s="687">
        <v>9.5297027500000002E-4</v>
      </c>
      <c r="G1071" s="687">
        <v>1.300321625E-3</v>
      </c>
      <c r="H1071" s="216">
        <v>195.74101027</v>
      </c>
    </row>
    <row r="1072" spans="2:8" ht="21.95" customHeight="1" x14ac:dyDescent="0.2">
      <c r="B1072" s="143" t="s">
        <v>23</v>
      </c>
      <c r="C1072" s="143">
        <v>45</v>
      </c>
      <c r="D1072" s="143">
        <v>2055</v>
      </c>
      <c r="E1072" s="687">
        <v>2.9623781249999998E-3</v>
      </c>
      <c r="F1072" s="687">
        <v>9.5343990625E-4</v>
      </c>
      <c r="G1072" s="687">
        <v>1.3000540625000001E-3</v>
      </c>
      <c r="H1072" s="216">
        <v>195.70071648125</v>
      </c>
    </row>
    <row r="1073" spans="2:8" ht="21.95" customHeight="1" x14ac:dyDescent="0.2">
      <c r="B1073" s="143" t="s">
        <v>23</v>
      </c>
      <c r="C1073" s="143">
        <v>45</v>
      </c>
      <c r="D1073" s="143">
        <v>2056</v>
      </c>
      <c r="E1073" s="687">
        <v>2.9275724125000001E-3</v>
      </c>
      <c r="F1073" s="687">
        <v>9.5390953749999998E-4</v>
      </c>
      <c r="G1073" s="687">
        <v>1.2997865E-3</v>
      </c>
      <c r="H1073" s="216">
        <v>195.66042269249999</v>
      </c>
    </row>
    <row r="1074" spans="2:8" ht="21.95" customHeight="1" x14ac:dyDescent="0.2">
      <c r="B1074" s="143" t="s">
        <v>23</v>
      </c>
      <c r="C1074" s="143">
        <v>45</v>
      </c>
      <c r="D1074" s="143">
        <v>2057</v>
      </c>
      <c r="E1074" s="687">
        <v>2.8927667E-3</v>
      </c>
      <c r="F1074" s="687">
        <v>9.5437916874999997E-4</v>
      </c>
      <c r="G1074" s="687">
        <v>1.2995189375000001E-3</v>
      </c>
      <c r="H1074" s="216">
        <v>195.62012890374999</v>
      </c>
    </row>
    <row r="1075" spans="2:8" ht="21.95" customHeight="1" x14ac:dyDescent="0.2">
      <c r="B1075" s="143" t="s">
        <v>23</v>
      </c>
      <c r="C1075" s="143">
        <v>45</v>
      </c>
      <c r="D1075" s="143">
        <v>2058</v>
      </c>
      <c r="E1075" s="687">
        <v>2.8579609874999998E-3</v>
      </c>
      <c r="F1075" s="687">
        <v>9.5484879999999995E-4</v>
      </c>
      <c r="G1075" s="687">
        <v>1.299251375E-3</v>
      </c>
      <c r="H1075" s="216">
        <v>195.57983511500001</v>
      </c>
    </row>
    <row r="1076" spans="2:8" ht="21.95" customHeight="1" x14ac:dyDescent="0.2">
      <c r="B1076" s="143" t="s">
        <v>23</v>
      </c>
      <c r="C1076" s="143">
        <v>45</v>
      </c>
      <c r="D1076" s="143">
        <v>2059</v>
      </c>
      <c r="E1076" s="687">
        <v>2.8231552750000001E-3</v>
      </c>
      <c r="F1076" s="687">
        <v>9.5531843125000004E-4</v>
      </c>
      <c r="G1076" s="687">
        <v>1.2989838125000001E-3</v>
      </c>
      <c r="H1076" s="216">
        <v>195.53954132625</v>
      </c>
    </row>
    <row r="1077" spans="2:8" ht="21.95" customHeight="1" x14ac:dyDescent="0.2">
      <c r="B1077" s="143" t="s">
        <v>23</v>
      </c>
      <c r="C1077" s="143">
        <v>45</v>
      </c>
      <c r="D1077" s="143">
        <v>2060</v>
      </c>
      <c r="E1077" s="687">
        <v>2.7883495625E-3</v>
      </c>
      <c r="F1077" s="687">
        <v>9.5578806250000003E-4</v>
      </c>
      <c r="G1077" s="687">
        <v>1.29871625E-3</v>
      </c>
      <c r="H1077" s="216">
        <v>195.4992475375</v>
      </c>
    </row>
    <row r="1078" spans="2:8" ht="21.95" customHeight="1" x14ac:dyDescent="0.2">
      <c r="B1078" s="143" t="s">
        <v>23</v>
      </c>
      <c r="C1078" s="143">
        <v>50</v>
      </c>
      <c r="D1078" s="143">
        <v>2020</v>
      </c>
      <c r="E1078" s="687">
        <v>0.145769267875</v>
      </c>
      <c r="F1078" s="687">
        <v>1.9099355624999999E-3</v>
      </c>
      <c r="G1078" s="687">
        <v>1.81807375E-3</v>
      </c>
      <c r="H1078" s="216">
        <v>273.68018533125002</v>
      </c>
    </row>
    <row r="1079" spans="2:8" ht="21.95" customHeight="1" x14ac:dyDescent="0.2">
      <c r="B1079" s="143" t="s">
        <v>23</v>
      </c>
      <c r="C1079" s="143">
        <v>50</v>
      </c>
      <c r="D1079" s="143">
        <v>2021</v>
      </c>
      <c r="E1079" s="687">
        <v>0.13405777071875</v>
      </c>
      <c r="F1079" s="687">
        <v>1.8354058812500001E-3</v>
      </c>
      <c r="G1079" s="687">
        <v>1.7797775625000001E-3</v>
      </c>
      <c r="H1079" s="216">
        <v>267.91535445562499</v>
      </c>
    </row>
    <row r="1080" spans="2:8" ht="21.95" customHeight="1" x14ac:dyDescent="0.2">
      <c r="B1080" s="143" t="s">
        <v>23</v>
      </c>
      <c r="C1080" s="143">
        <v>50</v>
      </c>
      <c r="D1080" s="143">
        <v>2022</v>
      </c>
      <c r="E1080" s="687">
        <v>0.1223462735625</v>
      </c>
      <c r="F1080" s="687">
        <v>1.7608762E-3</v>
      </c>
      <c r="G1080" s="687">
        <v>1.741481375E-3</v>
      </c>
      <c r="H1080" s="216">
        <v>262.15052358000003</v>
      </c>
    </row>
    <row r="1081" spans="2:8" ht="21.95" customHeight="1" x14ac:dyDescent="0.2">
      <c r="B1081" s="143" t="s">
        <v>23</v>
      </c>
      <c r="C1081" s="143">
        <v>50</v>
      </c>
      <c r="D1081" s="143">
        <v>2023</v>
      </c>
      <c r="E1081" s="687">
        <v>0.11063477640625</v>
      </c>
      <c r="F1081" s="687">
        <v>1.68634651875E-3</v>
      </c>
      <c r="G1081" s="687">
        <v>1.7031851875E-3</v>
      </c>
      <c r="H1081" s="216">
        <v>256.385692704375</v>
      </c>
    </row>
    <row r="1082" spans="2:8" ht="21.95" customHeight="1" x14ac:dyDescent="0.2">
      <c r="B1082" s="143" t="s">
        <v>23</v>
      </c>
      <c r="C1082" s="143">
        <v>50</v>
      </c>
      <c r="D1082" s="143">
        <v>2024</v>
      </c>
      <c r="E1082" s="687">
        <v>9.8923279249999996E-2</v>
      </c>
      <c r="F1082" s="687">
        <v>1.6118168375E-3</v>
      </c>
      <c r="G1082" s="687">
        <v>1.6648889999999999E-3</v>
      </c>
      <c r="H1082" s="216">
        <v>250.62086182875001</v>
      </c>
    </row>
    <row r="1083" spans="2:8" ht="21.95" customHeight="1" x14ac:dyDescent="0.2">
      <c r="B1083" s="143" t="s">
        <v>23</v>
      </c>
      <c r="C1083" s="143">
        <v>50</v>
      </c>
      <c r="D1083" s="143">
        <v>2025</v>
      </c>
      <c r="E1083" s="687">
        <v>8.7211782093749995E-2</v>
      </c>
      <c r="F1083" s="687">
        <v>1.5372871562499999E-3</v>
      </c>
      <c r="G1083" s="687">
        <v>1.6265928125000001E-3</v>
      </c>
      <c r="H1083" s="216">
        <v>244.85603095312501</v>
      </c>
    </row>
    <row r="1084" spans="2:8" ht="21.95" customHeight="1" x14ac:dyDescent="0.2">
      <c r="B1084" s="143" t="s">
        <v>23</v>
      </c>
      <c r="C1084" s="143">
        <v>50</v>
      </c>
      <c r="D1084" s="143">
        <v>2026</v>
      </c>
      <c r="E1084" s="687">
        <v>7.5500284937499995E-2</v>
      </c>
      <c r="F1084" s="687">
        <v>1.4627574749999999E-3</v>
      </c>
      <c r="G1084" s="687">
        <v>1.588296625E-3</v>
      </c>
      <c r="H1084" s="216">
        <v>239.09120007749999</v>
      </c>
    </row>
    <row r="1085" spans="2:8" ht="21.95" customHeight="1" x14ac:dyDescent="0.2">
      <c r="B1085" s="143" t="s">
        <v>23</v>
      </c>
      <c r="C1085" s="143">
        <v>50</v>
      </c>
      <c r="D1085" s="143">
        <v>2027</v>
      </c>
      <c r="E1085" s="687">
        <v>6.3788787781249995E-2</v>
      </c>
      <c r="F1085" s="687">
        <v>1.3882277937500001E-3</v>
      </c>
      <c r="G1085" s="687">
        <v>1.5500004374999999E-3</v>
      </c>
      <c r="H1085" s="216">
        <v>233.326369201875</v>
      </c>
    </row>
    <row r="1086" spans="2:8" ht="21.95" customHeight="1" x14ac:dyDescent="0.2">
      <c r="B1086" s="143" t="s">
        <v>23</v>
      </c>
      <c r="C1086" s="143">
        <v>50</v>
      </c>
      <c r="D1086" s="143">
        <v>2028</v>
      </c>
      <c r="E1086" s="687">
        <v>5.2077290625000001E-2</v>
      </c>
      <c r="F1086" s="687">
        <v>1.3136981125000001E-3</v>
      </c>
      <c r="G1086" s="687">
        <v>1.5117042500000001E-3</v>
      </c>
      <c r="H1086" s="216">
        <v>227.56153832625</v>
      </c>
    </row>
    <row r="1087" spans="2:8" ht="21.95" customHeight="1" x14ac:dyDescent="0.2">
      <c r="B1087" s="143" t="s">
        <v>23</v>
      </c>
      <c r="C1087" s="143">
        <v>50</v>
      </c>
      <c r="D1087" s="143">
        <v>2029</v>
      </c>
      <c r="E1087" s="687">
        <v>4.0365793468750001E-2</v>
      </c>
      <c r="F1087" s="687">
        <v>1.23916843125E-3</v>
      </c>
      <c r="G1087" s="687">
        <v>1.4734080625E-3</v>
      </c>
      <c r="H1087" s="216">
        <v>221.79670745062501</v>
      </c>
    </row>
    <row r="1088" spans="2:8" ht="21.95" customHeight="1" x14ac:dyDescent="0.2">
      <c r="B1088" s="143" t="s">
        <v>23</v>
      </c>
      <c r="C1088" s="143">
        <v>50</v>
      </c>
      <c r="D1088" s="143">
        <v>2030</v>
      </c>
      <c r="E1088" s="687">
        <v>2.8654296312500001E-2</v>
      </c>
      <c r="F1088" s="687">
        <v>1.16463875E-3</v>
      </c>
      <c r="G1088" s="687">
        <v>1.435111875E-3</v>
      </c>
      <c r="H1088" s="216">
        <v>216.03187657500001</v>
      </c>
    </row>
    <row r="1089" spans="2:8" ht="21.95" customHeight="1" x14ac:dyDescent="0.2">
      <c r="B1089" s="143" t="s">
        <v>23</v>
      </c>
      <c r="C1089" s="143">
        <v>50</v>
      </c>
      <c r="D1089" s="143">
        <v>2031</v>
      </c>
      <c r="E1089" s="687">
        <v>2.6300875043750001E-2</v>
      </c>
      <c r="F1089" s="687">
        <v>1.1438328062499999E-3</v>
      </c>
      <c r="G1089" s="687">
        <v>1.4211333125E-3</v>
      </c>
      <c r="H1089" s="216">
        <v>213.92757645624999</v>
      </c>
    </row>
    <row r="1090" spans="2:8" ht="21.95" customHeight="1" x14ac:dyDescent="0.2">
      <c r="B1090" s="143" t="s">
        <v>23</v>
      </c>
      <c r="C1090" s="143">
        <v>50</v>
      </c>
      <c r="D1090" s="143">
        <v>2032</v>
      </c>
      <c r="E1090" s="687">
        <v>2.3947453774999999E-2</v>
      </c>
      <c r="F1090" s="687">
        <v>1.1230268625000001E-3</v>
      </c>
      <c r="G1090" s="687">
        <v>1.4071547499999999E-3</v>
      </c>
      <c r="H1090" s="216">
        <v>211.8232763375</v>
      </c>
    </row>
    <row r="1091" spans="2:8" ht="21.95" customHeight="1" x14ac:dyDescent="0.2">
      <c r="B1091" s="143" t="s">
        <v>23</v>
      </c>
      <c r="C1091" s="143">
        <v>50</v>
      </c>
      <c r="D1091" s="143">
        <v>2033</v>
      </c>
      <c r="E1091" s="687">
        <v>2.1594032506249999E-2</v>
      </c>
      <c r="F1091" s="687">
        <v>1.10222091875E-3</v>
      </c>
      <c r="G1091" s="687">
        <v>1.3931761875E-3</v>
      </c>
      <c r="H1091" s="216">
        <v>209.71897621874999</v>
      </c>
    </row>
    <row r="1092" spans="2:8" ht="21.95" customHeight="1" x14ac:dyDescent="0.2">
      <c r="B1092" s="143" t="s">
        <v>23</v>
      </c>
      <c r="C1092" s="143">
        <v>50</v>
      </c>
      <c r="D1092" s="143">
        <v>2034</v>
      </c>
      <c r="E1092" s="687">
        <v>1.92406112375E-2</v>
      </c>
      <c r="F1092" s="687">
        <v>1.081414975E-3</v>
      </c>
      <c r="G1092" s="687">
        <v>1.3791976250000001E-3</v>
      </c>
      <c r="H1092" s="216">
        <v>207.6146761</v>
      </c>
    </row>
    <row r="1093" spans="2:8" ht="21.95" customHeight="1" x14ac:dyDescent="0.2">
      <c r="B1093" s="143" t="s">
        <v>23</v>
      </c>
      <c r="C1093" s="143">
        <v>50</v>
      </c>
      <c r="D1093" s="143">
        <v>2035</v>
      </c>
      <c r="E1093" s="687">
        <v>1.6887189968750001E-2</v>
      </c>
      <c r="F1093" s="687">
        <v>1.0606090312500001E-3</v>
      </c>
      <c r="G1093" s="687">
        <v>1.3652190624999999E-3</v>
      </c>
      <c r="H1093" s="216">
        <v>205.51037598125001</v>
      </c>
    </row>
    <row r="1094" spans="2:8" ht="21.95" customHeight="1" x14ac:dyDescent="0.2">
      <c r="B1094" s="143" t="s">
        <v>23</v>
      </c>
      <c r="C1094" s="143">
        <v>50</v>
      </c>
      <c r="D1094" s="143">
        <v>2036</v>
      </c>
      <c r="E1094" s="687">
        <v>1.45337687E-2</v>
      </c>
      <c r="F1094" s="687">
        <v>1.0398030875E-3</v>
      </c>
      <c r="G1094" s="687">
        <v>1.3512405E-3</v>
      </c>
      <c r="H1094" s="216">
        <v>203.40607586249999</v>
      </c>
    </row>
    <row r="1095" spans="2:8" ht="21.95" customHeight="1" x14ac:dyDescent="0.2">
      <c r="B1095" s="143" t="s">
        <v>23</v>
      </c>
      <c r="C1095" s="143">
        <v>50</v>
      </c>
      <c r="D1095" s="143">
        <v>2037</v>
      </c>
      <c r="E1095" s="687">
        <v>1.218034743125E-2</v>
      </c>
      <c r="F1095" s="687">
        <v>1.01899714375E-3</v>
      </c>
      <c r="G1095" s="687">
        <v>1.3372619374999999E-3</v>
      </c>
      <c r="H1095" s="216">
        <v>201.30177574375</v>
      </c>
    </row>
    <row r="1096" spans="2:8" ht="21.95" customHeight="1" x14ac:dyDescent="0.2">
      <c r="B1096" s="143" t="s">
        <v>23</v>
      </c>
      <c r="C1096" s="143">
        <v>50</v>
      </c>
      <c r="D1096" s="143">
        <v>2038</v>
      </c>
      <c r="E1096" s="687">
        <v>9.8269261624999993E-3</v>
      </c>
      <c r="F1096" s="687">
        <v>9.981911999999999E-4</v>
      </c>
      <c r="G1096" s="687">
        <v>1.323283375E-3</v>
      </c>
      <c r="H1096" s="216">
        <v>199.19747562500001</v>
      </c>
    </row>
    <row r="1097" spans="2:8" ht="21.95" customHeight="1" x14ac:dyDescent="0.2">
      <c r="B1097" s="143" t="s">
        <v>23</v>
      </c>
      <c r="C1097" s="143">
        <v>50</v>
      </c>
      <c r="D1097" s="143">
        <v>2039</v>
      </c>
      <c r="E1097" s="687">
        <v>7.47350489375E-3</v>
      </c>
      <c r="F1097" s="687">
        <v>9.7738525625000005E-4</v>
      </c>
      <c r="G1097" s="687">
        <v>1.3093048125000001E-3</v>
      </c>
      <c r="H1097" s="216">
        <v>197.09317550624999</v>
      </c>
    </row>
    <row r="1098" spans="2:8" ht="21.95" customHeight="1" x14ac:dyDescent="0.2">
      <c r="B1098" s="143" t="s">
        <v>23</v>
      </c>
      <c r="C1098" s="143">
        <v>50</v>
      </c>
      <c r="D1098" s="143">
        <v>2040</v>
      </c>
      <c r="E1098" s="687">
        <v>5.1200836249999998E-3</v>
      </c>
      <c r="F1098" s="687">
        <v>9.5657931249999999E-4</v>
      </c>
      <c r="G1098" s="687">
        <v>1.2953262499999999E-3</v>
      </c>
      <c r="H1098" s="216">
        <v>194.9888753875</v>
      </c>
    </row>
    <row r="1099" spans="2:8" ht="21.95" customHeight="1" x14ac:dyDescent="0.2">
      <c r="B1099" s="143" t="s">
        <v>23</v>
      </c>
      <c r="C1099" s="143">
        <v>50</v>
      </c>
      <c r="D1099" s="143">
        <v>2041</v>
      </c>
      <c r="E1099" s="687">
        <v>4.9244526124999997E-3</v>
      </c>
      <c r="F1099" s="687">
        <v>9.5401074999999997E-4</v>
      </c>
      <c r="G1099" s="687">
        <v>1.292662375E-3</v>
      </c>
      <c r="H1099" s="216">
        <v>194.58789377125001</v>
      </c>
    </row>
    <row r="1100" spans="2:8" ht="21.95" customHeight="1" x14ac:dyDescent="0.2">
      <c r="B1100" s="143" t="s">
        <v>23</v>
      </c>
      <c r="C1100" s="143">
        <v>50</v>
      </c>
      <c r="D1100" s="143">
        <v>2042</v>
      </c>
      <c r="E1100" s="687">
        <v>4.7288215999999996E-3</v>
      </c>
      <c r="F1100" s="687">
        <v>9.5144218750000005E-4</v>
      </c>
      <c r="G1100" s="687">
        <v>1.2899985000000001E-3</v>
      </c>
      <c r="H1100" s="216">
        <v>194.18691215499999</v>
      </c>
    </row>
    <row r="1101" spans="2:8" ht="21.95" customHeight="1" x14ac:dyDescent="0.2">
      <c r="B1101" s="143" t="s">
        <v>23</v>
      </c>
      <c r="C1101" s="143">
        <v>50</v>
      </c>
      <c r="D1101" s="143">
        <v>2043</v>
      </c>
      <c r="E1101" s="687">
        <v>4.5331905875000003E-3</v>
      </c>
      <c r="F1101" s="687">
        <v>9.4887362500000003E-4</v>
      </c>
      <c r="G1101" s="687">
        <v>1.2873346249999999E-3</v>
      </c>
      <c r="H1101" s="216">
        <v>193.78593053874999</v>
      </c>
    </row>
    <row r="1102" spans="2:8" ht="21.95" customHeight="1" x14ac:dyDescent="0.2">
      <c r="B1102" s="143" t="s">
        <v>23</v>
      </c>
      <c r="C1102" s="143">
        <v>50</v>
      </c>
      <c r="D1102" s="143">
        <v>2044</v>
      </c>
      <c r="E1102" s="687">
        <v>4.3375595750000003E-3</v>
      </c>
      <c r="F1102" s="687">
        <v>9.4630506250000001E-4</v>
      </c>
      <c r="G1102" s="687">
        <v>1.2846707499999999E-3</v>
      </c>
      <c r="H1102" s="216">
        <v>193.3849489225</v>
      </c>
    </row>
    <row r="1103" spans="2:8" ht="21.95" customHeight="1" x14ac:dyDescent="0.2">
      <c r="B1103" s="143" t="s">
        <v>23</v>
      </c>
      <c r="C1103" s="143">
        <v>50</v>
      </c>
      <c r="D1103" s="143">
        <v>2045</v>
      </c>
      <c r="E1103" s="687">
        <v>4.1419285625000002E-3</v>
      </c>
      <c r="F1103" s="687">
        <v>9.4373649999999999E-4</v>
      </c>
      <c r="G1103" s="687">
        <v>1.282006875E-3</v>
      </c>
      <c r="H1103" s="216">
        <v>192.98396730625001</v>
      </c>
    </row>
    <row r="1104" spans="2:8" ht="21.95" customHeight="1" x14ac:dyDescent="0.2">
      <c r="B1104" s="143" t="s">
        <v>23</v>
      </c>
      <c r="C1104" s="143">
        <v>50</v>
      </c>
      <c r="D1104" s="143">
        <v>2046</v>
      </c>
      <c r="E1104" s="687">
        <v>3.9462975500000001E-3</v>
      </c>
      <c r="F1104" s="687">
        <v>9.4116793749999996E-4</v>
      </c>
      <c r="G1104" s="687">
        <v>1.2793430000000001E-3</v>
      </c>
      <c r="H1104" s="216">
        <v>192.58298568999999</v>
      </c>
    </row>
    <row r="1105" spans="2:8" ht="21.95" customHeight="1" x14ac:dyDescent="0.2">
      <c r="B1105" s="143" t="s">
        <v>23</v>
      </c>
      <c r="C1105" s="143">
        <v>50</v>
      </c>
      <c r="D1105" s="143">
        <v>2047</v>
      </c>
      <c r="E1105" s="687">
        <v>3.7506665375E-3</v>
      </c>
      <c r="F1105" s="687">
        <v>9.3859937500000005E-4</v>
      </c>
      <c r="G1105" s="687">
        <v>1.2766791249999999E-3</v>
      </c>
      <c r="H1105" s="216">
        <v>192.18200407374999</v>
      </c>
    </row>
    <row r="1106" spans="2:8" ht="21.95" customHeight="1" x14ac:dyDescent="0.2">
      <c r="B1106" s="143" t="s">
        <v>23</v>
      </c>
      <c r="C1106" s="143">
        <v>50</v>
      </c>
      <c r="D1106" s="143">
        <v>2048</v>
      </c>
      <c r="E1106" s="687">
        <v>3.5550355249999999E-3</v>
      </c>
      <c r="F1106" s="687">
        <v>9.3603081250000003E-4</v>
      </c>
      <c r="G1106" s="687">
        <v>1.27401525E-3</v>
      </c>
      <c r="H1106" s="216">
        <v>191.7810224575</v>
      </c>
    </row>
    <row r="1107" spans="2:8" ht="21.95" customHeight="1" x14ac:dyDescent="0.2">
      <c r="B1107" s="143" t="s">
        <v>23</v>
      </c>
      <c r="C1107" s="143">
        <v>50</v>
      </c>
      <c r="D1107" s="143">
        <v>2049</v>
      </c>
      <c r="E1107" s="687">
        <v>3.3594045125000002E-3</v>
      </c>
      <c r="F1107" s="687">
        <v>9.3346225000000001E-4</v>
      </c>
      <c r="G1107" s="687">
        <v>1.271351375E-3</v>
      </c>
      <c r="H1107" s="216">
        <v>191.38004084125001</v>
      </c>
    </row>
    <row r="1108" spans="2:8" ht="21.95" customHeight="1" x14ac:dyDescent="0.2">
      <c r="B1108" s="143" t="s">
        <v>23</v>
      </c>
      <c r="C1108" s="143">
        <v>50</v>
      </c>
      <c r="D1108" s="143">
        <v>2050</v>
      </c>
      <c r="E1108" s="687">
        <v>3.1637735000000001E-3</v>
      </c>
      <c r="F1108" s="687">
        <v>9.3089368749999998E-4</v>
      </c>
      <c r="G1108" s="687">
        <v>1.2686875000000001E-3</v>
      </c>
      <c r="H1108" s="216">
        <v>190.97905922499999</v>
      </c>
    </row>
    <row r="1109" spans="2:8" ht="21.95" customHeight="1" x14ac:dyDescent="0.2">
      <c r="B1109" s="143" t="s">
        <v>23</v>
      </c>
      <c r="C1109" s="143">
        <v>50</v>
      </c>
      <c r="D1109" s="143">
        <v>2051</v>
      </c>
      <c r="E1109" s="687">
        <v>3.12866415E-3</v>
      </c>
      <c r="F1109" s="687">
        <v>9.31353325E-4</v>
      </c>
      <c r="G1109" s="687">
        <v>1.2684268125E-3</v>
      </c>
      <c r="H1109" s="216">
        <v>190.939809421875</v>
      </c>
    </row>
    <row r="1110" spans="2:8" ht="21.95" customHeight="1" x14ac:dyDescent="0.2">
      <c r="B1110" s="143" t="s">
        <v>23</v>
      </c>
      <c r="C1110" s="143">
        <v>50</v>
      </c>
      <c r="D1110" s="143">
        <v>2052</v>
      </c>
      <c r="E1110" s="687">
        <v>3.0935547999999999E-3</v>
      </c>
      <c r="F1110" s="687">
        <v>9.3181296250000002E-4</v>
      </c>
      <c r="G1110" s="687">
        <v>1.268166125E-3</v>
      </c>
      <c r="H1110" s="216">
        <v>190.90055961875001</v>
      </c>
    </row>
    <row r="1111" spans="2:8" ht="21.95" customHeight="1" x14ac:dyDescent="0.2">
      <c r="B1111" s="143" t="s">
        <v>23</v>
      </c>
      <c r="C1111" s="143">
        <v>50</v>
      </c>
      <c r="D1111" s="143">
        <v>2053</v>
      </c>
      <c r="E1111" s="687">
        <v>3.0584454499999999E-3</v>
      </c>
      <c r="F1111" s="687">
        <v>9.3227260000000004E-4</v>
      </c>
      <c r="G1111" s="687">
        <v>1.2679054374999999E-3</v>
      </c>
      <c r="H1111" s="216">
        <v>190.86130981562499</v>
      </c>
    </row>
    <row r="1112" spans="2:8" ht="21.95" customHeight="1" x14ac:dyDescent="0.2">
      <c r="B1112" s="143" t="s">
        <v>23</v>
      </c>
      <c r="C1112" s="143">
        <v>50</v>
      </c>
      <c r="D1112" s="143">
        <v>2054</v>
      </c>
      <c r="E1112" s="687">
        <v>3.0233361000000002E-3</v>
      </c>
      <c r="F1112" s="687">
        <v>9.3273223750000005E-4</v>
      </c>
      <c r="G1112" s="687">
        <v>1.2676447500000001E-3</v>
      </c>
      <c r="H1112" s="216">
        <v>190.8220600125</v>
      </c>
    </row>
    <row r="1113" spans="2:8" ht="21.95" customHeight="1" x14ac:dyDescent="0.2">
      <c r="B1113" s="143" t="s">
        <v>23</v>
      </c>
      <c r="C1113" s="143">
        <v>50</v>
      </c>
      <c r="D1113" s="143">
        <v>2055</v>
      </c>
      <c r="E1113" s="687">
        <v>2.9882267500000001E-3</v>
      </c>
      <c r="F1113" s="687">
        <v>9.3319187499999996E-4</v>
      </c>
      <c r="G1113" s="687">
        <v>1.2673840625000001E-3</v>
      </c>
      <c r="H1113" s="216">
        <v>190.78281020937499</v>
      </c>
    </row>
    <row r="1114" spans="2:8" ht="21.95" customHeight="1" x14ac:dyDescent="0.2">
      <c r="B1114" s="143" t="s">
        <v>23</v>
      </c>
      <c r="C1114" s="143">
        <v>50</v>
      </c>
      <c r="D1114" s="143">
        <v>2056</v>
      </c>
      <c r="E1114" s="687">
        <v>2.9531174E-3</v>
      </c>
      <c r="F1114" s="687">
        <v>9.3365151249999998E-4</v>
      </c>
      <c r="G1114" s="687">
        <v>1.267123375E-3</v>
      </c>
      <c r="H1114" s="216">
        <v>190.74356040625</v>
      </c>
    </row>
    <row r="1115" spans="2:8" ht="21.95" customHeight="1" x14ac:dyDescent="0.2">
      <c r="B1115" s="143" t="s">
        <v>23</v>
      </c>
      <c r="C1115" s="143">
        <v>50</v>
      </c>
      <c r="D1115" s="143">
        <v>2057</v>
      </c>
      <c r="E1115" s="687">
        <v>2.9180080499999999E-3</v>
      </c>
      <c r="F1115" s="687">
        <v>9.3411115E-4</v>
      </c>
      <c r="G1115" s="687">
        <v>1.2668626875E-3</v>
      </c>
      <c r="H1115" s="216">
        <v>190.70431060312501</v>
      </c>
    </row>
    <row r="1116" spans="2:8" ht="21.95" customHeight="1" x14ac:dyDescent="0.2">
      <c r="B1116" s="143" t="s">
        <v>23</v>
      </c>
      <c r="C1116" s="143">
        <v>50</v>
      </c>
      <c r="D1116" s="143">
        <v>2058</v>
      </c>
      <c r="E1116" s="687">
        <v>2.8828986999999999E-3</v>
      </c>
      <c r="F1116" s="687">
        <v>9.3457078750000002E-4</v>
      </c>
      <c r="G1116" s="687">
        <v>1.2666019999999999E-3</v>
      </c>
      <c r="H1116" s="216">
        <v>190.66506079999999</v>
      </c>
    </row>
    <row r="1117" spans="2:8" ht="21.95" customHeight="1" x14ac:dyDescent="0.2">
      <c r="B1117" s="143" t="s">
        <v>23</v>
      </c>
      <c r="C1117" s="143">
        <v>50</v>
      </c>
      <c r="D1117" s="143">
        <v>2059</v>
      </c>
      <c r="E1117" s="687">
        <v>2.8477893500000002E-3</v>
      </c>
      <c r="F1117" s="687">
        <v>9.3503042500000003E-4</v>
      </c>
      <c r="G1117" s="687">
        <v>1.2663413125000001E-3</v>
      </c>
      <c r="H1117" s="216">
        <v>190.625810996875</v>
      </c>
    </row>
    <row r="1118" spans="2:8" ht="21.95" customHeight="1" x14ac:dyDescent="0.2">
      <c r="B1118" s="143" t="s">
        <v>23</v>
      </c>
      <c r="C1118" s="143">
        <v>50</v>
      </c>
      <c r="D1118" s="143">
        <v>2060</v>
      </c>
      <c r="E1118" s="687">
        <v>2.8126800000000001E-3</v>
      </c>
      <c r="F1118" s="687">
        <v>9.3549006250000005E-4</v>
      </c>
      <c r="G1118" s="687">
        <v>1.266080625E-3</v>
      </c>
      <c r="H1118" s="216">
        <v>190.58656119374999</v>
      </c>
    </row>
    <row r="1119" spans="2:8" ht="21.95" customHeight="1" x14ac:dyDescent="0.2">
      <c r="B1119" s="143" t="s">
        <v>23</v>
      </c>
      <c r="C1119" s="143">
        <v>55</v>
      </c>
      <c r="D1119" s="143">
        <v>2020</v>
      </c>
      <c r="E1119" s="687">
        <v>0.1467765576875</v>
      </c>
      <c r="F1119" s="687">
        <v>1.8820513125000001E-3</v>
      </c>
      <c r="G1119" s="687">
        <v>1.7825499999999999E-3</v>
      </c>
      <c r="H1119" s="216">
        <v>268.33262825625002</v>
      </c>
    </row>
    <row r="1120" spans="2:8" ht="21.95" customHeight="1" x14ac:dyDescent="0.2">
      <c r="B1120" s="143" t="s">
        <v>23</v>
      </c>
      <c r="C1120" s="143">
        <v>55</v>
      </c>
      <c r="D1120" s="143">
        <v>2021</v>
      </c>
      <c r="E1120" s="687">
        <v>0.13499273206250001</v>
      </c>
      <c r="F1120" s="687">
        <v>1.8078885312500001E-3</v>
      </c>
      <c r="G1120" s="687">
        <v>1.7450137499999999E-3</v>
      </c>
      <c r="H1120" s="216">
        <v>262.68214636499999</v>
      </c>
    </row>
    <row r="1121" spans="2:8" ht="21.95" customHeight="1" x14ac:dyDescent="0.2">
      <c r="B1121" s="143" t="s">
        <v>23</v>
      </c>
      <c r="C1121" s="143">
        <v>55</v>
      </c>
      <c r="D1121" s="143">
        <v>2022</v>
      </c>
      <c r="E1121" s="687">
        <v>0.1232089064375</v>
      </c>
      <c r="F1121" s="687">
        <v>1.73372575E-3</v>
      </c>
      <c r="G1121" s="687">
        <v>1.7074775E-3</v>
      </c>
      <c r="H1121" s="216">
        <v>257.03166447375003</v>
      </c>
    </row>
    <row r="1122" spans="2:8" ht="21.95" customHeight="1" x14ac:dyDescent="0.2">
      <c r="B1122" s="143" t="s">
        <v>23</v>
      </c>
      <c r="C1122" s="143">
        <v>55</v>
      </c>
      <c r="D1122" s="143">
        <v>2023</v>
      </c>
      <c r="E1122" s="687">
        <v>0.11142508081249999</v>
      </c>
      <c r="F1122" s="687">
        <v>1.65956296875E-3</v>
      </c>
      <c r="G1122" s="687">
        <v>1.66994125E-3</v>
      </c>
      <c r="H1122" s="216">
        <v>251.3811825825</v>
      </c>
    </row>
    <row r="1123" spans="2:8" ht="21.95" customHeight="1" x14ac:dyDescent="0.2">
      <c r="B1123" s="143" t="s">
        <v>23</v>
      </c>
      <c r="C1123" s="143">
        <v>55</v>
      </c>
      <c r="D1123" s="143">
        <v>2024</v>
      </c>
      <c r="E1123" s="687">
        <v>9.96412551875E-2</v>
      </c>
      <c r="F1123" s="687">
        <v>1.5854001874999999E-3</v>
      </c>
      <c r="G1123" s="687">
        <v>1.632405E-3</v>
      </c>
      <c r="H1123" s="216">
        <v>245.73070069125001</v>
      </c>
    </row>
    <row r="1124" spans="2:8" ht="21.95" customHeight="1" x14ac:dyDescent="0.2">
      <c r="B1124" s="143" t="s">
        <v>23</v>
      </c>
      <c r="C1124" s="143">
        <v>55</v>
      </c>
      <c r="D1124" s="143">
        <v>2025</v>
      </c>
      <c r="E1124" s="687">
        <v>8.7857429562500006E-2</v>
      </c>
      <c r="F1124" s="687">
        <v>1.5112374062499999E-3</v>
      </c>
      <c r="G1124" s="687">
        <v>1.59486875E-3</v>
      </c>
      <c r="H1124" s="216">
        <v>240.08021880000001</v>
      </c>
    </row>
    <row r="1125" spans="2:8" ht="21.95" customHeight="1" x14ac:dyDescent="0.2">
      <c r="B1125" s="143" t="s">
        <v>23</v>
      </c>
      <c r="C1125" s="143">
        <v>55</v>
      </c>
      <c r="D1125" s="143">
        <v>2026</v>
      </c>
      <c r="E1125" s="687">
        <v>7.6073603937499998E-2</v>
      </c>
      <c r="F1125" s="687">
        <v>1.4370746250000001E-3</v>
      </c>
      <c r="G1125" s="687">
        <v>1.5573325E-3</v>
      </c>
      <c r="H1125" s="216">
        <v>234.42973690874999</v>
      </c>
    </row>
    <row r="1126" spans="2:8" ht="21.95" customHeight="1" x14ac:dyDescent="0.2">
      <c r="B1126" s="143" t="s">
        <v>23</v>
      </c>
      <c r="C1126" s="143">
        <v>55</v>
      </c>
      <c r="D1126" s="143">
        <v>2027</v>
      </c>
      <c r="E1126" s="687">
        <v>6.4289778312500004E-2</v>
      </c>
      <c r="F1126" s="687">
        <v>1.3629118437500001E-3</v>
      </c>
      <c r="G1126" s="687">
        <v>1.51979625E-3</v>
      </c>
      <c r="H1126" s="216">
        <v>228.77925501749999</v>
      </c>
    </row>
    <row r="1127" spans="2:8" ht="21.95" customHeight="1" x14ac:dyDescent="0.2">
      <c r="B1127" s="143" t="s">
        <v>23</v>
      </c>
      <c r="C1127" s="143">
        <v>55</v>
      </c>
      <c r="D1127" s="143">
        <v>2028</v>
      </c>
      <c r="E1127" s="687">
        <v>5.2505952687500003E-2</v>
      </c>
      <c r="F1127" s="687">
        <v>1.2887490625E-3</v>
      </c>
      <c r="G1127" s="687">
        <v>1.48226E-3</v>
      </c>
      <c r="H1127" s="216">
        <v>223.12877312625</v>
      </c>
    </row>
    <row r="1128" spans="2:8" ht="21.95" customHeight="1" x14ac:dyDescent="0.2">
      <c r="B1128" s="143" t="s">
        <v>23</v>
      </c>
      <c r="C1128" s="143">
        <v>55</v>
      </c>
      <c r="D1128" s="143">
        <v>2029</v>
      </c>
      <c r="E1128" s="687">
        <v>4.0722127062500002E-2</v>
      </c>
      <c r="F1128" s="687">
        <v>1.21458628125E-3</v>
      </c>
      <c r="G1128" s="687">
        <v>1.44472375E-3</v>
      </c>
      <c r="H1128" s="216">
        <v>217.478291235</v>
      </c>
    </row>
    <row r="1129" spans="2:8" ht="21.95" customHeight="1" x14ac:dyDescent="0.2">
      <c r="B1129" s="143" t="s">
        <v>23</v>
      </c>
      <c r="C1129" s="143">
        <v>55</v>
      </c>
      <c r="D1129" s="143">
        <v>2030</v>
      </c>
      <c r="E1129" s="687">
        <v>2.8938301437500001E-2</v>
      </c>
      <c r="F1129" s="687">
        <v>1.1404235E-3</v>
      </c>
      <c r="G1129" s="687">
        <v>1.4071875E-3</v>
      </c>
      <c r="H1129" s="216">
        <v>211.82780934375</v>
      </c>
    </row>
    <row r="1130" spans="2:8" ht="21.95" customHeight="1" x14ac:dyDescent="0.2">
      <c r="B1130" s="143" t="s">
        <v>23</v>
      </c>
      <c r="C1130" s="143">
        <v>55</v>
      </c>
      <c r="D1130" s="143">
        <v>2031</v>
      </c>
      <c r="E1130" s="687">
        <v>2.65615545375E-2</v>
      </c>
      <c r="F1130" s="687">
        <v>1.12017708125E-3</v>
      </c>
      <c r="G1130" s="687">
        <v>1.3934850000000001E-3</v>
      </c>
      <c r="H1130" s="216">
        <v>209.765153800625</v>
      </c>
    </row>
    <row r="1131" spans="2:8" ht="21.95" customHeight="1" x14ac:dyDescent="0.2">
      <c r="B1131" s="143" t="s">
        <v>23</v>
      </c>
      <c r="C1131" s="143">
        <v>55</v>
      </c>
      <c r="D1131" s="143">
        <v>2032</v>
      </c>
      <c r="E1131" s="687">
        <v>2.41848076375E-2</v>
      </c>
      <c r="F1131" s="687">
        <v>1.0999306625E-3</v>
      </c>
      <c r="G1131" s="687">
        <v>1.3797824999999999E-3</v>
      </c>
      <c r="H1131" s="216">
        <v>207.7024982575</v>
      </c>
    </row>
    <row r="1132" spans="2:8" ht="21.95" customHeight="1" x14ac:dyDescent="0.2">
      <c r="B1132" s="143" t="s">
        <v>23</v>
      </c>
      <c r="C1132" s="143">
        <v>55</v>
      </c>
      <c r="D1132" s="143">
        <v>2033</v>
      </c>
      <c r="E1132" s="687">
        <v>2.1808060737499999E-2</v>
      </c>
      <c r="F1132" s="687">
        <v>1.07968424375E-3</v>
      </c>
      <c r="G1132" s="687">
        <v>1.36608E-3</v>
      </c>
      <c r="H1132" s="216">
        <v>205.63984271437499</v>
      </c>
    </row>
    <row r="1133" spans="2:8" ht="21.95" customHeight="1" x14ac:dyDescent="0.2">
      <c r="B1133" s="143" t="s">
        <v>23</v>
      </c>
      <c r="C1133" s="143">
        <v>55</v>
      </c>
      <c r="D1133" s="143">
        <v>2034</v>
      </c>
      <c r="E1133" s="687">
        <v>1.9431313837499999E-2</v>
      </c>
      <c r="F1133" s="687">
        <v>1.0594378250000001E-3</v>
      </c>
      <c r="G1133" s="687">
        <v>1.3523775E-3</v>
      </c>
      <c r="H1133" s="216">
        <v>203.57718717124999</v>
      </c>
    </row>
    <row r="1134" spans="2:8" ht="21.95" customHeight="1" x14ac:dyDescent="0.2">
      <c r="B1134" s="143" t="s">
        <v>23</v>
      </c>
      <c r="C1134" s="143">
        <v>55</v>
      </c>
      <c r="D1134" s="143">
        <v>2035</v>
      </c>
      <c r="E1134" s="687">
        <v>1.7054566937500001E-2</v>
      </c>
      <c r="F1134" s="687">
        <v>1.0391914062500001E-3</v>
      </c>
      <c r="G1134" s="687">
        <v>1.3386750000000001E-3</v>
      </c>
      <c r="H1134" s="216">
        <v>201.51453162812501</v>
      </c>
    </row>
    <row r="1135" spans="2:8" ht="21.95" customHeight="1" x14ac:dyDescent="0.2">
      <c r="B1135" s="143" t="s">
        <v>23</v>
      </c>
      <c r="C1135" s="143">
        <v>55</v>
      </c>
      <c r="D1135" s="143">
        <v>2036</v>
      </c>
      <c r="E1135" s="687">
        <v>1.4677820037500001E-2</v>
      </c>
      <c r="F1135" s="687">
        <v>1.0189449875000001E-3</v>
      </c>
      <c r="G1135" s="687">
        <v>1.3249725E-3</v>
      </c>
      <c r="H1135" s="216">
        <v>199.45187608500001</v>
      </c>
    </row>
    <row r="1136" spans="2:8" ht="21.95" customHeight="1" x14ac:dyDescent="0.2">
      <c r="B1136" s="143" t="s">
        <v>23</v>
      </c>
      <c r="C1136" s="143">
        <v>55</v>
      </c>
      <c r="D1136" s="143">
        <v>2037</v>
      </c>
      <c r="E1136" s="687">
        <v>1.23010731375E-2</v>
      </c>
      <c r="F1136" s="687">
        <v>9.9869856874999991E-4</v>
      </c>
      <c r="G1136" s="687">
        <v>1.31127E-3</v>
      </c>
      <c r="H1136" s="216">
        <v>197.38922054187501</v>
      </c>
    </row>
    <row r="1137" spans="2:8" ht="21.95" customHeight="1" x14ac:dyDescent="0.2">
      <c r="B1137" s="143" t="s">
        <v>23</v>
      </c>
      <c r="C1137" s="143">
        <v>55</v>
      </c>
      <c r="D1137" s="143">
        <v>2038</v>
      </c>
      <c r="E1137" s="687">
        <v>9.9243262374999995E-3</v>
      </c>
      <c r="F1137" s="687">
        <v>9.7845214999999993E-4</v>
      </c>
      <c r="G1137" s="687">
        <v>1.2975675000000001E-3</v>
      </c>
      <c r="H1137" s="216">
        <v>195.32656499875</v>
      </c>
    </row>
    <row r="1138" spans="2:8" ht="21.95" customHeight="1" x14ac:dyDescent="0.2">
      <c r="B1138" s="143" t="s">
        <v>23</v>
      </c>
      <c r="C1138" s="143">
        <v>55</v>
      </c>
      <c r="D1138" s="143">
        <v>2039</v>
      </c>
      <c r="E1138" s="687">
        <v>7.5475793374999997E-3</v>
      </c>
      <c r="F1138" s="687">
        <v>9.5820573124999996E-4</v>
      </c>
      <c r="G1138" s="687">
        <v>1.2838649999999999E-3</v>
      </c>
      <c r="H1138" s="216">
        <v>193.263909455625</v>
      </c>
    </row>
    <row r="1139" spans="2:8" ht="21.95" customHeight="1" x14ac:dyDescent="0.2">
      <c r="B1139" s="143" t="s">
        <v>23</v>
      </c>
      <c r="C1139" s="143">
        <v>55</v>
      </c>
      <c r="D1139" s="143">
        <v>2040</v>
      </c>
      <c r="E1139" s="687">
        <v>5.1708324375E-3</v>
      </c>
      <c r="F1139" s="687">
        <v>9.3795931249999998E-4</v>
      </c>
      <c r="G1139" s="687">
        <v>1.2701625E-3</v>
      </c>
      <c r="H1139" s="216">
        <v>191.20125391249999</v>
      </c>
    </row>
    <row r="1140" spans="2:8" ht="21.95" customHeight="1" x14ac:dyDescent="0.2">
      <c r="B1140" s="143" t="s">
        <v>23</v>
      </c>
      <c r="C1140" s="143">
        <v>55</v>
      </c>
      <c r="D1140" s="143">
        <v>2041</v>
      </c>
      <c r="E1140" s="687">
        <v>4.9732622250000004E-3</v>
      </c>
      <c r="F1140" s="687">
        <v>9.3544068750000002E-4</v>
      </c>
      <c r="G1140" s="687">
        <v>1.2675506875E-3</v>
      </c>
      <c r="H1140" s="216">
        <v>190.80807268000001</v>
      </c>
    </row>
    <row r="1141" spans="2:8" ht="21.95" customHeight="1" x14ac:dyDescent="0.2">
      <c r="B1141" s="143" t="s">
        <v>23</v>
      </c>
      <c r="C1141" s="143">
        <v>55</v>
      </c>
      <c r="D1141" s="143">
        <v>2042</v>
      </c>
      <c r="E1141" s="687">
        <v>4.7756920125E-3</v>
      </c>
      <c r="F1141" s="687">
        <v>9.3292206249999995E-4</v>
      </c>
      <c r="G1141" s="687">
        <v>1.2649388749999999E-3</v>
      </c>
      <c r="H1141" s="216">
        <v>190.4148914475</v>
      </c>
    </row>
    <row r="1142" spans="2:8" ht="21.95" customHeight="1" x14ac:dyDescent="0.2">
      <c r="B1142" s="143" t="s">
        <v>23</v>
      </c>
      <c r="C1142" s="143">
        <v>55</v>
      </c>
      <c r="D1142" s="143">
        <v>2043</v>
      </c>
      <c r="E1142" s="687">
        <v>4.5781218000000004E-3</v>
      </c>
      <c r="F1142" s="687">
        <v>9.3040343749999999E-4</v>
      </c>
      <c r="G1142" s="687">
        <v>1.2623270624999999E-3</v>
      </c>
      <c r="H1142" s="216">
        <v>190.02171021500001</v>
      </c>
    </row>
    <row r="1143" spans="2:8" ht="21.95" customHeight="1" x14ac:dyDescent="0.2">
      <c r="B1143" s="143" t="s">
        <v>23</v>
      </c>
      <c r="C1143" s="143">
        <v>55</v>
      </c>
      <c r="D1143" s="143">
        <v>2044</v>
      </c>
      <c r="E1143" s="687">
        <v>4.3805515874999999E-3</v>
      </c>
      <c r="F1143" s="687">
        <v>9.2788481250000003E-4</v>
      </c>
      <c r="G1143" s="687">
        <v>1.2597152500000001E-3</v>
      </c>
      <c r="H1143" s="216">
        <v>189.6285289825</v>
      </c>
    </row>
    <row r="1144" spans="2:8" ht="21.95" customHeight="1" x14ac:dyDescent="0.2">
      <c r="B1144" s="143" t="s">
        <v>23</v>
      </c>
      <c r="C1144" s="143">
        <v>55</v>
      </c>
      <c r="D1144" s="143">
        <v>2045</v>
      </c>
      <c r="E1144" s="687">
        <v>4.1829813750000003E-3</v>
      </c>
      <c r="F1144" s="687">
        <v>9.2536618749999996E-4</v>
      </c>
      <c r="G1144" s="687">
        <v>1.2571034375000001E-3</v>
      </c>
      <c r="H1144" s="216">
        <v>189.23534774999999</v>
      </c>
    </row>
    <row r="1145" spans="2:8" ht="21.95" customHeight="1" x14ac:dyDescent="0.2">
      <c r="B1145" s="143" t="s">
        <v>23</v>
      </c>
      <c r="C1145" s="143">
        <v>55</v>
      </c>
      <c r="D1145" s="143">
        <v>2046</v>
      </c>
      <c r="E1145" s="687">
        <v>3.9854111624999999E-3</v>
      </c>
      <c r="F1145" s="687">
        <v>9.228475625E-4</v>
      </c>
      <c r="G1145" s="687">
        <v>1.254491625E-3</v>
      </c>
      <c r="H1145" s="216">
        <v>188.8421665175</v>
      </c>
    </row>
    <row r="1146" spans="2:8" ht="21.95" customHeight="1" x14ac:dyDescent="0.2">
      <c r="B1146" s="143" t="s">
        <v>23</v>
      </c>
      <c r="C1146" s="143">
        <v>55</v>
      </c>
      <c r="D1146" s="143">
        <v>2047</v>
      </c>
      <c r="E1146" s="687">
        <v>3.7878409499999999E-3</v>
      </c>
      <c r="F1146" s="687">
        <v>9.2032893750000004E-4</v>
      </c>
      <c r="G1146" s="687">
        <v>1.2518798125E-3</v>
      </c>
      <c r="H1146" s="216">
        <v>188.44898528499999</v>
      </c>
    </row>
    <row r="1147" spans="2:8" ht="21.95" customHeight="1" x14ac:dyDescent="0.2">
      <c r="B1147" s="143" t="s">
        <v>23</v>
      </c>
      <c r="C1147" s="143">
        <v>55</v>
      </c>
      <c r="D1147" s="143">
        <v>2048</v>
      </c>
      <c r="E1147" s="687">
        <v>3.5902707374999999E-3</v>
      </c>
      <c r="F1147" s="687">
        <v>9.1781031249999997E-4</v>
      </c>
      <c r="G1147" s="687">
        <v>1.249268E-3</v>
      </c>
      <c r="H1147" s="216">
        <v>188.05580405250001</v>
      </c>
    </row>
    <row r="1148" spans="2:8" ht="21.95" customHeight="1" x14ac:dyDescent="0.2">
      <c r="B1148" s="143" t="s">
        <v>23</v>
      </c>
      <c r="C1148" s="143">
        <v>55</v>
      </c>
      <c r="D1148" s="143">
        <v>2049</v>
      </c>
      <c r="E1148" s="687">
        <v>3.3927005249999999E-3</v>
      </c>
      <c r="F1148" s="687">
        <v>9.1529168750000001E-4</v>
      </c>
      <c r="G1148" s="687">
        <v>1.2466561875E-3</v>
      </c>
      <c r="H1148" s="216">
        <v>187.66262282</v>
      </c>
    </row>
    <row r="1149" spans="2:8" ht="21.95" customHeight="1" x14ac:dyDescent="0.2">
      <c r="B1149" s="143" t="s">
        <v>23</v>
      </c>
      <c r="C1149" s="143">
        <v>55</v>
      </c>
      <c r="D1149" s="143">
        <v>2050</v>
      </c>
      <c r="E1149" s="687">
        <v>3.1951303124999999E-3</v>
      </c>
      <c r="F1149" s="687">
        <v>9.1277306250000005E-4</v>
      </c>
      <c r="G1149" s="687">
        <v>1.2440443749999999E-3</v>
      </c>
      <c r="H1149" s="216">
        <v>187.26944158750001</v>
      </c>
    </row>
    <row r="1150" spans="2:8" ht="21.95" customHeight="1" x14ac:dyDescent="0.2">
      <c r="B1150" s="143" t="s">
        <v>23</v>
      </c>
      <c r="C1150" s="143">
        <v>55</v>
      </c>
      <c r="D1150" s="143">
        <v>2051</v>
      </c>
      <c r="E1150" s="687">
        <v>3.1596728249999998E-3</v>
      </c>
      <c r="F1150" s="687">
        <v>9.1322379374999998E-4</v>
      </c>
      <c r="G1150" s="687">
        <v>1.2437885E-3</v>
      </c>
      <c r="H1150" s="216">
        <v>187.23095386687501</v>
      </c>
    </row>
    <row r="1151" spans="2:8" ht="21.95" customHeight="1" x14ac:dyDescent="0.2">
      <c r="B1151" s="143" t="s">
        <v>23</v>
      </c>
      <c r="C1151" s="143">
        <v>55</v>
      </c>
      <c r="D1151" s="143">
        <v>2052</v>
      </c>
      <c r="E1151" s="687">
        <v>3.1242153374999998E-3</v>
      </c>
      <c r="F1151" s="687">
        <v>9.1367452500000002E-4</v>
      </c>
      <c r="G1151" s="687">
        <v>1.243532625E-3</v>
      </c>
      <c r="H1151" s="216">
        <v>187.19246614625001</v>
      </c>
    </row>
    <row r="1152" spans="2:8" ht="21.95" customHeight="1" x14ac:dyDescent="0.2">
      <c r="B1152" s="143" t="s">
        <v>23</v>
      </c>
      <c r="C1152" s="143">
        <v>55</v>
      </c>
      <c r="D1152" s="143">
        <v>2053</v>
      </c>
      <c r="E1152" s="687">
        <v>3.0887578500000002E-3</v>
      </c>
      <c r="F1152" s="687">
        <v>9.1412525624999996E-4</v>
      </c>
      <c r="G1152" s="687">
        <v>1.24327675E-3</v>
      </c>
      <c r="H1152" s="216">
        <v>187.15397842562501</v>
      </c>
    </row>
    <row r="1153" spans="2:8" ht="21.95" customHeight="1" x14ac:dyDescent="0.2">
      <c r="B1153" s="143" t="s">
        <v>23</v>
      </c>
      <c r="C1153" s="143">
        <v>55</v>
      </c>
      <c r="D1153" s="143">
        <v>2054</v>
      </c>
      <c r="E1153" s="687">
        <v>3.0533003625000002E-3</v>
      </c>
      <c r="F1153" s="687">
        <v>9.145759875E-4</v>
      </c>
      <c r="G1153" s="687">
        <v>1.243020875E-3</v>
      </c>
      <c r="H1153" s="216">
        <v>187.11549070500001</v>
      </c>
    </row>
    <row r="1154" spans="2:8" ht="21.95" customHeight="1" x14ac:dyDescent="0.2">
      <c r="B1154" s="143" t="s">
        <v>23</v>
      </c>
      <c r="C1154" s="143">
        <v>55</v>
      </c>
      <c r="D1154" s="143">
        <v>2055</v>
      </c>
      <c r="E1154" s="687">
        <v>3.0178428750000002E-3</v>
      </c>
      <c r="F1154" s="687">
        <v>9.1502671875000005E-4</v>
      </c>
      <c r="G1154" s="687">
        <v>1.2427650000000001E-3</v>
      </c>
      <c r="H1154" s="216">
        <v>187.07700298437501</v>
      </c>
    </row>
    <row r="1155" spans="2:8" ht="21.95" customHeight="1" x14ac:dyDescent="0.2">
      <c r="B1155" s="143" t="s">
        <v>23</v>
      </c>
      <c r="C1155" s="143">
        <v>55</v>
      </c>
      <c r="D1155" s="143">
        <v>2056</v>
      </c>
      <c r="E1155" s="687">
        <v>2.9823853875000001E-3</v>
      </c>
      <c r="F1155" s="687">
        <v>9.1547744999999998E-4</v>
      </c>
      <c r="G1155" s="687">
        <v>1.2425091250000001E-3</v>
      </c>
      <c r="H1155" s="216">
        <v>187.03851526375001</v>
      </c>
    </row>
    <row r="1156" spans="2:8" ht="21.95" customHeight="1" x14ac:dyDescent="0.2">
      <c r="B1156" s="143" t="s">
        <v>23</v>
      </c>
      <c r="C1156" s="143">
        <v>55</v>
      </c>
      <c r="D1156" s="143">
        <v>2057</v>
      </c>
      <c r="E1156" s="687">
        <v>2.9469279000000001E-3</v>
      </c>
      <c r="F1156" s="687">
        <v>9.1592818125000002E-4</v>
      </c>
      <c r="G1156" s="687">
        <v>1.2422532500000001E-3</v>
      </c>
      <c r="H1156" s="216">
        <v>187.00002754312499</v>
      </c>
    </row>
    <row r="1157" spans="2:8" ht="21.95" customHeight="1" x14ac:dyDescent="0.2">
      <c r="B1157" s="143" t="s">
        <v>23</v>
      </c>
      <c r="C1157" s="143">
        <v>55</v>
      </c>
      <c r="D1157" s="143">
        <v>2058</v>
      </c>
      <c r="E1157" s="687">
        <v>2.9114704125000001E-3</v>
      </c>
      <c r="F1157" s="687">
        <v>9.1637891249999996E-4</v>
      </c>
      <c r="G1157" s="687">
        <v>1.2419973749999999E-3</v>
      </c>
      <c r="H1157" s="216">
        <v>186.96153982249999</v>
      </c>
    </row>
    <row r="1158" spans="2:8" ht="21.95" customHeight="1" x14ac:dyDescent="0.2">
      <c r="B1158" s="143" t="s">
        <v>23</v>
      </c>
      <c r="C1158" s="143">
        <v>55</v>
      </c>
      <c r="D1158" s="143">
        <v>2059</v>
      </c>
      <c r="E1158" s="687">
        <v>2.876012925E-3</v>
      </c>
      <c r="F1158" s="687">
        <v>9.1682964375E-4</v>
      </c>
      <c r="G1158" s="687">
        <v>1.2417414999999999E-3</v>
      </c>
      <c r="H1158" s="216">
        <v>186.92305210187499</v>
      </c>
    </row>
    <row r="1159" spans="2:8" ht="21.95" customHeight="1" x14ac:dyDescent="0.2">
      <c r="B1159" s="143" t="s">
        <v>23</v>
      </c>
      <c r="C1159" s="143">
        <v>55</v>
      </c>
      <c r="D1159" s="143">
        <v>2060</v>
      </c>
      <c r="E1159" s="687">
        <v>2.8405554375E-3</v>
      </c>
      <c r="F1159" s="687">
        <v>9.1728037500000005E-4</v>
      </c>
      <c r="G1159" s="687">
        <v>1.241485625E-3</v>
      </c>
      <c r="H1159" s="216">
        <v>186.88456438124999</v>
      </c>
    </row>
    <row r="1160" spans="2:8" ht="21.95" customHeight="1" x14ac:dyDescent="0.2">
      <c r="B1160" s="143" t="s">
        <v>23</v>
      </c>
      <c r="C1160" s="143">
        <v>60</v>
      </c>
      <c r="D1160" s="143">
        <v>2020</v>
      </c>
      <c r="E1160" s="687">
        <v>0.14873701243750001</v>
      </c>
      <c r="F1160" s="687">
        <v>1.8913962499999999E-3</v>
      </c>
      <c r="G1160" s="687">
        <v>1.7623999999999999E-3</v>
      </c>
      <c r="H1160" s="216">
        <v>265.29918671874998</v>
      </c>
    </row>
    <row r="1161" spans="2:8" ht="21.95" customHeight="1" x14ac:dyDescent="0.2">
      <c r="B1161" s="143" t="s">
        <v>23</v>
      </c>
      <c r="C1161" s="143">
        <v>60</v>
      </c>
      <c r="D1161" s="143">
        <v>2021</v>
      </c>
      <c r="E1161" s="687">
        <v>0.13680561078125</v>
      </c>
      <c r="F1161" s="687">
        <v>1.8157899187500001E-3</v>
      </c>
      <c r="G1161" s="687">
        <v>1.725299875E-3</v>
      </c>
      <c r="H1161" s="216">
        <v>259.71441155374998</v>
      </c>
    </row>
    <row r="1162" spans="2:8" ht="21.95" customHeight="1" x14ac:dyDescent="0.2">
      <c r="B1162" s="143" t="s">
        <v>23</v>
      </c>
      <c r="C1162" s="143">
        <v>60</v>
      </c>
      <c r="D1162" s="143">
        <v>2022</v>
      </c>
      <c r="E1162" s="687">
        <v>0.124874209125</v>
      </c>
      <c r="F1162" s="687">
        <v>1.7401835875E-3</v>
      </c>
      <c r="G1162" s="687">
        <v>1.6881997500000001E-3</v>
      </c>
      <c r="H1162" s="216">
        <v>254.12963638874999</v>
      </c>
    </row>
    <row r="1163" spans="2:8" ht="21.95" customHeight="1" x14ac:dyDescent="0.2">
      <c r="B1163" s="143" t="s">
        <v>23</v>
      </c>
      <c r="C1163" s="143">
        <v>60</v>
      </c>
      <c r="D1163" s="143">
        <v>2023</v>
      </c>
      <c r="E1163" s="687">
        <v>0.11294280746875</v>
      </c>
      <c r="F1163" s="687">
        <v>1.6645772562499999E-3</v>
      </c>
      <c r="G1163" s="687">
        <v>1.6510996249999999E-3</v>
      </c>
      <c r="H1163" s="216">
        <v>248.54486122374999</v>
      </c>
    </row>
    <row r="1164" spans="2:8" ht="21.95" customHeight="1" x14ac:dyDescent="0.2">
      <c r="B1164" s="143" t="s">
        <v>23</v>
      </c>
      <c r="C1164" s="143">
        <v>60</v>
      </c>
      <c r="D1164" s="143">
        <v>2024</v>
      </c>
      <c r="E1164" s="687">
        <v>0.1010114058125</v>
      </c>
      <c r="F1164" s="687">
        <v>1.5889709250000001E-3</v>
      </c>
      <c r="G1164" s="687">
        <v>1.6139995E-3</v>
      </c>
      <c r="H1164" s="216">
        <v>242.96008605874999</v>
      </c>
    </row>
    <row r="1165" spans="2:8" ht="21.95" customHeight="1" x14ac:dyDescent="0.2">
      <c r="B1165" s="143" t="s">
        <v>23</v>
      </c>
      <c r="C1165" s="143">
        <v>60</v>
      </c>
      <c r="D1165" s="143">
        <v>2025</v>
      </c>
      <c r="E1165" s="687">
        <v>8.9080004156250003E-2</v>
      </c>
      <c r="F1165" s="687">
        <v>1.51336459375E-3</v>
      </c>
      <c r="G1165" s="687">
        <v>1.5768993749999999E-3</v>
      </c>
      <c r="H1165" s="216">
        <v>237.37531089375</v>
      </c>
    </row>
    <row r="1166" spans="2:8" ht="21.95" customHeight="1" x14ac:dyDescent="0.2">
      <c r="B1166" s="143" t="s">
        <v>23</v>
      </c>
      <c r="C1166" s="143">
        <v>60</v>
      </c>
      <c r="D1166" s="143">
        <v>2026</v>
      </c>
      <c r="E1166" s="687">
        <v>7.7148602499999996E-2</v>
      </c>
      <c r="F1166" s="687">
        <v>1.4377582625E-3</v>
      </c>
      <c r="G1166" s="687">
        <v>1.53979925E-3</v>
      </c>
      <c r="H1166" s="216">
        <v>231.79053572875</v>
      </c>
    </row>
    <row r="1167" spans="2:8" ht="21.95" customHeight="1" x14ac:dyDescent="0.2">
      <c r="B1167" s="143" t="s">
        <v>23</v>
      </c>
      <c r="C1167" s="143">
        <v>60</v>
      </c>
      <c r="D1167" s="143">
        <v>2027</v>
      </c>
      <c r="E1167" s="687">
        <v>6.5217200843750003E-2</v>
      </c>
      <c r="F1167" s="687">
        <v>1.3621519312500001E-3</v>
      </c>
      <c r="G1167" s="687">
        <v>1.5026991250000001E-3</v>
      </c>
      <c r="H1167" s="216">
        <v>226.20576056375</v>
      </c>
    </row>
    <row r="1168" spans="2:8" ht="21.95" customHeight="1" x14ac:dyDescent="0.2">
      <c r="B1168" s="143" t="s">
        <v>23</v>
      </c>
      <c r="C1168" s="143">
        <v>60</v>
      </c>
      <c r="D1168" s="143">
        <v>2028</v>
      </c>
      <c r="E1168" s="687">
        <v>5.3285799187500003E-2</v>
      </c>
      <c r="F1168" s="687">
        <v>1.2865456E-3</v>
      </c>
      <c r="G1168" s="687">
        <v>1.4655989999999999E-3</v>
      </c>
      <c r="H1168" s="216">
        <v>220.62098539875001</v>
      </c>
    </row>
    <row r="1169" spans="2:8" ht="21.95" customHeight="1" x14ac:dyDescent="0.2">
      <c r="B1169" s="143" t="s">
        <v>23</v>
      </c>
      <c r="C1169" s="143">
        <v>60</v>
      </c>
      <c r="D1169" s="143">
        <v>2029</v>
      </c>
      <c r="E1169" s="687">
        <v>4.1354397531250003E-2</v>
      </c>
      <c r="F1169" s="687">
        <v>1.21093926875E-3</v>
      </c>
      <c r="G1169" s="687">
        <v>1.428498875E-3</v>
      </c>
      <c r="H1169" s="216">
        <v>215.03621023375001</v>
      </c>
    </row>
    <row r="1170" spans="2:8" ht="21.95" customHeight="1" x14ac:dyDescent="0.2">
      <c r="B1170" s="143" t="s">
        <v>23</v>
      </c>
      <c r="C1170" s="143">
        <v>60</v>
      </c>
      <c r="D1170" s="143">
        <v>2030</v>
      </c>
      <c r="E1170" s="687">
        <v>2.9422995875E-2</v>
      </c>
      <c r="F1170" s="687">
        <v>1.1353329374999999E-3</v>
      </c>
      <c r="G1170" s="687">
        <v>1.3913987499999999E-3</v>
      </c>
      <c r="H1170" s="216">
        <v>209.45143506874999</v>
      </c>
    </row>
    <row r="1171" spans="2:8" ht="21.95" customHeight="1" x14ac:dyDescent="0.2">
      <c r="B1171" s="143" t="s">
        <v>23</v>
      </c>
      <c r="C1171" s="143">
        <v>60</v>
      </c>
      <c r="D1171" s="143">
        <v>2031</v>
      </c>
      <c r="E1171" s="687">
        <v>2.7006439812500001E-2</v>
      </c>
      <c r="F1171" s="687">
        <v>1.1151487062499999E-3</v>
      </c>
      <c r="G1171" s="687">
        <v>1.37785475E-3</v>
      </c>
      <c r="H1171" s="216">
        <v>207.412585433125</v>
      </c>
    </row>
    <row r="1172" spans="2:8" ht="21.95" customHeight="1" x14ac:dyDescent="0.2">
      <c r="B1172" s="143" t="s">
        <v>23</v>
      </c>
      <c r="C1172" s="143">
        <v>60</v>
      </c>
      <c r="D1172" s="143">
        <v>2032</v>
      </c>
      <c r="E1172" s="687">
        <v>2.4589883749999999E-2</v>
      </c>
      <c r="F1172" s="687">
        <v>1.094964475E-3</v>
      </c>
      <c r="G1172" s="687">
        <v>1.3643107499999999E-3</v>
      </c>
      <c r="H1172" s="216">
        <v>205.37373579749999</v>
      </c>
    </row>
    <row r="1173" spans="2:8" ht="21.95" customHeight="1" x14ac:dyDescent="0.2">
      <c r="B1173" s="143" t="s">
        <v>23</v>
      </c>
      <c r="C1173" s="143">
        <v>60</v>
      </c>
      <c r="D1173" s="143">
        <v>2033</v>
      </c>
      <c r="E1173" s="687">
        <v>2.2173327687500001E-2</v>
      </c>
      <c r="F1173" s="687">
        <v>1.07478024375E-3</v>
      </c>
      <c r="G1173" s="687">
        <v>1.35076675E-3</v>
      </c>
      <c r="H1173" s="216">
        <v>203.334886161875</v>
      </c>
    </row>
    <row r="1174" spans="2:8" ht="21.95" customHeight="1" x14ac:dyDescent="0.2">
      <c r="B1174" s="143" t="s">
        <v>23</v>
      </c>
      <c r="C1174" s="143">
        <v>60</v>
      </c>
      <c r="D1174" s="143">
        <v>2034</v>
      </c>
      <c r="E1174" s="687">
        <v>1.9756771624999999E-2</v>
      </c>
      <c r="F1174" s="687">
        <v>1.0545960125E-3</v>
      </c>
      <c r="G1174" s="687">
        <v>1.3372227499999999E-3</v>
      </c>
      <c r="H1174" s="216">
        <v>201.29603652624999</v>
      </c>
    </row>
    <row r="1175" spans="2:8" ht="21.95" customHeight="1" x14ac:dyDescent="0.2">
      <c r="B1175" s="143" t="s">
        <v>23</v>
      </c>
      <c r="C1175" s="143">
        <v>60</v>
      </c>
      <c r="D1175" s="143">
        <v>2035</v>
      </c>
      <c r="E1175" s="687">
        <v>1.7340215562500001E-2</v>
      </c>
      <c r="F1175" s="687">
        <v>1.0344117812500001E-3</v>
      </c>
      <c r="G1175" s="687">
        <v>1.32367875E-3</v>
      </c>
      <c r="H1175" s="216">
        <v>199.25718689062501</v>
      </c>
    </row>
    <row r="1176" spans="2:8" ht="21.95" customHeight="1" x14ac:dyDescent="0.2">
      <c r="B1176" s="143" t="s">
        <v>23</v>
      </c>
      <c r="C1176" s="143">
        <v>60</v>
      </c>
      <c r="D1176" s="143">
        <v>2036</v>
      </c>
      <c r="E1176" s="687">
        <v>1.49236595E-2</v>
      </c>
      <c r="F1176" s="687">
        <v>1.0142275499999999E-3</v>
      </c>
      <c r="G1176" s="687">
        <v>1.3101347499999999E-3</v>
      </c>
      <c r="H1176" s="216">
        <v>197.21833725499999</v>
      </c>
    </row>
    <row r="1177" spans="2:8" ht="21.95" customHeight="1" x14ac:dyDescent="0.2">
      <c r="B1177" s="143" t="s">
        <v>23</v>
      </c>
      <c r="C1177" s="143">
        <v>60</v>
      </c>
      <c r="D1177" s="143">
        <v>2037</v>
      </c>
      <c r="E1177" s="687">
        <v>1.25071034375E-2</v>
      </c>
      <c r="F1177" s="687">
        <v>9.9404331874999993E-4</v>
      </c>
      <c r="G1177" s="687">
        <v>1.2965907500000001E-3</v>
      </c>
      <c r="H1177" s="216">
        <v>195.17948761937501</v>
      </c>
    </row>
    <row r="1178" spans="2:8" ht="21.95" customHeight="1" x14ac:dyDescent="0.2">
      <c r="B1178" s="143" t="s">
        <v>23</v>
      </c>
      <c r="C1178" s="143">
        <v>60</v>
      </c>
      <c r="D1178" s="143">
        <v>2038</v>
      </c>
      <c r="E1178" s="687">
        <v>1.0090547375E-2</v>
      </c>
      <c r="F1178" s="687">
        <v>9.7385908749999996E-4</v>
      </c>
      <c r="G1178" s="687">
        <v>1.28304675E-3</v>
      </c>
      <c r="H1178" s="216">
        <v>193.14063798375</v>
      </c>
    </row>
    <row r="1179" spans="2:8" ht="21.95" customHeight="1" x14ac:dyDescent="0.2">
      <c r="B1179" s="143" t="s">
        <v>23</v>
      </c>
      <c r="C1179" s="143">
        <v>60</v>
      </c>
      <c r="D1179" s="143">
        <v>2039</v>
      </c>
      <c r="E1179" s="687">
        <v>7.6739913124999996E-3</v>
      </c>
      <c r="F1179" s="687">
        <v>9.5367485625E-4</v>
      </c>
      <c r="G1179" s="687">
        <v>1.2695027500000001E-3</v>
      </c>
      <c r="H1179" s="216">
        <v>191.10178834812501</v>
      </c>
    </row>
    <row r="1180" spans="2:8" ht="21.95" customHeight="1" x14ac:dyDescent="0.2">
      <c r="B1180" s="143" t="s">
        <v>23</v>
      </c>
      <c r="C1180" s="143">
        <v>60</v>
      </c>
      <c r="D1180" s="143">
        <v>2040</v>
      </c>
      <c r="E1180" s="687">
        <v>5.2574352500000003E-3</v>
      </c>
      <c r="F1180" s="687">
        <v>9.3349062500000003E-4</v>
      </c>
      <c r="G1180" s="687">
        <v>1.25595875E-3</v>
      </c>
      <c r="H1180" s="216">
        <v>189.0629387125</v>
      </c>
    </row>
    <row r="1181" spans="2:8" ht="21.95" customHeight="1" x14ac:dyDescent="0.2">
      <c r="B1181" s="143" t="s">
        <v>23</v>
      </c>
      <c r="C1181" s="143">
        <v>60</v>
      </c>
      <c r="D1181" s="143">
        <v>2041</v>
      </c>
      <c r="E1181" s="687">
        <v>5.05655585E-3</v>
      </c>
      <c r="F1181" s="687">
        <v>9.3098401249999999E-4</v>
      </c>
      <c r="G1181" s="687">
        <v>1.2533760000000001E-3</v>
      </c>
      <c r="H1181" s="216">
        <v>188.67413189187499</v>
      </c>
    </row>
    <row r="1182" spans="2:8" ht="21.95" customHeight="1" x14ac:dyDescent="0.2">
      <c r="B1182" s="143" t="s">
        <v>23</v>
      </c>
      <c r="C1182" s="143">
        <v>60</v>
      </c>
      <c r="D1182" s="143">
        <v>2042</v>
      </c>
      <c r="E1182" s="687">
        <v>4.8556764499999997E-3</v>
      </c>
      <c r="F1182" s="687">
        <v>9.2847739999999995E-4</v>
      </c>
      <c r="G1182" s="687">
        <v>1.2507932499999999E-3</v>
      </c>
      <c r="H1182" s="216">
        <v>188.28532507125001</v>
      </c>
    </row>
    <row r="1183" spans="2:8" ht="21.95" customHeight="1" x14ac:dyDescent="0.2">
      <c r="B1183" s="143" t="s">
        <v>23</v>
      </c>
      <c r="C1183" s="143">
        <v>60</v>
      </c>
      <c r="D1183" s="143">
        <v>2043</v>
      </c>
      <c r="E1183" s="687">
        <v>4.6547970500000002E-3</v>
      </c>
      <c r="F1183" s="687">
        <v>9.2597078750000002E-4</v>
      </c>
      <c r="G1183" s="687">
        <v>1.2482105E-3</v>
      </c>
      <c r="H1183" s="216">
        <v>187.89651825062501</v>
      </c>
    </row>
    <row r="1184" spans="2:8" ht="21.95" customHeight="1" x14ac:dyDescent="0.2">
      <c r="B1184" s="143" t="s">
        <v>23</v>
      </c>
      <c r="C1184" s="143">
        <v>60</v>
      </c>
      <c r="D1184" s="143">
        <v>2044</v>
      </c>
      <c r="E1184" s="687">
        <v>4.45391765E-3</v>
      </c>
      <c r="F1184" s="687">
        <v>9.2346417499999999E-4</v>
      </c>
      <c r="G1184" s="687">
        <v>1.2456277500000001E-3</v>
      </c>
      <c r="H1184" s="216">
        <v>187.50771143</v>
      </c>
    </row>
    <row r="1185" spans="2:8" ht="21.95" customHeight="1" x14ac:dyDescent="0.2">
      <c r="B1185" s="143" t="s">
        <v>23</v>
      </c>
      <c r="C1185" s="143">
        <v>60</v>
      </c>
      <c r="D1185" s="143">
        <v>2045</v>
      </c>
      <c r="E1185" s="687">
        <v>4.2530382499999997E-3</v>
      </c>
      <c r="F1185" s="687">
        <v>9.2095756249999995E-4</v>
      </c>
      <c r="G1185" s="687">
        <v>1.2430449999999999E-3</v>
      </c>
      <c r="H1185" s="216">
        <v>187.11890460937499</v>
      </c>
    </row>
    <row r="1186" spans="2:8" ht="21.95" customHeight="1" x14ac:dyDescent="0.2">
      <c r="B1186" s="143" t="s">
        <v>23</v>
      </c>
      <c r="C1186" s="143">
        <v>60</v>
      </c>
      <c r="D1186" s="143">
        <v>2046</v>
      </c>
      <c r="E1186" s="687">
        <v>4.0521588500000002E-3</v>
      </c>
      <c r="F1186" s="687">
        <v>9.1845095000000002E-4</v>
      </c>
      <c r="G1186" s="687">
        <v>1.24046225E-3</v>
      </c>
      <c r="H1186" s="216">
        <v>186.73009778874999</v>
      </c>
    </row>
    <row r="1187" spans="2:8" ht="21.95" customHeight="1" x14ac:dyDescent="0.2">
      <c r="B1187" s="143" t="s">
        <v>23</v>
      </c>
      <c r="C1187" s="143">
        <v>60</v>
      </c>
      <c r="D1187" s="143">
        <v>2047</v>
      </c>
      <c r="E1187" s="687">
        <v>3.8512794499999999E-3</v>
      </c>
      <c r="F1187" s="687">
        <v>9.1594433749999998E-4</v>
      </c>
      <c r="G1187" s="687">
        <v>1.2378795000000001E-3</v>
      </c>
      <c r="H1187" s="216">
        <v>186.34129096812501</v>
      </c>
    </row>
    <row r="1188" spans="2:8" ht="21.95" customHeight="1" x14ac:dyDescent="0.2">
      <c r="B1188" s="143" t="s">
        <v>23</v>
      </c>
      <c r="C1188" s="143">
        <v>60</v>
      </c>
      <c r="D1188" s="143">
        <v>2048</v>
      </c>
      <c r="E1188" s="687">
        <v>3.6504000500000001E-3</v>
      </c>
      <c r="F1188" s="687">
        <v>9.1343772500000005E-4</v>
      </c>
      <c r="G1188" s="687">
        <v>1.2352967499999999E-3</v>
      </c>
      <c r="H1188" s="216">
        <v>185.9524841475</v>
      </c>
    </row>
    <row r="1189" spans="2:8" ht="21.95" customHeight="1" x14ac:dyDescent="0.2">
      <c r="B1189" s="143" t="s">
        <v>23</v>
      </c>
      <c r="C1189" s="143">
        <v>60</v>
      </c>
      <c r="D1189" s="143">
        <v>2049</v>
      </c>
      <c r="E1189" s="687">
        <v>3.4495206500000002E-3</v>
      </c>
      <c r="F1189" s="687">
        <v>9.1093111250000001E-4</v>
      </c>
      <c r="G1189" s="687">
        <v>1.232714E-3</v>
      </c>
      <c r="H1189" s="216">
        <v>185.56367732687499</v>
      </c>
    </row>
    <row r="1190" spans="2:8" ht="21.95" customHeight="1" x14ac:dyDescent="0.2">
      <c r="B1190" s="143" t="s">
        <v>23</v>
      </c>
      <c r="C1190" s="143">
        <v>60</v>
      </c>
      <c r="D1190" s="143">
        <v>2050</v>
      </c>
      <c r="E1190" s="687">
        <v>3.2486412499999999E-3</v>
      </c>
      <c r="F1190" s="687">
        <v>9.0842449999999997E-4</v>
      </c>
      <c r="G1190" s="687">
        <v>1.2301312500000001E-3</v>
      </c>
      <c r="H1190" s="216">
        <v>185.17487050624999</v>
      </c>
    </row>
    <row r="1191" spans="2:8" ht="21.95" customHeight="1" x14ac:dyDescent="0.2">
      <c r="B1191" s="143" t="s">
        <v>23</v>
      </c>
      <c r="C1191" s="143">
        <v>60</v>
      </c>
      <c r="D1191" s="143">
        <v>2051</v>
      </c>
      <c r="E1191" s="687">
        <v>3.2125900624999999E-3</v>
      </c>
      <c r="F1191" s="687">
        <v>9.088730625E-4</v>
      </c>
      <c r="G1191" s="687">
        <v>1.2298782500000001E-3</v>
      </c>
      <c r="H1191" s="216">
        <v>185.13680202187501</v>
      </c>
    </row>
    <row r="1192" spans="2:8" ht="21.95" customHeight="1" x14ac:dyDescent="0.2">
      <c r="B1192" s="143" t="s">
        <v>23</v>
      </c>
      <c r="C1192" s="143">
        <v>60</v>
      </c>
      <c r="D1192" s="143">
        <v>2052</v>
      </c>
      <c r="E1192" s="687">
        <v>3.176538875E-3</v>
      </c>
      <c r="F1192" s="687">
        <v>9.0932162500000004E-4</v>
      </c>
      <c r="G1192" s="687">
        <v>1.2296252499999999E-3</v>
      </c>
      <c r="H1192" s="216">
        <v>185.09873353750001</v>
      </c>
    </row>
    <row r="1193" spans="2:8" ht="21.95" customHeight="1" x14ac:dyDescent="0.2">
      <c r="B1193" s="143" t="s">
        <v>23</v>
      </c>
      <c r="C1193" s="143">
        <v>60</v>
      </c>
      <c r="D1193" s="143">
        <v>2053</v>
      </c>
      <c r="E1193" s="687">
        <v>3.1404876875E-3</v>
      </c>
      <c r="F1193" s="687">
        <v>9.0977018749999997E-4</v>
      </c>
      <c r="G1193" s="687">
        <v>1.2293722499999999E-3</v>
      </c>
      <c r="H1193" s="216">
        <v>185.06066505312501</v>
      </c>
    </row>
    <row r="1194" spans="2:8" ht="21.95" customHeight="1" x14ac:dyDescent="0.2">
      <c r="B1194" s="143" t="s">
        <v>23</v>
      </c>
      <c r="C1194" s="143">
        <v>60</v>
      </c>
      <c r="D1194" s="143">
        <v>2054</v>
      </c>
      <c r="E1194" s="687">
        <v>3.1044365000000001E-3</v>
      </c>
      <c r="F1194" s="687">
        <v>9.1021875E-4</v>
      </c>
      <c r="G1194" s="687">
        <v>1.22911925E-3</v>
      </c>
      <c r="H1194" s="216">
        <v>185.02259656875</v>
      </c>
    </row>
    <row r="1195" spans="2:8" ht="21.95" customHeight="1" x14ac:dyDescent="0.2">
      <c r="B1195" s="143" t="s">
        <v>23</v>
      </c>
      <c r="C1195" s="143">
        <v>60</v>
      </c>
      <c r="D1195" s="143">
        <v>2055</v>
      </c>
      <c r="E1195" s="687">
        <v>3.0683853125000001E-3</v>
      </c>
      <c r="F1195" s="687">
        <v>9.1066731250000004E-4</v>
      </c>
      <c r="G1195" s="687">
        <v>1.22886625E-3</v>
      </c>
      <c r="H1195" s="216">
        <v>184.984528084375</v>
      </c>
    </row>
    <row r="1196" spans="2:8" ht="21.95" customHeight="1" x14ac:dyDescent="0.2">
      <c r="B1196" s="143" t="s">
        <v>23</v>
      </c>
      <c r="C1196" s="143">
        <v>60</v>
      </c>
      <c r="D1196" s="143">
        <v>2056</v>
      </c>
      <c r="E1196" s="687">
        <v>3.0323341250000002E-3</v>
      </c>
      <c r="F1196" s="687">
        <v>9.1111587499999997E-4</v>
      </c>
      <c r="G1196" s="687">
        <v>1.22861325E-3</v>
      </c>
      <c r="H1196" s="216">
        <v>184.9464596</v>
      </c>
    </row>
    <row r="1197" spans="2:8" ht="21.95" customHeight="1" x14ac:dyDescent="0.2">
      <c r="B1197" s="143" t="s">
        <v>23</v>
      </c>
      <c r="C1197" s="143">
        <v>60</v>
      </c>
      <c r="D1197" s="143">
        <v>2057</v>
      </c>
      <c r="E1197" s="687">
        <v>2.9962829374999998E-3</v>
      </c>
      <c r="F1197" s="687">
        <v>9.115644375E-4</v>
      </c>
      <c r="G1197" s="687">
        <v>1.22836025E-3</v>
      </c>
      <c r="H1197" s="216">
        <v>184.90839111562499</v>
      </c>
    </row>
    <row r="1198" spans="2:8" ht="21.95" customHeight="1" x14ac:dyDescent="0.2">
      <c r="B1198" s="143" t="s">
        <v>23</v>
      </c>
      <c r="C1198" s="143">
        <v>60</v>
      </c>
      <c r="D1198" s="143">
        <v>2058</v>
      </c>
      <c r="E1198" s="687">
        <v>2.9602317499999998E-3</v>
      </c>
      <c r="F1198" s="687">
        <v>9.1201300000000004E-4</v>
      </c>
      <c r="G1198" s="687">
        <v>1.2281072500000001E-3</v>
      </c>
      <c r="H1198" s="216">
        <v>184.87032263124999</v>
      </c>
    </row>
    <row r="1199" spans="2:8" ht="21.95" customHeight="1" x14ac:dyDescent="0.2">
      <c r="B1199" s="143" t="s">
        <v>23</v>
      </c>
      <c r="C1199" s="143">
        <v>60</v>
      </c>
      <c r="D1199" s="143">
        <v>2059</v>
      </c>
      <c r="E1199" s="687">
        <v>2.9241805624999999E-3</v>
      </c>
      <c r="F1199" s="687">
        <v>9.1246156249999997E-4</v>
      </c>
      <c r="G1199" s="687">
        <v>1.2278542500000001E-3</v>
      </c>
      <c r="H1199" s="216">
        <v>184.83225414687499</v>
      </c>
    </row>
    <row r="1200" spans="2:8" ht="21.95" customHeight="1" x14ac:dyDescent="0.2">
      <c r="B1200" s="143" t="s">
        <v>23</v>
      </c>
      <c r="C1200" s="143">
        <v>60</v>
      </c>
      <c r="D1200" s="143">
        <v>2060</v>
      </c>
      <c r="E1200" s="687">
        <v>2.8881293749999999E-3</v>
      </c>
      <c r="F1200" s="687">
        <v>9.12910125E-4</v>
      </c>
      <c r="G1200" s="687">
        <v>1.2276012499999999E-3</v>
      </c>
      <c r="H1200" s="216">
        <v>184.79418566250001</v>
      </c>
    </row>
    <row r="1201" spans="2:8" ht="21.95" customHeight="1" x14ac:dyDescent="0.2">
      <c r="B1201" s="143" t="s">
        <v>23</v>
      </c>
      <c r="C1201" s="143">
        <v>65</v>
      </c>
      <c r="D1201" s="143">
        <v>2020</v>
      </c>
      <c r="E1201" s="687">
        <v>0.15490713349999999</v>
      </c>
      <c r="F1201" s="687">
        <v>2.0163830000000001E-3</v>
      </c>
      <c r="G1201" s="687">
        <v>1.77954875E-3</v>
      </c>
      <c r="H1201" s="216">
        <v>267.88099668749999</v>
      </c>
    </row>
    <row r="1202" spans="2:8" ht="21.95" customHeight="1" x14ac:dyDescent="0.2">
      <c r="B1202" s="143" t="s">
        <v>23</v>
      </c>
      <c r="C1202" s="143">
        <v>65</v>
      </c>
      <c r="D1202" s="143">
        <v>2021</v>
      </c>
      <c r="E1202" s="687">
        <v>0.14249257127500001</v>
      </c>
      <c r="F1202" s="687">
        <v>1.9339325125000001E-3</v>
      </c>
      <c r="G1202" s="687">
        <v>1.7421037500000001E-3</v>
      </c>
      <c r="H1202" s="216">
        <v>262.24429701000003</v>
      </c>
    </row>
    <row r="1203" spans="2:8" ht="21.95" customHeight="1" x14ac:dyDescent="0.2">
      <c r="B1203" s="143" t="s">
        <v>23</v>
      </c>
      <c r="C1203" s="143">
        <v>65</v>
      </c>
      <c r="D1203" s="143">
        <v>2022</v>
      </c>
      <c r="E1203" s="687">
        <v>0.13007800905</v>
      </c>
      <c r="F1203" s="687">
        <v>1.8514820249999999E-3</v>
      </c>
      <c r="G1203" s="687">
        <v>1.70465875E-3</v>
      </c>
      <c r="H1203" s="216">
        <v>256.60759733250001</v>
      </c>
    </row>
    <row r="1204" spans="2:8" ht="21.95" customHeight="1" x14ac:dyDescent="0.2">
      <c r="B1204" s="143" t="s">
        <v>23</v>
      </c>
      <c r="C1204" s="143">
        <v>65</v>
      </c>
      <c r="D1204" s="143">
        <v>2023</v>
      </c>
      <c r="E1204" s="687">
        <v>0.117663446825</v>
      </c>
      <c r="F1204" s="687">
        <v>1.7690315374999999E-3</v>
      </c>
      <c r="G1204" s="687">
        <v>1.6672137499999999E-3</v>
      </c>
      <c r="H1204" s="216">
        <v>250.97089765499999</v>
      </c>
    </row>
    <row r="1205" spans="2:8" ht="21.95" customHeight="1" x14ac:dyDescent="0.2">
      <c r="B1205" s="143" t="s">
        <v>23</v>
      </c>
      <c r="C1205" s="143">
        <v>65</v>
      </c>
      <c r="D1205" s="143">
        <v>2024</v>
      </c>
      <c r="E1205" s="687">
        <v>0.1052488846</v>
      </c>
      <c r="F1205" s="687">
        <v>1.6865810499999999E-3</v>
      </c>
      <c r="G1205" s="687">
        <v>1.62976875E-3</v>
      </c>
      <c r="H1205" s="216">
        <v>245.3341979775</v>
      </c>
    </row>
    <row r="1206" spans="2:8" ht="21.95" customHeight="1" x14ac:dyDescent="0.2">
      <c r="B1206" s="143" t="s">
        <v>23</v>
      </c>
      <c r="C1206" s="143">
        <v>65</v>
      </c>
      <c r="D1206" s="143">
        <v>2025</v>
      </c>
      <c r="E1206" s="687">
        <v>9.2834322375E-2</v>
      </c>
      <c r="F1206" s="687">
        <v>1.6041305625E-3</v>
      </c>
      <c r="G1206" s="687">
        <v>1.5923237499999999E-3</v>
      </c>
      <c r="H1206" s="216">
        <v>239.69749830000001</v>
      </c>
    </row>
    <row r="1207" spans="2:8" ht="21.95" customHeight="1" x14ac:dyDescent="0.2">
      <c r="B1207" s="143" t="s">
        <v>23</v>
      </c>
      <c r="C1207" s="143">
        <v>65</v>
      </c>
      <c r="D1207" s="143">
        <v>2026</v>
      </c>
      <c r="E1207" s="687">
        <v>8.0419760150000005E-2</v>
      </c>
      <c r="F1207" s="687">
        <v>1.521680075E-3</v>
      </c>
      <c r="G1207" s="687">
        <v>1.55487875E-3</v>
      </c>
      <c r="H1207" s="216">
        <v>234.06079862249999</v>
      </c>
    </row>
    <row r="1208" spans="2:8" ht="21.95" customHeight="1" x14ac:dyDescent="0.2">
      <c r="B1208" s="143" t="s">
        <v>23</v>
      </c>
      <c r="C1208" s="143">
        <v>65</v>
      </c>
      <c r="D1208" s="143">
        <v>2027</v>
      </c>
      <c r="E1208" s="687">
        <v>6.8005197924999997E-2</v>
      </c>
      <c r="F1208" s="687">
        <v>1.4392295875E-3</v>
      </c>
      <c r="G1208" s="687">
        <v>1.5174337499999999E-3</v>
      </c>
      <c r="H1208" s="216">
        <v>228.424098945</v>
      </c>
    </row>
    <row r="1209" spans="2:8" ht="21.95" customHeight="1" x14ac:dyDescent="0.2">
      <c r="B1209" s="143" t="s">
        <v>23</v>
      </c>
      <c r="C1209" s="143">
        <v>65</v>
      </c>
      <c r="D1209" s="143">
        <v>2028</v>
      </c>
      <c r="E1209" s="687">
        <v>5.5590635700000002E-2</v>
      </c>
      <c r="F1209" s="687">
        <v>1.3567791E-3</v>
      </c>
      <c r="G1209" s="687">
        <v>1.47998875E-3</v>
      </c>
      <c r="H1209" s="216">
        <v>222.78739926750001</v>
      </c>
    </row>
    <row r="1210" spans="2:8" ht="21.95" customHeight="1" x14ac:dyDescent="0.2">
      <c r="B1210" s="143" t="s">
        <v>23</v>
      </c>
      <c r="C1210" s="143">
        <v>65</v>
      </c>
      <c r="D1210" s="143">
        <v>2029</v>
      </c>
      <c r="E1210" s="687">
        <v>4.3176073475E-2</v>
      </c>
      <c r="F1210" s="687">
        <v>1.2743286125000001E-3</v>
      </c>
      <c r="G1210" s="687">
        <v>1.4425437499999999E-3</v>
      </c>
      <c r="H1210" s="216">
        <v>217.15069958999999</v>
      </c>
    </row>
    <row r="1211" spans="2:8" ht="21.95" customHeight="1" x14ac:dyDescent="0.2">
      <c r="B1211" s="143" t="s">
        <v>23</v>
      </c>
      <c r="C1211" s="143">
        <v>65</v>
      </c>
      <c r="D1211" s="143">
        <v>2030</v>
      </c>
      <c r="E1211" s="687">
        <v>3.0761511250000002E-2</v>
      </c>
      <c r="F1211" s="687">
        <v>1.1918781250000001E-3</v>
      </c>
      <c r="G1211" s="687">
        <v>1.4050987500000001E-3</v>
      </c>
      <c r="H1211" s="216">
        <v>211.5139999125</v>
      </c>
    </row>
    <row r="1212" spans="2:8" ht="21.95" customHeight="1" x14ac:dyDescent="0.2">
      <c r="B1212" s="143" t="s">
        <v>23</v>
      </c>
      <c r="C1212" s="143">
        <v>65</v>
      </c>
      <c r="D1212" s="143">
        <v>2031</v>
      </c>
      <c r="E1212" s="687">
        <v>2.823502029375E-2</v>
      </c>
      <c r="F1212" s="687">
        <v>1.1702658375000001E-3</v>
      </c>
      <c r="G1212" s="687">
        <v>1.391426625E-3</v>
      </c>
      <c r="H1212" s="216">
        <v>209.45590016874999</v>
      </c>
    </row>
    <row r="1213" spans="2:8" ht="21.95" customHeight="1" x14ac:dyDescent="0.2">
      <c r="B1213" s="143" t="s">
        <v>23</v>
      </c>
      <c r="C1213" s="143">
        <v>65</v>
      </c>
      <c r="D1213" s="143">
        <v>2032</v>
      </c>
      <c r="E1213" s="687">
        <v>2.5708529337500001E-2</v>
      </c>
      <c r="F1213" s="687">
        <v>1.1486535500000001E-3</v>
      </c>
      <c r="G1213" s="687">
        <v>1.3777545000000001E-3</v>
      </c>
      <c r="H1213" s="216">
        <v>207.39780042500001</v>
      </c>
    </row>
    <row r="1214" spans="2:8" ht="21.95" customHeight="1" x14ac:dyDescent="0.2">
      <c r="B1214" s="143" t="s">
        <v>23</v>
      </c>
      <c r="C1214" s="143">
        <v>65</v>
      </c>
      <c r="D1214" s="143">
        <v>2033</v>
      </c>
      <c r="E1214" s="687">
        <v>2.3182038381249999E-2</v>
      </c>
      <c r="F1214" s="687">
        <v>1.1270412625000001E-3</v>
      </c>
      <c r="G1214" s="687">
        <v>1.364082375E-3</v>
      </c>
      <c r="H1214" s="216">
        <v>205.33970068125001</v>
      </c>
    </row>
    <row r="1215" spans="2:8" ht="21.95" customHeight="1" x14ac:dyDescent="0.2">
      <c r="B1215" s="143" t="s">
        <v>23</v>
      </c>
      <c r="C1215" s="143">
        <v>65</v>
      </c>
      <c r="D1215" s="143">
        <v>2034</v>
      </c>
      <c r="E1215" s="687">
        <v>2.0655547425E-2</v>
      </c>
      <c r="F1215" s="687">
        <v>1.1054289750000001E-3</v>
      </c>
      <c r="G1215" s="687">
        <v>1.3504102500000001E-3</v>
      </c>
      <c r="H1215" s="216">
        <v>203.2816009375</v>
      </c>
    </row>
    <row r="1216" spans="2:8" ht="21.95" customHeight="1" x14ac:dyDescent="0.2">
      <c r="B1216" s="143" t="s">
        <v>23</v>
      </c>
      <c r="C1216" s="143">
        <v>65</v>
      </c>
      <c r="D1216" s="143">
        <v>2035</v>
      </c>
      <c r="E1216" s="687">
        <v>1.8129056468750002E-2</v>
      </c>
      <c r="F1216" s="687">
        <v>1.0838166875000001E-3</v>
      </c>
      <c r="G1216" s="687">
        <v>1.336738125E-3</v>
      </c>
      <c r="H1216" s="216">
        <v>201.22350119375</v>
      </c>
    </row>
    <row r="1217" spans="2:8" ht="21.95" customHeight="1" x14ac:dyDescent="0.2">
      <c r="B1217" s="143" t="s">
        <v>23</v>
      </c>
      <c r="C1217" s="143">
        <v>65</v>
      </c>
      <c r="D1217" s="143">
        <v>2036</v>
      </c>
      <c r="E1217" s="687">
        <v>1.56025655125E-2</v>
      </c>
      <c r="F1217" s="687">
        <v>1.0622044000000001E-3</v>
      </c>
      <c r="G1217" s="687">
        <v>1.3230659999999999E-3</v>
      </c>
      <c r="H1217" s="216">
        <v>199.16540144999999</v>
      </c>
    </row>
    <row r="1218" spans="2:8" ht="21.95" customHeight="1" x14ac:dyDescent="0.2">
      <c r="B1218" s="143" t="s">
        <v>23</v>
      </c>
      <c r="C1218" s="143">
        <v>65</v>
      </c>
      <c r="D1218" s="143">
        <v>2037</v>
      </c>
      <c r="E1218" s="687">
        <v>1.3076074556249999E-2</v>
      </c>
      <c r="F1218" s="687">
        <v>1.0405921125000001E-3</v>
      </c>
      <c r="G1218" s="687">
        <v>1.309393875E-3</v>
      </c>
      <c r="H1218" s="216">
        <v>197.10730170625001</v>
      </c>
    </row>
    <row r="1219" spans="2:8" ht="21.95" customHeight="1" x14ac:dyDescent="0.2">
      <c r="B1219" s="143" t="s">
        <v>23</v>
      </c>
      <c r="C1219" s="143">
        <v>65</v>
      </c>
      <c r="D1219" s="143">
        <v>2038</v>
      </c>
      <c r="E1219" s="687">
        <v>1.0549583600000001E-2</v>
      </c>
      <c r="F1219" s="687">
        <v>1.0189798250000001E-3</v>
      </c>
      <c r="G1219" s="687">
        <v>1.2957217499999999E-3</v>
      </c>
      <c r="H1219" s="216">
        <v>195.04920196250001</v>
      </c>
    </row>
    <row r="1220" spans="2:8" ht="21.95" customHeight="1" x14ac:dyDescent="0.2">
      <c r="B1220" s="143" t="s">
        <v>23</v>
      </c>
      <c r="C1220" s="143">
        <v>65</v>
      </c>
      <c r="D1220" s="143">
        <v>2039</v>
      </c>
      <c r="E1220" s="687">
        <v>8.0230926437500003E-3</v>
      </c>
      <c r="F1220" s="687">
        <v>9.9736753749999989E-4</v>
      </c>
      <c r="G1220" s="687">
        <v>1.2820496250000001E-3</v>
      </c>
      <c r="H1220" s="216">
        <v>192.99110221875</v>
      </c>
    </row>
    <row r="1221" spans="2:8" ht="21.95" customHeight="1" x14ac:dyDescent="0.2">
      <c r="B1221" s="143" t="s">
        <v>23</v>
      </c>
      <c r="C1221" s="143">
        <v>65</v>
      </c>
      <c r="D1221" s="143">
        <v>2040</v>
      </c>
      <c r="E1221" s="687">
        <v>5.4966016874999999E-3</v>
      </c>
      <c r="F1221" s="687">
        <v>9.7575525E-4</v>
      </c>
      <c r="G1221" s="687">
        <v>1.2683775E-3</v>
      </c>
      <c r="H1221" s="216">
        <v>190.933002475</v>
      </c>
    </row>
    <row r="1222" spans="2:8" ht="21.95" customHeight="1" x14ac:dyDescent="0.2">
      <c r="B1222" s="143" t="s">
        <v>23</v>
      </c>
      <c r="C1222" s="143">
        <v>65</v>
      </c>
      <c r="D1222" s="143">
        <v>2041</v>
      </c>
      <c r="E1222" s="687">
        <v>5.2865839812499997E-3</v>
      </c>
      <c r="F1222" s="687">
        <v>9.7313510624999998E-4</v>
      </c>
      <c r="G1222" s="687">
        <v>1.2657691250000001E-3</v>
      </c>
      <c r="H1222" s="216">
        <v>190.54032097312501</v>
      </c>
    </row>
    <row r="1223" spans="2:8" ht="21.95" customHeight="1" x14ac:dyDescent="0.2">
      <c r="B1223" s="143" t="s">
        <v>23</v>
      </c>
      <c r="C1223" s="143">
        <v>65</v>
      </c>
      <c r="D1223" s="143">
        <v>2042</v>
      </c>
      <c r="E1223" s="687">
        <v>5.0765662749999996E-3</v>
      </c>
      <c r="F1223" s="687">
        <v>9.7051496249999996E-4</v>
      </c>
      <c r="G1223" s="687">
        <v>1.26316075E-3</v>
      </c>
      <c r="H1223" s="216">
        <v>190.14763947124999</v>
      </c>
    </row>
    <row r="1224" spans="2:8" ht="21.95" customHeight="1" x14ac:dyDescent="0.2">
      <c r="B1224" s="143" t="s">
        <v>23</v>
      </c>
      <c r="C1224" s="143">
        <v>65</v>
      </c>
      <c r="D1224" s="143">
        <v>2043</v>
      </c>
      <c r="E1224" s="687">
        <v>4.8665485687500003E-3</v>
      </c>
      <c r="F1224" s="687">
        <v>9.6789481875000005E-4</v>
      </c>
      <c r="G1224" s="687">
        <v>1.2605523750000001E-3</v>
      </c>
      <c r="H1224" s="216">
        <v>189.754957969375</v>
      </c>
    </row>
    <row r="1225" spans="2:8" ht="21.95" customHeight="1" x14ac:dyDescent="0.2">
      <c r="B1225" s="143" t="s">
        <v>23</v>
      </c>
      <c r="C1225" s="143">
        <v>65</v>
      </c>
      <c r="D1225" s="143">
        <v>2044</v>
      </c>
      <c r="E1225" s="687">
        <v>4.6565308625000001E-3</v>
      </c>
      <c r="F1225" s="687">
        <v>9.6527467500000003E-4</v>
      </c>
      <c r="G1225" s="687">
        <v>1.257944E-3</v>
      </c>
      <c r="H1225" s="216">
        <v>189.36227646750001</v>
      </c>
    </row>
    <row r="1226" spans="2:8" ht="21.95" customHeight="1" x14ac:dyDescent="0.2">
      <c r="B1226" s="143" t="s">
        <v>23</v>
      </c>
      <c r="C1226" s="143">
        <v>65</v>
      </c>
      <c r="D1226" s="143">
        <v>2045</v>
      </c>
      <c r="E1226" s="687">
        <v>4.4465131562499999E-3</v>
      </c>
      <c r="F1226" s="687">
        <v>9.6265453125000001E-4</v>
      </c>
      <c r="G1226" s="687">
        <v>1.2553356250000001E-3</v>
      </c>
      <c r="H1226" s="216">
        <v>188.96959496562499</v>
      </c>
    </row>
    <row r="1227" spans="2:8" ht="21.95" customHeight="1" x14ac:dyDescent="0.2">
      <c r="B1227" s="143" t="s">
        <v>23</v>
      </c>
      <c r="C1227" s="143">
        <v>65</v>
      </c>
      <c r="D1227" s="143">
        <v>2046</v>
      </c>
      <c r="E1227" s="687">
        <v>4.2364954499999998E-3</v>
      </c>
      <c r="F1227" s="687">
        <v>9.6003438749999999E-4</v>
      </c>
      <c r="G1227" s="687">
        <v>1.25272725E-3</v>
      </c>
      <c r="H1227" s="216">
        <v>188.57691346375</v>
      </c>
    </row>
    <row r="1228" spans="2:8" ht="21.95" customHeight="1" x14ac:dyDescent="0.2">
      <c r="B1228" s="143" t="s">
        <v>23</v>
      </c>
      <c r="C1228" s="143">
        <v>65</v>
      </c>
      <c r="D1228" s="143">
        <v>2047</v>
      </c>
      <c r="E1228" s="687">
        <v>4.0264777437499996E-3</v>
      </c>
      <c r="F1228" s="687">
        <v>9.5741424374999997E-4</v>
      </c>
      <c r="G1228" s="687">
        <v>1.2501188749999999E-3</v>
      </c>
      <c r="H1228" s="216">
        <v>188.18423196187501</v>
      </c>
    </row>
    <row r="1229" spans="2:8" ht="21.95" customHeight="1" x14ac:dyDescent="0.2">
      <c r="B1229" s="143" t="s">
        <v>23</v>
      </c>
      <c r="C1229" s="143">
        <v>65</v>
      </c>
      <c r="D1229" s="143">
        <v>2048</v>
      </c>
      <c r="E1229" s="687">
        <v>3.8164600374999999E-3</v>
      </c>
      <c r="F1229" s="687">
        <v>9.5479409999999995E-4</v>
      </c>
      <c r="G1229" s="687">
        <v>1.2475105E-3</v>
      </c>
      <c r="H1229" s="216">
        <v>187.79155046</v>
      </c>
    </row>
    <row r="1230" spans="2:8" ht="21.95" customHeight="1" x14ac:dyDescent="0.2">
      <c r="B1230" s="143" t="s">
        <v>23</v>
      </c>
      <c r="C1230" s="143">
        <v>65</v>
      </c>
      <c r="D1230" s="143">
        <v>2049</v>
      </c>
      <c r="E1230" s="687">
        <v>3.6064423312500002E-3</v>
      </c>
      <c r="F1230" s="687">
        <v>9.5217395625000003E-4</v>
      </c>
      <c r="G1230" s="687">
        <v>1.2449021249999999E-3</v>
      </c>
      <c r="H1230" s="216">
        <v>187.39886895812501</v>
      </c>
    </row>
    <row r="1231" spans="2:8" ht="21.95" customHeight="1" x14ac:dyDescent="0.2">
      <c r="B1231" s="143" t="s">
        <v>23</v>
      </c>
      <c r="C1231" s="143">
        <v>65</v>
      </c>
      <c r="D1231" s="143">
        <v>2050</v>
      </c>
      <c r="E1231" s="687">
        <v>3.396424625E-3</v>
      </c>
      <c r="F1231" s="687">
        <v>9.4955381250000001E-4</v>
      </c>
      <c r="G1231" s="687">
        <v>1.24229375E-3</v>
      </c>
      <c r="H1231" s="216">
        <v>187.00618745624999</v>
      </c>
    </row>
    <row r="1232" spans="2:8" ht="21.95" customHeight="1" x14ac:dyDescent="0.2">
      <c r="B1232" s="143" t="s">
        <v>23</v>
      </c>
      <c r="C1232" s="143">
        <v>65</v>
      </c>
      <c r="D1232" s="143">
        <v>2051</v>
      </c>
      <c r="E1232" s="687">
        <v>3.358733225E-3</v>
      </c>
      <c r="F1232" s="687">
        <v>9.5002269374999996E-4</v>
      </c>
      <c r="G1232" s="687">
        <v>1.2420386250000001E-3</v>
      </c>
      <c r="H1232" s="216">
        <v>186.96776849562499</v>
      </c>
    </row>
    <row r="1233" spans="2:8" ht="21.95" customHeight="1" x14ac:dyDescent="0.2">
      <c r="B1233" s="143" t="s">
        <v>23</v>
      </c>
      <c r="C1233" s="143">
        <v>65</v>
      </c>
      <c r="D1233" s="143">
        <v>2052</v>
      </c>
      <c r="E1233" s="687">
        <v>3.321041825E-3</v>
      </c>
      <c r="F1233" s="687">
        <v>9.5049157500000001E-4</v>
      </c>
      <c r="G1233" s="687">
        <v>1.2417834999999999E-3</v>
      </c>
      <c r="H1233" s="216">
        <v>186.929349535</v>
      </c>
    </row>
    <row r="1234" spans="2:8" ht="21.95" customHeight="1" x14ac:dyDescent="0.2">
      <c r="B1234" s="143" t="s">
        <v>23</v>
      </c>
      <c r="C1234" s="143">
        <v>65</v>
      </c>
      <c r="D1234" s="143">
        <v>2053</v>
      </c>
      <c r="E1234" s="687">
        <v>3.283350425E-3</v>
      </c>
      <c r="F1234" s="687">
        <v>9.5096045624999995E-4</v>
      </c>
      <c r="G1234" s="687">
        <v>1.241528375E-3</v>
      </c>
      <c r="H1234" s="216">
        <v>186.89093057437501</v>
      </c>
    </row>
    <row r="1235" spans="2:8" ht="21.95" customHeight="1" x14ac:dyDescent="0.2">
      <c r="B1235" s="143" t="s">
        <v>23</v>
      </c>
      <c r="C1235" s="143">
        <v>65</v>
      </c>
      <c r="D1235" s="143">
        <v>2054</v>
      </c>
      <c r="E1235" s="687">
        <v>3.245659025E-3</v>
      </c>
      <c r="F1235" s="687">
        <v>9.5142933750000001E-4</v>
      </c>
      <c r="G1235" s="687">
        <v>1.2412732500000001E-3</v>
      </c>
      <c r="H1235" s="216">
        <v>186.85251161375001</v>
      </c>
    </row>
    <row r="1236" spans="2:8" ht="21.95" customHeight="1" x14ac:dyDescent="0.2">
      <c r="B1236" s="143" t="s">
        <v>23</v>
      </c>
      <c r="C1236" s="143">
        <v>65</v>
      </c>
      <c r="D1236" s="143">
        <v>2055</v>
      </c>
      <c r="E1236" s="687">
        <v>3.207967625E-3</v>
      </c>
      <c r="F1236" s="687">
        <v>9.5189821874999995E-4</v>
      </c>
      <c r="G1236" s="687">
        <v>1.2410181249999999E-3</v>
      </c>
      <c r="H1236" s="216">
        <v>186.81409265312499</v>
      </c>
    </row>
    <row r="1237" spans="2:8" ht="21.95" customHeight="1" x14ac:dyDescent="0.2">
      <c r="B1237" s="143" t="s">
        <v>23</v>
      </c>
      <c r="C1237" s="143">
        <v>65</v>
      </c>
      <c r="D1237" s="143">
        <v>2056</v>
      </c>
      <c r="E1237" s="687">
        <v>3.1702762250000001E-3</v>
      </c>
      <c r="F1237" s="687">
        <v>9.523671E-4</v>
      </c>
      <c r="G1237" s="687">
        <v>1.240763E-3</v>
      </c>
      <c r="H1237" s="216">
        <v>186.77567369249999</v>
      </c>
    </row>
    <row r="1238" spans="2:8" ht="21.95" customHeight="1" x14ac:dyDescent="0.2">
      <c r="B1238" s="143" t="s">
        <v>23</v>
      </c>
      <c r="C1238" s="143">
        <v>65</v>
      </c>
      <c r="D1238" s="143">
        <v>2057</v>
      </c>
      <c r="E1238" s="687">
        <v>3.1325848250000001E-3</v>
      </c>
      <c r="F1238" s="687">
        <v>9.5283598124999995E-4</v>
      </c>
      <c r="G1238" s="687">
        <v>1.240507875E-3</v>
      </c>
      <c r="H1238" s="216">
        <v>186.737254731875</v>
      </c>
    </row>
    <row r="1239" spans="2:8" ht="21.95" customHeight="1" x14ac:dyDescent="0.2">
      <c r="B1239" s="143" t="s">
        <v>23</v>
      </c>
      <c r="C1239" s="143">
        <v>65</v>
      </c>
      <c r="D1239" s="143">
        <v>2058</v>
      </c>
      <c r="E1239" s="687">
        <v>3.0948934250000001E-3</v>
      </c>
      <c r="F1239" s="687">
        <v>9.533048625E-4</v>
      </c>
      <c r="G1239" s="687">
        <v>1.2402527500000001E-3</v>
      </c>
      <c r="H1239" s="216">
        <v>186.69883577125</v>
      </c>
    </row>
    <row r="1240" spans="2:8" ht="21.95" customHeight="1" x14ac:dyDescent="0.2">
      <c r="B1240" s="143" t="s">
        <v>23</v>
      </c>
      <c r="C1240" s="143">
        <v>65</v>
      </c>
      <c r="D1240" s="143">
        <v>2059</v>
      </c>
      <c r="E1240" s="687">
        <v>3.0572020250000001E-3</v>
      </c>
      <c r="F1240" s="687">
        <v>9.5377374374999995E-4</v>
      </c>
      <c r="G1240" s="687">
        <v>1.2399976249999999E-3</v>
      </c>
      <c r="H1240" s="216">
        <v>186.66041681062501</v>
      </c>
    </row>
    <row r="1241" spans="2:8" ht="21.95" customHeight="1" x14ac:dyDescent="0.2">
      <c r="B1241" s="143" t="s">
        <v>23</v>
      </c>
      <c r="C1241" s="143">
        <v>65</v>
      </c>
      <c r="D1241" s="143">
        <v>2060</v>
      </c>
      <c r="E1241" s="687">
        <v>3.0195106250000001E-3</v>
      </c>
      <c r="F1241" s="687">
        <v>9.54242625E-4</v>
      </c>
      <c r="G1241" s="687">
        <v>1.2397425E-3</v>
      </c>
      <c r="H1241" s="216">
        <v>186.62199785000001</v>
      </c>
    </row>
    <row r="1242" spans="2:8" ht="21.95" customHeight="1" x14ac:dyDescent="0.2">
      <c r="B1242" s="143" t="s">
        <v>23</v>
      </c>
      <c r="C1242" s="143">
        <v>70</v>
      </c>
      <c r="D1242" s="143">
        <v>2020</v>
      </c>
      <c r="E1242" s="687">
        <v>0.16772289593750001</v>
      </c>
      <c r="F1242" s="687">
        <v>2.2643011250000002E-3</v>
      </c>
      <c r="G1242" s="687">
        <v>1.84195E-3</v>
      </c>
      <c r="H1242" s="216">
        <v>277.27413178749998</v>
      </c>
    </row>
    <row r="1243" spans="2:8" ht="21.95" customHeight="1" x14ac:dyDescent="0.2">
      <c r="B1243" s="143" t="s">
        <v>23</v>
      </c>
      <c r="C1243" s="143">
        <v>70</v>
      </c>
      <c r="D1243" s="143">
        <v>2021</v>
      </c>
      <c r="E1243" s="687">
        <v>0.15427690124999999</v>
      </c>
      <c r="F1243" s="687">
        <v>2.170161175E-3</v>
      </c>
      <c r="G1243" s="687">
        <v>1.803212E-3</v>
      </c>
      <c r="H1243" s="216">
        <v>271.44279328624998</v>
      </c>
    </row>
    <row r="1244" spans="2:8" ht="21.95" customHeight="1" x14ac:dyDescent="0.2">
      <c r="B1244" s="143" t="s">
        <v>23</v>
      </c>
      <c r="C1244" s="143">
        <v>70</v>
      </c>
      <c r="D1244" s="143">
        <v>2022</v>
      </c>
      <c r="E1244" s="687">
        <v>0.1408309065625</v>
      </c>
      <c r="F1244" s="687">
        <v>2.0760212249999999E-3</v>
      </c>
      <c r="G1244" s="687">
        <v>1.764474E-3</v>
      </c>
      <c r="H1244" s="216">
        <v>265.61145478499998</v>
      </c>
    </row>
    <row r="1245" spans="2:8" ht="21.95" customHeight="1" x14ac:dyDescent="0.2">
      <c r="B1245" s="143" t="s">
        <v>23</v>
      </c>
      <c r="C1245" s="143">
        <v>70</v>
      </c>
      <c r="D1245" s="143">
        <v>2023</v>
      </c>
      <c r="E1245" s="687">
        <v>0.12738491187500001</v>
      </c>
      <c r="F1245" s="687">
        <v>1.9818812750000002E-3</v>
      </c>
      <c r="G1245" s="687">
        <v>1.7257360000000001E-3</v>
      </c>
      <c r="H1245" s="216">
        <v>259.78011628374998</v>
      </c>
    </row>
    <row r="1246" spans="2:8" ht="21.95" customHeight="1" x14ac:dyDescent="0.2">
      <c r="B1246" s="143" t="s">
        <v>23</v>
      </c>
      <c r="C1246" s="143">
        <v>70</v>
      </c>
      <c r="D1246" s="143">
        <v>2024</v>
      </c>
      <c r="E1246" s="687">
        <v>0.1139389171875</v>
      </c>
      <c r="F1246" s="687">
        <v>1.8877413250000001E-3</v>
      </c>
      <c r="G1246" s="687">
        <v>1.6869980000000001E-3</v>
      </c>
      <c r="H1246" s="216">
        <v>253.9487777825</v>
      </c>
    </row>
    <row r="1247" spans="2:8" ht="21.95" customHeight="1" x14ac:dyDescent="0.2">
      <c r="B1247" s="143" t="s">
        <v>23</v>
      </c>
      <c r="C1247" s="143">
        <v>70</v>
      </c>
      <c r="D1247" s="143">
        <v>2025</v>
      </c>
      <c r="E1247" s="687">
        <v>0.1004929225</v>
      </c>
      <c r="F1247" s="687">
        <v>1.7936013749999999E-3</v>
      </c>
      <c r="G1247" s="687">
        <v>1.6482599999999999E-3</v>
      </c>
      <c r="H1247" s="216">
        <v>248.11743928125</v>
      </c>
    </row>
    <row r="1248" spans="2:8" ht="21.95" customHeight="1" x14ac:dyDescent="0.2">
      <c r="B1248" s="143" t="s">
        <v>23</v>
      </c>
      <c r="C1248" s="143">
        <v>70</v>
      </c>
      <c r="D1248" s="143">
        <v>2026</v>
      </c>
      <c r="E1248" s="687">
        <v>8.7046927812499994E-2</v>
      </c>
      <c r="F1248" s="687">
        <v>1.699461425E-3</v>
      </c>
      <c r="G1248" s="687">
        <v>1.6095219999999999E-3</v>
      </c>
      <c r="H1248" s="216">
        <v>242.28610078</v>
      </c>
    </row>
    <row r="1249" spans="2:8" ht="21.95" customHeight="1" x14ac:dyDescent="0.2">
      <c r="B1249" s="143" t="s">
        <v>23</v>
      </c>
      <c r="C1249" s="143">
        <v>70</v>
      </c>
      <c r="D1249" s="143">
        <v>2027</v>
      </c>
      <c r="E1249" s="687">
        <v>7.3600933125000004E-2</v>
      </c>
      <c r="F1249" s="687">
        <v>1.6053214750000001E-3</v>
      </c>
      <c r="G1249" s="687">
        <v>1.570784E-3</v>
      </c>
      <c r="H1249" s="216">
        <v>236.45476227875</v>
      </c>
    </row>
    <row r="1250" spans="2:8" ht="21.95" customHeight="1" x14ac:dyDescent="0.2">
      <c r="B1250" s="143" t="s">
        <v>23</v>
      </c>
      <c r="C1250" s="143">
        <v>70</v>
      </c>
      <c r="D1250" s="143">
        <v>2028</v>
      </c>
      <c r="E1250" s="687">
        <v>6.01549384375E-2</v>
      </c>
      <c r="F1250" s="687">
        <v>1.511181525E-3</v>
      </c>
      <c r="G1250" s="687">
        <v>1.532046E-3</v>
      </c>
      <c r="H1250" s="216">
        <v>230.62342377749999</v>
      </c>
    </row>
    <row r="1251" spans="2:8" ht="21.95" customHeight="1" x14ac:dyDescent="0.2">
      <c r="B1251" s="143" t="s">
        <v>23</v>
      </c>
      <c r="C1251" s="143">
        <v>70</v>
      </c>
      <c r="D1251" s="143">
        <v>2029</v>
      </c>
      <c r="E1251" s="687">
        <v>4.6708943750000002E-2</v>
      </c>
      <c r="F1251" s="687">
        <v>1.417041575E-3</v>
      </c>
      <c r="G1251" s="687">
        <v>1.493308E-3</v>
      </c>
      <c r="H1251" s="216">
        <v>224.79208527624999</v>
      </c>
    </row>
    <row r="1252" spans="2:8" ht="21.95" customHeight="1" x14ac:dyDescent="0.2">
      <c r="B1252" s="143" t="s">
        <v>23</v>
      </c>
      <c r="C1252" s="143">
        <v>70</v>
      </c>
      <c r="D1252" s="143">
        <v>2030</v>
      </c>
      <c r="E1252" s="687">
        <v>3.3262949062499998E-2</v>
      </c>
      <c r="F1252" s="687">
        <v>1.3229016249999999E-3</v>
      </c>
      <c r="G1252" s="687">
        <v>1.4545700000000001E-3</v>
      </c>
      <c r="H1252" s="216">
        <v>218.96074677499999</v>
      </c>
    </row>
    <row r="1253" spans="2:8" ht="21.95" customHeight="1" x14ac:dyDescent="0.2">
      <c r="B1253" s="143" t="s">
        <v>23</v>
      </c>
      <c r="C1253" s="143">
        <v>70</v>
      </c>
      <c r="D1253" s="143">
        <v>2031</v>
      </c>
      <c r="E1253" s="687">
        <v>3.0531011237499999E-2</v>
      </c>
      <c r="F1253" s="687">
        <v>1.2980415875E-3</v>
      </c>
      <c r="G1253" s="687">
        <v>1.440417875E-3</v>
      </c>
      <c r="H1253" s="216">
        <v>216.83038445375001</v>
      </c>
    </row>
    <row r="1254" spans="2:8" ht="21.95" customHeight="1" x14ac:dyDescent="0.2">
      <c r="B1254" s="143" t="s">
        <v>23</v>
      </c>
      <c r="C1254" s="143">
        <v>70</v>
      </c>
      <c r="D1254" s="143">
        <v>2032</v>
      </c>
      <c r="E1254" s="687">
        <v>2.77990734125E-2</v>
      </c>
      <c r="F1254" s="687">
        <v>1.2731815499999999E-3</v>
      </c>
      <c r="G1254" s="687">
        <v>1.42626575E-3</v>
      </c>
      <c r="H1254" s="216">
        <v>214.70002213250001</v>
      </c>
    </row>
    <row r="1255" spans="2:8" ht="21.95" customHeight="1" x14ac:dyDescent="0.2">
      <c r="B1255" s="143" t="s">
        <v>23</v>
      </c>
      <c r="C1255" s="143">
        <v>70</v>
      </c>
      <c r="D1255" s="143">
        <v>2033</v>
      </c>
      <c r="E1255" s="687">
        <v>2.5067135587500001E-2</v>
      </c>
      <c r="F1255" s="687">
        <v>1.2483215125000001E-3</v>
      </c>
      <c r="G1255" s="687">
        <v>1.4121136250000001E-3</v>
      </c>
      <c r="H1255" s="216">
        <v>212.56965981125001</v>
      </c>
    </row>
    <row r="1256" spans="2:8" ht="21.95" customHeight="1" x14ac:dyDescent="0.2">
      <c r="B1256" s="143" t="s">
        <v>23</v>
      </c>
      <c r="C1256" s="143">
        <v>70</v>
      </c>
      <c r="D1256" s="143">
        <v>2034</v>
      </c>
      <c r="E1256" s="687">
        <v>2.2335197762500002E-2</v>
      </c>
      <c r="F1256" s="687">
        <v>1.223461475E-3</v>
      </c>
      <c r="G1256" s="687">
        <v>1.3979615E-3</v>
      </c>
      <c r="H1256" s="216">
        <v>210.43929749</v>
      </c>
    </row>
    <row r="1257" spans="2:8" ht="21.95" customHeight="1" x14ac:dyDescent="0.2">
      <c r="B1257" s="143" t="s">
        <v>23</v>
      </c>
      <c r="C1257" s="143">
        <v>70</v>
      </c>
      <c r="D1257" s="143">
        <v>2035</v>
      </c>
      <c r="E1257" s="687">
        <v>1.9603259937499999E-2</v>
      </c>
      <c r="F1257" s="687">
        <v>1.1986014375000001E-3</v>
      </c>
      <c r="G1257" s="687">
        <v>1.383809375E-3</v>
      </c>
      <c r="H1257" s="216">
        <v>208.30893516875</v>
      </c>
    </row>
    <row r="1258" spans="2:8" ht="21.95" customHeight="1" x14ac:dyDescent="0.2">
      <c r="B1258" s="143" t="s">
        <v>23</v>
      </c>
      <c r="C1258" s="143">
        <v>70</v>
      </c>
      <c r="D1258" s="143">
        <v>2036</v>
      </c>
      <c r="E1258" s="687">
        <v>1.68713221125E-2</v>
      </c>
      <c r="F1258" s="687">
        <v>1.1737414E-3</v>
      </c>
      <c r="G1258" s="687">
        <v>1.3696572499999999E-3</v>
      </c>
      <c r="H1258" s="216">
        <v>206.17857284749999</v>
      </c>
    </row>
    <row r="1259" spans="2:8" ht="21.95" customHeight="1" x14ac:dyDescent="0.2">
      <c r="B1259" s="143" t="s">
        <v>23</v>
      </c>
      <c r="C1259" s="143">
        <v>70</v>
      </c>
      <c r="D1259" s="143">
        <v>2037</v>
      </c>
      <c r="E1259" s="687">
        <v>1.4139384287499999E-2</v>
      </c>
      <c r="F1259" s="687">
        <v>1.1488813625000001E-3</v>
      </c>
      <c r="G1259" s="687">
        <v>1.3555051250000001E-3</v>
      </c>
      <c r="H1259" s="216">
        <v>204.04821052624999</v>
      </c>
    </row>
    <row r="1260" spans="2:8" ht="21.95" customHeight="1" x14ac:dyDescent="0.2">
      <c r="B1260" s="143" t="s">
        <v>23</v>
      </c>
      <c r="C1260" s="143">
        <v>70</v>
      </c>
      <c r="D1260" s="143">
        <v>2038</v>
      </c>
      <c r="E1260" s="687">
        <v>1.14074464625E-2</v>
      </c>
      <c r="F1260" s="687">
        <v>1.124021325E-3</v>
      </c>
      <c r="G1260" s="687">
        <v>1.341353E-3</v>
      </c>
      <c r="H1260" s="216">
        <v>201.91784820500001</v>
      </c>
    </row>
    <row r="1261" spans="2:8" ht="21.95" customHeight="1" x14ac:dyDescent="0.2">
      <c r="B1261" s="143" t="s">
        <v>23</v>
      </c>
      <c r="C1261" s="143">
        <v>70</v>
      </c>
      <c r="D1261" s="143">
        <v>2039</v>
      </c>
      <c r="E1261" s="687">
        <v>8.6755086374999991E-3</v>
      </c>
      <c r="F1261" s="687">
        <v>1.0991612874999999E-3</v>
      </c>
      <c r="G1261" s="687">
        <v>1.3272008749999999E-3</v>
      </c>
      <c r="H1261" s="216">
        <v>199.78748588375001</v>
      </c>
    </row>
    <row r="1262" spans="2:8" ht="21.95" customHeight="1" x14ac:dyDescent="0.2">
      <c r="B1262" s="143" t="s">
        <v>23</v>
      </c>
      <c r="C1262" s="143">
        <v>70</v>
      </c>
      <c r="D1262" s="143">
        <v>2040</v>
      </c>
      <c r="E1262" s="687">
        <v>5.9435708125E-3</v>
      </c>
      <c r="F1262" s="687">
        <v>1.07430125E-3</v>
      </c>
      <c r="G1262" s="687">
        <v>1.3130487500000001E-3</v>
      </c>
      <c r="H1262" s="216">
        <v>197.6571235625</v>
      </c>
    </row>
    <row r="1263" spans="2:8" ht="21.95" customHeight="1" x14ac:dyDescent="0.2">
      <c r="B1263" s="143" t="s">
        <v>23</v>
      </c>
      <c r="C1263" s="143">
        <v>70</v>
      </c>
      <c r="D1263" s="143">
        <v>2041</v>
      </c>
      <c r="E1263" s="687">
        <v>5.7164753437500002E-3</v>
      </c>
      <c r="F1263" s="687">
        <v>1.0714165999999999E-3</v>
      </c>
      <c r="G1263" s="687">
        <v>1.3103486249999999E-3</v>
      </c>
      <c r="H1263" s="216">
        <v>197.25066165499999</v>
      </c>
    </row>
    <row r="1264" spans="2:8" ht="21.95" customHeight="1" x14ac:dyDescent="0.2">
      <c r="B1264" s="143" t="s">
        <v>23</v>
      </c>
      <c r="C1264" s="143">
        <v>70</v>
      </c>
      <c r="D1264" s="143">
        <v>2042</v>
      </c>
      <c r="E1264" s="687">
        <v>5.4893798750000004E-3</v>
      </c>
      <c r="F1264" s="687">
        <v>1.0685319500000001E-3</v>
      </c>
      <c r="G1264" s="687">
        <v>1.3076485E-3</v>
      </c>
      <c r="H1264" s="216">
        <v>196.8441997475</v>
      </c>
    </row>
    <row r="1265" spans="2:8" ht="21.95" customHeight="1" x14ac:dyDescent="0.2">
      <c r="B1265" s="143" t="s">
        <v>23</v>
      </c>
      <c r="C1265" s="143">
        <v>70</v>
      </c>
      <c r="D1265" s="143">
        <v>2043</v>
      </c>
      <c r="E1265" s="687">
        <v>5.2622844062499997E-3</v>
      </c>
      <c r="F1265" s="687">
        <v>1.0656473E-3</v>
      </c>
      <c r="G1265" s="687">
        <v>1.304948375E-3</v>
      </c>
      <c r="H1265" s="216">
        <v>196.43773784000001</v>
      </c>
    </row>
    <row r="1266" spans="2:8" ht="21.95" customHeight="1" x14ac:dyDescent="0.2">
      <c r="B1266" s="143" t="s">
        <v>23</v>
      </c>
      <c r="C1266" s="143">
        <v>70</v>
      </c>
      <c r="D1266" s="143">
        <v>2044</v>
      </c>
      <c r="E1266" s="687">
        <v>5.0351889374999998E-3</v>
      </c>
      <c r="F1266" s="687">
        <v>1.0627626500000001E-3</v>
      </c>
      <c r="G1266" s="687">
        <v>1.3022482500000001E-3</v>
      </c>
      <c r="H1266" s="216">
        <v>196.03127593249999</v>
      </c>
    </row>
    <row r="1267" spans="2:8" ht="21.95" customHeight="1" x14ac:dyDescent="0.2">
      <c r="B1267" s="143" t="s">
        <v>23</v>
      </c>
      <c r="C1267" s="143">
        <v>70</v>
      </c>
      <c r="D1267" s="143">
        <v>2045</v>
      </c>
      <c r="E1267" s="687">
        <v>4.80809346875E-3</v>
      </c>
      <c r="F1267" s="687">
        <v>1.059878E-3</v>
      </c>
      <c r="G1267" s="687">
        <v>1.2995481249999999E-3</v>
      </c>
      <c r="H1267" s="216">
        <v>195.62481402500001</v>
      </c>
    </row>
    <row r="1268" spans="2:8" ht="21.95" customHeight="1" x14ac:dyDescent="0.2">
      <c r="B1268" s="143" t="s">
        <v>23</v>
      </c>
      <c r="C1268" s="143">
        <v>70</v>
      </c>
      <c r="D1268" s="143">
        <v>2046</v>
      </c>
      <c r="E1268" s="687">
        <v>4.5809980000000002E-3</v>
      </c>
      <c r="F1268" s="687">
        <v>1.0569933499999999E-3</v>
      </c>
      <c r="G1268" s="687">
        <v>1.296848E-3</v>
      </c>
      <c r="H1268" s="216">
        <v>195.21835211749999</v>
      </c>
    </row>
    <row r="1269" spans="2:8" ht="21.95" customHeight="1" x14ac:dyDescent="0.2">
      <c r="B1269" s="143" t="s">
        <v>23</v>
      </c>
      <c r="C1269" s="143">
        <v>70</v>
      </c>
      <c r="D1269" s="143">
        <v>2047</v>
      </c>
      <c r="E1269" s="687">
        <v>4.3539025312500004E-3</v>
      </c>
      <c r="F1269" s="687">
        <v>1.0541087E-3</v>
      </c>
      <c r="G1269" s="687">
        <v>1.294147875E-3</v>
      </c>
      <c r="H1269" s="216">
        <v>194.81189021</v>
      </c>
    </row>
    <row r="1270" spans="2:8" ht="21.95" customHeight="1" x14ac:dyDescent="0.2">
      <c r="B1270" s="143" t="s">
        <v>23</v>
      </c>
      <c r="C1270" s="143">
        <v>70</v>
      </c>
      <c r="D1270" s="143">
        <v>2048</v>
      </c>
      <c r="E1270" s="687">
        <v>4.1268070624999997E-3</v>
      </c>
      <c r="F1270" s="687">
        <v>1.0512240499999999E-3</v>
      </c>
      <c r="G1270" s="687">
        <v>1.2914477500000001E-3</v>
      </c>
      <c r="H1270" s="216">
        <v>194.40542830250001</v>
      </c>
    </row>
    <row r="1271" spans="2:8" ht="21.95" customHeight="1" x14ac:dyDescent="0.2">
      <c r="B1271" s="143" t="s">
        <v>23</v>
      </c>
      <c r="C1271" s="143">
        <v>70</v>
      </c>
      <c r="D1271" s="143">
        <v>2049</v>
      </c>
      <c r="E1271" s="687">
        <v>3.8997115937499998E-3</v>
      </c>
      <c r="F1271" s="687">
        <v>1.0483394E-3</v>
      </c>
      <c r="G1271" s="687">
        <v>1.2887476249999999E-3</v>
      </c>
      <c r="H1271" s="216">
        <v>193.998966395</v>
      </c>
    </row>
    <row r="1272" spans="2:8" ht="21.95" customHeight="1" x14ac:dyDescent="0.2">
      <c r="B1272" s="143" t="s">
        <v>23</v>
      </c>
      <c r="C1272" s="143">
        <v>70</v>
      </c>
      <c r="D1272" s="143">
        <v>2050</v>
      </c>
      <c r="E1272" s="687">
        <v>3.672616125E-3</v>
      </c>
      <c r="F1272" s="687">
        <v>1.04545475E-3</v>
      </c>
      <c r="G1272" s="687">
        <v>1.2860475E-3</v>
      </c>
      <c r="H1272" s="216">
        <v>193.59250448750001</v>
      </c>
    </row>
    <row r="1273" spans="2:8" ht="21.95" customHeight="1" x14ac:dyDescent="0.2">
      <c r="B1273" s="143" t="s">
        <v>23</v>
      </c>
      <c r="C1273" s="143">
        <v>70</v>
      </c>
      <c r="D1273" s="143">
        <v>2051</v>
      </c>
      <c r="E1273" s="687">
        <v>3.631859825E-3</v>
      </c>
      <c r="F1273" s="687">
        <v>1.045970975E-3</v>
      </c>
      <c r="G1273" s="687">
        <v>1.2857831249999999E-3</v>
      </c>
      <c r="H1273" s="216">
        <v>193.55267904999999</v>
      </c>
    </row>
    <row r="1274" spans="2:8" ht="21.95" customHeight="1" x14ac:dyDescent="0.2">
      <c r="B1274" s="143" t="s">
        <v>23</v>
      </c>
      <c r="C1274" s="143">
        <v>70</v>
      </c>
      <c r="D1274" s="143">
        <v>2052</v>
      </c>
      <c r="E1274" s="687">
        <v>3.5911035250000001E-3</v>
      </c>
      <c r="F1274" s="687">
        <v>1.0464872000000001E-3</v>
      </c>
      <c r="G1274" s="687">
        <v>1.2855187500000001E-3</v>
      </c>
      <c r="H1274" s="216">
        <v>193.51285361250001</v>
      </c>
    </row>
    <row r="1275" spans="2:8" ht="21.95" customHeight="1" x14ac:dyDescent="0.2">
      <c r="B1275" s="143" t="s">
        <v>23</v>
      </c>
      <c r="C1275" s="143">
        <v>70</v>
      </c>
      <c r="D1275" s="143">
        <v>2053</v>
      </c>
      <c r="E1275" s="687">
        <v>3.5503472250000001E-3</v>
      </c>
      <c r="F1275" s="687">
        <v>1.0470034249999999E-3</v>
      </c>
      <c r="G1275" s="687">
        <v>1.285254375E-3</v>
      </c>
      <c r="H1275" s="216">
        <v>193.473028175</v>
      </c>
    </row>
    <row r="1276" spans="2:8" ht="21.95" customHeight="1" x14ac:dyDescent="0.2">
      <c r="B1276" s="143" t="s">
        <v>23</v>
      </c>
      <c r="C1276" s="143">
        <v>70</v>
      </c>
      <c r="D1276" s="143">
        <v>2054</v>
      </c>
      <c r="E1276" s="687">
        <v>3.5095909250000001E-3</v>
      </c>
      <c r="F1276" s="687">
        <v>1.04751965E-3</v>
      </c>
      <c r="G1276" s="687">
        <v>1.28499E-3</v>
      </c>
      <c r="H1276" s="216">
        <v>193.43320273750001</v>
      </c>
    </row>
    <row r="1277" spans="2:8" ht="21.95" customHeight="1" x14ac:dyDescent="0.2">
      <c r="B1277" s="143" t="s">
        <v>23</v>
      </c>
      <c r="C1277" s="143">
        <v>70</v>
      </c>
      <c r="D1277" s="143">
        <v>2055</v>
      </c>
      <c r="E1277" s="687">
        <v>3.4688346250000002E-3</v>
      </c>
      <c r="F1277" s="687">
        <v>1.0480358750000001E-3</v>
      </c>
      <c r="G1277" s="687">
        <v>1.2847256249999999E-3</v>
      </c>
      <c r="H1277" s="216">
        <v>193.3933773</v>
      </c>
    </row>
    <row r="1278" spans="2:8" ht="21.95" customHeight="1" x14ac:dyDescent="0.2">
      <c r="B1278" s="143" t="s">
        <v>23</v>
      </c>
      <c r="C1278" s="143">
        <v>70</v>
      </c>
      <c r="D1278" s="143">
        <v>2056</v>
      </c>
      <c r="E1278" s="687">
        <v>3.4280783250000002E-3</v>
      </c>
      <c r="F1278" s="687">
        <v>1.0485520999999999E-3</v>
      </c>
      <c r="G1278" s="687">
        <v>1.2844612500000001E-3</v>
      </c>
      <c r="H1278" s="216">
        <v>193.35355186250001</v>
      </c>
    </row>
    <row r="1279" spans="2:8" ht="21.95" customHeight="1" x14ac:dyDescent="0.2">
      <c r="B1279" s="143" t="s">
        <v>23</v>
      </c>
      <c r="C1279" s="143">
        <v>70</v>
      </c>
      <c r="D1279" s="143">
        <v>2057</v>
      </c>
      <c r="E1279" s="687">
        <v>3.3873220249999998E-3</v>
      </c>
      <c r="F1279" s="687">
        <v>1.049068325E-3</v>
      </c>
      <c r="G1279" s="687">
        <v>1.284196875E-3</v>
      </c>
      <c r="H1279" s="216">
        <v>193.313726425</v>
      </c>
    </row>
    <row r="1280" spans="2:8" ht="21.95" customHeight="1" x14ac:dyDescent="0.2">
      <c r="B1280" s="143" t="s">
        <v>23</v>
      </c>
      <c r="C1280" s="143">
        <v>70</v>
      </c>
      <c r="D1280" s="143">
        <v>2058</v>
      </c>
      <c r="E1280" s="687">
        <v>3.3465657249999998E-3</v>
      </c>
      <c r="F1280" s="687">
        <v>1.0495845500000001E-3</v>
      </c>
      <c r="G1280" s="687">
        <v>1.2839325E-3</v>
      </c>
      <c r="H1280" s="216">
        <v>193.27390098750001</v>
      </c>
    </row>
    <row r="1281" spans="2:8" ht="21.95" customHeight="1" x14ac:dyDescent="0.2">
      <c r="B1281" s="143" t="s">
        <v>23</v>
      </c>
      <c r="C1281" s="143">
        <v>70</v>
      </c>
      <c r="D1281" s="143">
        <v>2059</v>
      </c>
      <c r="E1281" s="687">
        <v>3.3058094249999999E-3</v>
      </c>
      <c r="F1281" s="687">
        <v>1.0501007749999999E-3</v>
      </c>
      <c r="G1281" s="687">
        <v>1.2836681249999999E-3</v>
      </c>
      <c r="H1281" s="216">
        <v>193.23407555</v>
      </c>
    </row>
    <row r="1282" spans="2:8" ht="21.95" customHeight="1" x14ac:dyDescent="0.2">
      <c r="B1282" s="143" t="s">
        <v>23</v>
      </c>
      <c r="C1282" s="143">
        <v>70</v>
      </c>
      <c r="D1282" s="143">
        <v>2060</v>
      </c>
      <c r="E1282" s="687">
        <v>3.2650531249999999E-3</v>
      </c>
      <c r="F1282" s="687">
        <v>1.050617E-3</v>
      </c>
      <c r="G1282" s="687">
        <v>1.2834037500000001E-3</v>
      </c>
      <c r="H1282" s="216">
        <v>193.19425011249999</v>
      </c>
    </row>
    <row r="1283" spans="2:8" ht="21.95" customHeight="1" x14ac:dyDescent="0.2">
      <c r="B1283" s="143" t="s">
        <v>23</v>
      </c>
      <c r="C1283" s="143">
        <v>75</v>
      </c>
      <c r="D1283" s="143">
        <v>2020</v>
      </c>
      <c r="E1283" s="687">
        <v>0.18491139400000001</v>
      </c>
      <c r="F1283" s="687">
        <v>2.7768325000000001E-3</v>
      </c>
      <c r="G1283" s="687">
        <v>1.9437524999999999E-3</v>
      </c>
      <c r="H1283" s="216">
        <v>292.59925082500001</v>
      </c>
    </row>
    <row r="1284" spans="2:8" ht="21.95" customHeight="1" x14ac:dyDescent="0.2">
      <c r="B1284" s="143" t="s">
        <v>23</v>
      </c>
      <c r="C1284" s="143">
        <v>75</v>
      </c>
      <c r="D1284" s="143">
        <v>2021</v>
      </c>
      <c r="E1284" s="687">
        <v>0.1700913845125</v>
      </c>
      <c r="F1284" s="687">
        <v>2.6593043E-3</v>
      </c>
      <c r="G1284" s="687">
        <v>1.9029105E-3</v>
      </c>
      <c r="H1284" s="216">
        <v>286.4511261275</v>
      </c>
    </row>
    <row r="1285" spans="2:8" ht="21.95" customHeight="1" x14ac:dyDescent="0.2">
      <c r="B1285" s="143" t="s">
        <v>23</v>
      </c>
      <c r="C1285" s="143">
        <v>75</v>
      </c>
      <c r="D1285" s="143">
        <v>2022</v>
      </c>
      <c r="E1285" s="687">
        <v>0.15527137502499999</v>
      </c>
      <c r="F1285" s="687">
        <v>2.5417761E-3</v>
      </c>
      <c r="G1285" s="687">
        <v>1.8620685000000001E-3</v>
      </c>
      <c r="H1285" s="216">
        <v>280.30300142999999</v>
      </c>
    </row>
    <row r="1286" spans="2:8" ht="21.95" customHeight="1" x14ac:dyDescent="0.2">
      <c r="B1286" s="143" t="s">
        <v>23</v>
      </c>
      <c r="C1286" s="143">
        <v>75</v>
      </c>
      <c r="D1286" s="143">
        <v>2023</v>
      </c>
      <c r="E1286" s="687">
        <v>0.14045136553750001</v>
      </c>
      <c r="F1286" s="687">
        <v>2.4242478999999999E-3</v>
      </c>
      <c r="G1286" s="687">
        <v>1.8212265E-3</v>
      </c>
      <c r="H1286" s="216">
        <v>274.15487673249999</v>
      </c>
    </row>
    <row r="1287" spans="2:8" ht="21.95" customHeight="1" x14ac:dyDescent="0.2">
      <c r="B1287" s="143" t="s">
        <v>23</v>
      </c>
      <c r="C1287" s="143">
        <v>75</v>
      </c>
      <c r="D1287" s="143">
        <v>2024</v>
      </c>
      <c r="E1287" s="687">
        <v>0.12563135605</v>
      </c>
      <c r="F1287" s="687">
        <v>2.3067196999999998E-3</v>
      </c>
      <c r="G1287" s="687">
        <v>1.7803845E-3</v>
      </c>
      <c r="H1287" s="216">
        <v>268.00675203499998</v>
      </c>
    </row>
    <row r="1288" spans="2:8" ht="21.95" customHeight="1" x14ac:dyDescent="0.2">
      <c r="B1288" s="143" t="s">
        <v>23</v>
      </c>
      <c r="C1288" s="143">
        <v>75</v>
      </c>
      <c r="D1288" s="143">
        <v>2025</v>
      </c>
      <c r="E1288" s="687">
        <v>0.1108113465625</v>
      </c>
      <c r="F1288" s="687">
        <v>2.1891914999999998E-3</v>
      </c>
      <c r="G1288" s="687">
        <v>1.7395424999999999E-3</v>
      </c>
      <c r="H1288" s="216">
        <v>261.85862733750002</v>
      </c>
    </row>
    <row r="1289" spans="2:8" ht="21.95" customHeight="1" x14ac:dyDescent="0.2">
      <c r="B1289" s="143" t="s">
        <v>23</v>
      </c>
      <c r="C1289" s="143">
        <v>75</v>
      </c>
      <c r="D1289" s="143">
        <v>2026</v>
      </c>
      <c r="E1289" s="687">
        <v>9.5991337075000002E-2</v>
      </c>
      <c r="F1289" s="687">
        <v>2.0716633000000002E-3</v>
      </c>
      <c r="G1289" s="687">
        <v>1.6987005E-3</v>
      </c>
      <c r="H1289" s="216">
        <v>255.71050263999999</v>
      </c>
    </row>
    <row r="1290" spans="2:8" ht="21.95" customHeight="1" x14ac:dyDescent="0.2">
      <c r="B1290" s="143" t="s">
        <v>23</v>
      </c>
      <c r="C1290" s="143">
        <v>75</v>
      </c>
      <c r="D1290" s="143">
        <v>2027</v>
      </c>
      <c r="E1290" s="687">
        <v>8.1171327587499995E-2</v>
      </c>
      <c r="F1290" s="687">
        <v>1.9541351000000001E-3</v>
      </c>
      <c r="G1290" s="687">
        <v>1.6578585000000001E-3</v>
      </c>
      <c r="H1290" s="216">
        <v>249.56237794250001</v>
      </c>
    </row>
    <row r="1291" spans="2:8" ht="21.95" customHeight="1" x14ac:dyDescent="0.2">
      <c r="B1291" s="143" t="s">
        <v>23</v>
      </c>
      <c r="C1291" s="143">
        <v>75</v>
      </c>
      <c r="D1291" s="143">
        <v>2028</v>
      </c>
      <c r="E1291" s="687">
        <v>6.6351318100000001E-2</v>
      </c>
      <c r="F1291" s="687">
        <v>1.8366069E-3</v>
      </c>
      <c r="G1291" s="687">
        <v>1.6170164999999999E-3</v>
      </c>
      <c r="H1291" s="216">
        <v>243.414253245</v>
      </c>
    </row>
    <row r="1292" spans="2:8" ht="21.95" customHeight="1" x14ac:dyDescent="0.2">
      <c r="B1292" s="143" t="s">
        <v>23</v>
      </c>
      <c r="C1292" s="143">
        <v>75</v>
      </c>
      <c r="D1292" s="143">
        <v>2029</v>
      </c>
      <c r="E1292" s="687">
        <v>5.15313086125E-2</v>
      </c>
      <c r="F1292" s="687">
        <v>1.7190787E-3</v>
      </c>
      <c r="G1292" s="687">
        <v>1.5761745E-3</v>
      </c>
      <c r="H1292" s="216">
        <v>237.26612854749999</v>
      </c>
    </row>
    <row r="1293" spans="2:8" ht="21.95" customHeight="1" x14ac:dyDescent="0.2">
      <c r="B1293" s="143" t="s">
        <v>23</v>
      </c>
      <c r="C1293" s="143">
        <v>75</v>
      </c>
      <c r="D1293" s="143">
        <v>2030</v>
      </c>
      <c r="E1293" s="687">
        <v>3.6711299124999999E-2</v>
      </c>
      <c r="F1293" s="687">
        <v>1.6015504999999999E-3</v>
      </c>
      <c r="G1293" s="687">
        <v>1.5353325000000001E-3</v>
      </c>
      <c r="H1293" s="216">
        <v>231.11800385000001</v>
      </c>
    </row>
    <row r="1294" spans="2:8" ht="21.95" customHeight="1" x14ac:dyDescent="0.2">
      <c r="B1294" s="143" t="s">
        <v>23</v>
      </c>
      <c r="C1294" s="143">
        <v>75</v>
      </c>
      <c r="D1294" s="143">
        <v>2031</v>
      </c>
      <c r="E1294" s="687">
        <v>3.3696143312500003E-2</v>
      </c>
      <c r="F1294" s="687">
        <v>1.5693691E-3</v>
      </c>
      <c r="G1294" s="687">
        <v>1.52039475E-3</v>
      </c>
      <c r="H1294" s="216">
        <v>228.86945381749999</v>
      </c>
    </row>
    <row r="1295" spans="2:8" ht="21.95" customHeight="1" x14ac:dyDescent="0.2">
      <c r="B1295" s="143" t="s">
        <v>23</v>
      </c>
      <c r="C1295" s="143">
        <v>75</v>
      </c>
      <c r="D1295" s="143">
        <v>2032</v>
      </c>
      <c r="E1295" s="687">
        <v>3.06809875E-2</v>
      </c>
      <c r="F1295" s="687">
        <v>1.5371877E-3</v>
      </c>
      <c r="G1295" s="687">
        <v>1.505457E-3</v>
      </c>
      <c r="H1295" s="216">
        <v>226.620903785</v>
      </c>
    </row>
    <row r="1296" spans="2:8" ht="21.95" customHeight="1" x14ac:dyDescent="0.2">
      <c r="B1296" s="143" t="s">
        <v>23</v>
      </c>
      <c r="C1296" s="143">
        <v>75</v>
      </c>
      <c r="D1296" s="143">
        <v>2033</v>
      </c>
      <c r="E1296" s="687">
        <v>2.76658316875E-2</v>
      </c>
      <c r="F1296" s="687">
        <v>1.5050063E-3</v>
      </c>
      <c r="G1296" s="687">
        <v>1.4905192499999999E-3</v>
      </c>
      <c r="H1296" s="216">
        <v>224.3723537525</v>
      </c>
    </row>
    <row r="1297" spans="2:8" ht="21.95" customHeight="1" x14ac:dyDescent="0.2">
      <c r="B1297" s="143" t="s">
        <v>23</v>
      </c>
      <c r="C1297" s="143">
        <v>75</v>
      </c>
      <c r="D1297" s="143">
        <v>2034</v>
      </c>
      <c r="E1297" s="687">
        <v>2.4650675875E-2</v>
      </c>
      <c r="F1297" s="687">
        <v>1.4728249000000001E-3</v>
      </c>
      <c r="G1297" s="687">
        <v>1.4755815000000001E-3</v>
      </c>
      <c r="H1297" s="216">
        <v>222.12380372000001</v>
      </c>
    </row>
    <row r="1298" spans="2:8" ht="21.95" customHeight="1" x14ac:dyDescent="0.2">
      <c r="B1298" s="143" t="s">
        <v>23</v>
      </c>
      <c r="C1298" s="143">
        <v>75</v>
      </c>
      <c r="D1298" s="143">
        <v>2035</v>
      </c>
      <c r="E1298" s="687">
        <v>2.16355200625E-2</v>
      </c>
      <c r="F1298" s="687">
        <v>1.4406435000000001E-3</v>
      </c>
      <c r="G1298" s="687">
        <v>1.46064375E-3</v>
      </c>
      <c r="H1298" s="216">
        <v>219.87525368749999</v>
      </c>
    </row>
    <row r="1299" spans="2:8" ht="21.95" customHeight="1" x14ac:dyDescent="0.2">
      <c r="B1299" s="143" t="s">
        <v>23</v>
      </c>
      <c r="C1299" s="143">
        <v>75</v>
      </c>
      <c r="D1299" s="143">
        <v>2036</v>
      </c>
      <c r="E1299" s="687">
        <v>1.862036425E-2</v>
      </c>
      <c r="F1299" s="687">
        <v>1.4084620999999999E-3</v>
      </c>
      <c r="G1299" s="687">
        <v>1.4457059999999999E-3</v>
      </c>
      <c r="H1299" s="216">
        <v>217.626703655</v>
      </c>
    </row>
    <row r="1300" spans="2:8" ht="21.95" customHeight="1" x14ac:dyDescent="0.2">
      <c r="B1300" s="143" t="s">
        <v>23</v>
      </c>
      <c r="C1300" s="143">
        <v>75</v>
      </c>
      <c r="D1300" s="143">
        <v>2037</v>
      </c>
      <c r="E1300" s="687">
        <v>1.56052084375E-2</v>
      </c>
      <c r="F1300" s="687">
        <v>1.3762806999999999E-3</v>
      </c>
      <c r="G1300" s="687">
        <v>1.4307682500000001E-3</v>
      </c>
      <c r="H1300" s="216">
        <v>215.37815362250001</v>
      </c>
    </row>
    <row r="1301" spans="2:8" ht="21.95" customHeight="1" x14ac:dyDescent="0.2">
      <c r="B1301" s="143" t="s">
        <v>23</v>
      </c>
      <c r="C1301" s="143">
        <v>75</v>
      </c>
      <c r="D1301" s="143">
        <v>2038</v>
      </c>
      <c r="E1301" s="687">
        <v>1.2590052625000001E-2</v>
      </c>
      <c r="F1301" s="687">
        <v>1.3440993E-3</v>
      </c>
      <c r="G1301" s="687">
        <v>1.4158305E-3</v>
      </c>
      <c r="H1301" s="216">
        <v>213.12960358999999</v>
      </c>
    </row>
    <row r="1302" spans="2:8" ht="21.95" customHeight="1" x14ac:dyDescent="0.2">
      <c r="B1302" s="143" t="s">
        <v>23</v>
      </c>
      <c r="C1302" s="143">
        <v>75</v>
      </c>
      <c r="D1302" s="143">
        <v>2039</v>
      </c>
      <c r="E1302" s="687">
        <v>9.5748968125000007E-3</v>
      </c>
      <c r="F1302" s="687">
        <v>1.3119179E-3</v>
      </c>
      <c r="G1302" s="687">
        <v>1.40089275E-3</v>
      </c>
      <c r="H1302" s="216">
        <v>210.8810535575</v>
      </c>
    </row>
    <row r="1303" spans="2:8" ht="21.95" customHeight="1" x14ac:dyDescent="0.2">
      <c r="B1303" s="143" t="s">
        <v>23</v>
      </c>
      <c r="C1303" s="143">
        <v>75</v>
      </c>
      <c r="D1303" s="143">
        <v>2040</v>
      </c>
      <c r="E1303" s="687">
        <v>6.559741E-3</v>
      </c>
      <c r="F1303" s="687">
        <v>1.2797365E-3</v>
      </c>
      <c r="G1303" s="687">
        <v>1.3859549999999999E-3</v>
      </c>
      <c r="H1303" s="216">
        <v>208.632503525</v>
      </c>
    </row>
    <row r="1304" spans="2:8" ht="21.95" customHeight="1" x14ac:dyDescent="0.2">
      <c r="B1304" s="143" t="s">
        <v>23</v>
      </c>
      <c r="C1304" s="143">
        <v>75</v>
      </c>
      <c r="D1304" s="143">
        <v>2041</v>
      </c>
      <c r="E1304" s="687">
        <v>6.3091023499999999E-3</v>
      </c>
      <c r="F1304" s="687">
        <v>1.2763E-3</v>
      </c>
      <c r="G1304" s="687">
        <v>1.3831055000000001E-3</v>
      </c>
      <c r="H1304" s="216">
        <v>208.20342866249999</v>
      </c>
    </row>
    <row r="1305" spans="2:8" ht="21.95" customHeight="1" x14ac:dyDescent="0.2">
      <c r="B1305" s="143" t="s">
        <v>23</v>
      </c>
      <c r="C1305" s="143">
        <v>75</v>
      </c>
      <c r="D1305" s="143">
        <v>2042</v>
      </c>
      <c r="E1305" s="687">
        <v>6.0584636999999998E-3</v>
      </c>
      <c r="F1305" s="687">
        <v>1.2728634999999999E-3</v>
      </c>
      <c r="G1305" s="687">
        <v>1.3802560000000001E-3</v>
      </c>
      <c r="H1305" s="216">
        <v>207.7743538</v>
      </c>
    </row>
    <row r="1306" spans="2:8" ht="21.95" customHeight="1" x14ac:dyDescent="0.2">
      <c r="B1306" s="143" t="s">
        <v>23</v>
      </c>
      <c r="C1306" s="143">
        <v>75</v>
      </c>
      <c r="D1306" s="143">
        <v>2043</v>
      </c>
      <c r="E1306" s="687">
        <v>5.8078250499999998E-3</v>
      </c>
      <c r="F1306" s="687">
        <v>1.2694270000000001E-3</v>
      </c>
      <c r="G1306" s="687">
        <v>1.3774065E-3</v>
      </c>
      <c r="H1306" s="216">
        <v>207.34527893750001</v>
      </c>
    </row>
    <row r="1307" spans="2:8" ht="21.95" customHeight="1" x14ac:dyDescent="0.2">
      <c r="B1307" s="143" t="s">
        <v>23</v>
      </c>
      <c r="C1307" s="143">
        <v>75</v>
      </c>
      <c r="D1307" s="143">
        <v>2044</v>
      </c>
      <c r="E1307" s="687">
        <v>5.5571863999999997E-3</v>
      </c>
      <c r="F1307" s="687">
        <v>1.2659905E-3</v>
      </c>
      <c r="G1307" s="687">
        <v>1.374557E-3</v>
      </c>
      <c r="H1307" s="216">
        <v>206.916204075</v>
      </c>
    </row>
    <row r="1308" spans="2:8" ht="21.95" customHeight="1" x14ac:dyDescent="0.2">
      <c r="B1308" s="143" t="s">
        <v>23</v>
      </c>
      <c r="C1308" s="143">
        <v>75</v>
      </c>
      <c r="D1308" s="143">
        <v>2045</v>
      </c>
      <c r="E1308" s="687">
        <v>5.3065477499999996E-3</v>
      </c>
      <c r="F1308" s="687">
        <v>1.2625539999999999E-3</v>
      </c>
      <c r="G1308" s="687">
        <v>1.3717075E-3</v>
      </c>
      <c r="H1308" s="216">
        <v>206.48712921250001</v>
      </c>
    </row>
    <row r="1309" spans="2:8" ht="21.95" customHeight="1" x14ac:dyDescent="0.2">
      <c r="B1309" s="143" t="s">
        <v>23</v>
      </c>
      <c r="C1309" s="143">
        <v>75</v>
      </c>
      <c r="D1309" s="143">
        <v>2046</v>
      </c>
      <c r="E1309" s="687">
        <v>5.0559091000000004E-3</v>
      </c>
      <c r="F1309" s="687">
        <v>1.2591175000000001E-3</v>
      </c>
      <c r="G1309" s="687">
        <v>1.3688579999999999E-3</v>
      </c>
      <c r="H1309" s="216">
        <v>206.05805434999999</v>
      </c>
    </row>
    <row r="1310" spans="2:8" ht="21.95" customHeight="1" x14ac:dyDescent="0.2">
      <c r="B1310" s="143" t="s">
        <v>23</v>
      </c>
      <c r="C1310" s="143">
        <v>75</v>
      </c>
      <c r="D1310" s="143">
        <v>2047</v>
      </c>
      <c r="E1310" s="687">
        <v>4.8052704500000003E-3</v>
      </c>
      <c r="F1310" s="687">
        <v>1.255681E-3</v>
      </c>
      <c r="G1310" s="687">
        <v>1.3660085000000001E-3</v>
      </c>
      <c r="H1310" s="216">
        <v>205.6289794875</v>
      </c>
    </row>
    <row r="1311" spans="2:8" ht="21.95" customHeight="1" x14ac:dyDescent="0.2">
      <c r="B1311" s="143" t="s">
        <v>23</v>
      </c>
      <c r="C1311" s="143">
        <v>75</v>
      </c>
      <c r="D1311" s="143">
        <v>2048</v>
      </c>
      <c r="E1311" s="687">
        <v>4.5546318000000002E-3</v>
      </c>
      <c r="F1311" s="687">
        <v>1.2522445E-3</v>
      </c>
      <c r="G1311" s="687">
        <v>1.3631590000000001E-3</v>
      </c>
      <c r="H1311" s="216">
        <v>205.19990462499999</v>
      </c>
    </row>
    <row r="1312" spans="2:8" ht="21.95" customHeight="1" x14ac:dyDescent="0.2">
      <c r="B1312" s="143" t="s">
        <v>23</v>
      </c>
      <c r="C1312" s="143">
        <v>75</v>
      </c>
      <c r="D1312" s="143">
        <v>2049</v>
      </c>
      <c r="E1312" s="687">
        <v>4.3039931500000001E-3</v>
      </c>
      <c r="F1312" s="687">
        <v>1.2488079999999999E-3</v>
      </c>
      <c r="G1312" s="687">
        <v>1.3603095E-3</v>
      </c>
      <c r="H1312" s="216">
        <v>204.7708297625</v>
      </c>
    </row>
    <row r="1313" spans="2:8" ht="21.95" customHeight="1" x14ac:dyDescent="0.2">
      <c r="B1313" s="143" t="s">
        <v>23</v>
      </c>
      <c r="C1313" s="143">
        <v>75</v>
      </c>
      <c r="D1313" s="143">
        <v>2050</v>
      </c>
      <c r="E1313" s="687">
        <v>4.0533545000000001E-3</v>
      </c>
      <c r="F1313" s="687">
        <v>1.2453715000000001E-3</v>
      </c>
      <c r="G1313" s="687">
        <v>1.35746E-3</v>
      </c>
      <c r="H1313" s="216">
        <v>204.34175490000001</v>
      </c>
    </row>
    <row r="1314" spans="2:8" ht="21.95" customHeight="1" x14ac:dyDescent="0.2">
      <c r="B1314" s="143" t="s">
        <v>23</v>
      </c>
      <c r="C1314" s="143">
        <v>75</v>
      </c>
      <c r="D1314" s="143">
        <v>2051</v>
      </c>
      <c r="E1314" s="687">
        <v>4.0083730374999996E-3</v>
      </c>
      <c r="F1314" s="687">
        <v>1.24598615E-3</v>
      </c>
      <c r="G1314" s="687">
        <v>1.3571805000000001E-3</v>
      </c>
      <c r="H1314" s="216">
        <v>204.29972990499999</v>
      </c>
    </row>
    <row r="1315" spans="2:8" ht="21.95" customHeight="1" x14ac:dyDescent="0.2">
      <c r="B1315" s="143" t="s">
        <v>23</v>
      </c>
      <c r="C1315" s="143">
        <v>75</v>
      </c>
      <c r="D1315" s="143">
        <v>2052</v>
      </c>
      <c r="E1315" s="687">
        <v>3.963391575E-3</v>
      </c>
      <c r="F1315" s="687">
        <v>1.2466008000000001E-3</v>
      </c>
      <c r="G1315" s="687">
        <v>1.356901E-3</v>
      </c>
      <c r="H1315" s="216">
        <v>204.25770491</v>
      </c>
    </row>
    <row r="1316" spans="2:8" ht="21.95" customHeight="1" x14ac:dyDescent="0.2">
      <c r="B1316" s="143" t="s">
        <v>23</v>
      </c>
      <c r="C1316" s="143">
        <v>75</v>
      </c>
      <c r="D1316" s="143">
        <v>2053</v>
      </c>
      <c r="E1316" s="687">
        <v>3.9184101125000004E-3</v>
      </c>
      <c r="F1316" s="687">
        <v>1.24721545E-3</v>
      </c>
      <c r="G1316" s="687">
        <v>1.3566215000000001E-3</v>
      </c>
      <c r="H1316" s="216">
        <v>204.21567991500001</v>
      </c>
    </row>
    <row r="1317" spans="2:8" ht="21.95" customHeight="1" x14ac:dyDescent="0.2">
      <c r="B1317" s="143" t="s">
        <v>23</v>
      </c>
      <c r="C1317" s="143">
        <v>75</v>
      </c>
      <c r="D1317" s="143">
        <v>2054</v>
      </c>
      <c r="E1317" s="687">
        <v>3.8734286499999999E-3</v>
      </c>
      <c r="F1317" s="687">
        <v>1.2478300999999999E-3</v>
      </c>
      <c r="G1317" s="687">
        <v>1.356342E-3</v>
      </c>
      <c r="H1317" s="216">
        <v>204.17365491999999</v>
      </c>
    </row>
    <row r="1318" spans="2:8" ht="21.95" customHeight="1" x14ac:dyDescent="0.2">
      <c r="B1318" s="143" t="s">
        <v>23</v>
      </c>
      <c r="C1318" s="143">
        <v>75</v>
      </c>
      <c r="D1318" s="143">
        <v>2055</v>
      </c>
      <c r="E1318" s="687">
        <v>3.8284471874999999E-3</v>
      </c>
      <c r="F1318" s="687">
        <v>1.2484447500000001E-3</v>
      </c>
      <c r="G1318" s="687">
        <v>1.3560625000000001E-3</v>
      </c>
      <c r="H1318" s="216">
        <v>204.131629925</v>
      </c>
    </row>
    <row r="1319" spans="2:8" ht="21.95" customHeight="1" x14ac:dyDescent="0.2">
      <c r="B1319" s="143" t="s">
        <v>23</v>
      </c>
      <c r="C1319" s="143">
        <v>75</v>
      </c>
      <c r="D1319" s="143">
        <v>2056</v>
      </c>
      <c r="E1319" s="687">
        <v>3.7834657249999999E-3</v>
      </c>
      <c r="F1319" s="687">
        <v>1.2490594E-3</v>
      </c>
      <c r="G1319" s="687">
        <v>1.3557829999999999E-3</v>
      </c>
      <c r="H1319" s="216">
        <v>204.08960493000001</v>
      </c>
    </row>
    <row r="1320" spans="2:8" ht="21.95" customHeight="1" x14ac:dyDescent="0.2">
      <c r="B1320" s="143" t="s">
        <v>23</v>
      </c>
      <c r="C1320" s="143">
        <v>75</v>
      </c>
      <c r="D1320" s="143">
        <v>2057</v>
      </c>
      <c r="E1320" s="687">
        <v>3.7384842624999999E-3</v>
      </c>
      <c r="F1320" s="687">
        <v>1.2496740499999999E-3</v>
      </c>
      <c r="G1320" s="687">
        <v>1.3555035E-3</v>
      </c>
      <c r="H1320" s="216">
        <v>204.04757993499999</v>
      </c>
    </row>
    <row r="1321" spans="2:8" ht="21.95" customHeight="1" x14ac:dyDescent="0.2">
      <c r="B1321" s="143" t="s">
        <v>23</v>
      </c>
      <c r="C1321" s="143">
        <v>75</v>
      </c>
      <c r="D1321" s="143">
        <v>2058</v>
      </c>
      <c r="E1321" s="687">
        <v>3.6935027999999998E-3</v>
      </c>
      <c r="F1321" s="687">
        <v>1.2502887E-3</v>
      </c>
      <c r="G1321" s="687">
        <v>1.3552239999999999E-3</v>
      </c>
      <c r="H1321" s="216">
        <v>204.00555494</v>
      </c>
    </row>
    <row r="1322" spans="2:8" ht="21.95" customHeight="1" x14ac:dyDescent="0.2">
      <c r="B1322" s="143" t="s">
        <v>23</v>
      </c>
      <c r="C1322" s="143">
        <v>75</v>
      </c>
      <c r="D1322" s="143">
        <v>2059</v>
      </c>
      <c r="E1322" s="687">
        <v>3.6485213374999998E-3</v>
      </c>
      <c r="F1322" s="687">
        <v>1.2509033499999999E-3</v>
      </c>
      <c r="G1322" s="687">
        <v>1.3549445E-3</v>
      </c>
      <c r="H1322" s="216">
        <v>203.963529945</v>
      </c>
    </row>
    <row r="1323" spans="2:8" ht="21.95" customHeight="1" x14ac:dyDescent="0.2">
      <c r="B1323" s="143" t="s">
        <v>23</v>
      </c>
      <c r="C1323" s="143">
        <v>75</v>
      </c>
      <c r="D1323" s="143">
        <v>2060</v>
      </c>
      <c r="E1323" s="687">
        <v>3.6035398750000002E-3</v>
      </c>
      <c r="F1323" s="687">
        <v>1.2515180000000001E-3</v>
      </c>
      <c r="G1323" s="687">
        <v>1.3546649999999999E-3</v>
      </c>
      <c r="H1323" s="216">
        <v>203.92150495000001</v>
      </c>
    </row>
  </sheetData>
  <mergeCells count="2">
    <mergeCell ref="B2:D2"/>
    <mergeCell ref="O12:O41"/>
  </mergeCells>
  <phoneticPr fontId="48" type="noConversion"/>
  <hyperlinks>
    <hyperlink ref="B2" location="Emissions!A1" display="Back to Emissions Tab" xr:uid="{B3623E27-51C6-4AEE-9A55-16BB129A8BCF}"/>
  </hyperlinks>
  <pageMargins left="0.7" right="0.7" top="0.75" bottom="0.75" header="0.3" footer="0.3"/>
  <pageSetup orientation="portrait" horizontalDpi="90" verticalDpi="90"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381B7-3FA5-4460-A5C1-F27F6C841614}">
  <sheetPr codeName="Sheet7">
    <tabColor theme="1"/>
  </sheetPr>
  <dimension ref="A2:AR147"/>
  <sheetViews>
    <sheetView showGridLines="0" tabSelected="1" zoomScale="85" zoomScaleNormal="85" workbookViewId="0">
      <selection activeCell="B26" sqref="B26"/>
    </sheetView>
  </sheetViews>
  <sheetFormatPr defaultColWidth="11.625" defaultRowHeight="21.95" customHeight="1" x14ac:dyDescent="0.2"/>
  <cols>
    <col min="1" max="1" width="3.375" customWidth="1"/>
    <col min="2" max="2" width="68.25" bestFit="1" customWidth="1"/>
    <col min="3" max="3" width="23.625" bestFit="1" customWidth="1"/>
    <col min="4" max="4" width="17.125" bestFit="1" customWidth="1"/>
    <col min="5" max="5" width="16.75" style="2" bestFit="1" customWidth="1"/>
    <col min="6" max="7" width="15.75" style="2" customWidth="1"/>
    <col min="8" max="8" width="27.5" style="2" bestFit="1" customWidth="1"/>
    <col min="9" max="9" width="15.75" style="2" customWidth="1"/>
    <col min="10" max="12" width="15.75" customWidth="1"/>
    <col min="13" max="13" width="17.125" bestFit="1" customWidth="1"/>
    <col min="14" max="14" width="39.25" bestFit="1" customWidth="1"/>
    <col min="15" max="15" width="15.75" customWidth="1"/>
    <col min="16" max="16" width="17.125" bestFit="1" customWidth="1"/>
    <col min="17" max="30" width="15.75" customWidth="1"/>
    <col min="31" max="43" width="13.125" customWidth="1"/>
  </cols>
  <sheetData>
    <row r="2" spans="1:16" ht="21.95" customHeight="1" x14ac:dyDescent="0.2">
      <c r="B2" s="242" t="s">
        <v>59</v>
      </c>
    </row>
    <row r="3" spans="1:16" ht="21.95" customHeight="1" x14ac:dyDescent="0.2">
      <c r="B3" s="10"/>
    </row>
    <row r="4" spans="1:16" ht="11.1" customHeight="1" x14ac:dyDescent="0.2">
      <c r="B4" s="248"/>
      <c r="C4" s="249"/>
      <c r="D4" s="250"/>
    </row>
    <row r="5" spans="1:16" ht="21.95" customHeight="1" x14ac:dyDescent="0.2">
      <c r="A5" s="31"/>
      <c r="B5" s="728" t="s">
        <v>93</v>
      </c>
      <c r="C5" s="729"/>
      <c r="D5" s="730"/>
      <c r="E5"/>
      <c r="F5" s="243" t="s">
        <v>123</v>
      </c>
      <c r="G5"/>
      <c r="H5"/>
      <c r="J5" s="2"/>
      <c r="K5" s="2"/>
      <c r="L5" s="2"/>
      <c r="M5" s="2"/>
    </row>
    <row r="6" spans="1:16" ht="21.75" customHeight="1" x14ac:dyDescent="0.2">
      <c r="B6" s="728"/>
      <c r="C6" s="729"/>
      <c r="D6" s="730"/>
      <c r="E6"/>
      <c r="F6" s="263" t="s">
        <v>117</v>
      </c>
      <c r="G6" s="264"/>
      <c r="H6" s="264"/>
      <c r="I6" s="265" t="s">
        <v>122</v>
      </c>
      <c r="J6" s="266"/>
      <c r="K6" s="64"/>
      <c r="L6" s="734" t="s">
        <v>118</v>
      </c>
      <c r="M6" s="734"/>
      <c r="N6" s="145"/>
      <c r="O6" s="64" t="s">
        <v>119</v>
      </c>
      <c r="P6" s="45"/>
    </row>
    <row r="7" spans="1:16" ht="21.95" customHeight="1" x14ac:dyDescent="0.2">
      <c r="B7" s="251" t="s">
        <v>128</v>
      </c>
      <c r="C7" s="252"/>
      <c r="D7" s="253"/>
      <c r="F7" s="731">
        <f>D43</f>
        <v>3.0151113321542349</v>
      </c>
      <c r="G7" s="267"/>
      <c r="H7" s="267"/>
      <c r="I7" s="732">
        <f>F42</f>
        <v>157554864.12003583</v>
      </c>
      <c r="J7" s="733"/>
      <c r="K7" s="159"/>
      <c r="L7" s="732">
        <f>F40</f>
        <v>181886514.06003579</v>
      </c>
      <c r="M7" s="732"/>
      <c r="N7" s="160"/>
      <c r="O7" s="732">
        <f>F41</f>
        <v>60324974.444668889</v>
      </c>
      <c r="P7" s="732"/>
    </row>
    <row r="8" spans="1:16" ht="21.95" customHeight="1" x14ac:dyDescent="0.2">
      <c r="B8" s="254" t="str" cm="1">
        <f t="array" ref="B8:B13">Inputs!C6:C11</f>
        <v>Base Year</v>
      </c>
      <c r="C8" s="255"/>
      <c r="D8" s="256" cm="1">
        <f t="array" ref="D8:D13">Inputs!H6:H11</f>
        <v>2022</v>
      </c>
      <c r="F8" s="731"/>
      <c r="G8" s="268"/>
      <c r="H8" s="268"/>
      <c r="I8" s="732"/>
      <c r="J8" s="733"/>
      <c r="K8" s="161"/>
      <c r="L8" s="732"/>
      <c r="M8" s="732"/>
      <c r="N8" s="161"/>
      <c r="O8" s="732"/>
      <c r="P8" s="732"/>
    </row>
    <row r="9" spans="1:16" ht="21.95" customHeight="1" x14ac:dyDescent="0.2">
      <c r="B9" s="254" t="str">
        <v>Construction Start</v>
      </c>
      <c r="C9" s="255"/>
      <c r="D9" s="256">
        <v>2025</v>
      </c>
      <c r="F9" s="269" t="s">
        <v>505</v>
      </c>
      <c r="G9" s="270">
        <f>D43</f>
        <v>3.0151113321542349</v>
      </c>
      <c r="H9" s="270"/>
      <c r="I9" s="271" t="s">
        <v>505</v>
      </c>
      <c r="J9" s="272">
        <f>D42</f>
        <v>157554864.12003583</v>
      </c>
      <c r="K9" s="40"/>
      <c r="L9" s="157" t="s">
        <v>505</v>
      </c>
      <c r="M9" s="29">
        <f>D40</f>
        <v>181886514.06003579</v>
      </c>
      <c r="N9" s="40"/>
      <c r="O9" s="157" t="s">
        <v>505</v>
      </c>
      <c r="P9" s="29">
        <f>D40</f>
        <v>181886514.06003579</v>
      </c>
    </row>
    <row r="10" spans="1:16" ht="21.95" customHeight="1" x14ac:dyDescent="0.2">
      <c r="B10" s="257" t="str">
        <v>Construction End</v>
      </c>
      <c r="C10" s="255"/>
      <c r="D10" s="256">
        <v>2027</v>
      </c>
      <c r="F10" s="157"/>
      <c r="G10" s="20"/>
      <c r="H10" s="20"/>
      <c r="I10" s="158"/>
      <c r="J10" s="29"/>
      <c r="K10" s="40"/>
      <c r="L10" s="158"/>
      <c r="M10" s="29"/>
      <c r="N10" s="40"/>
      <c r="O10" s="158"/>
      <c r="P10" s="29"/>
    </row>
    <row r="11" spans="1:16" ht="21.95" customHeight="1" x14ac:dyDescent="0.2">
      <c r="B11" s="257" t="str">
        <v>Construction Duration</v>
      </c>
      <c r="C11" s="255"/>
      <c r="D11" s="256">
        <v>3</v>
      </c>
      <c r="F11" s="149"/>
      <c r="G11" s="20"/>
      <c r="H11" s="20"/>
      <c r="I11" s="146"/>
      <c r="J11" s="29"/>
      <c r="K11" s="40"/>
      <c r="L11" s="146"/>
      <c r="M11" s="29"/>
      <c r="N11" s="40"/>
      <c r="O11" s="146"/>
      <c r="P11" s="29"/>
    </row>
    <row r="12" spans="1:16" ht="21.95" customHeight="1" x14ac:dyDescent="0.2">
      <c r="B12" s="254" t="str">
        <v>Years of Full Benefits</v>
      </c>
      <c r="C12" s="255"/>
      <c r="D12" s="256">
        <v>20</v>
      </c>
      <c r="F12" s="150"/>
      <c r="G12" s="20"/>
      <c r="H12" s="20"/>
      <c r="I12" s="147"/>
      <c r="J12" s="29"/>
      <c r="K12" s="40"/>
      <c r="L12" s="147"/>
      <c r="M12" s="29"/>
      <c r="N12" s="40"/>
      <c r="O12" s="147"/>
      <c r="P12" s="29"/>
    </row>
    <row r="13" spans="1:16" ht="21.95" customHeight="1" x14ac:dyDescent="0.2">
      <c r="B13" s="254" t="str">
        <v>Study Duration</v>
      </c>
      <c r="C13" s="255"/>
      <c r="D13" s="256">
        <v>26</v>
      </c>
      <c r="F13" s="151" t="s">
        <v>132</v>
      </c>
      <c r="G13" s="20"/>
      <c r="H13" s="20"/>
      <c r="I13" s="147"/>
      <c r="J13" s="148" t="s">
        <v>173</v>
      </c>
      <c r="L13" s="147"/>
      <c r="M13" s="2"/>
      <c r="N13" s="40"/>
      <c r="O13" s="147"/>
      <c r="P13" s="29"/>
    </row>
    <row r="14" spans="1:16" ht="21.95" customHeight="1" x14ac:dyDescent="0.2">
      <c r="B14" s="254"/>
      <c r="C14" s="255"/>
      <c r="D14" s="256"/>
      <c r="E14"/>
      <c r="G14" s="20"/>
      <c r="H14" s="20"/>
      <c r="I14" s="147"/>
      <c r="L14" s="147"/>
      <c r="M14" s="29"/>
      <c r="N14" s="40"/>
      <c r="O14" s="147"/>
      <c r="P14" s="29"/>
    </row>
    <row r="15" spans="1:16" ht="21.95" customHeight="1" x14ac:dyDescent="0.2">
      <c r="B15" s="251" t="s">
        <v>258</v>
      </c>
      <c r="C15" s="252"/>
      <c r="D15" s="258"/>
      <c r="F15" s="147"/>
      <c r="G15" s="20"/>
      <c r="H15" s="20"/>
      <c r="I15" s="147"/>
      <c r="J15" s="29"/>
      <c r="K15" s="40"/>
      <c r="L15" s="147"/>
      <c r="M15" s="29"/>
      <c r="N15" s="40"/>
      <c r="O15" s="147"/>
      <c r="P15" s="29"/>
    </row>
    <row r="16" spans="1:16" ht="21.95" customHeight="1" x14ac:dyDescent="0.2">
      <c r="B16" s="257" t="s">
        <v>94</v>
      </c>
      <c r="C16" s="62"/>
      <c r="D16" s="259">
        <f>discount</f>
        <v>7.0000000000000007E-2</v>
      </c>
      <c r="F16" s="147"/>
      <c r="G16" s="20"/>
      <c r="H16" s="20"/>
      <c r="I16" s="147"/>
      <c r="J16" s="29"/>
      <c r="K16" s="40"/>
      <c r="L16" s="147"/>
      <c r="M16" s="29"/>
      <c r="N16" s="40"/>
      <c r="O16" s="147"/>
      <c r="P16" s="29"/>
    </row>
    <row r="17" spans="1:20" ht="21.95" customHeight="1" x14ac:dyDescent="0.2">
      <c r="B17" s="257" t="s">
        <v>95</v>
      </c>
      <c r="C17" s="62"/>
      <c r="D17" s="259">
        <f>discountCO2</f>
        <v>0.03</v>
      </c>
      <c r="F17" s="147"/>
      <c r="G17" s="20"/>
      <c r="H17" s="20"/>
      <c r="I17" s="147"/>
      <c r="J17" s="29"/>
      <c r="K17" s="40"/>
      <c r="L17" s="147"/>
      <c r="M17" s="29"/>
      <c r="N17" s="40"/>
      <c r="O17" s="147"/>
      <c r="P17" s="29"/>
    </row>
    <row r="18" spans="1:20" ht="21.95" customHeight="1" x14ac:dyDescent="0.2">
      <c r="B18" s="260"/>
      <c r="C18" s="261"/>
      <c r="D18" s="262"/>
      <c r="F18" s="147"/>
      <c r="G18" s="20"/>
      <c r="H18" s="20"/>
      <c r="I18" s="147"/>
      <c r="J18" s="29"/>
      <c r="K18" s="40"/>
      <c r="L18" s="147"/>
      <c r="M18" s="29"/>
      <c r="N18" s="40"/>
      <c r="O18" s="147"/>
      <c r="P18" s="29"/>
    </row>
    <row r="19" spans="1:20" ht="21.95" customHeight="1" x14ac:dyDescent="0.2">
      <c r="F19" s="147"/>
      <c r="G19" s="20"/>
      <c r="H19" s="20"/>
      <c r="I19" s="147"/>
      <c r="J19" s="29"/>
      <c r="K19" s="40"/>
      <c r="L19" s="147"/>
      <c r="M19" s="29"/>
      <c r="N19" s="40"/>
      <c r="O19" s="147"/>
      <c r="P19" s="29"/>
    </row>
    <row r="20" spans="1:20" ht="21.95" customHeight="1" x14ac:dyDescent="0.2">
      <c r="F20" s="147"/>
      <c r="G20" s="20"/>
      <c r="H20" s="20"/>
      <c r="I20" s="147"/>
      <c r="J20" s="29"/>
      <c r="K20" s="40"/>
      <c r="L20" s="147"/>
      <c r="M20" s="29"/>
      <c r="N20" s="40"/>
      <c r="O20" s="147"/>
      <c r="P20" s="29"/>
    </row>
    <row r="21" spans="1:20" ht="21.95" customHeight="1" x14ac:dyDescent="0.2">
      <c r="F21" s="147"/>
      <c r="G21" s="20"/>
      <c r="H21" s="20"/>
      <c r="I21" s="147"/>
      <c r="J21" s="29"/>
      <c r="K21" s="40"/>
      <c r="L21" s="147"/>
      <c r="M21" s="29"/>
      <c r="N21" s="40"/>
      <c r="O21" s="147"/>
      <c r="P21" s="29"/>
    </row>
    <row r="22" spans="1:20" ht="21.95" customHeight="1" x14ac:dyDescent="0.2">
      <c r="F22" s="147"/>
      <c r="G22" s="20"/>
      <c r="H22" s="20"/>
      <c r="I22" s="147"/>
      <c r="J22" s="29"/>
      <c r="K22" s="40"/>
      <c r="L22" s="147"/>
      <c r="M22" s="29"/>
      <c r="N22" s="40"/>
      <c r="O22" s="147"/>
      <c r="P22" s="29"/>
    </row>
    <row r="23" spans="1:20" ht="21.95" customHeight="1" x14ac:dyDescent="0.2">
      <c r="F23" s="147"/>
      <c r="G23" s="20"/>
      <c r="H23" s="20"/>
      <c r="J23" s="29"/>
      <c r="K23" s="40"/>
      <c r="L23" s="147"/>
      <c r="M23" s="29"/>
      <c r="N23" s="40"/>
      <c r="O23" s="147"/>
      <c r="P23" s="29"/>
    </row>
    <row r="24" spans="1:20" ht="21.95" customHeight="1" x14ac:dyDescent="0.2">
      <c r="F24" s="147"/>
      <c r="G24" s="20"/>
      <c r="H24" s="20"/>
      <c r="I24" s="147"/>
      <c r="J24" s="29"/>
      <c r="K24" s="40"/>
      <c r="L24" s="147"/>
      <c r="M24" s="29"/>
      <c r="N24" s="40"/>
      <c r="O24" s="147"/>
      <c r="P24" s="29"/>
    </row>
    <row r="25" spans="1:20" ht="21.95" customHeight="1" x14ac:dyDescent="0.2">
      <c r="F25" s="147"/>
      <c r="G25" s="20"/>
      <c r="H25" s="20"/>
      <c r="I25" s="147"/>
      <c r="J25" s="29"/>
      <c r="K25" s="40"/>
      <c r="L25" s="147"/>
      <c r="M25" s="29"/>
      <c r="N25" s="40"/>
      <c r="O25" s="147"/>
      <c r="P25" s="29"/>
    </row>
    <row r="26" spans="1:20" ht="21.95" customHeight="1" x14ac:dyDescent="0.2">
      <c r="F26" s="147"/>
      <c r="G26" s="20"/>
      <c r="H26" s="20"/>
      <c r="I26" s="147"/>
      <c r="J26" s="29"/>
      <c r="K26" s="40"/>
      <c r="L26" s="147"/>
      <c r="M26" s="29"/>
      <c r="N26" s="40"/>
      <c r="O26" s="147"/>
      <c r="P26" s="29"/>
    </row>
    <row r="27" spans="1:20" ht="21.75" customHeight="1" x14ac:dyDescent="0.2">
      <c r="F27"/>
      <c r="G27"/>
      <c r="H27"/>
      <c r="I27"/>
      <c r="J27" s="40"/>
      <c r="K27" s="40"/>
      <c r="L27" s="40"/>
      <c r="M27" s="40"/>
      <c r="N27" s="40"/>
      <c r="O27" s="40"/>
      <c r="P27" s="40"/>
    </row>
    <row r="28" spans="1:20" ht="11.1" customHeight="1" x14ac:dyDescent="0.2"/>
    <row r="29" spans="1:20" ht="21.95" customHeight="1" x14ac:dyDescent="0.2">
      <c r="B29" s="39"/>
      <c r="C29" s="40"/>
      <c r="D29" s="40"/>
      <c r="E29" s="40"/>
      <c r="F29" s="40"/>
      <c r="G29" s="40"/>
      <c r="H29" s="40"/>
      <c r="I29" s="40"/>
      <c r="J29" s="40"/>
      <c r="K29" s="40"/>
      <c r="L29" s="40"/>
    </row>
    <row r="30" spans="1:20" ht="21.95" customHeight="1" x14ac:dyDescent="0.2">
      <c r="A30" s="244"/>
      <c r="B30" s="245" t="s">
        <v>68</v>
      </c>
      <c r="C30" s="246"/>
      <c r="D30" s="2"/>
    </row>
    <row r="31" spans="1:20" ht="21.95" customHeight="1" x14ac:dyDescent="0.2">
      <c r="C31" s="2"/>
      <c r="D31" s="2"/>
    </row>
    <row r="32" spans="1:20" ht="21.95" customHeight="1" x14ac:dyDescent="0.2">
      <c r="B32" s="247" t="s">
        <v>613</v>
      </c>
      <c r="E32"/>
      <c r="F32"/>
      <c r="G32"/>
      <c r="H32" s="247" t="s">
        <v>614</v>
      </c>
      <c r="I32"/>
      <c r="N32" s="247" t="s">
        <v>619</v>
      </c>
      <c r="T32" s="294" t="s">
        <v>502</v>
      </c>
    </row>
    <row r="33" spans="2:20" ht="21.95" customHeight="1" x14ac:dyDescent="0.2">
      <c r="B33" s="346"/>
      <c r="C33" s="347"/>
      <c r="D33" s="347" t="s">
        <v>505</v>
      </c>
      <c r="E33" s="347"/>
      <c r="F33" s="348" t="s">
        <v>26</v>
      </c>
      <c r="H33" s="346"/>
      <c r="I33" s="347"/>
      <c r="J33" s="347" t="s">
        <v>505</v>
      </c>
      <c r="K33" s="347"/>
      <c r="L33" s="348" t="s">
        <v>26</v>
      </c>
      <c r="N33" s="346"/>
      <c r="O33" s="348"/>
      <c r="P33" s="304" t="s">
        <v>505</v>
      </c>
      <c r="Q33" s="304"/>
      <c r="R33" s="304"/>
      <c r="T33" s="304" t="s">
        <v>26</v>
      </c>
    </row>
    <row r="34" spans="2:20" ht="21.95" customHeight="1" x14ac:dyDescent="0.2">
      <c r="B34" s="735" t="s">
        <v>60</v>
      </c>
      <c r="C34" s="751"/>
      <c r="D34" s="275"/>
      <c r="E34" s="143"/>
      <c r="F34" s="276"/>
      <c r="H34" s="735" t="s">
        <v>60</v>
      </c>
      <c r="I34" s="751"/>
      <c r="J34" s="275"/>
      <c r="K34" s="143"/>
      <c r="L34" s="295"/>
      <c r="N34" s="735" t="s">
        <v>60</v>
      </c>
      <c r="O34" s="736"/>
      <c r="P34" s="306"/>
      <c r="Q34" s="307"/>
      <c r="R34" s="307"/>
      <c r="T34" s="307"/>
    </row>
    <row r="35" spans="2:20" ht="21.95" customHeight="1" x14ac:dyDescent="0.2">
      <c r="B35" s="737" t="s">
        <v>18</v>
      </c>
      <c r="C35" s="752"/>
      <c r="D35" s="278">
        <f>E101</f>
        <v>16743177.625827663</v>
      </c>
      <c r="E35" s="278"/>
      <c r="F35" s="279">
        <f>D35</f>
        <v>16743177.625827663</v>
      </c>
      <c r="H35" s="737" t="s">
        <v>18</v>
      </c>
      <c r="I35" s="752"/>
      <c r="J35" s="278">
        <f>E65</f>
        <v>45884777.079027981</v>
      </c>
      <c r="K35" s="278"/>
      <c r="L35" s="279">
        <f>E54</f>
        <v>45884777.079027981</v>
      </c>
      <c r="N35" s="737" t="s">
        <v>18</v>
      </c>
      <c r="O35" s="738"/>
      <c r="P35" s="308">
        <f>D35/1000000</f>
        <v>16.743177625827663</v>
      </c>
      <c r="Q35" s="308"/>
      <c r="R35" s="308"/>
      <c r="T35" s="324">
        <f>L35/1000000</f>
        <v>45.884777079027984</v>
      </c>
    </row>
    <row r="36" spans="2:20" ht="21.95" customHeight="1" x14ac:dyDescent="0.2">
      <c r="B36" s="737" t="s">
        <v>19</v>
      </c>
      <c r="C36" s="752"/>
      <c r="D36" s="278">
        <f>E102</f>
        <v>155296997.67875656</v>
      </c>
      <c r="E36" s="278"/>
      <c r="F36" s="279">
        <f>E91</f>
        <v>155296997.67875656</v>
      </c>
      <c r="H36" s="737" t="s">
        <v>19</v>
      </c>
      <c r="I36" s="752"/>
      <c r="J36" s="278">
        <f>E66</f>
        <v>497901940.25386292</v>
      </c>
      <c r="K36" s="278"/>
      <c r="L36" s="279">
        <f>E55</f>
        <v>497901940.25386292</v>
      </c>
      <c r="N36" s="737" t="s">
        <v>19</v>
      </c>
      <c r="O36" s="738"/>
      <c r="P36" s="308">
        <f t="shared" ref="P36:P39" si="0">D36/1000000</f>
        <v>155.29699767875655</v>
      </c>
      <c r="Q36" s="723"/>
      <c r="R36" s="308"/>
      <c r="T36" s="324">
        <f t="shared" ref="T36:T42" si="1">L36/1000000</f>
        <v>497.9019402538629</v>
      </c>
    </row>
    <row r="37" spans="2:20" ht="21.95" customHeight="1" x14ac:dyDescent="0.2">
      <c r="B37" s="737" t="s">
        <v>314</v>
      </c>
      <c r="C37" s="752"/>
      <c r="D37" s="278">
        <f>(E103+E104)</f>
        <v>917021.84375982359</v>
      </c>
      <c r="E37" s="278"/>
      <c r="F37" s="279">
        <f t="shared" ref="F37:F43" si="2">D37</f>
        <v>917021.84375982359</v>
      </c>
      <c r="H37" s="737" t="s">
        <v>314</v>
      </c>
      <c r="I37" s="752"/>
      <c r="J37" s="278">
        <f>E67  + E68</f>
        <v>1922786.9436712842</v>
      </c>
      <c r="K37" s="278"/>
      <c r="L37" s="279">
        <f>E56 + E57</f>
        <v>6687337.7360236943</v>
      </c>
      <c r="N37" s="737" t="s">
        <v>314</v>
      </c>
      <c r="O37" s="738"/>
      <c r="P37" s="308">
        <f t="shared" si="0"/>
        <v>0.91702184375982354</v>
      </c>
      <c r="Q37" s="308"/>
      <c r="R37" s="308"/>
      <c r="T37" s="324">
        <f t="shared" si="1"/>
        <v>6.6873377360236939</v>
      </c>
    </row>
    <row r="38" spans="2:20" ht="21.95" customHeight="1" x14ac:dyDescent="0.2">
      <c r="B38" s="737" t="s">
        <v>337</v>
      </c>
      <c r="C38" s="752"/>
      <c r="D38" s="278">
        <f>E105</f>
        <v>840344.87871175271</v>
      </c>
      <c r="E38" s="278"/>
      <c r="F38" s="279">
        <f t="shared" si="2"/>
        <v>840344.87871175271</v>
      </c>
      <c r="H38" s="737" t="s">
        <v>337</v>
      </c>
      <c r="I38" s="752"/>
      <c r="J38" s="278" t="str">
        <f t="shared" ref="J38:J42" si="3">E69</f>
        <v xml:space="preserve"> </v>
      </c>
      <c r="K38" s="278"/>
      <c r="L38" s="279">
        <f t="shared" ref="L38:L42" si="4">E58</f>
        <v>303076.80000000028</v>
      </c>
      <c r="N38" s="737" t="s">
        <v>337</v>
      </c>
      <c r="O38" s="738"/>
      <c r="P38" s="308">
        <f t="shared" si="0"/>
        <v>0.84034487871175267</v>
      </c>
      <c r="Q38" s="308"/>
      <c r="R38" s="308"/>
      <c r="T38" s="324">
        <f t="shared" si="1"/>
        <v>0.30307680000000026</v>
      </c>
    </row>
    <row r="39" spans="2:20" ht="21.95" customHeight="1" x14ac:dyDescent="0.2">
      <c r="B39" s="739" t="s">
        <v>20</v>
      </c>
      <c r="C39" s="753"/>
      <c r="D39" s="281">
        <f>E106</f>
        <v>7083206.1398240654</v>
      </c>
      <c r="E39" s="281"/>
      <c r="F39" s="279">
        <f t="shared" si="2"/>
        <v>7083206.1398240654</v>
      </c>
      <c r="H39" s="739" t="s">
        <v>20</v>
      </c>
      <c r="I39" s="753"/>
      <c r="J39" s="281">
        <f t="shared" si="3"/>
        <v>38443624.200000003</v>
      </c>
      <c r="K39" s="281"/>
      <c r="L39" s="296">
        <f t="shared" si="4"/>
        <v>38443624.200000003</v>
      </c>
      <c r="N39" s="739" t="s">
        <v>20</v>
      </c>
      <c r="O39" s="740"/>
      <c r="P39" s="308">
        <f t="shared" si="0"/>
        <v>7.0832061398240658</v>
      </c>
      <c r="Q39" s="308"/>
      <c r="R39" s="308"/>
      <c r="T39" s="324">
        <f t="shared" si="1"/>
        <v>38.443624200000002</v>
      </c>
    </row>
    <row r="40" spans="2:20" ht="21.95" customHeight="1" x14ac:dyDescent="0.2">
      <c r="B40" s="741" t="s">
        <v>63</v>
      </c>
      <c r="C40" s="754"/>
      <c r="D40" s="282">
        <f t="shared" ref="D40:D42" si="5">E107</f>
        <v>181886514.06003579</v>
      </c>
      <c r="E40" s="282"/>
      <c r="F40" s="279">
        <f t="shared" si="2"/>
        <v>181886514.06003579</v>
      </c>
      <c r="H40" s="741" t="s">
        <v>63</v>
      </c>
      <c r="I40" s="754"/>
      <c r="J40" s="282">
        <f t="shared" si="3"/>
        <v>89396028.871380419</v>
      </c>
      <c r="K40" s="282"/>
      <c r="L40" s="297">
        <f t="shared" si="4"/>
        <v>89396028.871380419</v>
      </c>
      <c r="N40" s="741" t="s">
        <v>63</v>
      </c>
      <c r="O40" s="742"/>
      <c r="P40" s="310">
        <f t="shared" ref="P40:P42" si="6">D40/1000000</f>
        <v>181.88651406003581</v>
      </c>
      <c r="Q40" s="310"/>
      <c r="R40" s="310"/>
      <c r="T40" s="324">
        <f t="shared" si="1"/>
        <v>89.396028871380423</v>
      </c>
    </row>
    <row r="41" spans="2:20" ht="21.95" customHeight="1" x14ac:dyDescent="0.2">
      <c r="B41" s="758" t="s">
        <v>64</v>
      </c>
      <c r="C41" s="759"/>
      <c r="D41" s="283">
        <f>E108</f>
        <v>60324974.444668889</v>
      </c>
      <c r="E41" s="284"/>
      <c r="F41" s="279">
        <f t="shared" si="2"/>
        <v>60324974.444668889</v>
      </c>
      <c r="H41" s="735" t="s">
        <v>64</v>
      </c>
      <c r="I41" s="751"/>
      <c r="J41" s="284">
        <f t="shared" si="3"/>
        <v>76224748.5</v>
      </c>
      <c r="K41" s="284"/>
      <c r="L41" s="298">
        <f>E61</f>
        <v>76224748.5</v>
      </c>
      <c r="N41" s="735" t="s">
        <v>64</v>
      </c>
      <c r="O41" s="736"/>
      <c r="P41" s="310">
        <f t="shared" si="6"/>
        <v>60.324974444668889</v>
      </c>
      <c r="Q41" s="310"/>
      <c r="R41" s="310"/>
      <c r="T41" s="324">
        <f t="shared" si="1"/>
        <v>76.224748500000004</v>
      </c>
    </row>
    <row r="42" spans="2:20" ht="21.95" customHeight="1" x14ac:dyDescent="0.2">
      <c r="B42" s="735" t="s">
        <v>121</v>
      </c>
      <c r="C42" s="751"/>
      <c r="D42" s="284">
        <f t="shared" si="5"/>
        <v>157554864.12003583</v>
      </c>
      <c r="E42" s="284"/>
      <c r="F42" s="279">
        <f t="shared" si="2"/>
        <v>157554864.12003583</v>
      </c>
      <c r="H42" s="735" t="s">
        <v>121</v>
      </c>
      <c r="I42" s="751"/>
      <c r="J42" s="284">
        <f t="shared" si="3"/>
        <v>65064378.931380406</v>
      </c>
      <c r="K42" s="284"/>
      <c r="L42" s="298">
        <f t="shared" si="4"/>
        <v>65064378.931380406</v>
      </c>
      <c r="N42" s="735" t="s">
        <v>121</v>
      </c>
      <c r="O42" s="736"/>
      <c r="P42" s="310">
        <f t="shared" si="6"/>
        <v>157.55486412003583</v>
      </c>
      <c r="Q42" s="310"/>
      <c r="R42" s="310"/>
      <c r="T42" s="324">
        <f t="shared" si="1"/>
        <v>65.064378931380404</v>
      </c>
    </row>
    <row r="43" spans="2:20" ht="21.95" customHeight="1" x14ac:dyDescent="0.2">
      <c r="B43" s="743" t="s">
        <v>116</v>
      </c>
      <c r="C43" s="755"/>
      <c r="D43" s="286">
        <f>D40/D41</f>
        <v>3.0151113321542349</v>
      </c>
      <c r="E43" s="286"/>
      <c r="F43" s="287">
        <f t="shared" si="2"/>
        <v>3.0151113321542349</v>
      </c>
      <c r="H43" s="743" t="s">
        <v>116</v>
      </c>
      <c r="I43" s="755"/>
      <c r="J43" s="286">
        <f>J40/J41</f>
        <v>1.1727953273782257</v>
      </c>
      <c r="K43" s="286"/>
      <c r="L43" s="299">
        <f>L40/L41</f>
        <v>1.1727953273782257</v>
      </c>
      <c r="N43" s="743" t="s">
        <v>116</v>
      </c>
      <c r="O43" s="744"/>
      <c r="P43" s="312">
        <f>P40/P41</f>
        <v>3.0151113321542353</v>
      </c>
      <c r="Q43" s="312"/>
      <c r="R43" s="313"/>
      <c r="T43" s="325">
        <f>L43</f>
        <v>1.1727953273782257</v>
      </c>
    </row>
    <row r="44" spans="2:20" ht="21.95" customHeight="1" x14ac:dyDescent="0.2">
      <c r="B44" s="756" t="s">
        <v>71</v>
      </c>
      <c r="C44" s="757"/>
      <c r="D44" s="288"/>
      <c r="E44" s="288"/>
      <c r="F44" s="289" cm="1">
        <f t="array" ref="F44">IFERROR(COUNTIFS(F99:AQ99, "&lt;= 0") - INDEX(_xlfn._xlws.FILTER(F99:AQ99,F99:AQ99 &lt;= 0), 1, COUNTIFS(F99:AQ99, "&lt;= 0")) / INDEX(_xlfn._xlws.FILTER(F98:AQ98,F99:AQ99 &gt; 0), 1, 1), "N/A")</f>
        <v>6.8310458597779107</v>
      </c>
      <c r="H44" s="756" t="s">
        <v>71</v>
      </c>
      <c r="I44" s="757"/>
      <c r="J44" s="300"/>
      <c r="K44" s="300"/>
      <c r="L44" s="301" cm="1">
        <f t="array" ref="L44">IFERROR(COUNTIFS(F63:AP63, "&lt;= 0") - INDEX(_xlfn._xlws.FILTER(F63:AP63, F63:AP63 &lt;= 0), 1, COUNTIFS(F63:AP63, "&lt;= 0")) / INDEX(_xlfn._xlws.FILTER(F62:AP62, F63:AP63 &gt; 0), 1, 1), "N/A")</f>
        <v>9.7501369371966327</v>
      </c>
      <c r="N44" s="745" t="s">
        <v>71</v>
      </c>
      <c r="O44" s="746"/>
      <c r="P44" s="315"/>
      <c r="Q44" s="315"/>
      <c r="R44" s="315"/>
      <c r="T44" s="325">
        <f t="shared" ref="T44:T45" si="7">L44</f>
        <v>9.7501369371966327</v>
      </c>
    </row>
    <row r="45" spans="2:20" ht="21.95" customHeight="1" x14ac:dyDescent="0.2">
      <c r="B45" s="749" t="s">
        <v>69</v>
      </c>
      <c r="C45" s="750"/>
      <c r="D45" s="292"/>
      <c r="E45" s="292"/>
      <c r="F45" s="293">
        <f>IFERROR(F42/F41, 0)</f>
        <v>2.6117684353857102</v>
      </c>
      <c r="H45" s="737" t="s">
        <v>69</v>
      </c>
      <c r="I45" s="752"/>
      <c r="J45" s="302"/>
      <c r="K45" s="302"/>
      <c r="L45" s="303">
        <f t="shared" ref="L45" si="8">IFERROR(L42/L41, 0)</f>
        <v>0.85358600994767997</v>
      </c>
      <c r="N45" s="747" t="s">
        <v>69</v>
      </c>
      <c r="O45" s="748"/>
      <c r="P45" s="316"/>
      <c r="Q45" s="316"/>
      <c r="R45" s="317">
        <f>D45</f>
        <v>0</v>
      </c>
      <c r="T45" s="326">
        <f t="shared" si="7"/>
        <v>0.85358600994767997</v>
      </c>
    </row>
    <row r="46" spans="2:20" ht="21.95" customHeight="1" x14ac:dyDescent="0.2">
      <c r="E46"/>
      <c r="F46"/>
      <c r="G46"/>
      <c r="H46" s="749" t="s">
        <v>70</v>
      </c>
      <c r="I46" s="750"/>
      <c r="J46" s="292"/>
      <c r="K46" s="292"/>
      <c r="L46" s="293">
        <f>IFERROR(IRR(F62:AP62), "N/A")</f>
        <v>0.18328801761737168</v>
      </c>
      <c r="N46" s="749" t="s">
        <v>70</v>
      </c>
      <c r="O46" s="750"/>
      <c r="P46" s="291"/>
      <c r="Q46" s="291"/>
      <c r="R46" s="318">
        <f>L46</f>
        <v>0.18328801761737168</v>
      </c>
      <c r="T46" s="327">
        <f>L46</f>
        <v>0.18328801761737168</v>
      </c>
    </row>
    <row r="47" spans="2:20" ht="21.95" customHeight="1" x14ac:dyDescent="0.2">
      <c r="E47"/>
      <c r="I47"/>
      <c r="J47" s="2"/>
    </row>
    <row r="49" spans="1:31" ht="21.95" customHeight="1" x14ac:dyDescent="0.2">
      <c r="A49" s="244"/>
      <c r="B49" s="245" t="s">
        <v>67</v>
      </c>
      <c r="C49" s="246"/>
    </row>
    <row r="50" spans="1:31" ht="21.95" customHeight="1" x14ac:dyDescent="0.2">
      <c r="B50" s="3"/>
    </row>
    <row r="51" spans="1:31" ht="21.95" customHeight="1" x14ac:dyDescent="0.2">
      <c r="B51" s="247" t="s">
        <v>614</v>
      </c>
    </row>
    <row r="52" spans="1:31" ht="21.95" customHeight="1" x14ac:dyDescent="0.2">
      <c r="B52" s="346"/>
      <c r="C52" s="347"/>
      <c r="D52" s="347"/>
      <c r="E52" s="347" t="s">
        <v>28</v>
      </c>
      <c r="F52" s="347" cm="1">
        <f t="array" ref="F52:AE52">_xlfn.SEQUENCE(1, studyDuration, baseYear)</f>
        <v>2022</v>
      </c>
      <c r="G52" s="347">
        <v>2023</v>
      </c>
      <c r="H52" s="347">
        <v>2024</v>
      </c>
      <c r="I52" s="347">
        <v>2025</v>
      </c>
      <c r="J52" s="347">
        <v>2026</v>
      </c>
      <c r="K52" s="347">
        <v>2027</v>
      </c>
      <c r="L52" s="347">
        <v>2028</v>
      </c>
      <c r="M52" s="347">
        <v>2029</v>
      </c>
      <c r="N52" s="347">
        <v>2030</v>
      </c>
      <c r="O52" s="347">
        <v>2031</v>
      </c>
      <c r="P52" s="347">
        <v>2032</v>
      </c>
      <c r="Q52" s="347">
        <v>2033</v>
      </c>
      <c r="R52" s="347">
        <v>2034</v>
      </c>
      <c r="S52" s="347">
        <v>2035</v>
      </c>
      <c r="T52" s="347">
        <v>2036</v>
      </c>
      <c r="U52" s="347">
        <v>2037</v>
      </c>
      <c r="V52" s="347">
        <v>2038</v>
      </c>
      <c r="W52" s="347">
        <v>2039</v>
      </c>
      <c r="X52" s="347">
        <v>2040</v>
      </c>
      <c r="Y52" s="347">
        <v>2041</v>
      </c>
      <c r="Z52" s="347">
        <v>2042</v>
      </c>
      <c r="AA52" s="347">
        <v>2043</v>
      </c>
      <c r="AB52" s="347">
        <v>2044</v>
      </c>
      <c r="AC52" s="347">
        <v>2045</v>
      </c>
      <c r="AD52" s="347">
        <v>2046</v>
      </c>
      <c r="AE52" s="348">
        <v>2047</v>
      </c>
    </row>
    <row r="53" spans="1:31" ht="21.95" customHeight="1" x14ac:dyDescent="0.2">
      <c r="B53" s="273" t="s">
        <v>26</v>
      </c>
      <c r="C53" s="274" t="s">
        <v>60</v>
      </c>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295"/>
    </row>
    <row r="54" spans="1:31" ht="21.95" customHeight="1" x14ac:dyDescent="0.2">
      <c r="B54" s="277"/>
      <c r="C54" s="143" t="s">
        <v>18</v>
      </c>
      <c r="D54" s="278"/>
      <c r="E54" s="328">
        <f t="shared" ref="E54" si="9">SUM(_xlfn.ANCHORARRAY(F54))</f>
        <v>45884777.079027981</v>
      </c>
      <c r="F54" s="278" cm="1">
        <f t="array" ref="F54:AE54">_xlfn.ANCHORARRAY(Safety!E76)</f>
        <v>0</v>
      </c>
      <c r="G54" s="278">
        <v>0</v>
      </c>
      <c r="H54" s="278">
        <v>0</v>
      </c>
      <c r="I54" s="278">
        <v>0</v>
      </c>
      <c r="J54" s="278">
        <v>0</v>
      </c>
      <c r="K54" s="278">
        <v>0</v>
      </c>
      <c r="L54" s="278">
        <v>1969843.9650624245</v>
      </c>
      <c r="M54" s="278">
        <v>2000855.2607370466</v>
      </c>
      <c r="N54" s="278">
        <v>2032354.7679027691</v>
      </c>
      <c r="O54" s="278">
        <v>2064350.1724835392</v>
      </c>
      <c r="P54" s="278">
        <v>2096849.2814029679</v>
      </c>
      <c r="Q54" s="278">
        <v>2129860.0244892351</v>
      </c>
      <c r="R54" s="278">
        <v>2163390.4564099703</v>
      </c>
      <c r="S54" s="278">
        <v>2197448.7586376071</v>
      </c>
      <c r="T54" s="278">
        <v>2232043.2414456792</v>
      </c>
      <c r="U54" s="278">
        <v>2267182.3459365387</v>
      </c>
      <c r="V54" s="278">
        <v>2302874.6461009793</v>
      </c>
      <c r="W54" s="278">
        <v>2339128.8509103246</v>
      </c>
      <c r="X54" s="278">
        <v>2375953.8064414226</v>
      </c>
      <c r="Y54" s="278">
        <v>2413358.4980350863</v>
      </c>
      <c r="Z54" s="278">
        <v>2451352.0524885487</v>
      </c>
      <c r="AA54" s="278">
        <v>2489943.7402824108</v>
      </c>
      <c r="AB54" s="278">
        <v>2529142.9778426494</v>
      </c>
      <c r="AC54" s="278">
        <v>2568959.3298382126</v>
      </c>
      <c r="AD54" s="278">
        <v>2609402.5115148723</v>
      </c>
      <c r="AE54" s="295">
        <v>2650482.3910656981</v>
      </c>
    </row>
    <row r="55" spans="1:31" ht="21.95" customHeight="1" x14ac:dyDescent="0.2">
      <c r="B55" s="277"/>
      <c r="C55" s="143" t="s">
        <v>19</v>
      </c>
      <c r="D55" s="278"/>
      <c r="E55" s="328">
        <f>SUM(_xlfn.ANCHORARRAY(F55))</f>
        <v>497901940.25386292</v>
      </c>
      <c r="F55" s="278" cm="1">
        <f t="array" ref="F55:AE55">_xlfn.ANCHORARRAY('Travel Time'!F173)</f>
        <v>0</v>
      </c>
      <c r="G55" s="278">
        <v>0</v>
      </c>
      <c r="H55" s="278">
        <v>0</v>
      </c>
      <c r="I55" s="278">
        <v>0</v>
      </c>
      <c r="J55" s="278">
        <v>0</v>
      </c>
      <c r="K55" s="278">
        <v>0</v>
      </c>
      <c r="L55" s="278">
        <v>9717997.6014137473</v>
      </c>
      <c r="M55" s="278">
        <v>10578147.526060043</v>
      </c>
      <c r="N55" s="278">
        <v>11517192.752972431</v>
      </c>
      <c r="O55" s="278">
        <v>12542562.665955245</v>
      </c>
      <c r="P55" s="278">
        <v>13662393.634600613</v>
      </c>
      <c r="Q55" s="278">
        <v>14885596.65937273</v>
      </c>
      <c r="R55" s="278">
        <v>16221931.517876733</v>
      </c>
      <c r="S55" s="278">
        <v>17682088.039945573</v>
      </c>
      <c r="T55" s="278">
        <v>19277775.200054772</v>
      </c>
      <c r="U55" s="278">
        <v>21021818.782390926</v>
      </c>
      <c r="V55" s="278">
        <v>22928268.447244558</v>
      </c>
      <c r="W55" s="278">
        <v>25012515.107882671</v>
      </c>
      <c r="X55" s="278">
        <v>27291419.615414537</v>
      </c>
      <c r="Y55" s="278">
        <v>29783453.846136749</v>
      </c>
      <c r="Z55" s="278">
        <v>32508855.392322555</v>
      </c>
      <c r="AA55" s="278">
        <v>35489797.174277864</v>
      </c>
      <c r="AB55" s="278">
        <v>38750573.419800088</v>
      </c>
      <c r="AC55" s="278">
        <v>42317803.598025188</v>
      </c>
      <c r="AD55" s="278">
        <v>46220656.049335197</v>
      </c>
      <c r="AE55" s="295">
        <v>50491093.222780719</v>
      </c>
    </row>
    <row r="56" spans="1:31" ht="21.95" customHeight="1" x14ac:dyDescent="0.2">
      <c r="B56" s="277"/>
      <c r="C56" s="143" t="s">
        <v>96</v>
      </c>
      <c r="D56" s="278"/>
      <c r="E56" s="328">
        <f>SUM(F56:AE56)*1.5183882022436</f>
        <v>4277417.9620537488</v>
      </c>
      <c r="F56" s="278">
        <v>0</v>
      </c>
      <c r="G56" s="278">
        <v>0</v>
      </c>
      <c r="H56" s="278">
        <v>0</v>
      </c>
      <c r="I56" s="278">
        <v>0</v>
      </c>
      <c r="J56" s="278">
        <v>0</v>
      </c>
      <c r="K56" s="278">
        <v>0</v>
      </c>
      <c r="L56" s="278">
        <v>-61317.374213752337</v>
      </c>
      <c r="M56" s="278">
        <v>-50297.34794280678</v>
      </c>
      <c r="N56" s="278">
        <v>-38919.057280051522</v>
      </c>
      <c r="O56" s="278">
        <v>-25614.693578673527</v>
      </c>
      <c r="P56" s="278">
        <v>-11210.403505204245</v>
      </c>
      <c r="Q56" s="278">
        <v>3975.5077563971281</v>
      </c>
      <c r="R56" s="278">
        <v>20858.409101882018</v>
      </c>
      <c r="S56" s="278">
        <v>39577.437918210402</v>
      </c>
      <c r="T56" s="278">
        <v>60282.101220576093</v>
      </c>
      <c r="U56" s="278">
        <v>83132.988006851636</v>
      </c>
      <c r="V56" s="278">
        <v>109895.20896615926</v>
      </c>
      <c r="W56" s="278">
        <v>137946.43965132907</v>
      </c>
      <c r="X56" s="278">
        <v>168727.74016245827</v>
      </c>
      <c r="Y56" s="278">
        <v>202453.86866580416</v>
      </c>
      <c r="Z56" s="278">
        <v>239355.02643246111</v>
      </c>
      <c r="AA56" s="278">
        <v>281392.05836244766</v>
      </c>
      <c r="AB56" s="278">
        <v>327815.03062515985</v>
      </c>
      <c r="AC56" s="278">
        <v>384008.06669134274</v>
      </c>
      <c r="AD56" s="278">
        <v>441095.8752874434</v>
      </c>
      <c r="AE56" s="279">
        <v>503921.09268082865</v>
      </c>
    </row>
    <row r="57" spans="1:31" ht="21.95" customHeight="1" x14ac:dyDescent="0.2">
      <c r="B57" s="277"/>
      <c r="C57" s="143" t="s">
        <v>98</v>
      </c>
      <c r="D57" s="278"/>
      <c r="E57" s="328">
        <f>SUM(F57:AE57)*1.2374600315383</f>
        <v>2409919.773969945</v>
      </c>
      <c r="F57" s="278">
        <v>0</v>
      </c>
      <c r="G57" s="278">
        <v>0</v>
      </c>
      <c r="H57" s="278">
        <v>0</v>
      </c>
      <c r="I57" s="278">
        <v>0</v>
      </c>
      <c r="J57" s="278">
        <v>0</v>
      </c>
      <c r="K57" s="278">
        <v>0</v>
      </c>
      <c r="L57" s="278">
        <v>-44876.252592688892</v>
      </c>
      <c r="M57" s="278">
        <v>-32621.900269526057</v>
      </c>
      <c r="N57" s="278">
        <v>-19419.705597405322</v>
      </c>
      <c r="O57" s="278">
        <v>-5243.9779936959967</v>
      </c>
      <c r="P57" s="278">
        <v>9996.5768695082515</v>
      </c>
      <c r="Q57" s="278">
        <v>20874.318995327223</v>
      </c>
      <c r="R57" s="278">
        <v>32584.794636560604</v>
      </c>
      <c r="S57" s="278">
        <v>45187.104765756987</v>
      </c>
      <c r="T57" s="278">
        <v>58744.495878501097</v>
      </c>
      <c r="U57" s="278">
        <v>73324.642757097026</v>
      </c>
      <c r="V57" s="278">
        <v>88999.949545853538</v>
      </c>
      <c r="W57" s="278">
        <v>105847.87022110168</v>
      </c>
      <c r="X57" s="278">
        <v>123951.24959214334</v>
      </c>
      <c r="Y57" s="278">
        <v>143398.6860236621</v>
      </c>
      <c r="Z57" s="278">
        <v>164284.91712639062</v>
      </c>
      <c r="AA57" s="278">
        <v>185816.38734214706</v>
      </c>
      <c r="AB57" s="278">
        <v>209141.88346586609</v>
      </c>
      <c r="AC57" s="278">
        <v>234401.30163283693</v>
      </c>
      <c r="AD57" s="278">
        <v>261745.14914481202</v>
      </c>
      <c r="AE57" s="279">
        <v>291335.32579931291</v>
      </c>
    </row>
    <row r="58" spans="1:31" ht="21.95" customHeight="1" x14ac:dyDescent="0.2">
      <c r="B58" s="277"/>
      <c r="C58" s="143" t="s">
        <v>337</v>
      </c>
      <c r="D58" s="278"/>
      <c r="E58" s="328">
        <f t="shared" ref="E58:E59" si="10">SUM(_xlfn.ANCHORARRAY(F58))</f>
        <v>303076.80000000028</v>
      </c>
      <c r="F58" s="278" cm="1">
        <f t="array" ref="F58:AE58">_xlfn.ANCHORARRAY('O&amp;M'!D56)</f>
        <v>0</v>
      </c>
      <c r="G58" s="278">
        <v>0</v>
      </c>
      <c r="H58" s="278">
        <v>0</v>
      </c>
      <c r="I58" s="278">
        <v>0</v>
      </c>
      <c r="J58" s="278">
        <v>0</v>
      </c>
      <c r="K58" s="278">
        <v>0</v>
      </c>
      <c r="L58" s="278">
        <v>-143661.59999999998</v>
      </c>
      <c r="M58" s="278">
        <v>-4161.5999999999767</v>
      </c>
      <c r="N58" s="278">
        <v>2002491.9</v>
      </c>
      <c r="O58" s="278">
        <v>-14892.299999999988</v>
      </c>
      <c r="P58" s="278">
        <v>360684.9</v>
      </c>
      <c r="Q58" s="278">
        <v>-14892.299999999988</v>
      </c>
      <c r="R58" s="278">
        <v>-4161.5999999999767</v>
      </c>
      <c r="S58" s="278">
        <v>-14892.299999999988</v>
      </c>
      <c r="T58" s="278">
        <v>-14892.299999999988</v>
      </c>
      <c r="U58" s="278">
        <v>-626546.70000000019</v>
      </c>
      <c r="V58" s="278">
        <v>-14892.299999999988</v>
      </c>
      <c r="W58" s="278">
        <v>-4161.5999999999767</v>
      </c>
      <c r="X58" s="278">
        <v>-14892.299999999988</v>
      </c>
      <c r="Y58" s="278">
        <v>-14892.299999999988</v>
      </c>
      <c r="Z58" s="278">
        <v>-68545.799999999988</v>
      </c>
      <c r="AA58" s="278">
        <v>-14892.299999999988</v>
      </c>
      <c r="AB58" s="278">
        <v>2013223.5</v>
      </c>
      <c r="AC58" s="278">
        <v>-14892.299999999988</v>
      </c>
      <c r="AD58" s="278">
        <v>-14892.299999999988</v>
      </c>
      <c r="AE58" s="295">
        <v>-3073161.6</v>
      </c>
    </row>
    <row r="59" spans="1:31" ht="21.95" customHeight="1" x14ac:dyDescent="0.2">
      <c r="B59" s="277"/>
      <c r="C59" s="152" t="s">
        <v>20</v>
      </c>
      <c r="D59" s="281"/>
      <c r="E59" s="281">
        <f t="shared" si="10"/>
        <v>38443624.200000003</v>
      </c>
      <c r="F59" s="281" cm="1">
        <f t="array" ref="F59:AE59">_xlfn.ANCHORARRAY('Residual Value'!E21)</f>
        <v>0</v>
      </c>
      <c r="G59" s="281">
        <v>0</v>
      </c>
      <c r="H59" s="281">
        <v>0</v>
      </c>
      <c r="I59" s="281">
        <v>0</v>
      </c>
      <c r="J59" s="281">
        <v>0</v>
      </c>
      <c r="K59" s="281">
        <v>0</v>
      </c>
      <c r="L59" s="281">
        <v>0</v>
      </c>
      <c r="M59" s="281">
        <v>0</v>
      </c>
      <c r="N59" s="281">
        <v>0</v>
      </c>
      <c r="O59" s="281">
        <v>0</v>
      </c>
      <c r="P59" s="281">
        <v>0</v>
      </c>
      <c r="Q59" s="281">
        <v>0</v>
      </c>
      <c r="R59" s="281">
        <v>0</v>
      </c>
      <c r="S59" s="281">
        <v>0</v>
      </c>
      <c r="T59" s="281">
        <v>0</v>
      </c>
      <c r="U59" s="281">
        <v>0</v>
      </c>
      <c r="V59" s="281">
        <v>0</v>
      </c>
      <c r="W59" s="281">
        <v>0</v>
      </c>
      <c r="X59" s="281">
        <v>0</v>
      </c>
      <c r="Y59" s="281">
        <v>0</v>
      </c>
      <c r="Z59" s="281">
        <v>0</v>
      </c>
      <c r="AA59" s="281">
        <v>0</v>
      </c>
      <c r="AB59" s="281">
        <v>0</v>
      </c>
      <c r="AC59" s="281">
        <v>0</v>
      </c>
      <c r="AD59" s="281">
        <v>0</v>
      </c>
      <c r="AE59" s="295">
        <v>38443624.200000003</v>
      </c>
    </row>
    <row r="60" spans="1:31" ht="21.95" customHeight="1" x14ac:dyDescent="0.2">
      <c r="B60" s="277"/>
      <c r="C60" s="274" t="s">
        <v>63</v>
      </c>
      <c r="D60" s="284"/>
      <c r="E60" s="284">
        <f>SUM(_xlfn.ANCHORARRAY(F60))</f>
        <v>89396028.871380419</v>
      </c>
      <c r="F60" s="284" cm="1">
        <f t="array" ref="F60:AE60">F54:AE54 + F56:AE56 + F57:AE57 + F58:AE58 + F59:AE59</f>
        <v>0</v>
      </c>
      <c r="G60" s="284">
        <v>0</v>
      </c>
      <c r="H60" s="284">
        <v>0</v>
      </c>
      <c r="I60" s="284">
        <v>0</v>
      </c>
      <c r="J60" s="284">
        <v>0</v>
      </c>
      <c r="K60" s="284">
        <v>0</v>
      </c>
      <c r="L60" s="284">
        <v>1719988.7382559832</v>
      </c>
      <c r="M60" s="284">
        <v>1913774.4125247137</v>
      </c>
      <c r="N60" s="284">
        <v>3976507.9050253122</v>
      </c>
      <c r="O60" s="284">
        <v>2018599.2009111696</v>
      </c>
      <c r="P60" s="284">
        <v>2456320.3547672718</v>
      </c>
      <c r="Q60" s="284">
        <v>2139817.5512409597</v>
      </c>
      <c r="R60" s="284">
        <v>2212672.0601484128</v>
      </c>
      <c r="S60" s="284">
        <v>2267321.0013215747</v>
      </c>
      <c r="T60" s="284">
        <v>2336177.5385447564</v>
      </c>
      <c r="U60" s="284">
        <v>1797093.2767004874</v>
      </c>
      <c r="V60" s="284">
        <v>2486877.5046129925</v>
      </c>
      <c r="W60" s="284">
        <v>2578761.5607827553</v>
      </c>
      <c r="X60" s="284">
        <v>2653740.4961960241</v>
      </c>
      <c r="Y60" s="284">
        <v>2744318.7527245525</v>
      </c>
      <c r="Z60" s="284">
        <v>2786446.1960474006</v>
      </c>
      <c r="AA60" s="284">
        <v>2942259.8859870057</v>
      </c>
      <c r="AB60" s="284">
        <v>5079323.3919336759</v>
      </c>
      <c r="AC60" s="284">
        <v>3172476.3981623924</v>
      </c>
      <c r="AD60" s="284">
        <v>3297351.2359471279</v>
      </c>
      <c r="AE60" s="295">
        <v>38816201.409545839</v>
      </c>
    </row>
    <row r="61" spans="1:31" ht="21.95" customHeight="1" x14ac:dyDescent="0.2">
      <c r="B61" s="277"/>
      <c r="C61" s="154" t="s">
        <v>64</v>
      </c>
      <c r="D61" s="329"/>
      <c r="E61" s="329">
        <f>SUM(F61:AE61)</f>
        <v>76224748.5</v>
      </c>
      <c r="F61" s="329">
        <f>IF(F52 &gt; $K$52, 0, 'Project Costs'!E55)</f>
        <v>935832.69</v>
      </c>
      <c r="G61" s="329">
        <f>IF(G52 &gt; $K$52, 0, 'Project Costs'!F55)</f>
        <v>5954236.5600000005</v>
      </c>
      <c r="H61" s="329">
        <f>IF(H52 &gt; $K$52, 0, 'Project Costs'!G55)</f>
        <v>7758315.4500000002</v>
      </c>
      <c r="I61" s="329">
        <f>IF(I52 &gt; $K$52, 0, 'Project Costs'!H55)</f>
        <v>20525454.600000001</v>
      </c>
      <c r="J61" s="329">
        <f>IF(J52 &gt; $K$52, 0, 'Project Costs'!I55)</f>
        <v>20525454.600000001</v>
      </c>
      <c r="K61" s="329">
        <f>IF(K52 &gt; $K$52, 0, 'Project Costs'!J55)</f>
        <v>20525454.600000001</v>
      </c>
      <c r="L61" s="329">
        <f>IF(L52 &gt; $K$52, 0, 'Project Costs'!K55)</f>
        <v>0</v>
      </c>
      <c r="M61" s="329">
        <f>IF(M52 &gt; $K$52, 0, 'Project Costs'!L55)</f>
        <v>0</v>
      </c>
      <c r="N61" s="329">
        <f>IF(N52 &gt; $K$52, 0, 'Project Costs'!M55)</f>
        <v>0</v>
      </c>
      <c r="O61" s="329">
        <f>IF(O52 &gt; $K$52, 0, 'Project Costs'!N55)</f>
        <v>0</v>
      </c>
      <c r="P61" s="329">
        <f>IF(P52 &gt; $K$52, 0, 'Project Costs'!O55)</f>
        <v>0</v>
      </c>
      <c r="Q61" s="329">
        <f>IF(Q52 &gt; $K$52, 0, 'Project Costs'!P55)</f>
        <v>0</v>
      </c>
      <c r="R61" s="329">
        <f>IF(R52 &gt; $K$52, 0, 'Project Costs'!Q55)</f>
        <v>0</v>
      </c>
      <c r="S61" s="329">
        <f>IF(S52 &gt; $K$52, 0, 'Project Costs'!R55)</f>
        <v>0</v>
      </c>
      <c r="T61" s="329">
        <f>IF(T52 &gt; $K$52, 0, 'Project Costs'!S55)</f>
        <v>0</v>
      </c>
      <c r="U61" s="329">
        <f>IF(U52 &gt; $K$52, 0, 'Project Costs'!T55)</f>
        <v>0</v>
      </c>
      <c r="V61" s="329">
        <f>IF(V52 &gt; $K$52, 0, 'Project Costs'!U55)</f>
        <v>0</v>
      </c>
      <c r="W61" s="329">
        <f>IF(W52 &gt; $K$52, 0, 'Project Costs'!V55)</f>
        <v>0</v>
      </c>
      <c r="X61" s="329">
        <f>IF(X52 &gt; $K$52, 0, 'Project Costs'!W55)</f>
        <v>0</v>
      </c>
      <c r="Y61" s="329">
        <f>IF(Y52 &gt; $K$52, 0, 'Project Costs'!X55)</f>
        <v>0</v>
      </c>
      <c r="Z61" s="329">
        <f>IF(Z52 &gt; $K$52, 0, 'Project Costs'!Y55)</f>
        <v>0</v>
      </c>
      <c r="AA61" s="329">
        <f>IF(AA52 &gt; $K$52, 0, 'Project Costs'!Z55)</f>
        <v>0</v>
      </c>
      <c r="AB61" s="329">
        <f>IF(AB52 &gt; $K$52, 0, 'Project Costs'!AA55)</f>
        <v>0</v>
      </c>
      <c r="AC61" s="329">
        <f>IF(AC52 &gt; $K$52, 0, 'Project Costs'!AB55)</f>
        <v>0</v>
      </c>
      <c r="AD61" s="329">
        <f>IF(AD52 &gt; $K$52, 0, 'Project Costs'!AC55)</f>
        <v>0</v>
      </c>
      <c r="AE61" s="330">
        <f>IF(AE52 &gt; $K$52, 0, 'Project Costs'!AD55)</f>
        <v>0</v>
      </c>
    </row>
    <row r="62" spans="1:31" ht="21.95" customHeight="1" x14ac:dyDescent="0.2">
      <c r="B62" s="277"/>
      <c r="C62" s="274" t="s">
        <v>65</v>
      </c>
      <c r="D62" s="284"/>
      <c r="E62" s="284">
        <f>SUM(_xlfn.ANCHORARRAY(F62))</f>
        <v>65064378.931380406</v>
      </c>
      <c r="F62" s="284" cm="1">
        <f t="array" ref="F62:AE62">_xlfn.ANCHORARRAY(F60) -_xlfn.ANCHORARRAY( F61)</f>
        <v>-935832.69</v>
      </c>
      <c r="G62" s="284">
        <v>-935832.69</v>
      </c>
      <c r="H62" s="284">
        <v>-935832.69</v>
      </c>
      <c r="I62" s="284">
        <v>-935832.69</v>
      </c>
      <c r="J62" s="284">
        <v>-935832.69</v>
      </c>
      <c r="K62" s="284">
        <v>-935832.69</v>
      </c>
      <c r="L62" s="284">
        <v>784156.04825598327</v>
      </c>
      <c r="M62" s="284">
        <v>977941.72252471372</v>
      </c>
      <c r="N62" s="284">
        <v>3040675.2150253123</v>
      </c>
      <c r="O62" s="284">
        <v>1082766.5109111697</v>
      </c>
      <c r="P62" s="284">
        <v>1520487.6647672718</v>
      </c>
      <c r="Q62" s="284">
        <v>1203984.8612409597</v>
      </c>
      <c r="R62" s="284">
        <v>1276839.3701484129</v>
      </c>
      <c r="S62" s="284">
        <v>1331488.3113215747</v>
      </c>
      <c r="T62" s="284">
        <v>1400344.8485447564</v>
      </c>
      <c r="U62" s="284">
        <v>861260.58670048742</v>
      </c>
      <c r="V62" s="284">
        <v>1551044.8146129926</v>
      </c>
      <c r="W62" s="284">
        <v>1642928.8707827553</v>
      </c>
      <c r="X62" s="284">
        <v>1717907.8061960242</v>
      </c>
      <c r="Y62" s="284">
        <v>1808486.0627245526</v>
      </c>
      <c r="Z62" s="284">
        <v>1850613.5060474006</v>
      </c>
      <c r="AA62" s="284">
        <v>2006427.1959870057</v>
      </c>
      <c r="AB62" s="284">
        <v>4143490.7019336759</v>
      </c>
      <c r="AC62" s="284">
        <v>2236643.7081623925</v>
      </c>
      <c r="AD62" s="284">
        <v>2361518.545947128</v>
      </c>
      <c r="AE62" s="295">
        <v>37880368.719545841</v>
      </c>
    </row>
    <row r="63" spans="1:31" ht="21.95" customHeight="1" x14ac:dyDescent="0.2">
      <c r="B63" s="280"/>
      <c r="C63" s="154" t="s">
        <v>66</v>
      </c>
      <c r="D63" s="329"/>
      <c r="E63" s="329"/>
      <c r="F63" s="329">
        <f>F62</f>
        <v>-935832.69</v>
      </c>
      <c r="G63" s="329">
        <f>F63+G62</f>
        <v>-1871665.38</v>
      </c>
      <c r="H63" s="329">
        <f t="shared" ref="H63" si="11">G63+H62</f>
        <v>-2807498.07</v>
      </c>
      <c r="I63" s="329">
        <f t="shared" ref="I63" si="12">H63+I62</f>
        <v>-3743330.76</v>
      </c>
      <c r="J63" s="329">
        <f t="shared" ref="J63" si="13">I63+J62</f>
        <v>-4679163.4499999993</v>
      </c>
      <c r="K63" s="329">
        <f t="shared" ref="K63" si="14">J63+K62</f>
        <v>-5614996.1399999987</v>
      </c>
      <c r="L63" s="329">
        <f t="shared" ref="L63" si="15">K63+L62</f>
        <v>-4830840.091744015</v>
      </c>
      <c r="M63" s="329">
        <f t="shared" ref="M63" si="16">L63+M62</f>
        <v>-3852898.3692193013</v>
      </c>
      <c r="N63" s="329">
        <f t="shared" ref="N63" si="17">M63+N62</f>
        <v>-812223.154193989</v>
      </c>
      <c r="O63" s="329">
        <f t="shared" ref="O63" si="18">N63+O62</f>
        <v>270543.35671718069</v>
      </c>
      <c r="P63" s="329">
        <f t="shared" ref="P63" si="19">O63+P62</f>
        <v>1791031.0214844525</v>
      </c>
      <c r="Q63" s="329">
        <f t="shared" ref="Q63" si="20">P63+Q62</f>
        <v>2995015.882725412</v>
      </c>
      <c r="R63" s="329">
        <f t="shared" ref="R63" si="21">Q63+R62</f>
        <v>4271855.2528738249</v>
      </c>
      <c r="S63" s="329">
        <f t="shared" ref="S63" si="22">R63+S62</f>
        <v>5603343.5641954001</v>
      </c>
      <c r="T63" s="329">
        <f t="shared" ref="T63" si="23">S63+T62</f>
        <v>7003688.4127401561</v>
      </c>
      <c r="U63" s="329">
        <f t="shared" ref="U63" si="24">T63+U62</f>
        <v>7864948.9994406439</v>
      </c>
      <c r="V63" s="329">
        <f t="shared" ref="V63" si="25">U63+V62</f>
        <v>9415993.814053636</v>
      </c>
      <c r="W63" s="329">
        <f t="shared" ref="W63" si="26">V63+W62</f>
        <v>11058922.684836391</v>
      </c>
      <c r="X63" s="329">
        <f t="shared" ref="X63" si="27">W63+X62</f>
        <v>12776830.491032416</v>
      </c>
      <c r="Y63" s="329">
        <f t="shared" ref="Y63" si="28">X63+Y62</f>
        <v>14585316.553756969</v>
      </c>
      <c r="Z63" s="329">
        <f t="shared" ref="Z63" si="29">Y63+Z62</f>
        <v>16435930.059804369</v>
      </c>
      <c r="AA63" s="329">
        <f t="shared" ref="AA63" si="30">Z63+AA62</f>
        <v>18442357.255791374</v>
      </c>
      <c r="AB63" s="329">
        <f t="shared" ref="AB63" si="31">AA63+AB62</f>
        <v>22585847.957725048</v>
      </c>
      <c r="AC63" s="329">
        <f t="shared" ref="AC63" si="32">AB63+AC62</f>
        <v>24822491.665887441</v>
      </c>
      <c r="AD63" s="329">
        <f t="shared" ref="AD63" si="33">AC63+AD62</f>
        <v>27184010.211834569</v>
      </c>
      <c r="AE63" s="295"/>
    </row>
    <row r="64" spans="1:31" ht="21.95" customHeight="1" x14ac:dyDescent="0.2">
      <c r="B64" s="273" t="s">
        <v>505</v>
      </c>
      <c r="C64" s="274" t="str">
        <f>C53</f>
        <v>Benefits</v>
      </c>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295"/>
    </row>
    <row r="65" spans="2:31" ht="21.95" customHeight="1" x14ac:dyDescent="0.2">
      <c r="B65" s="277"/>
      <c r="C65" s="143" t="str">
        <f>C54</f>
        <v>Improved Safety</v>
      </c>
      <c r="D65" s="278"/>
      <c r="E65" s="328">
        <f t="shared" ref="E65" si="34">SUM(_xlfn.ANCHORARRAY(F65))</f>
        <v>45884777.079027981</v>
      </c>
      <c r="F65" s="278" cm="1">
        <f t="array" ref="F65:AE65">_xlfn.ANCHORARRAY(Safety!E74)</f>
        <v>0</v>
      </c>
      <c r="G65" s="278">
        <v>0</v>
      </c>
      <c r="H65" s="278">
        <v>0</v>
      </c>
      <c r="I65" s="278">
        <v>0</v>
      </c>
      <c r="J65" s="278">
        <v>0</v>
      </c>
      <c r="K65" s="278">
        <v>0</v>
      </c>
      <c r="L65" s="278">
        <v>1969843.9650624245</v>
      </c>
      <c r="M65" s="278">
        <v>2000855.2607370466</v>
      </c>
      <c r="N65" s="278">
        <v>2032354.7679027691</v>
      </c>
      <c r="O65" s="278">
        <v>2064350.1724835392</v>
      </c>
      <c r="P65" s="278">
        <v>2096849.2814029679</v>
      </c>
      <c r="Q65" s="278">
        <v>2129860.0244892351</v>
      </c>
      <c r="R65" s="278">
        <v>2163390.4564099703</v>
      </c>
      <c r="S65" s="278">
        <v>2197448.7586376071</v>
      </c>
      <c r="T65" s="278">
        <v>2232043.2414456792</v>
      </c>
      <c r="U65" s="278">
        <v>2267182.3459365387</v>
      </c>
      <c r="V65" s="278">
        <v>2302874.6461009793</v>
      </c>
      <c r="W65" s="278">
        <v>2339128.8509103246</v>
      </c>
      <c r="X65" s="278">
        <v>2375953.8064414226</v>
      </c>
      <c r="Y65" s="278">
        <v>2413358.4980350863</v>
      </c>
      <c r="Z65" s="278">
        <v>2451352.0524885487</v>
      </c>
      <c r="AA65" s="278">
        <v>2489943.7402824108</v>
      </c>
      <c r="AB65" s="278">
        <v>2529142.9778426494</v>
      </c>
      <c r="AC65" s="278">
        <v>2568959.3298382126</v>
      </c>
      <c r="AD65" s="278">
        <v>2609402.5115148723</v>
      </c>
      <c r="AE65" s="295">
        <v>2650482.3910656981</v>
      </c>
    </row>
    <row r="66" spans="2:31" ht="21.95" customHeight="1" x14ac:dyDescent="0.2">
      <c r="B66" s="277"/>
      <c r="C66" s="143" t="str">
        <f>C55</f>
        <v>Travel Time Savings</v>
      </c>
      <c r="D66" s="278"/>
      <c r="E66" s="328">
        <f>SUM(_xlfn.ANCHORARRAY(F66))</f>
        <v>497901940.25386292</v>
      </c>
      <c r="F66" s="278" cm="1">
        <f t="array" ref="F66:AE66">_xlfn.ANCHORARRAY('Travel Time'!F169)</f>
        <v>0</v>
      </c>
      <c r="G66" s="278">
        <v>0</v>
      </c>
      <c r="H66" s="278">
        <v>0</v>
      </c>
      <c r="I66" s="278">
        <v>0</v>
      </c>
      <c r="J66" s="278">
        <v>0</v>
      </c>
      <c r="K66" s="278">
        <v>0</v>
      </c>
      <c r="L66" s="278">
        <v>9717997.6014137473</v>
      </c>
      <c r="M66" s="278">
        <v>10578147.526060043</v>
      </c>
      <c r="N66" s="278">
        <v>11517192.752972431</v>
      </c>
      <c r="O66" s="278">
        <v>12542562.665955245</v>
      </c>
      <c r="P66" s="278">
        <v>13662393.634600613</v>
      </c>
      <c r="Q66" s="278">
        <v>14885596.65937273</v>
      </c>
      <c r="R66" s="278">
        <v>16221931.517876733</v>
      </c>
      <c r="S66" s="278">
        <v>17682088.039945573</v>
      </c>
      <c r="T66" s="278">
        <v>19277775.200054772</v>
      </c>
      <c r="U66" s="278">
        <v>21021818.782390926</v>
      </c>
      <c r="V66" s="278">
        <v>22928268.447244558</v>
      </c>
      <c r="W66" s="278">
        <v>25012515.107882671</v>
      </c>
      <c r="X66" s="278">
        <v>27291419.615414537</v>
      </c>
      <c r="Y66" s="278">
        <v>29783453.846136749</v>
      </c>
      <c r="Z66" s="278">
        <v>32508855.392322555</v>
      </c>
      <c r="AA66" s="278">
        <v>35489797.174277864</v>
      </c>
      <c r="AB66" s="278">
        <v>38750573.419800088</v>
      </c>
      <c r="AC66" s="278">
        <v>42317803.598025188</v>
      </c>
      <c r="AD66" s="278">
        <v>46220656.049335197</v>
      </c>
      <c r="AE66" s="295">
        <v>50491093.222780719</v>
      </c>
    </row>
    <row r="67" spans="2:31" ht="21.95" customHeight="1" x14ac:dyDescent="0.2">
      <c r="B67" s="277"/>
      <c r="C67" s="143" t="str">
        <f>C56</f>
        <v>GHG Emissions Savings</v>
      </c>
      <c r="D67" s="278"/>
      <c r="E67" s="328">
        <f>SUM(F67:AE67)*0.518388202243601</f>
        <v>1460339.9870448885</v>
      </c>
      <c r="F67" s="278">
        <v>0</v>
      </c>
      <c r="G67" s="278">
        <v>0</v>
      </c>
      <c r="H67" s="278">
        <v>0</v>
      </c>
      <c r="I67" s="278">
        <v>0</v>
      </c>
      <c r="J67" s="278">
        <v>0</v>
      </c>
      <c r="K67" s="278">
        <v>0</v>
      </c>
      <c r="L67" s="278">
        <v>-61317.374213752337</v>
      </c>
      <c r="M67" s="278">
        <v>-50297.34794280678</v>
      </c>
      <c r="N67" s="278">
        <v>-38919.057280051522</v>
      </c>
      <c r="O67" s="278">
        <v>-25614.693578673527</v>
      </c>
      <c r="P67" s="278">
        <v>-11210.403505204245</v>
      </c>
      <c r="Q67" s="278">
        <v>3975.5077563971281</v>
      </c>
      <c r="R67" s="278">
        <v>20858.409101882018</v>
      </c>
      <c r="S67" s="278">
        <v>39577.437918210402</v>
      </c>
      <c r="T67" s="278">
        <v>60282.101220576093</v>
      </c>
      <c r="U67" s="278">
        <v>83132.988006851636</v>
      </c>
      <c r="V67" s="278">
        <v>109895.20896615926</v>
      </c>
      <c r="W67" s="278">
        <v>137946.43965132907</v>
      </c>
      <c r="X67" s="278">
        <v>168727.74016245827</v>
      </c>
      <c r="Y67" s="278">
        <v>202453.86866580416</v>
      </c>
      <c r="Z67" s="278">
        <v>239355.02643246111</v>
      </c>
      <c r="AA67" s="278">
        <v>281392.05836244766</v>
      </c>
      <c r="AB67" s="278">
        <v>327815.03062515985</v>
      </c>
      <c r="AC67" s="278">
        <v>384008.06669134274</v>
      </c>
      <c r="AD67" s="278">
        <v>441095.8752874434</v>
      </c>
      <c r="AE67" s="295">
        <v>503921.09268082865</v>
      </c>
    </row>
    <row r="68" spans="2:31" ht="21.95" customHeight="1" x14ac:dyDescent="0.2">
      <c r="B68" s="277"/>
      <c r="C68" s="143" t="str">
        <f>C57</f>
        <v>CAC Emissions Savings</v>
      </c>
      <c r="D68" s="278"/>
      <c r="E68" s="328">
        <f>SUM(F68:AE68)*0.237460031538306</f>
        <v>462446.95662639569</v>
      </c>
      <c r="F68" s="278">
        <v>0</v>
      </c>
      <c r="G68" s="278">
        <v>0</v>
      </c>
      <c r="H68" s="278">
        <v>0</v>
      </c>
      <c r="I68" s="278">
        <v>0</v>
      </c>
      <c r="J68" s="278">
        <v>0</v>
      </c>
      <c r="K68" s="278">
        <v>0</v>
      </c>
      <c r="L68" s="278">
        <v>-44876.252592688892</v>
      </c>
      <c r="M68" s="278">
        <v>-32621.900269526057</v>
      </c>
      <c r="N68" s="278">
        <v>-19419.705597405322</v>
      </c>
      <c r="O68" s="278">
        <v>-5243.9779936959967</v>
      </c>
      <c r="P68" s="278">
        <v>9996.5768695082515</v>
      </c>
      <c r="Q68" s="278">
        <v>20874.318995327223</v>
      </c>
      <c r="R68" s="278">
        <v>32584.794636560604</v>
      </c>
      <c r="S68" s="278">
        <v>45187.104765756987</v>
      </c>
      <c r="T68" s="278">
        <v>58744.495878501097</v>
      </c>
      <c r="U68" s="278">
        <v>73324.642757097026</v>
      </c>
      <c r="V68" s="278">
        <v>88999.949545853538</v>
      </c>
      <c r="W68" s="278">
        <v>105847.87022110168</v>
      </c>
      <c r="X68" s="278">
        <v>123951.24959214334</v>
      </c>
      <c r="Y68" s="278">
        <v>143398.6860236621</v>
      </c>
      <c r="Z68" s="278">
        <v>164284.91712639062</v>
      </c>
      <c r="AA68" s="278">
        <v>185816.38734214706</v>
      </c>
      <c r="AB68" s="278">
        <v>209141.88346586609</v>
      </c>
      <c r="AC68" s="278">
        <v>234401.30163283693</v>
      </c>
      <c r="AD68" s="278">
        <v>261745.14914481202</v>
      </c>
      <c r="AE68" s="295">
        <v>291335.32579931291</v>
      </c>
    </row>
    <row r="69" spans="2:31" ht="21.95" customHeight="1" x14ac:dyDescent="0.2">
      <c r="B69" s="277"/>
      <c r="C69" s="143" t="s">
        <v>337</v>
      </c>
      <c r="D69" s="278"/>
      <c r="E69" s="328" t="s">
        <v>112</v>
      </c>
      <c r="F69" s="278" cm="1">
        <f t="array" ref="F69:AE69">_xlfn.ANCHORARRAY('O&amp;M'!D54)</f>
        <v>0</v>
      </c>
      <c r="G69" s="278">
        <v>0</v>
      </c>
      <c r="H69" s="278">
        <v>0</v>
      </c>
      <c r="I69" s="278">
        <v>0</v>
      </c>
      <c r="J69" s="278">
        <v>0</v>
      </c>
      <c r="K69" s="278">
        <v>0</v>
      </c>
      <c r="L69" s="278">
        <v>-143661.59999999998</v>
      </c>
      <c r="M69" s="278">
        <v>-4161.5999999999767</v>
      </c>
      <c r="N69" s="278">
        <v>2002491.9</v>
      </c>
      <c r="O69" s="278">
        <v>-14892.299999999988</v>
      </c>
      <c r="P69" s="278">
        <v>360684.9</v>
      </c>
      <c r="Q69" s="278">
        <v>-14892.299999999988</v>
      </c>
      <c r="R69" s="278">
        <v>-4161.5999999999767</v>
      </c>
      <c r="S69" s="278">
        <v>-14892.299999999988</v>
      </c>
      <c r="T69" s="278">
        <v>-14892.299999999988</v>
      </c>
      <c r="U69" s="278">
        <v>-626546.70000000019</v>
      </c>
      <c r="V69" s="278">
        <v>-14892.299999999988</v>
      </c>
      <c r="W69" s="278">
        <v>-4161.5999999999767</v>
      </c>
      <c r="X69" s="278">
        <v>-14892.299999999988</v>
      </c>
      <c r="Y69" s="278">
        <v>-14892.299999999988</v>
      </c>
      <c r="Z69" s="278">
        <v>-68545.799999999988</v>
      </c>
      <c r="AA69" s="278">
        <v>-14892.299999999988</v>
      </c>
      <c r="AB69" s="278">
        <v>2013223.5</v>
      </c>
      <c r="AC69" s="278">
        <v>-14892.299999999988</v>
      </c>
      <c r="AD69" s="278">
        <v>-14892.299999999988</v>
      </c>
      <c r="AE69" s="295">
        <v>-3073161.6</v>
      </c>
    </row>
    <row r="70" spans="2:31" ht="21.95" customHeight="1" x14ac:dyDescent="0.2">
      <c r="B70" s="277"/>
      <c r="C70" s="152" t="str">
        <f>C59</f>
        <v>Residual Value of Assets</v>
      </c>
      <c r="D70" s="281"/>
      <c r="E70" s="281">
        <f t="shared" ref="E70" si="35">SUM(_xlfn.ANCHORARRAY(F70))</f>
        <v>38443624.200000003</v>
      </c>
      <c r="F70" s="281" cm="1">
        <f t="array" ref="F70:AE70">_xlfn.ANCHORARRAY('Residual Value'!E19)</f>
        <v>0</v>
      </c>
      <c r="G70" s="281">
        <v>0</v>
      </c>
      <c r="H70" s="281">
        <v>0</v>
      </c>
      <c r="I70" s="281">
        <v>0</v>
      </c>
      <c r="J70" s="281">
        <v>0</v>
      </c>
      <c r="K70" s="281">
        <v>0</v>
      </c>
      <c r="L70" s="281">
        <v>0</v>
      </c>
      <c r="M70" s="281">
        <v>0</v>
      </c>
      <c r="N70" s="281">
        <v>0</v>
      </c>
      <c r="O70" s="281">
        <v>0</v>
      </c>
      <c r="P70" s="281">
        <v>0</v>
      </c>
      <c r="Q70" s="281">
        <v>0</v>
      </c>
      <c r="R70" s="281">
        <v>0</v>
      </c>
      <c r="S70" s="281">
        <v>0</v>
      </c>
      <c r="T70" s="281">
        <v>0</v>
      </c>
      <c r="U70" s="281">
        <v>0</v>
      </c>
      <c r="V70" s="281">
        <v>0</v>
      </c>
      <c r="W70" s="281">
        <v>0</v>
      </c>
      <c r="X70" s="281">
        <v>0</v>
      </c>
      <c r="Y70" s="281">
        <v>0</v>
      </c>
      <c r="Z70" s="281">
        <v>0</v>
      </c>
      <c r="AA70" s="281">
        <v>0</v>
      </c>
      <c r="AB70" s="281">
        <v>0</v>
      </c>
      <c r="AC70" s="281">
        <v>0</v>
      </c>
      <c r="AD70" s="281">
        <v>0</v>
      </c>
      <c r="AE70" s="295">
        <v>38443624.200000003</v>
      </c>
    </row>
    <row r="71" spans="2:31" ht="21.95" customHeight="1" x14ac:dyDescent="0.2">
      <c r="B71" s="277"/>
      <c r="C71" s="274" t="s">
        <v>63</v>
      </c>
      <c r="D71" s="284"/>
      <c r="E71" s="284">
        <f>SUM(_xlfn.ANCHORARRAY(F71))</f>
        <v>89396028.871380419</v>
      </c>
      <c r="F71" s="284" cm="1">
        <f t="array" ref="F71:AE71">_xlfn.ANCHORARRAY(F65) + F67:AE67 + F68:AE68 +_xlfn.ANCHORARRAY( F69) +_xlfn.ANCHORARRAY( F70)</f>
        <v>0</v>
      </c>
      <c r="G71" s="284">
        <v>0</v>
      </c>
      <c r="H71" s="284">
        <v>0</v>
      </c>
      <c r="I71" s="284">
        <v>0</v>
      </c>
      <c r="J71" s="284">
        <v>0</v>
      </c>
      <c r="K71" s="284">
        <v>0</v>
      </c>
      <c r="L71" s="284">
        <v>1719988.7382559832</v>
      </c>
      <c r="M71" s="284">
        <v>1913774.4125247137</v>
      </c>
      <c r="N71" s="284">
        <v>3976507.9050253122</v>
      </c>
      <c r="O71" s="284">
        <v>2018599.2009111696</v>
      </c>
      <c r="P71" s="284">
        <v>2456320.3547672718</v>
      </c>
      <c r="Q71" s="284">
        <v>2139817.5512409597</v>
      </c>
      <c r="R71" s="284">
        <v>2212672.0601484128</v>
      </c>
      <c r="S71" s="284">
        <v>2267321.0013215747</v>
      </c>
      <c r="T71" s="284">
        <v>2336177.5385447564</v>
      </c>
      <c r="U71" s="284">
        <v>1797093.2767004874</v>
      </c>
      <c r="V71" s="284">
        <v>2486877.5046129925</v>
      </c>
      <c r="W71" s="284">
        <v>2578761.5607827553</v>
      </c>
      <c r="X71" s="284">
        <v>2653740.4961960241</v>
      </c>
      <c r="Y71" s="284">
        <v>2744318.7527245525</v>
      </c>
      <c r="Z71" s="284">
        <v>2786446.1960474006</v>
      </c>
      <c r="AA71" s="284">
        <v>2942259.8859870057</v>
      </c>
      <c r="AB71" s="284">
        <v>5079323.3919336759</v>
      </c>
      <c r="AC71" s="284">
        <v>3172476.3981623924</v>
      </c>
      <c r="AD71" s="284">
        <v>3297351.2359471279</v>
      </c>
      <c r="AE71" s="295">
        <v>38816201.409545839</v>
      </c>
    </row>
    <row r="72" spans="2:31" ht="21.95" customHeight="1" x14ac:dyDescent="0.2">
      <c r="B72" s="277"/>
      <c r="C72" s="154" t="str">
        <f>C61</f>
        <v>Capital Costs</v>
      </c>
      <c r="D72" s="329"/>
      <c r="E72" s="329">
        <f>SUM(F72:AE72)</f>
        <v>76224748.5</v>
      </c>
      <c r="F72" s="329">
        <f>IF(F52 &gt; $K$52, 0, 'Project Costs'!E55)</f>
        <v>935832.69</v>
      </c>
      <c r="G72" s="329">
        <f>IF(G52 &gt; $K$52, 0, 'Project Costs'!F55)</f>
        <v>5954236.5600000005</v>
      </c>
      <c r="H72" s="329">
        <f>IF(H52 &gt; $K$52, 0, 'Project Costs'!G55)</f>
        <v>7758315.4500000002</v>
      </c>
      <c r="I72" s="329">
        <f>IF(I52 &gt; $K$52, 0, 'Project Costs'!H55)</f>
        <v>20525454.600000001</v>
      </c>
      <c r="J72" s="329">
        <f>IF(J52 &gt; $K$52, 0, 'Project Costs'!I55)</f>
        <v>20525454.600000001</v>
      </c>
      <c r="K72" s="329">
        <f>IF(K52 &gt; $K$52, 0, 'Project Costs'!J55)</f>
        <v>20525454.600000001</v>
      </c>
      <c r="L72" s="329">
        <f>IF(L52 &gt; $K$52, 0, 'Project Costs'!K55)</f>
        <v>0</v>
      </c>
      <c r="M72" s="329">
        <f>IF(M52 &gt; $K$52, 0, 'Project Costs'!L55)</f>
        <v>0</v>
      </c>
      <c r="N72" s="329">
        <f>IF(N52 &gt; $K$52, 0, 'Project Costs'!M55)</f>
        <v>0</v>
      </c>
      <c r="O72" s="329">
        <f>IF(O52 &gt; $K$52, 0, 'Project Costs'!N55)</f>
        <v>0</v>
      </c>
      <c r="P72" s="329">
        <f>IF(P52 &gt; $K$52, 0, 'Project Costs'!O55)</f>
        <v>0</v>
      </c>
      <c r="Q72" s="329">
        <f>IF(Q52 &gt; $K$52, 0, 'Project Costs'!P55)</f>
        <v>0</v>
      </c>
      <c r="R72" s="329">
        <f>IF(R52 &gt; $K$52, 0, 'Project Costs'!Q55)</f>
        <v>0</v>
      </c>
      <c r="S72" s="329">
        <f>IF(S52 &gt; $K$52, 0, 'Project Costs'!R55)</f>
        <v>0</v>
      </c>
      <c r="T72" s="329">
        <f>IF(T52 &gt; $K$52, 0, 'Project Costs'!S55)</f>
        <v>0</v>
      </c>
      <c r="U72" s="329">
        <f>IF(U52 &gt; $K$52, 0, 'Project Costs'!T55)</f>
        <v>0</v>
      </c>
      <c r="V72" s="329">
        <f>IF(V52 &gt; $K$52, 0, 'Project Costs'!U55)</f>
        <v>0</v>
      </c>
      <c r="W72" s="329">
        <f>IF(W52 &gt; $K$52, 0, 'Project Costs'!V55)</f>
        <v>0</v>
      </c>
      <c r="X72" s="329">
        <f>IF(X52 &gt; $K$52, 0, 'Project Costs'!W55)</f>
        <v>0</v>
      </c>
      <c r="Y72" s="329">
        <f>IF(Y52 &gt; $K$52, 0, 'Project Costs'!X55)</f>
        <v>0</v>
      </c>
      <c r="Z72" s="329">
        <f>IF(Z52 &gt; $K$52, 0, 'Project Costs'!Y55)</f>
        <v>0</v>
      </c>
      <c r="AA72" s="329">
        <f>IF(AA52 &gt; $K$52, 0, 'Project Costs'!Z55)</f>
        <v>0</v>
      </c>
      <c r="AB72" s="329">
        <f>IF(AB52 &gt; $K$52, 0, 'Project Costs'!AA55)</f>
        <v>0</v>
      </c>
      <c r="AC72" s="329">
        <f>IF(AC52 &gt; $K$52, 0, 'Project Costs'!AB55)</f>
        <v>0</v>
      </c>
      <c r="AD72" s="329">
        <f>IF(AD52 &gt; $K$52, 0, 'Project Costs'!AC55)</f>
        <v>0</v>
      </c>
      <c r="AE72" s="330">
        <f>IF(AE52 &gt; $K$52, 0, 'Project Costs'!AD55)</f>
        <v>0</v>
      </c>
    </row>
    <row r="73" spans="2:31" ht="21.95" customHeight="1" x14ac:dyDescent="0.2">
      <c r="B73" s="277"/>
      <c r="C73" s="274" t="s">
        <v>65</v>
      </c>
      <c r="D73" s="284"/>
      <c r="E73" s="284">
        <f>SUM(_xlfn.ANCHORARRAY(F73))</f>
        <v>65064378.931380406</v>
      </c>
      <c r="F73" s="284" cm="1">
        <f t="array" ref="F73:AE73">_xlfn.ANCHORARRAY(F71) -_xlfn.ANCHORARRAY( F72)</f>
        <v>-935832.69</v>
      </c>
      <c r="G73" s="284">
        <v>-935832.69</v>
      </c>
      <c r="H73" s="284">
        <v>-935832.69</v>
      </c>
      <c r="I73" s="284">
        <v>-935832.69</v>
      </c>
      <c r="J73" s="284">
        <v>-935832.69</v>
      </c>
      <c r="K73" s="284">
        <v>-935832.69</v>
      </c>
      <c r="L73" s="284">
        <v>784156.04825598327</v>
      </c>
      <c r="M73" s="284">
        <v>977941.72252471372</v>
      </c>
      <c r="N73" s="284">
        <v>3040675.2150253123</v>
      </c>
      <c r="O73" s="284">
        <v>1082766.5109111697</v>
      </c>
      <c r="P73" s="284">
        <v>1520487.6647672718</v>
      </c>
      <c r="Q73" s="284">
        <v>1203984.8612409597</v>
      </c>
      <c r="R73" s="284">
        <v>1276839.3701484129</v>
      </c>
      <c r="S73" s="284">
        <v>1331488.3113215747</v>
      </c>
      <c r="T73" s="284">
        <v>1400344.8485447564</v>
      </c>
      <c r="U73" s="284">
        <v>861260.58670048742</v>
      </c>
      <c r="V73" s="284">
        <v>1551044.8146129926</v>
      </c>
      <c r="W73" s="284">
        <v>1642928.8707827553</v>
      </c>
      <c r="X73" s="284">
        <v>1717907.8061960242</v>
      </c>
      <c r="Y73" s="284">
        <v>1808486.0627245526</v>
      </c>
      <c r="Z73" s="284">
        <v>1850613.5060474006</v>
      </c>
      <c r="AA73" s="284">
        <v>2006427.1959870057</v>
      </c>
      <c r="AB73" s="284">
        <v>4143490.7019336759</v>
      </c>
      <c r="AC73" s="284">
        <v>2236643.7081623925</v>
      </c>
      <c r="AD73" s="284">
        <v>2361518.545947128</v>
      </c>
      <c r="AE73" s="295">
        <v>37880368.719545841</v>
      </c>
    </row>
    <row r="74" spans="2:31" ht="21.95" customHeight="1" x14ac:dyDescent="0.2">
      <c r="B74" s="290"/>
      <c r="C74" s="331" t="s">
        <v>66</v>
      </c>
      <c r="D74" s="332"/>
      <c r="E74" s="332"/>
      <c r="F74" s="332">
        <f>F73</f>
        <v>-935832.69</v>
      </c>
      <c r="G74" s="332">
        <f>F74+G73</f>
        <v>-1871665.38</v>
      </c>
      <c r="H74" s="332">
        <f t="shared" ref="H74" si="36">G74+H73</f>
        <v>-2807498.07</v>
      </c>
      <c r="I74" s="332">
        <f t="shared" ref="I74" si="37">H74+I73</f>
        <v>-3743330.76</v>
      </c>
      <c r="J74" s="332">
        <f t="shared" ref="J74" si="38">I74+J73</f>
        <v>-4679163.4499999993</v>
      </c>
      <c r="K74" s="332">
        <f t="shared" ref="K74" si="39">J74+K73</f>
        <v>-5614996.1399999987</v>
      </c>
      <c r="L74" s="332">
        <f t="shared" ref="L74" si="40">K74+L73</f>
        <v>-4830840.091744015</v>
      </c>
      <c r="M74" s="332">
        <f t="shared" ref="M74" si="41">L74+M73</f>
        <v>-3852898.3692193013</v>
      </c>
      <c r="N74" s="332">
        <f t="shared" ref="N74" si="42">M74+N73</f>
        <v>-812223.154193989</v>
      </c>
      <c r="O74" s="332">
        <f t="shared" ref="O74" si="43">N74+O73</f>
        <v>270543.35671718069</v>
      </c>
      <c r="P74" s="332">
        <f t="shared" ref="P74" si="44">O74+P73</f>
        <v>1791031.0214844525</v>
      </c>
      <c r="Q74" s="332">
        <f t="shared" ref="Q74" si="45">P74+Q73</f>
        <v>2995015.882725412</v>
      </c>
      <c r="R74" s="332">
        <f t="shared" ref="R74" si="46">Q74+R73</f>
        <v>4271855.2528738249</v>
      </c>
      <c r="S74" s="332">
        <f t="shared" ref="S74" si="47">R74+S73</f>
        <v>5603343.5641954001</v>
      </c>
      <c r="T74" s="332">
        <f t="shared" ref="T74" si="48">S74+T73</f>
        <v>7003688.4127401561</v>
      </c>
      <c r="U74" s="332">
        <f t="shared" ref="U74" si="49">T74+U73</f>
        <v>7864948.9994406439</v>
      </c>
      <c r="V74" s="332">
        <f t="shared" ref="V74" si="50">U74+V73</f>
        <v>9415993.814053636</v>
      </c>
      <c r="W74" s="332">
        <f t="shared" ref="W74" si="51">V74+W73</f>
        <v>11058922.684836391</v>
      </c>
      <c r="X74" s="332">
        <f t="shared" ref="X74" si="52">W74+X73</f>
        <v>12776830.491032416</v>
      </c>
      <c r="Y74" s="332">
        <f t="shared" ref="Y74" si="53">X74+Y73</f>
        <v>14585316.553756969</v>
      </c>
      <c r="Z74" s="332">
        <f t="shared" ref="Z74" si="54">Y74+Z73</f>
        <v>16435930.059804369</v>
      </c>
      <c r="AA74" s="332">
        <f t="shared" ref="AA74" si="55">Z74+AA73</f>
        <v>18442357.255791374</v>
      </c>
      <c r="AB74" s="332">
        <f t="shared" ref="AB74" si="56">AA74+AB73</f>
        <v>22585847.957725048</v>
      </c>
      <c r="AC74" s="332">
        <f t="shared" ref="AC74" si="57">AB74+AC73</f>
        <v>24822491.665887441</v>
      </c>
      <c r="AD74" s="332">
        <f t="shared" ref="AD74:AE74" si="58">AC74+AD73</f>
        <v>27184010.211834569</v>
      </c>
      <c r="AE74" s="333">
        <f t="shared" si="58"/>
        <v>65064378.931380406</v>
      </c>
    </row>
    <row r="75" spans="2:31" ht="21.95" customHeight="1" x14ac:dyDescent="0.2">
      <c r="B75" s="1"/>
      <c r="C75" s="1"/>
      <c r="E75"/>
      <c r="F75"/>
      <c r="G75"/>
      <c r="H75"/>
      <c r="I75"/>
    </row>
    <row r="76" spans="2:31" ht="21.95" hidden="1" customHeight="1" x14ac:dyDescent="0.2">
      <c r="D76" s="22"/>
      <c r="E76" s="139"/>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row>
    <row r="77" spans="2:31" ht="21.95" hidden="1" customHeight="1" x14ac:dyDescent="0.2">
      <c r="D77" s="22"/>
      <c r="E77" s="139"/>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row>
    <row r="78" spans="2:31" ht="21.95" hidden="1" customHeight="1" x14ac:dyDescent="0.2">
      <c r="D78" s="22"/>
      <c r="E78" s="139"/>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row>
    <row r="79" spans="2:31" ht="21.95" hidden="1" customHeight="1" x14ac:dyDescent="0.2">
      <c r="D79" s="22"/>
      <c r="E79" s="139"/>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row>
    <row r="80" spans="2:31" ht="21.95" hidden="1" customHeight="1" x14ac:dyDescent="0.2">
      <c r="D80" s="22"/>
      <c r="E80" s="139"/>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row>
    <row r="81" spans="2:32" ht="21.95" hidden="1" customHeight="1" x14ac:dyDescent="0.2">
      <c r="D81" s="22"/>
      <c r="E81" s="139"/>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row>
    <row r="82" spans="2:32" ht="21.95" hidden="1" customHeight="1" x14ac:dyDescent="0.2">
      <c r="D82" s="22"/>
      <c r="E82" s="139"/>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row>
    <row r="83" spans="2:32" ht="21.95" hidden="1" customHeight="1" x14ac:dyDescent="0.2">
      <c r="D83" s="22"/>
      <c r="E83" s="139"/>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row>
    <row r="84" spans="2:32" ht="21.95" hidden="1" customHeight="1" x14ac:dyDescent="0.2">
      <c r="D84" s="22"/>
      <c r="E84" s="139"/>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row>
    <row r="85" spans="2:32" ht="21.95" customHeight="1" x14ac:dyDescent="0.2">
      <c r="D85" s="22"/>
      <c r="E85" s="139"/>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row>
    <row r="86" spans="2:32" ht="21.95" customHeight="1" x14ac:dyDescent="0.2">
      <c r="C86" s="1"/>
      <c r="D86" s="1"/>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row>
    <row r="87" spans="2:32" ht="21.95" customHeight="1" x14ac:dyDescent="0.2">
      <c r="B87" s="247" t="s">
        <v>613</v>
      </c>
      <c r="C87" s="1"/>
      <c r="D87" s="1"/>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row>
    <row r="88" spans="2:32" ht="21.95" customHeight="1" x14ac:dyDescent="0.2">
      <c r="B88" s="346"/>
      <c r="C88" s="347"/>
      <c r="D88" s="347"/>
      <c r="E88" s="347" t="s">
        <v>28</v>
      </c>
      <c r="F88" s="347" cm="1">
        <f t="array" ref="F88:AE88">_xlfn.SEQUENCE(1, studyDuration, baseYear)</f>
        <v>2022</v>
      </c>
      <c r="G88" s="347">
        <v>2023</v>
      </c>
      <c r="H88" s="347">
        <v>2024</v>
      </c>
      <c r="I88" s="347">
        <v>2025</v>
      </c>
      <c r="J88" s="347">
        <v>2026</v>
      </c>
      <c r="K88" s="347">
        <v>2027</v>
      </c>
      <c r="L88" s="347">
        <v>2028</v>
      </c>
      <c r="M88" s="347">
        <v>2029</v>
      </c>
      <c r="N88" s="347">
        <v>2030</v>
      </c>
      <c r="O88" s="347">
        <v>2031</v>
      </c>
      <c r="P88" s="347">
        <v>2032</v>
      </c>
      <c r="Q88" s="347">
        <v>2033</v>
      </c>
      <c r="R88" s="347">
        <v>2034</v>
      </c>
      <c r="S88" s="347">
        <v>2035</v>
      </c>
      <c r="T88" s="347">
        <v>2036</v>
      </c>
      <c r="U88" s="347">
        <v>2037</v>
      </c>
      <c r="V88" s="347">
        <v>2038</v>
      </c>
      <c r="W88" s="347">
        <v>2039</v>
      </c>
      <c r="X88" s="347">
        <v>2040</v>
      </c>
      <c r="Y88" s="347">
        <v>2041</v>
      </c>
      <c r="Z88" s="347">
        <v>2042</v>
      </c>
      <c r="AA88" s="347">
        <v>2043</v>
      </c>
      <c r="AB88" s="347">
        <v>2044</v>
      </c>
      <c r="AC88" s="347">
        <v>2045</v>
      </c>
      <c r="AD88" s="347">
        <v>2046</v>
      </c>
      <c r="AE88" s="348">
        <v>2047</v>
      </c>
    </row>
    <row r="89" spans="2:32" ht="21.95" customHeight="1" x14ac:dyDescent="0.2">
      <c r="B89" s="273" t="s">
        <v>126</v>
      </c>
      <c r="C89" s="274" t="s">
        <v>60</v>
      </c>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295"/>
    </row>
    <row r="90" spans="2:32" ht="21.95" customHeight="1" x14ac:dyDescent="0.2">
      <c r="B90" s="277"/>
      <c r="C90" s="143" t="s">
        <v>18</v>
      </c>
      <c r="D90" s="278"/>
      <c r="E90" s="278">
        <f t="shared" ref="E90" si="59">SUM(_xlfn.ANCHORARRAY(F90))</f>
        <v>16743177.625827663</v>
      </c>
      <c r="F90" s="278" cm="1">
        <f t="array" ref="F90:AE90">_xlfn.ANCHORARRAY(F54) *_xlfn.ANCHORARRAY( F126)</f>
        <v>0</v>
      </c>
      <c r="G90" s="278">
        <v>0</v>
      </c>
      <c r="H90" s="278">
        <v>0</v>
      </c>
      <c r="I90" s="278">
        <v>0</v>
      </c>
      <c r="J90" s="278">
        <v>0</v>
      </c>
      <c r="K90" s="278">
        <v>0</v>
      </c>
      <c r="L90" s="278">
        <v>1312590.2082512325</v>
      </c>
      <c r="M90" s="278">
        <v>1246032.0971724219</v>
      </c>
      <c r="N90" s="278">
        <v>1182848.9786255772</v>
      </c>
      <c r="O90" s="278">
        <v>1122869.715323203</v>
      </c>
      <c r="P90" s="278">
        <v>1065931.8479143905</v>
      </c>
      <c r="Q90" s="278">
        <v>1011881.1549487246</v>
      </c>
      <c r="R90" s="278">
        <v>960571.23515329941</v>
      </c>
      <c r="S90" s="278">
        <v>911863.11089140689</v>
      </c>
      <c r="T90" s="278">
        <v>865624.85172883014</v>
      </c>
      <c r="U90" s="278">
        <v>821731.21708812576</v>
      </c>
      <c r="V90" s="278">
        <v>780063.31702299789</v>
      </c>
      <c r="W90" s="278">
        <v>740508.29019395041</v>
      </c>
      <c r="X90" s="278">
        <v>702958.99817296793</v>
      </c>
      <c r="Y90" s="278">
        <v>667313.73524922505</v>
      </c>
      <c r="Z90" s="278">
        <v>633475.95294982113</v>
      </c>
      <c r="AA90" s="278">
        <v>601353.99852935981</v>
      </c>
      <c r="AB90" s="278">
        <v>570860.8667200593</v>
      </c>
      <c r="AC90" s="278">
        <v>541913.96406997566</v>
      </c>
      <c r="AD90" s="278">
        <v>514434.8852310573</v>
      </c>
      <c r="AE90" s="295">
        <v>488349.20059103379</v>
      </c>
    </row>
    <row r="91" spans="2:32" ht="21.95" customHeight="1" x14ac:dyDescent="0.2">
      <c r="B91" s="277"/>
      <c r="C91" s="143" t="s">
        <v>19</v>
      </c>
      <c r="D91" s="278"/>
      <c r="E91" s="328">
        <f>SUM(_xlfn.ANCHORARRAY(F91))</f>
        <v>155296997.67875656</v>
      </c>
      <c r="F91" s="278" cm="1">
        <f t="array" ref="F91:AE91">_xlfn.ANCHORARRAY(F55) *_xlfn.ANCHORARRAY( F126)</f>
        <v>0</v>
      </c>
      <c r="G91" s="278">
        <v>0</v>
      </c>
      <c r="H91" s="278">
        <v>0</v>
      </c>
      <c r="I91" s="278">
        <v>0</v>
      </c>
      <c r="J91" s="278">
        <v>0</v>
      </c>
      <c r="K91" s="278">
        <v>0</v>
      </c>
      <c r="L91" s="278">
        <v>6475512.1327695716</v>
      </c>
      <c r="M91" s="278">
        <v>6587538.6414710172</v>
      </c>
      <c r="N91" s="278">
        <v>6703111.0412604343</v>
      </c>
      <c r="O91" s="278">
        <v>6822323.0524892462</v>
      </c>
      <c r="P91" s="278">
        <v>6945268.1330150962</v>
      </c>
      <c r="Q91" s="278">
        <v>7072039.7427991088</v>
      </c>
      <c r="R91" s="278">
        <v>7202731.5959214829</v>
      </c>
      <c r="S91" s="278">
        <v>7337437.9010125287</v>
      </c>
      <c r="T91" s="278">
        <v>7476253.5910374504</v>
      </c>
      <c r="U91" s="278">
        <v>7619274.5433205869</v>
      </c>
      <c r="V91" s="278">
        <v>7766597.7906498108</v>
      </c>
      <c r="W91" s="278">
        <v>7918321.7242523041</v>
      </c>
      <c r="X91" s="278">
        <v>8074546.2893926315</v>
      </c>
      <c r="Y91" s="278">
        <v>8235373.1743005486</v>
      </c>
      <c r="Z91" s="278">
        <v>8400905.993104253</v>
      </c>
      <c r="AA91" s="278">
        <v>8571250.4634049907</v>
      </c>
      <c r="AB91" s="278">
        <v>8746514.579098912</v>
      </c>
      <c r="AC91" s="278">
        <v>8926808.7790182158</v>
      </c>
      <c r="AD91" s="278">
        <v>9112246.1119423211</v>
      </c>
      <c r="AE91" s="295">
        <v>9302942.3984960727</v>
      </c>
    </row>
    <row r="92" spans="2:32" ht="21.95" customHeight="1" x14ac:dyDescent="0.2">
      <c r="B92" s="277"/>
      <c r="C92" s="143" t="s">
        <v>96</v>
      </c>
      <c r="D92" s="278"/>
      <c r="E92" s="278">
        <f>SUM(F92:AE92)</f>
        <v>1460340.4350701049</v>
      </c>
      <c r="F92" s="278">
        <f>F56 * F127</f>
        <v>0</v>
      </c>
      <c r="G92" s="278">
        <f t="shared" ref="G92:AE92" si="60">G56 * G127</f>
        <v>0</v>
      </c>
      <c r="H92" s="278">
        <f t="shared" si="60"/>
        <v>0</v>
      </c>
      <c r="I92" s="278">
        <f t="shared" si="60"/>
        <v>0</v>
      </c>
      <c r="J92" s="278">
        <f t="shared" si="60"/>
        <v>0</v>
      </c>
      <c r="K92" s="278">
        <f t="shared" si="60"/>
        <v>0</v>
      </c>
      <c r="L92" s="278">
        <f t="shared" si="60"/>
        <v>-51352.335565197856</v>
      </c>
      <c r="M92" s="278">
        <f t="shared" si="60"/>
        <v>-40896.34665537929</v>
      </c>
      <c r="N92" s="278">
        <f t="shared" si="60"/>
        <v>-30723.063207665677</v>
      </c>
      <c r="O92" s="278">
        <f t="shared" si="60"/>
        <v>-19631.529752550246</v>
      </c>
      <c r="P92" s="278">
        <f t="shared" si="60"/>
        <v>-8341.5930317593975</v>
      </c>
      <c r="Q92" s="278">
        <f t="shared" si="60"/>
        <v>2871.9913885046949</v>
      </c>
      <c r="R92" s="278">
        <f t="shared" si="60"/>
        <v>14629.668476894032</v>
      </c>
      <c r="S92" s="278">
        <f t="shared" si="60"/>
        <v>26950.309383902182</v>
      </c>
      <c r="T92" s="278">
        <f t="shared" si="60"/>
        <v>39853.570489083177</v>
      </c>
      <c r="U92" s="278">
        <f t="shared" si="60"/>
        <v>53359.901574985764</v>
      </c>
      <c r="V92" s="278">
        <f t="shared" si="60"/>
        <v>68483.06100639634</v>
      </c>
      <c r="W92" s="278">
        <f t="shared" si="60"/>
        <v>83459.864634787329</v>
      </c>
      <c r="X92" s="278">
        <f t="shared" si="60"/>
        <v>99109.764726709283</v>
      </c>
      <c r="Y92" s="278">
        <f t="shared" si="60"/>
        <v>115456.61237412473</v>
      </c>
      <c r="Z92" s="278">
        <f t="shared" si="60"/>
        <v>132525.07477828304</v>
      </c>
      <c r="AA92" s="278">
        <f t="shared" si="60"/>
        <v>151262.09721929455</v>
      </c>
      <c r="AB92" s="278">
        <f t="shared" si="60"/>
        <v>171084.20615986604</v>
      </c>
      <c r="AC92" s="278">
        <f t="shared" si="60"/>
        <v>194573.71872294325</v>
      </c>
      <c r="AD92" s="278">
        <f t="shared" si="60"/>
        <v>216989.94201409831</v>
      </c>
      <c r="AE92" s="278">
        <f t="shared" si="60"/>
        <v>240675.52033278471</v>
      </c>
      <c r="AF92" s="704"/>
    </row>
    <row r="93" spans="2:32" ht="21.95" customHeight="1" x14ac:dyDescent="0.2">
      <c r="B93" s="277"/>
      <c r="C93" s="143" t="s">
        <v>98</v>
      </c>
      <c r="D93" s="278"/>
      <c r="E93" s="278">
        <f>SUM(F93:AE93)</f>
        <v>462447.3018456542</v>
      </c>
      <c r="F93" s="278">
        <f>F57 * F126</f>
        <v>0</v>
      </c>
      <c r="G93" s="278">
        <f t="shared" ref="G93:AE93" si="61">G57 * G126</f>
        <v>0</v>
      </c>
      <c r="H93" s="278">
        <f t="shared" si="61"/>
        <v>0</v>
      </c>
      <c r="I93" s="278">
        <f t="shared" si="61"/>
        <v>0</v>
      </c>
      <c r="J93" s="278">
        <f t="shared" si="61"/>
        <v>0</v>
      </c>
      <c r="K93" s="278">
        <f t="shared" si="61"/>
        <v>0</v>
      </c>
      <c r="L93" s="278">
        <f t="shared" si="61"/>
        <v>-29902.941949163851</v>
      </c>
      <c r="M93" s="278">
        <f t="shared" si="61"/>
        <v>-20315.279972632223</v>
      </c>
      <c r="N93" s="278">
        <f t="shared" si="61"/>
        <v>-11302.445465662535</v>
      </c>
      <c r="O93" s="278">
        <f t="shared" si="61"/>
        <v>-2852.3765761399754</v>
      </c>
      <c r="P93" s="278">
        <f t="shared" si="61"/>
        <v>5081.7527753848126</v>
      </c>
      <c r="Q93" s="278">
        <f t="shared" si="61"/>
        <v>9917.2385841765299</v>
      </c>
      <c r="R93" s="278">
        <f t="shared" si="61"/>
        <v>14468.038508036276</v>
      </c>
      <c r="S93" s="278">
        <f t="shared" si="61"/>
        <v>18751.041980803853</v>
      </c>
      <c r="T93" s="278">
        <f t="shared" si="61"/>
        <v>22782.12831655391</v>
      </c>
      <c r="U93" s="278">
        <f t="shared" si="61"/>
        <v>26576.224909007793</v>
      </c>
      <c r="V93" s="278">
        <f t="shared" si="61"/>
        <v>30147.362113332201</v>
      </c>
      <c r="W93" s="278">
        <f t="shared" si="61"/>
        <v>33508.724997169506</v>
      </c>
      <c r="X93" s="278">
        <f t="shared" si="61"/>
        <v>36672.702137287437</v>
      </c>
      <c r="Y93" s="278">
        <f t="shared" si="61"/>
        <v>39650.931628347571</v>
      </c>
      <c r="Z93" s="278">
        <f t="shared" si="61"/>
        <v>42454.344461160923</v>
      </c>
      <c r="AA93" s="278">
        <f t="shared" si="61"/>
        <v>44877.089274236656</v>
      </c>
      <c r="AB93" s="278">
        <f t="shared" si="61"/>
        <v>47206.076488657047</v>
      </c>
      <c r="AC93" s="278">
        <f t="shared" si="61"/>
        <v>49446.224031507925</v>
      </c>
      <c r="AD93" s="278">
        <f t="shared" si="61"/>
        <v>51602.171441893275</v>
      </c>
      <c r="AE93" s="278">
        <f t="shared" si="61"/>
        <v>53678.294161697107</v>
      </c>
      <c r="AF93" s="704"/>
    </row>
    <row r="94" spans="2:32" ht="21.95" customHeight="1" x14ac:dyDescent="0.2">
      <c r="B94" s="277"/>
      <c r="C94" s="143" t="s">
        <v>337</v>
      </c>
      <c r="D94" s="278"/>
      <c r="E94" s="328">
        <f t="shared" ref="E94:E95" si="62">SUM(_xlfn.ANCHORARRAY(F94))</f>
        <v>840344.87871175271</v>
      </c>
      <c r="F94" s="278" cm="1">
        <f t="array" ref="F94:AE94">_xlfn.ANCHORARRAY(F58) *_xlfn.ANCHORARRAY( F126)</f>
        <v>0</v>
      </c>
      <c r="G94" s="278">
        <v>0</v>
      </c>
      <c r="H94" s="278">
        <v>0</v>
      </c>
      <c r="I94" s="278">
        <v>0</v>
      </c>
      <c r="J94" s="278">
        <v>0</v>
      </c>
      <c r="K94" s="278">
        <v>0</v>
      </c>
      <c r="L94" s="278">
        <v>-95727.79002103828</v>
      </c>
      <c r="M94" s="278">
        <v>-2591.6353258268996</v>
      </c>
      <c r="N94" s="278">
        <v>1165468.5176177423</v>
      </c>
      <c r="O94" s="278">
        <v>-8100.4244746859022</v>
      </c>
      <c r="P94" s="278">
        <v>183353.91359868148</v>
      </c>
      <c r="Q94" s="278">
        <v>-7075.2244516428518</v>
      </c>
      <c r="R94" s="278">
        <v>-1847.8001695762337</v>
      </c>
      <c r="S94" s="278">
        <v>-6179.7750472904636</v>
      </c>
      <c r="T94" s="278">
        <v>-5775.4906984023028</v>
      </c>
      <c r="U94" s="278">
        <v>-227089.35753505569</v>
      </c>
      <c r="V94" s="278">
        <v>-5044.5372507662705</v>
      </c>
      <c r="W94" s="278">
        <v>-1317.4559833554335</v>
      </c>
      <c r="X94" s="278">
        <v>-4406.0942010361341</v>
      </c>
      <c r="Y94" s="278">
        <v>-4117.8450476973221</v>
      </c>
      <c r="Z94" s="278">
        <v>-17713.53728307888</v>
      </c>
      <c r="AA94" s="278">
        <v>-3596.6853416868912</v>
      </c>
      <c r="AB94" s="278">
        <v>454411.04839850345</v>
      </c>
      <c r="AC94" s="278">
        <v>-3141.4842708419001</v>
      </c>
      <c r="AD94" s="278">
        <v>-2935.9666082634581</v>
      </c>
      <c r="AE94" s="295">
        <v>-566227.49719292985</v>
      </c>
    </row>
    <row r="95" spans="2:32" ht="21.95" customHeight="1" x14ac:dyDescent="0.2">
      <c r="B95" s="277"/>
      <c r="C95" s="143" t="s">
        <v>20</v>
      </c>
      <c r="D95" s="278"/>
      <c r="E95" s="281">
        <f t="shared" si="62"/>
        <v>7083206.1398240654</v>
      </c>
      <c r="F95" s="281" cm="1">
        <f t="array" ref="F95:AE95">_xlfn.ANCHORARRAY(F59) *_xlfn.ANCHORARRAY( F126)</f>
        <v>0</v>
      </c>
      <c r="G95" s="278">
        <v>0</v>
      </c>
      <c r="H95" s="278">
        <v>0</v>
      </c>
      <c r="I95" s="278">
        <v>0</v>
      </c>
      <c r="J95" s="278">
        <v>0</v>
      </c>
      <c r="K95" s="278">
        <v>0</v>
      </c>
      <c r="L95" s="278">
        <v>0</v>
      </c>
      <c r="M95" s="278">
        <v>0</v>
      </c>
      <c r="N95" s="278">
        <v>0</v>
      </c>
      <c r="O95" s="278">
        <v>0</v>
      </c>
      <c r="P95" s="278">
        <v>0</v>
      </c>
      <c r="Q95" s="278">
        <v>0</v>
      </c>
      <c r="R95" s="278">
        <v>0</v>
      </c>
      <c r="S95" s="278">
        <v>0</v>
      </c>
      <c r="T95" s="278">
        <v>0</v>
      </c>
      <c r="U95" s="278">
        <v>0</v>
      </c>
      <c r="V95" s="278">
        <v>0</v>
      </c>
      <c r="W95" s="278">
        <v>0</v>
      </c>
      <c r="X95" s="278">
        <v>0</v>
      </c>
      <c r="Y95" s="278">
        <v>0</v>
      </c>
      <c r="Z95" s="278">
        <v>0</v>
      </c>
      <c r="AA95" s="278">
        <v>0</v>
      </c>
      <c r="AB95" s="278">
        <v>0</v>
      </c>
      <c r="AC95" s="278">
        <v>0</v>
      </c>
      <c r="AD95" s="278">
        <v>0</v>
      </c>
      <c r="AE95" s="295">
        <v>7083206.1398240654</v>
      </c>
    </row>
    <row r="96" spans="2:32" ht="21.95" customHeight="1" x14ac:dyDescent="0.2">
      <c r="B96" s="277"/>
      <c r="C96" s="321" t="s">
        <v>63</v>
      </c>
      <c r="D96" s="334"/>
      <c r="E96" s="284">
        <f>SUM(_xlfn.ANCHORARRAY(F96))</f>
        <v>179963726.32312003</v>
      </c>
      <c r="F96" s="284" cm="1">
        <f t="array" ref="F96:AE96">_xlfn.ANCHORARRAY(F90) +_xlfn.ANCHORARRAY( F92) +_xlfn.ANCHORARRAY( F93) +_xlfn.ANCHORARRAY( F94) +_xlfn.ANCHORARRAY( F95)+_xlfn.ANCHORARRAY(F91)</f>
        <v>0</v>
      </c>
      <c r="G96" s="334">
        <v>0</v>
      </c>
      <c r="H96" s="334">
        <v>0</v>
      </c>
      <c r="I96" s="334">
        <v>0</v>
      </c>
      <c r="J96" s="334">
        <v>0</v>
      </c>
      <c r="K96" s="334">
        <v>0</v>
      </c>
      <c r="L96" s="334">
        <v>7692374.5509997662</v>
      </c>
      <c r="M96" s="334">
        <v>7830979.1033176119</v>
      </c>
      <c r="N96" s="334">
        <v>9051428.5375037529</v>
      </c>
      <c r="O96" s="334">
        <v>7937092.3433377631</v>
      </c>
      <c r="P96" s="334">
        <v>8194553.8945281683</v>
      </c>
      <c r="Q96" s="334">
        <v>8076845.6732961908</v>
      </c>
      <c r="R96" s="334">
        <v>8161455.0309052058</v>
      </c>
      <c r="S96" s="334">
        <v>8243121.236856645</v>
      </c>
      <c r="T96" s="334">
        <v>8336102.9520678781</v>
      </c>
      <c r="U96" s="334">
        <v>8213916.4028736567</v>
      </c>
      <c r="V96" s="334">
        <v>8541616.5704220422</v>
      </c>
      <c r="W96" s="334">
        <v>8657512.5584628992</v>
      </c>
      <c r="X96" s="334">
        <v>8773099.1933645625</v>
      </c>
      <c r="Y96" s="334">
        <v>8898569.0645020772</v>
      </c>
      <c r="Z96" s="334">
        <v>9016668.4087709952</v>
      </c>
      <c r="AA96" s="334">
        <v>9169007.7765926644</v>
      </c>
      <c r="AB96" s="334">
        <v>9771786.494217474</v>
      </c>
      <c r="AC96" s="334">
        <v>9465581.2588173486</v>
      </c>
      <c r="AD96" s="334">
        <v>9623745.0305651147</v>
      </c>
      <c r="AE96" s="295">
        <v>16308270.241718242</v>
      </c>
    </row>
    <row r="97" spans="2:31" ht="21.95" customHeight="1" x14ac:dyDescent="0.2">
      <c r="B97" s="277"/>
      <c r="C97" s="154" t="s">
        <v>64</v>
      </c>
      <c r="D97" s="329"/>
      <c r="E97" s="329">
        <f>SUM(F97:AE97)</f>
        <v>60324974.444668889</v>
      </c>
      <c r="F97" s="329">
        <f>F61*F$126</f>
        <v>935832.69</v>
      </c>
      <c r="G97" s="329">
        <f t="shared" ref="G97:AE97" si="63">G61*G$126</f>
        <v>5564707.0654205615</v>
      </c>
      <c r="H97" s="329">
        <f t="shared" si="63"/>
        <v>6776413.1801904095</v>
      </c>
      <c r="I97" s="329">
        <f t="shared" si="63"/>
        <v>16754885.012199571</v>
      </c>
      <c r="J97" s="329">
        <f t="shared" si="63"/>
        <v>15658771.039438853</v>
      </c>
      <c r="K97" s="329">
        <f t="shared" si="63"/>
        <v>14634365.457419489</v>
      </c>
      <c r="L97" s="329">
        <f t="shared" si="63"/>
        <v>0</v>
      </c>
      <c r="M97" s="329">
        <f t="shared" si="63"/>
        <v>0</v>
      </c>
      <c r="N97" s="329">
        <f t="shared" si="63"/>
        <v>0</v>
      </c>
      <c r="O97" s="329">
        <f t="shared" si="63"/>
        <v>0</v>
      </c>
      <c r="P97" s="329">
        <f t="shared" si="63"/>
        <v>0</v>
      </c>
      <c r="Q97" s="329">
        <f t="shared" si="63"/>
        <v>0</v>
      </c>
      <c r="R97" s="329">
        <f t="shared" si="63"/>
        <v>0</v>
      </c>
      <c r="S97" s="329">
        <f t="shared" si="63"/>
        <v>0</v>
      </c>
      <c r="T97" s="329">
        <f t="shared" si="63"/>
        <v>0</v>
      </c>
      <c r="U97" s="329">
        <f t="shared" si="63"/>
        <v>0</v>
      </c>
      <c r="V97" s="329">
        <f t="shared" si="63"/>
        <v>0</v>
      </c>
      <c r="W97" s="329">
        <f t="shared" si="63"/>
        <v>0</v>
      </c>
      <c r="X97" s="329">
        <f t="shared" si="63"/>
        <v>0</v>
      </c>
      <c r="Y97" s="329">
        <f t="shared" si="63"/>
        <v>0</v>
      </c>
      <c r="Z97" s="329">
        <f t="shared" si="63"/>
        <v>0</v>
      </c>
      <c r="AA97" s="329">
        <f t="shared" si="63"/>
        <v>0</v>
      </c>
      <c r="AB97" s="329">
        <f t="shared" si="63"/>
        <v>0</v>
      </c>
      <c r="AC97" s="329">
        <f t="shared" si="63"/>
        <v>0</v>
      </c>
      <c r="AD97" s="329">
        <f t="shared" si="63"/>
        <v>0</v>
      </c>
      <c r="AE97" s="330">
        <f t="shared" si="63"/>
        <v>0</v>
      </c>
    </row>
    <row r="98" spans="2:31" ht="21.95" customHeight="1" x14ac:dyDescent="0.2">
      <c r="B98" s="277"/>
      <c r="C98" s="274" t="s">
        <v>65</v>
      </c>
      <c r="D98" s="284"/>
      <c r="E98" s="284">
        <f>SUM(_xlfn.ANCHORARRAY(F98))</f>
        <v>155632076.38312006</v>
      </c>
      <c r="F98" s="284" cm="1">
        <f t="array" ref="F98:AE98">_xlfn.ANCHORARRAY(F96) -_xlfn.ANCHORARRAY( F97)</f>
        <v>-935832.69</v>
      </c>
      <c r="G98" s="284">
        <v>-935832.69</v>
      </c>
      <c r="H98" s="284">
        <v>-935832.69</v>
      </c>
      <c r="I98" s="284">
        <v>-935832.69</v>
      </c>
      <c r="J98" s="284">
        <v>-935832.69</v>
      </c>
      <c r="K98" s="284">
        <v>-935832.69</v>
      </c>
      <c r="L98" s="284">
        <v>6756541.8609997667</v>
      </c>
      <c r="M98" s="284">
        <v>6895146.4133176114</v>
      </c>
      <c r="N98" s="284">
        <v>8115595.8475037534</v>
      </c>
      <c r="O98" s="284">
        <v>7001259.6533377636</v>
      </c>
      <c r="P98" s="284">
        <v>7258721.2045281678</v>
      </c>
      <c r="Q98" s="284">
        <v>7141012.9832961913</v>
      </c>
      <c r="R98" s="284">
        <v>7225622.3409052063</v>
      </c>
      <c r="S98" s="284">
        <v>7307288.5468566455</v>
      </c>
      <c r="T98" s="284">
        <v>7400270.2620678786</v>
      </c>
      <c r="U98" s="284">
        <v>7278083.7128736563</v>
      </c>
      <c r="V98" s="284">
        <v>7605783.8804220427</v>
      </c>
      <c r="W98" s="284">
        <v>7721679.8684628997</v>
      </c>
      <c r="X98" s="284">
        <v>7837266.503364563</v>
      </c>
      <c r="Y98" s="284">
        <v>7962736.3745020777</v>
      </c>
      <c r="Z98" s="284">
        <v>8080835.7187709957</v>
      </c>
      <c r="AA98" s="284">
        <v>8233175.0865926649</v>
      </c>
      <c r="AB98" s="284">
        <v>8835953.8042174745</v>
      </c>
      <c r="AC98" s="284">
        <v>8529748.5688173492</v>
      </c>
      <c r="AD98" s="284">
        <v>8687912.3405651152</v>
      </c>
      <c r="AE98" s="295">
        <v>15372437.551718242</v>
      </c>
    </row>
    <row r="99" spans="2:31" ht="21.95" customHeight="1" x14ac:dyDescent="0.2">
      <c r="B99" s="280"/>
      <c r="C99" s="154" t="s">
        <v>66</v>
      </c>
      <c r="D99" s="329"/>
      <c r="E99" s="329"/>
      <c r="F99" s="329">
        <f>F98</f>
        <v>-935832.69</v>
      </c>
      <c r="G99" s="329">
        <f>F99+G98</f>
        <v>-1871665.38</v>
      </c>
      <c r="H99" s="329">
        <f t="shared" ref="H99" si="64">G99+H98</f>
        <v>-2807498.07</v>
      </c>
      <c r="I99" s="329">
        <f t="shared" ref="I99" si="65">H99+I98</f>
        <v>-3743330.76</v>
      </c>
      <c r="J99" s="329">
        <f t="shared" ref="J99" si="66">I99+J98</f>
        <v>-4679163.4499999993</v>
      </c>
      <c r="K99" s="329">
        <f t="shared" ref="K99" si="67">J99+K98</f>
        <v>-5614996.1399999987</v>
      </c>
      <c r="L99" s="329">
        <f t="shared" ref="L99" si="68">K99+L98</f>
        <v>1141545.720999768</v>
      </c>
      <c r="M99" s="329">
        <f t="shared" ref="M99" si="69">L99+M98</f>
        <v>8036692.1343173794</v>
      </c>
      <c r="N99" s="329">
        <f t="shared" ref="N99" si="70">M99+N98</f>
        <v>16152287.981821133</v>
      </c>
      <c r="O99" s="329">
        <f t="shared" ref="O99" si="71">N99+O98</f>
        <v>23153547.635158896</v>
      </c>
      <c r="P99" s="329">
        <f t="shared" ref="P99" si="72">O99+P98</f>
        <v>30412268.839687064</v>
      </c>
      <c r="Q99" s="329">
        <f t="shared" ref="Q99" si="73">P99+Q98</f>
        <v>37553281.822983257</v>
      </c>
      <c r="R99" s="329">
        <f t="shared" ref="R99" si="74">Q99+R98</f>
        <v>44778904.163888462</v>
      </c>
      <c r="S99" s="329">
        <f t="shared" ref="S99" si="75">R99+S98</f>
        <v>52086192.710745111</v>
      </c>
      <c r="T99" s="329">
        <f t="shared" ref="T99" si="76">S99+T98</f>
        <v>59486462.972812988</v>
      </c>
      <c r="U99" s="329">
        <f t="shared" ref="U99" si="77">T99+U98</f>
        <v>66764546.685686648</v>
      </c>
      <c r="V99" s="329">
        <f t="shared" ref="V99" si="78">U99+V98</f>
        <v>74370330.566108689</v>
      </c>
      <c r="W99" s="329">
        <f t="shared" ref="W99" si="79">V99+W98</f>
        <v>82092010.434571594</v>
      </c>
      <c r="X99" s="329">
        <f t="shared" ref="X99" si="80">W99+X98</f>
        <v>89929276.937936157</v>
      </c>
      <c r="Y99" s="329">
        <f t="shared" ref="Y99" si="81">X99+Y98</f>
        <v>97892013.312438235</v>
      </c>
      <c r="Z99" s="329">
        <f t="shared" ref="Z99" si="82">Y99+Z98</f>
        <v>105972849.03120923</v>
      </c>
      <c r="AA99" s="329">
        <f t="shared" ref="AA99" si="83">Z99+AA98</f>
        <v>114206024.11780189</v>
      </c>
      <c r="AB99" s="329">
        <f t="shared" ref="AB99" si="84">AA99+AB98</f>
        <v>123041977.92201936</v>
      </c>
      <c r="AC99" s="329">
        <f t="shared" ref="AC99" si="85">AB99+AC98</f>
        <v>131571726.49083671</v>
      </c>
      <c r="AD99" s="329">
        <f t="shared" ref="AD99:AE99" si="86">AC99+AD98</f>
        <v>140259638.83140182</v>
      </c>
      <c r="AE99" s="330">
        <f t="shared" si="86"/>
        <v>155632076.38312006</v>
      </c>
    </row>
    <row r="100" spans="2:31" ht="21.95" customHeight="1" x14ac:dyDescent="0.2">
      <c r="B100" s="273" t="s">
        <v>505</v>
      </c>
      <c r="C100" s="274" t="str">
        <f>C89</f>
        <v>Benefits</v>
      </c>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95"/>
    </row>
    <row r="101" spans="2:31" ht="21.95" customHeight="1" x14ac:dyDescent="0.2">
      <c r="B101" s="277"/>
      <c r="C101" s="143" t="str">
        <f>C90</f>
        <v>Improved Safety</v>
      </c>
      <c r="D101" s="335"/>
      <c r="E101" s="278">
        <f t="shared" ref="E101" si="87">SUM(_xlfn.ANCHORARRAY(F101))</f>
        <v>16743177.625827663</v>
      </c>
      <c r="F101" s="335" cm="1">
        <f t="array" ref="F101:AE101">_xlfn.ANCHORARRAY(F65) * discountAnnual</f>
        <v>0</v>
      </c>
      <c r="G101" s="335">
        <v>0</v>
      </c>
      <c r="H101" s="335">
        <v>0</v>
      </c>
      <c r="I101" s="335">
        <v>0</v>
      </c>
      <c r="J101" s="335">
        <v>0</v>
      </c>
      <c r="K101" s="335">
        <v>0</v>
      </c>
      <c r="L101" s="335">
        <v>1312590.2082512325</v>
      </c>
      <c r="M101" s="335">
        <v>1246032.0971724219</v>
      </c>
      <c r="N101" s="335">
        <v>1182848.9786255772</v>
      </c>
      <c r="O101" s="335">
        <v>1122869.715323203</v>
      </c>
      <c r="P101" s="335">
        <v>1065931.8479143905</v>
      </c>
      <c r="Q101" s="335">
        <v>1011881.1549487246</v>
      </c>
      <c r="R101" s="335">
        <v>960571.23515329941</v>
      </c>
      <c r="S101" s="335">
        <v>911863.11089140689</v>
      </c>
      <c r="T101" s="335">
        <v>865624.85172883014</v>
      </c>
      <c r="U101" s="335">
        <v>821731.21708812576</v>
      </c>
      <c r="V101" s="335">
        <v>780063.31702299789</v>
      </c>
      <c r="W101" s="335">
        <v>740508.29019395041</v>
      </c>
      <c r="X101" s="335">
        <v>702958.99817296793</v>
      </c>
      <c r="Y101" s="335">
        <v>667313.73524922505</v>
      </c>
      <c r="Z101" s="335">
        <v>633475.95294982113</v>
      </c>
      <c r="AA101" s="335">
        <v>601353.99852935981</v>
      </c>
      <c r="AB101" s="335">
        <v>570860.8667200593</v>
      </c>
      <c r="AC101" s="335">
        <v>541913.96406997566</v>
      </c>
      <c r="AD101" s="335">
        <v>514434.8852310573</v>
      </c>
      <c r="AE101" s="295">
        <v>488349.20059103379</v>
      </c>
    </row>
    <row r="102" spans="2:31" ht="21.95" customHeight="1" x14ac:dyDescent="0.2">
      <c r="B102" s="277"/>
      <c r="C102" s="143" t="str">
        <f>C91</f>
        <v>Travel Time Savings</v>
      </c>
      <c r="D102" s="335"/>
      <c r="E102" s="328">
        <f>SUM(_xlfn.ANCHORARRAY(F102))</f>
        <v>155296997.67875656</v>
      </c>
      <c r="F102" s="328" cm="1">
        <f t="array" ref="F102:AE102">_xlfn.ANCHORARRAY(F66) *_xlfn.ANCHORARRAY( F126)</f>
        <v>0</v>
      </c>
      <c r="G102" s="335">
        <v>0</v>
      </c>
      <c r="H102" s="335">
        <v>0</v>
      </c>
      <c r="I102" s="335">
        <v>0</v>
      </c>
      <c r="J102" s="335">
        <v>0</v>
      </c>
      <c r="K102" s="335">
        <v>0</v>
      </c>
      <c r="L102" s="335">
        <v>6475512.1327695716</v>
      </c>
      <c r="M102" s="335">
        <v>6587538.6414710172</v>
      </c>
      <c r="N102" s="335">
        <v>6703111.0412604343</v>
      </c>
      <c r="O102" s="335">
        <v>6822323.0524892462</v>
      </c>
      <c r="P102" s="335">
        <v>6945268.1330150962</v>
      </c>
      <c r="Q102" s="335">
        <v>7072039.7427991088</v>
      </c>
      <c r="R102" s="335">
        <v>7202731.5959214829</v>
      </c>
      <c r="S102" s="335">
        <v>7337437.9010125287</v>
      </c>
      <c r="T102" s="335">
        <v>7476253.5910374504</v>
      </c>
      <c r="U102" s="335">
        <v>7619274.5433205869</v>
      </c>
      <c r="V102" s="335">
        <v>7766597.7906498108</v>
      </c>
      <c r="W102" s="335">
        <v>7918321.7242523041</v>
      </c>
      <c r="X102" s="335">
        <v>8074546.2893926315</v>
      </c>
      <c r="Y102" s="335">
        <v>8235373.1743005486</v>
      </c>
      <c r="Z102" s="335">
        <v>8400905.993104253</v>
      </c>
      <c r="AA102" s="335">
        <v>8571250.4634049907</v>
      </c>
      <c r="AB102" s="335">
        <v>8746514.579098912</v>
      </c>
      <c r="AC102" s="335">
        <v>8926808.7790182158</v>
      </c>
      <c r="AD102" s="335">
        <v>9112246.1119423211</v>
      </c>
      <c r="AE102" s="295">
        <v>9302942.3984960727</v>
      </c>
    </row>
    <row r="103" spans="2:31" ht="21.95" customHeight="1" x14ac:dyDescent="0.2">
      <c r="B103" s="277"/>
      <c r="C103" s="143" t="str">
        <f>C92</f>
        <v>GHG Emissions Savings</v>
      </c>
      <c r="D103" s="335"/>
      <c r="E103" s="278">
        <f>(SUM(F103:AE103)*(6.2/13))</f>
        <v>696470.05364881933</v>
      </c>
      <c r="F103" s="278">
        <v>0</v>
      </c>
      <c r="G103" s="278">
        <v>0</v>
      </c>
      <c r="H103" s="278">
        <v>0</v>
      </c>
      <c r="I103" s="278">
        <v>0</v>
      </c>
      <c r="J103" s="278">
        <v>0</v>
      </c>
      <c r="K103" s="278">
        <v>0</v>
      </c>
      <c r="L103" s="278">
        <v>-51352.335565197856</v>
      </c>
      <c r="M103" s="278">
        <v>-40896.34665537929</v>
      </c>
      <c r="N103" s="278">
        <v>-30723.063207665677</v>
      </c>
      <c r="O103" s="278">
        <v>-19631.529752550246</v>
      </c>
      <c r="P103" s="278">
        <v>-8341.5930317593975</v>
      </c>
      <c r="Q103" s="278">
        <v>2871.9913885046949</v>
      </c>
      <c r="R103" s="278">
        <v>14629.668476894032</v>
      </c>
      <c r="S103" s="278">
        <v>26950.309383902182</v>
      </c>
      <c r="T103" s="278">
        <v>39853.570489083177</v>
      </c>
      <c r="U103" s="278">
        <v>53359.901574985764</v>
      </c>
      <c r="V103" s="278">
        <v>68483.06100639634</v>
      </c>
      <c r="W103" s="278">
        <v>83459.864634787329</v>
      </c>
      <c r="X103" s="278">
        <v>99109.764726709283</v>
      </c>
      <c r="Y103" s="278">
        <v>115456.61237412473</v>
      </c>
      <c r="Z103" s="278">
        <v>132525.07477828304</v>
      </c>
      <c r="AA103" s="278">
        <v>151262.09721929455</v>
      </c>
      <c r="AB103" s="278">
        <v>171084.20615986604</v>
      </c>
      <c r="AC103" s="278">
        <v>194573.71872294325</v>
      </c>
      <c r="AD103" s="278">
        <v>216989.94201409831</v>
      </c>
      <c r="AE103" s="278">
        <v>240675.52033278471</v>
      </c>
    </row>
    <row r="104" spans="2:31" ht="21.95" customHeight="1" x14ac:dyDescent="0.2">
      <c r="B104" s="277"/>
      <c r="C104" s="143" t="str">
        <f>C93</f>
        <v>CAC Emissions Savings</v>
      </c>
      <c r="D104" s="335"/>
      <c r="E104" s="278">
        <f>SUM(F104:AE104)*(6.2/13)</f>
        <v>220551.79011100432</v>
      </c>
      <c r="F104" s="278">
        <v>0</v>
      </c>
      <c r="G104" s="278">
        <v>0</v>
      </c>
      <c r="H104" s="278">
        <v>0</v>
      </c>
      <c r="I104" s="278">
        <v>0</v>
      </c>
      <c r="J104" s="278">
        <v>0</v>
      </c>
      <c r="K104" s="278">
        <v>0</v>
      </c>
      <c r="L104" s="278">
        <v>-29902.941949163851</v>
      </c>
      <c r="M104" s="278">
        <v>-20315.279972632223</v>
      </c>
      <c r="N104" s="278">
        <v>-11302.445465662535</v>
      </c>
      <c r="O104" s="278">
        <v>-2852.3765761399754</v>
      </c>
      <c r="P104" s="278">
        <v>5081.7527753848126</v>
      </c>
      <c r="Q104" s="278">
        <v>9917.2385841765299</v>
      </c>
      <c r="R104" s="278">
        <v>14468.038508036276</v>
      </c>
      <c r="S104" s="278">
        <v>18751.041980803853</v>
      </c>
      <c r="T104" s="278">
        <v>22782.12831655391</v>
      </c>
      <c r="U104" s="278">
        <v>26576.224909007793</v>
      </c>
      <c r="V104" s="278">
        <v>30147.362113332201</v>
      </c>
      <c r="W104" s="278">
        <v>33508.724997169506</v>
      </c>
      <c r="X104" s="278">
        <v>36672.702137287437</v>
      </c>
      <c r="Y104" s="278">
        <v>39650.931628347571</v>
      </c>
      <c r="Z104" s="278">
        <v>42454.344461160923</v>
      </c>
      <c r="AA104" s="278">
        <v>44877.089274236656</v>
      </c>
      <c r="AB104" s="278">
        <v>47206.076488657047</v>
      </c>
      <c r="AC104" s="278">
        <v>49446.224031507925</v>
      </c>
      <c r="AD104" s="278">
        <v>51602.171441893275</v>
      </c>
      <c r="AE104" s="278">
        <v>53678.294161697107</v>
      </c>
    </row>
    <row r="105" spans="2:31" ht="21.95" customHeight="1" x14ac:dyDescent="0.2">
      <c r="B105" s="277"/>
      <c r="C105" s="143" t="s">
        <v>337</v>
      </c>
      <c r="D105" s="278"/>
      <c r="E105" s="328">
        <f t="shared" ref="E105:E106" si="88">SUM(_xlfn.ANCHORARRAY(F105))</f>
        <v>840344.87871175271</v>
      </c>
      <c r="F105" s="278" cm="1">
        <f t="array" ref="F105:AE105">_xlfn.ANCHORARRAY(F69) *_xlfn.ANCHORARRAY( F126)</f>
        <v>0</v>
      </c>
      <c r="G105" s="335">
        <v>0</v>
      </c>
      <c r="H105" s="335">
        <v>0</v>
      </c>
      <c r="I105" s="335">
        <v>0</v>
      </c>
      <c r="J105" s="335">
        <v>0</v>
      </c>
      <c r="K105" s="335">
        <v>0</v>
      </c>
      <c r="L105" s="335">
        <v>-95727.79002103828</v>
      </c>
      <c r="M105" s="335">
        <v>-2591.6353258268996</v>
      </c>
      <c r="N105" s="335">
        <v>1165468.5176177423</v>
      </c>
      <c r="O105" s="335">
        <v>-8100.4244746859022</v>
      </c>
      <c r="P105" s="335">
        <v>183353.91359868148</v>
      </c>
      <c r="Q105" s="335">
        <v>-7075.2244516428518</v>
      </c>
      <c r="R105" s="335">
        <v>-1847.8001695762337</v>
      </c>
      <c r="S105" s="335">
        <v>-6179.7750472904636</v>
      </c>
      <c r="T105" s="335">
        <v>-5775.4906984023028</v>
      </c>
      <c r="U105" s="335">
        <v>-227089.35753505569</v>
      </c>
      <c r="V105" s="335">
        <v>-5044.5372507662705</v>
      </c>
      <c r="W105" s="335">
        <v>-1317.4559833554335</v>
      </c>
      <c r="X105" s="335">
        <v>-4406.0942010361341</v>
      </c>
      <c r="Y105" s="335">
        <v>-4117.8450476973221</v>
      </c>
      <c r="Z105" s="335">
        <v>-17713.53728307888</v>
      </c>
      <c r="AA105" s="335">
        <v>-3596.6853416868912</v>
      </c>
      <c r="AB105" s="335">
        <v>454411.04839850345</v>
      </c>
      <c r="AC105" s="335">
        <v>-3141.4842708419001</v>
      </c>
      <c r="AD105" s="335">
        <v>-2935.9666082634581</v>
      </c>
      <c r="AE105" s="295">
        <v>-566227.49719292985</v>
      </c>
    </row>
    <row r="106" spans="2:31" ht="21.95" customHeight="1" x14ac:dyDescent="0.2">
      <c r="B106" s="277"/>
      <c r="C106" s="152" t="str">
        <f>C95</f>
        <v>Residual Value of Assets</v>
      </c>
      <c r="D106" s="336"/>
      <c r="E106" s="281">
        <f t="shared" si="88"/>
        <v>7083206.1398240654</v>
      </c>
      <c r="F106" s="336" cm="1">
        <f t="array" ref="F106:AE106">_xlfn.ANCHORARRAY(F70) *_xlfn.ANCHORARRAY( F126)</f>
        <v>0</v>
      </c>
      <c r="G106" s="336">
        <v>0</v>
      </c>
      <c r="H106" s="336">
        <v>0</v>
      </c>
      <c r="I106" s="336">
        <v>0</v>
      </c>
      <c r="J106" s="336">
        <v>0</v>
      </c>
      <c r="K106" s="336">
        <v>0</v>
      </c>
      <c r="L106" s="336">
        <v>0</v>
      </c>
      <c r="M106" s="336">
        <v>0</v>
      </c>
      <c r="N106" s="336">
        <v>0</v>
      </c>
      <c r="O106" s="336">
        <v>0</v>
      </c>
      <c r="P106" s="336">
        <v>0</v>
      </c>
      <c r="Q106" s="336">
        <v>0</v>
      </c>
      <c r="R106" s="336">
        <v>0</v>
      </c>
      <c r="S106" s="336">
        <v>0</v>
      </c>
      <c r="T106" s="336">
        <v>0</v>
      </c>
      <c r="U106" s="336">
        <v>0</v>
      </c>
      <c r="V106" s="336">
        <v>0</v>
      </c>
      <c r="W106" s="336">
        <v>0</v>
      </c>
      <c r="X106" s="336">
        <v>0</v>
      </c>
      <c r="Y106" s="336">
        <v>0</v>
      </c>
      <c r="Z106" s="336">
        <v>0</v>
      </c>
      <c r="AA106" s="336">
        <v>0</v>
      </c>
      <c r="AB106" s="336">
        <v>0</v>
      </c>
      <c r="AC106" s="336">
        <v>0</v>
      </c>
      <c r="AD106" s="336">
        <v>0</v>
      </c>
      <c r="AE106" s="295">
        <v>7083206.1398240654</v>
      </c>
    </row>
    <row r="107" spans="2:31" ht="21.95" customHeight="1" x14ac:dyDescent="0.2">
      <c r="B107" s="277"/>
      <c r="C107" s="274" t="s">
        <v>63</v>
      </c>
      <c r="D107" s="284"/>
      <c r="E107" s="284">
        <f>SUM(_xlfn.ANCHORARRAY(F107))</f>
        <v>181886514.06003579</v>
      </c>
      <c r="F107" s="284" cm="1">
        <f t="array" ref="F107:AE107">_xlfn.ANCHORARRAY(F101) + F103:AE103 + F104:AE104 +_xlfn.ANCHORARRAY( F105) +_xlfn.ANCHORARRAY( F106)+_xlfn.ANCHORARRAY(F102)</f>
        <v>0</v>
      </c>
      <c r="G107" s="284">
        <v>0</v>
      </c>
      <c r="H107" s="284">
        <v>0</v>
      </c>
      <c r="I107" s="284">
        <v>0</v>
      </c>
      <c r="J107" s="284">
        <v>0</v>
      </c>
      <c r="K107" s="284">
        <v>0</v>
      </c>
      <c r="L107" s="284">
        <v>7611119.2734854044</v>
      </c>
      <c r="M107" s="284">
        <v>7769767.4766896004</v>
      </c>
      <c r="N107" s="284">
        <v>9009403.0288304258</v>
      </c>
      <c r="O107" s="284">
        <v>7914608.4370090729</v>
      </c>
      <c r="P107" s="284">
        <v>8191294.0542717939</v>
      </c>
      <c r="Q107" s="284">
        <v>8089634.9032688718</v>
      </c>
      <c r="R107" s="284">
        <v>8190552.7378901364</v>
      </c>
      <c r="S107" s="284">
        <v>8288822.5882213507</v>
      </c>
      <c r="T107" s="284">
        <v>8398738.6508735158</v>
      </c>
      <c r="U107" s="284">
        <v>8293852.5293576503</v>
      </c>
      <c r="V107" s="284">
        <v>8640246.9935417715</v>
      </c>
      <c r="W107" s="284">
        <v>8774481.1480948552</v>
      </c>
      <c r="X107" s="284">
        <v>8908881.6602285597</v>
      </c>
      <c r="Y107" s="284">
        <v>9053676.6085045487</v>
      </c>
      <c r="Z107" s="284">
        <v>9191647.8280104399</v>
      </c>
      <c r="AA107" s="284">
        <v>9365146.9630861953</v>
      </c>
      <c r="AB107" s="284">
        <v>9990076.7768659983</v>
      </c>
      <c r="AC107" s="284">
        <v>9709601.2015717998</v>
      </c>
      <c r="AD107" s="284">
        <v>9892337.1440211069</v>
      </c>
      <c r="AE107" s="295">
        <v>16602624.056212723</v>
      </c>
    </row>
    <row r="108" spans="2:31" ht="21.95" customHeight="1" x14ac:dyDescent="0.2">
      <c r="B108" s="277"/>
      <c r="C108" s="154" t="str">
        <f>C97</f>
        <v>Capital Costs</v>
      </c>
      <c r="D108" s="329"/>
      <c r="E108" s="329">
        <f>SUM(F108:AE108)</f>
        <v>60324974.444668889</v>
      </c>
      <c r="F108" s="329">
        <f>F72*F$126</f>
        <v>935832.69</v>
      </c>
      <c r="G108" s="329">
        <f t="shared" ref="G108:AE108" si="89">G72*G$126</f>
        <v>5564707.0654205615</v>
      </c>
      <c r="H108" s="329">
        <f t="shared" si="89"/>
        <v>6776413.1801904095</v>
      </c>
      <c r="I108" s="329">
        <f t="shared" si="89"/>
        <v>16754885.012199571</v>
      </c>
      <c r="J108" s="329">
        <f t="shared" si="89"/>
        <v>15658771.039438853</v>
      </c>
      <c r="K108" s="329">
        <f t="shared" si="89"/>
        <v>14634365.457419489</v>
      </c>
      <c r="L108" s="329">
        <f t="shared" si="89"/>
        <v>0</v>
      </c>
      <c r="M108" s="329">
        <f t="shared" si="89"/>
        <v>0</v>
      </c>
      <c r="N108" s="329">
        <f t="shared" si="89"/>
        <v>0</v>
      </c>
      <c r="O108" s="329">
        <f t="shared" si="89"/>
        <v>0</v>
      </c>
      <c r="P108" s="329">
        <f t="shared" si="89"/>
        <v>0</v>
      </c>
      <c r="Q108" s="329">
        <f t="shared" si="89"/>
        <v>0</v>
      </c>
      <c r="R108" s="329">
        <f t="shared" si="89"/>
        <v>0</v>
      </c>
      <c r="S108" s="329">
        <f t="shared" si="89"/>
        <v>0</v>
      </c>
      <c r="T108" s="329">
        <f t="shared" si="89"/>
        <v>0</v>
      </c>
      <c r="U108" s="329">
        <f t="shared" si="89"/>
        <v>0</v>
      </c>
      <c r="V108" s="329">
        <f t="shared" si="89"/>
        <v>0</v>
      </c>
      <c r="W108" s="329">
        <f t="shared" si="89"/>
        <v>0</v>
      </c>
      <c r="X108" s="329">
        <f t="shared" si="89"/>
        <v>0</v>
      </c>
      <c r="Y108" s="329">
        <f t="shared" si="89"/>
        <v>0</v>
      </c>
      <c r="Z108" s="329">
        <f t="shared" si="89"/>
        <v>0</v>
      </c>
      <c r="AA108" s="329">
        <f t="shared" si="89"/>
        <v>0</v>
      </c>
      <c r="AB108" s="329">
        <f t="shared" si="89"/>
        <v>0</v>
      </c>
      <c r="AC108" s="329">
        <f t="shared" si="89"/>
        <v>0</v>
      </c>
      <c r="AD108" s="329">
        <f t="shared" si="89"/>
        <v>0</v>
      </c>
      <c r="AE108" s="330">
        <f t="shared" si="89"/>
        <v>0</v>
      </c>
    </row>
    <row r="109" spans="2:31" ht="21.95" customHeight="1" x14ac:dyDescent="0.2">
      <c r="B109" s="277"/>
      <c r="C109" s="274" t="s">
        <v>65</v>
      </c>
      <c r="D109" s="284"/>
      <c r="E109" s="284">
        <f>SUM(_xlfn.ANCHORARRAY(F109))</f>
        <v>157554864.12003583</v>
      </c>
      <c r="F109" s="284" cm="1">
        <f t="array" ref="F109:AE109">_xlfn.ANCHORARRAY(F107) -_xlfn.ANCHORARRAY( F108)</f>
        <v>-935832.69</v>
      </c>
      <c r="G109" s="284">
        <v>-935832.69</v>
      </c>
      <c r="H109" s="284">
        <v>-935832.69</v>
      </c>
      <c r="I109" s="284">
        <v>-935832.69</v>
      </c>
      <c r="J109" s="284">
        <v>-935832.69</v>
      </c>
      <c r="K109" s="284">
        <v>-935832.69</v>
      </c>
      <c r="L109" s="284">
        <v>6675286.583485404</v>
      </c>
      <c r="M109" s="284">
        <v>6833934.7866896</v>
      </c>
      <c r="N109" s="284">
        <v>8073570.3388304263</v>
      </c>
      <c r="O109" s="284">
        <v>6978775.7470090725</v>
      </c>
      <c r="P109" s="284">
        <v>7255461.3642717935</v>
      </c>
      <c r="Q109" s="284">
        <v>7153802.2132688724</v>
      </c>
      <c r="R109" s="284">
        <v>7254720.047890136</v>
      </c>
      <c r="S109" s="284">
        <v>7352989.8982213512</v>
      </c>
      <c r="T109" s="284">
        <v>7462905.9608735163</v>
      </c>
      <c r="U109" s="284">
        <v>7358019.8393576499</v>
      </c>
      <c r="V109" s="284">
        <v>7704414.3035417721</v>
      </c>
      <c r="W109" s="284">
        <v>7838648.4580948558</v>
      </c>
      <c r="X109" s="284">
        <v>7973048.9702285603</v>
      </c>
      <c r="Y109" s="284">
        <v>8117843.9185045492</v>
      </c>
      <c r="Z109" s="284">
        <v>8255815.1380104404</v>
      </c>
      <c r="AA109" s="284">
        <v>8429314.2730861958</v>
      </c>
      <c r="AB109" s="284">
        <v>9054244.0868659988</v>
      </c>
      <c r="AC109" s="284">
        <v>8773768.5115718003</v>
      </c>
      <c r="AD109" s="284">
        <v>8956504.4540211074</v>
      </c>
      <c r="AE109" s="295">
        <v>15666791.366212724</v>
      </c>
    </row>
    <row r="110" spans="2:31" ht="21.95" customHeight="1" x14ac:dyDescent="0.2">
      <c r="B110" s="290"/>
      <c r="C110" s="331" t="s">
        <v>66</v>
      </c>
      <c r="D110" s="332"/>
      <c r="E110" s="332"/>
      <c r="F110" s="332">
        <f>F109</f>
        <v>-935832.69</v>
      </c>
      <c r="G110" s="332">
        <f>F110+G109</f>
        <v>-1871665.38</v>
      </c>
      <c r="H110" s="332">
        <f t="shared" ref="H110" si="90">G110+H109</f>
        <v>-2807498.07</v>
      </c>
      <c r="I110" s="332">
        <f t="shared" ref="I110" si="91">H110+I109</f>
        <v>-3743330.76</v>
      </c>
      <c r="J110" s="332">
        <f t="shared" ref="J110" si="92">I110+J109</f>
        <v>-4679163.4499999993</v>
      </c>
      <c r="K110" s="332">
        <f t="shared" ref="K110" si="93">J110+K109</f>
        <v>-5614996.1399999987</v>
      </c>
      <c r="L110" s="332">
        <f t="shared" ref="L110" si="94">K110+L109</f>
        <v>1060290.4434854053</v>
      </c>
      <c r="M110" s="332">
        <f t="shared" ref="M110" si="95">L110+M109</f>
        <v>7894225.2301750053</v>
      </c>
      <c r="N110" s="332">
        <f t="shared" ref="N110" si="96">M110+N109</f>
        <v>15967795.569005432</v>
      </c>
      <c r="O110" s="332">
        <f t="shared" ref="O110" si="97">N110+O109</f>
        <v>22946571.316014506</v>
      </c>
      <c r="P110" s="332">
        <f t="shared" ref="P110" si="98">O110+P109</f>
        <v>30202032.680286299</v>
      </c>
      <c r="Q110" s="332">
        <f t="shared" ref="Q110" si="99">P110+Q109</f>
        <v>37355834.893555172</v>
      </c>
      <c r="R110" s="332">
        <f t="shared" ref="R110" si="100">Q110+R109</f>
        <v>44610554.941445306</v>
      </c>
      <c r="S110" s="332">
        <f t="shared" ref="S110" si="101">R110+S109</f>
        <v>51963544.839666657</v>
      </c>
      <c r="T110" s="332">
        <f t="shared" ref="T110" si="102">S110+T109</f>
        <v>59426450.800540172</v>
      </c>
      <c r="U110" s="332">
        <f t="shared" ref="U110" si="103">T110+U109</f>
        <v>66784470.639897823</v>
      </c>
      <c r="V110" s="332">
        <f t="shared" ref="V110" si="104">U110+V109</f>
        <v>74488884.943439603</v>
      </c>
      <c r="W110" s="332">
        <f t="shared" ref="W110" si="105">V110+W109</f>
        <v>82327533.401534453</v>
      </c>
      <c r="X110" s="332">
        <f t="shared" ref="X110" si="106">W110+X109</f>
        <v>90300582.371763021</v>
      </c>
      <c r="Y110" s="332">
        <f t="shared" ref="Y110" si="107">X110+Y109</f>
        <v>98418426.290267572</v>
      </c>
      <c r="Z110" s="332">
        <f t="shared" ref="Z110" si="108">Y110+Z109</f>
        <v>106674241.42827801</v>
      </c>
      <c r="AA110" s="332">
        <f t="shared" ref="AA110" si="109">Z110+AA109</f>
        <v>115103555.7013642</v>
      </c>
      <c r="AB110" s="332">
        <f t="shared" ref="AB110" si="110">AA110+AB109</f>
        <v>124157799.78823021</v>
      </c>
      <c r="AC110" s="332">
        <f t="shared" ref="AC110" si="111">AB110+AC109</f>
        <v>132931568.29980201</v>
      </c>
      <c r="AD110" s="332">
        <f t="shared" ref="AD110:AE110" si="112">AC110+AD109</f>
        <v>141888072.7538231</v>
      </c>
      <c r="AE110" s="333">
        <f t="shared" si="112"/>
        <v>157554864.12003583</v>
      </c>
    </row>
    <row r="111" spans="2:31" ht="21.95" customHeight="1" x14ac:dyDescent="0.2">
      <c r="B111" s="1"/>
      <c r="C111" s="1"/>
      <c r="D111" s="26"/>
      <c r="E111" s="13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row>
    <row r="112" spans="2:31" ht="21.95" customHeight="1" x14ac:dyDescent="0.2">
      <c r="D112" s="44"/>
      <c r="E112" s="115"/>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row>
    <row r="113" spans="2:44" ht="21.95" hidden="1" customHeight="1" x14ac:dyDescent="0.2">
      <c r="D113" s="44"/>
      <c r="E113" s="139"/>
      <c r="F113" s="13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row>
    <row r="114" spans="2:44" ht="21.95" hidden="1" customHeight="1" x14ac:dyDescent="0.2">
      <c r="D114" s="44"/>
      <c r="E114" s="139"/>
      <c r="F114" s="13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row>
    <row r="115" spans="2:44" ht="21.95" hidden="1" customHeight="1" x14ac:dyDescent="0.2">
      <c r="D115" s="44"/>
      <c r="E115" s="139"/>
      <c r="F115" s="13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row>
    <row r="116" spans="2:44" ht="21.95" hidden="1" customHeight="1" x14ac:dyDescent="0.2">
      <c r="D116" s="44"/>
      <c r="E116" s="139"/>
      <c r="F116" s="13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row>
    <row r="117" spans="2:44" ht="21.95" hidden="1" customHeight="1" x14ac:dyDescent="0.2">
      <c r="D117" s="44"/>
      <c r="E117" s="139"/>
      <c r="F117" s="13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row>
    <row r="118" spans="2:44" ht="21.95" hidden="1" customHeight="1" x14ac:dyDescent="0.2">
      <c r="D118" s="44"/>
      <c r="E118" s="139"/>
      <c r="F118" s="13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row>
    <row r="119" spans="2:44" ht="21.95" hidden="1" customHeight="1" x14ac:dyDescent="0.2">
      <c r="D119" s="44"/>
      <c r="E119" s="139"/>
      <c r="F119" s="13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row>
    <row r="120" spans="2:44" ht="21.95" hidden="1" customHeight="1" x14ac:dyDescent="0.2">
      <c r="D120" s="44"/>
      <c r="E120" s="139"/>
      <c r="F120" s="13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row>
    <row r="121" spans="2:44" ht="21.95" hidden="1" customHeight="1" x14ac:dyDescent="0.2">
      <c r="D121" s="44"/>
      <c r="E121" s="139"/>
      <c r="F121" s="13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row>
    <row r="122" spans="2:44" ht="21.95" customHeight="1" x14ac:dyDescent="0.2">
      <c r="D122" s="44"/>
      <c r="E122" s="139"/>
      <c r="F122" s="13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row>
    <row r="123" spans="2:44" ht="21.95" customHeight="1" x14ac:dyDescent="0.2">
      <c r="C123" s="1"/>
      <c r="D123" s="1"/>
      <c r="E123" s="1"/>
      <c r="F123" s="5"/>
      <c r="G123" s="5"/>
      <c r="H123" s="5"/>
      <c r="I123" s="5"/>
      <c r="J123" s="5"/>
      <c r="K123" s="5"/>
      <c r="L123" s="5"/>
      <c r="M123" s="5"/>
      <c r="N123" s="5"/>
      <c r="O123" s="5"/>
      <c r="P123" s="5"/>
      <c r="Q123" s="5"/>
      <c r="R123" s="5"/>
      <c r="S123" s="5"/>
      <c r="T123" s="5"/>
      <c r="AR123" s="5"/>
    </row>
    <row r="124" spans="2:44" ht="21.95" customHeight="1" x14ac:dyDescent="0.2">
      <c r="B124" s="337" t="s">
        <v>100</v>
      </c>
      <c r="C124" s="3"/>
      <c r="D124" s="3"/>
      <c r="E124" s="3"/>
      <c r="F124"/>
      <c r="G124"/>
      <c r="H124"/>
      <c r="I124"/>
      <c r="M124" s="2"/>
      <c r="N124" s="2"/>
      <c r="O124" s="2"/>
      <c r="P124" s="2"/>
    </row>
    <row r="125" spans="2:44" ht="21.95" customHeight="1" x14ac:dyDescent="0.2">
      <c r="B125" s="346"/>
      <c r="C125" s="347"/>
      <c r="D125" s="347"/>
      <c r="E125" s="347"/>
      <c r="F125" s="347" cm="1">
        <f t="array" ref="F125:AE125">_xlfn.SEQUENCE(1, studyDuration, baseYear)</f>
        <v>2022</v>
      </c>
      <c r="G125" s="347">
        <v>2023</v>
      </c>
      <c r="H125" s="347">
        <v>2024</v>
      </c>
      <c r="I125" s="347">
        <v>2025</v>
      </c>
      <c r="J125" s="347">
        <v>2026</v>
      </c>
      <c r="K125" s="347">
        <v>2027</v>
      </c>
      <c r="L125" s="347">
        <v>2028</v>
      </c>
      <c r="M125" s="347">
        <v>2029</v>
      </c>
      <c r="N125" s="347">
        <v>2030</v>
      </c>
      <c r="O125" s="347">
        <v>2031</v>
      </c>
      <c r="P125" s="347">
        <v>2032</v>
      </c>
      <c r="Q125" s="347">
        <v>2033</v>
      </c>
      <c r="R125" s="347">
        <v>2034</v>
      </c>
      <c r="S125" s="347">
        <v>2035</v>
      </c>
      <c r="T125" s="347">
        <v>2036</v>
      </c>
      <c r="U125" s="347">
        <v>2037</v>
      </c>
      <c r="V125" s="347">
        <v>2038</v>
      </c>
      <c r="W125" s="347">
        <v>2039</v>
      </c>
      <c r="X125" s="347">
        <v>2040</v>
      </c>
      <c r="Y125" s="347">
        <v>2041</v>
      </c>
      <c r="Z125" s="347">
        <v>2042</v>
      </c>
      <c r="AA125" s="347">
        <v>2043</v>
      </c>
      <c r="AB125" s="347">
        <v>2044</v>
      </c>
      <c r="AC125" s="347">
        <v>2045</v>
      </c>
      <c r="AD125" s="347">
        <v>2046</v>
      </c>
      <c r="AE125" s="348">
        <v>2047</v>
      </c>
    </row>
    <row r="126" spans="2:44" ht="21.95" customHeight="1" x14ac:dyDescent="0.2">
      <c r="B126" s="277" t="s">
        <v>33</v>
      </c>
      <c r="C126" s="143"/>
      <c r="D126" s="143"/>
      <c r="E126" s="143"/>
      <c r="F126" s="339" cm="1">
        <f t="array" ref="F126:AE126">1/(1 + discount)^(year - baseYear)</f>
        <v>1</v>
      </c>
      <c r="G126" s="339">
        <v>0.93457943925233644</v>
      </c>
      <c r="H126" s="339">
        <v>0.87343872827321156</v>
      </c>
      <c r="I126" s="339">
        <v>0.81629787689085187</v>
      </c>
      <c r="J126" s="339">
        <v>0.7628952120475252</v>
      </c>
      <c r="K126" s="339">
        <v>0.71298617948366838</v>
      </c>
      <c r="L126" s="339">
        <v>0.66634222381651254</v>
      </c>
      <c r="M126" s="339">
        <v>0.62274974188459109</v>
      </c>
      <c r="N126" s="339">
        <v>0.5820091045650384</v>
      </c>
      <c r="O126" s="339">
        <v>0.54393374258414806</v>
      </c>
      <c r="P126" s="339">
        <v>0.5083492921347178</v>
      </c>
      <c r="Q126" s="339">
        <v>0.47509279638758667</v>
      </c>
      <c r="R126" s="339">
        <v>0.44401195924073528</v>
      </c>
      <c r="S126" s="339">
        <v>0.41496444788853759</v>
      </c>
      <c r="T126" s="339">
        <v>0.3878172410173249</v>
      </c>
      <c r="U126" s="339">
        <v>0.36244601964235967</v>
      </c>
      <c r="V126" s="339">
        <v>0.33873459779659787</v>
      </c>
      <c r="W126" s="339">
        <v>0.31657439046411018</v>
      </c>
      <c r="X126" s="339">
        <v>0.29586391632159825</v>
      </c>
      <c r="Y126" s="339">
        <v>0.27650833301083949</v>
      </c>
      <c r="Z126" s="339">
        <v>0.2584190028138687</v>
      </c>
      <c r="AA126" s="339">
        <v>0.24151308674193336</v>
      </c>
      <c r="AB126" s="339">
        <v>0.22571316517937698</v>
      </c>
      <c r="AC126" s="339">
        <v>0.21094688334521211</v>
      </c>
      <c r="AD126" s="339">
        <v>0.19714661994879637</v>
      </c>
      <c r="AE126" s="295">
        <v>0.18424917752223957</v>
      </c>
    </row>
    <row r="127" spans="2:44" ht="21.95" customHeight="1" x14ac:dyDescent="0.2">
      <c r="B127" s="290" t="s">
        <v>62</v>
      </c>
      <c r="C127" s="291"/>
      <c r="D127" s="291"/>
      <c r="E127" s="291"/>
      <c r="F127" s="340" cm="1">
        <f t="array" ref="F127:AE127">1/(1 + discountCO2)^(year - baseYear)</f>
        <v>1</v>
      </c>
      <c r="G127" s="340">
        <v>0.970873786407767</v>
      </c>
      <c r="H127" s="340">
        <v>0.94259590913375435</v>
      </c>
      <c r="I127" s="340">
        <v>0.91514165935315961</v>
      </c>
      <c r="J127" s="340">
        <v>0.888487047915689</v>
      </c>
      <c r="K127" s="340">
        <v>0.86260878438416411</v>
      </c>
      <c r="L127" s="340">
        <v>0.83748425668365445</v>
      </c>
      <c r="M127" s="340">
        <v>0.81309151134335378</v>
      </c>
      <c r="N127" s="340">
        <v>0.78940923431393573</v>
      </c>
      <c r="O127" s="340">
        <v>0.76641673234362695</v>
      </c>
      <c r="P127" s="340">
        <v>0.74409391489672516</v>
      </c>
      <c r="Q127" s="340">
        <v>0.72242127659876232</v>
      </c>
      <c r="R127" s="340">
        <v>0.70137988019297326</v>
      </c>
      <c r="S127" s="340">
        <v>0.68095133999317792</v>
      </c>
      <c r="T127" s="340">
        <v>0.66111780581861923</v>
      </c>
      <c r="U127" s="340">
        <v>0.64186194739671765</v>
      </c>
      <c r="V127" s="340">
        <v>0.62316693922011435</v>
      </c>
      <c r="W127" s="340">
        <v>0.60501644584477121</v>
      </c>
      <c r="X127" s="340">
        <v>0.5873946076162827</v>
      </c>
      <c r="Y127" s="340">
        <v>0.57028602681192497</v>
      </c>
      <c r="Z127" s="340">
        <v>0.55367575418633497</v>
      </c>
      <c r="AA127" s="340">
        <v>0.5375492759090631</v>
      </c>
      <c r="AB127" s="340">
        <v>0.52189250088258554</v>
      </c>
      <c r="AC127" s="340">
        <v>0.50669174842969467</v>
      </c>
      <c r="AD127" s="340">
        <v>0.49193373633950943</v>
      </c>
      <c r="AE127" s="314">
        <v>0.47760556926165965</v>
      </c>
    </row>
    <row r="128" spans="2:44" ht="21.95" customHeight="1" x14ac:dyDescent="0.2">
      <c r="E128"/>
      <c r="F128"/>
      <c r="G128"/>
      <c r="H128"/>
      <c r="I128"/>
      <c r="L128" s="2"/>
      <c r="M128" s="2"/>
      <c r="N128" s="2"/>
      <c r="O128" s="2"/>
    </row>
    <row r="129" spans="2:31" ht="21.95" customHeight="1" x14ac:dyDescent="0.2">
      <c r="J129" s="2"/>
      <c r="K129" s="2"/>
      <c r="L129" s="2"/>
      <c r="M129" s="2"/>
      <c r="N129" s="2"/>
    </row>
    <row r="130" spans="2:31" ht="21.95" customHeight="1" x14ac:dyDescent="0.2">
      <c r="B130" s="247" t="s">
        <v>130</v>
      </c>
      <c r="J130" s="2"/>
      <c r="K130" s="2"/>
      <c r="L130" s="2"/>
      <c r="M130" s="2"/>
      <c r="N130" s="2"/>
    </row>
    <row r="131" spans="2:31" ht="21.95" customHeight="1" x14ac:dyDescent="0.2">
      <c r="B131" s="346"/>
      <c r="C131" s="347" t="s">
        <v>21</v>
      </c>
      <c r="D131" s="347"/>
      <c r="E131" s="347"/>
      <c r="F131" s="347" cm="1">
        <f t="array" ref="F131:AE131">year</f>
        <v>2022</v>
      </c>
      <c r="G131" s="347">
        <v>2023</v>
      </c>
      <c r="H131" s="347">
        <v>2024</v>
      </c>
      <c r="I131" s="347">
        <v>2025</v>
      </c>
      <c r="J131" s="347">
        <v>2026</v>
      </c>
      <c r="K131" s="347">
        <v>2027</v>
      </c>
      <c r="L131" s="347">
        <v>2028</v>
      </c>
      <c r="M131" s="347">
        <v>2029</v>
      </c>
      <c r="N131" s="347">
        <v>2030</v>
      </c>
      <c r="O131" s="347">
        <v>2031</v>
      </c>
      <c r="P131" s="347">
        <v>2032</v>
      </c>
      <c r="Q131" s="347">
        <v>2033</v>
      </c>
      <c r="R131" s="347">
        <v>2034</v>
      </c>
      <c r="S131" s="347">
        <v>2035</v>
      </c>
      <c r="T131" s="347">
        <v>2036</v>
      </c>
      <c r="U131" s="347">
        <v>2037</v>
      </c>
      <c r="V131" s="347">
        <v>2038</v>
      </c>
      <c r="W131" s="347">
        <v>2039</v>
      </c>
      <c r="X131" s="347">
        <v>2040</v>
      </c>
      <c r="Y131" s="347">
        <v>2041</v>
      </c>
      <c r="Z131" s="347">
        <v>2042</v>
      </c>
      <c r="AA131" s="347">
        <v>2043</v>
      </c>
      <c r="AB131" s="347">
        <v>2044</v>
      </c>
      <c r="AC131" s="347">
        <v>2045</v>
      </c>
      <c r="AD131" s="347">
        <v>2046</v>
      </c>
      <c r="AE131" s="348">
        <v>2047</v>
      </c>
    </row>
    <row r="132" spans="2:31" ht="21.95" customHeight="1" x14ac:dyDescent="0.2">
      <c r="B132" s="277" t="s">
        <v>63</v>
      </c>
      <c r="C132" s="143" t="s">
        <v>505</v>
      </c>
      <c r="D132" s="143"/>
      <c r="E132" s="278"/>
      <c r="F132" s="278" cm="1">
        <f t="array" ref="F132:AE132">_xlfn.ANCHORARRAY(F107)</f>
        <v>0</v>
      </c>
      <c r="G132" s="278">
        <v>0</v>
      </c>
      <c r="H132" s="278">
        <v>0</v>
      </c>
      <c r="I132" s="278">
        <v>0</v>
      </c>
      <c r="J132" s="278">
        <v>0</v>
      </c>
      <c r="K132" s="278">
        <v>0</v>
      </c>
      <c r="L132" s="278">
        <v>7611119.2734854044</v>
      </c>
      <c r="M132" s="278">
        <v>7769767.4766896004</v>
      </c>
      <c r="N132" s="278">
        <v>9009403.0288304258</v>
      </c>
      <c r="O132" s="278">
        <v>7914608.4370090729</v>
      </c>
      <c r="P132" s="278">
        <v>8191294.0542717939</v>
      </c>
      <c r="Q132" s="278">
        <v>8089634.9032688718</v>
      </c>
      <c r="R132" s="278">
        <v>8190552.7378901364</v>
      </c>
      <c r="S132" s="278">
        <v>8288822.5882213507</v>
      </c>
      <c r="T132" s="278">
        <v>8398738.6508735158</v>
      </c>
      <c r="U132" s="278">
        <v>8293852.5293576503</v>
      </c>
      <c r="V132" s="278">
        <v>8640246.9935417715</v>
      </c>
      <c r="W132" s="278">
        <v>8774481.1480948552</v>
      </c>
      <c r="X132" s="278">
        <v>8908881.6602285597</v>
      </c>
      <c r="Y132" s="278">
        <v>9053676.6085045487</v>
      </c>
      <c r="Z132" s="278">
        <v>9191647.8280104399</v>
      </c>
      <c r="AA132" s="278">
        <v>9365146.9630861953</v>
      </c>
      <c r="AB132" s="278">
        <v>9990076.7768659983</v>
      </c>
      <c r="AC132" s="278">
        <v>9709601.2015717998</v>
      </c>
      <c r="AD132" s="278">
        <v>9892337.1440211069</v>
      </c>
      <c r="AE132" s="295">
        <v>16602624.056212723</v>
      </c>
    </row>
    <row r="133" spans="2:31" ht="21.95" customHeight="1" x14ac:dyDescent="0.2">
      <c r="B133" s="277"/>
      <c r="C133" s="143"/>
      <c r="D133" s="143"/>
      <c r="E133" s="278"/>
      <c r="F133" s="278"/>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278"/>
      <c r="AD133" s="278"/>
      <c r="AE133" s="295"/>
    </row>
    <row r="134" spans="2:31" ht="21.95" customHeight="1" x14ac:dyDescent="0.2">
      <c r="B134" s="277"/>
      <c r="C134" s="143" t="s">
        <v>172</v>
      </c>
      <c r="D134" s="143"/>
      <c r="E134" s="143"/>
      <c r="F134" s="278" cm="1">
        <f t="array" ref="F134:AE134">_xlfn.ANCHORARRAY(F132)</f>
        <v>0</v>
      </c>
      <c r="G134" s="278">
        <v>0</v>
      </c>
      <c r="H134" s="278">
        <v>0</v>
      </c>
      <c r="I134" s="278">
        <v>0</v>
      </c>
      <c r="J134" s="278">
        <v>0</v>
      </c>
      <c r="K134" s="278">
        <v>0</v>
      </c>
      <c r="L134" s="278">
        <v>7611119.2734854044</v>
      </c>
      <c r="M134" s="278">
        <v>7769767.4766896004</v>
      </c>
      <c r="N134" s="278">
        <v>9009403.0288304258</v>
      </c>
      <c r="O134" s="278">
        <v>7914608.4370090729</v>
      </c>
      <c r="P134" s="278">
        <v>8191294.0542717939</v>
      </c>
      <c r="Q134" s="278">
        <v>8089634.9032688718</v>
      </c>
      <c r="R134" s="278">
        <v>8190552.7378901364</v>
      </c>
      <c r="S134" s="278">
        <v>8288822.5882213507</v>
      </c>
      <c r="T134" s="278">
        <v>8398738.6508735158</v>
      </c>
      <c r="U134" s="278">
        <v>8293852.5293576503</v>
      </c>
      <c r="V134" s="278">
        <v>8640246.9935417715</v>
      </c>
      <c r="W134" s="278">
        <v>8774481.1480948552</v>
      </c>
      <c r="X134" s="278">
        <v>8908881.6602285597</v>
      </c>
      <c r="Y134" s="278">
        <v>9053676.6085045487</v>
      </c>
      <c r="Z134" s="278">
        <v>9191647.8280104399</v>
      </c>
      <c r="AA134" s="278">
        <v>9365146.9630861953</v>
      </c>
      <c r="AB134" s="278">
        <v>9990076.7768659983</v>
      </c>
      <c r="AC134" s="278">
        <v>9709601.2015717998</v>
      </c>
      <c r="AD134" s="278">
        <v>9892337.1440211069</v>
      </c>
      <c r="AE134" s="295">
        <v>16602624.056212723</v>
      </c>
    </row>
    <row r="135" spans="2:31" ht="21.95" customHeight="1" x14ac:dyDescent="0.2">
      <c r="B135" s="290"/>
      <c r="C135" s="291" t="s">
        <v>64</v>
      </c>
      <c r="D135" s="291"/>
      <c r="E135" s="341"/>
      <c r="F135" s="341">
        <f>-F97</f>
        <v>-935832.69</v>
      </c>
      <c r="G135" s="341">
        <f t="shared" ref="G135:AE135" si="113">-G97</f>
        <v>-5564707.0654205615</v>
      </c>
      <c r="H135" s="341">
        <f t="shared" si="113"/>
        <v>-6776413.1801904095</v>
      </c>
      <c r="I135" s="341">
        <f t="shared" si="113"/>
        <v>-16754885.012199571</v>
      </c>
      <c r="J135" s="341">
        <f t="shared" si="113"/>
        <v>-15658771.039438853</v>
      </c>
      <c r="K135" s="341">
        <f t="shared" si="113"/>
        <v>-14634365.457419489</v>
      </c>
      <c r="L135" s="341">
        <f t="shared" si="113"/>
        <v>0</v>
      </c>
      <c r="M135" s="341">
        <f t="shared" si="113"/>
        <v>0</v>
      </c>
      <c r="N135" s="341">
        <f t="shared" si="113"/>
        <v>0</v>
      </c>
      <c r="O135" s="341">
        <f t="shared" si="113"/>
        <v>0</v>
      </c>
      <c r="P135" s="341">
        <f t="shared" si="113"/>
        <v>0</v>
      </c>
      <c r="Q135" s="341">
        <f t="shared" si="113"/>
        <v>0</v>
      </c>
      <c r="R135" s="341">
        <f t="shared" si="113"/>
        <v>0</v>
      </c>
      <c r="S135" s="341">
        <f t="shared" si="113"/>
        <v>0</v>
      </c>
      <c r="T135" s="341">
        <f t="shared" si="113"/>
        <v>0</v>
      </c>
      <c r="U135" s="341">
        <f t="shared" si="113"/>
        <v>0</v>
      </c>
      <c r="V135" s="341">
        <f t="shared" si="113"/>
        <v>0</v>
      </c>
      <c r="W135" s="341">
        <f t="shared" si="113"/>
        <v>0</v>
      </c>
      <c r="X135" s="341">
        <f t="shared" si="113"/>
        <v>0</v>
      </c>
      <c r="Y135" s="341">
        <f t="shared" si="113"/>
        <v>0</v>
      </c>
      <c r="Z135" s="341">
        <f t="shared" si="113"/>
        <v>0</v>
      </c>
      <c r="AA135" s="341">
        <f t="shared" si="113"/>
        <v>0</v>
      </c>
      <c r="AB135" s="341">
        <f t="shared" si="113"/>
        <v>0</v>
      </c>
      <c r="AC135" s="341">
        <f t="shared" si="113"/>
        <v>0</v>
      </c>
      <c r="AD135" s="341">
        <f t="shared" si="113"/>
        <v>0</v>
      </c>
      <c r="AE135" s="342">
        <f t="shared" si="113"/>
        <v>0</v>
      </c>
    </row>
    <row r="138" spans="2:31" ht="21.95" customHeight="1" x14ac:dyDescent="0.2">
      <c r="B138" s="247" t="s">
        <v>131</v>
      </c>
    </row>
    <row r="139" spans="2:31" ht="21.95" customHeight="1" x14ac:dyDescent="0.2">
      <c r="B139" s="294" t="s">
        <v>133</v>
      </c>
      <c r="E139" s="294" t="s">
        <v>134</v>
      </c>
    </row>
    <row r="140" spans="2:31" ht="21.95" customHeight="1" x14ac:dyDescent="0.2">
      <c r="B140" s="346" t="s">
        <v>127</v>
      </c>
      <c r="C140" s="348" t="s">
        <v>129</v>
      </c>
      <c r="E140" s="346" t="s">
        <v>127</v>
      </c>
      <c r="F140" s="348" t="s">
        <v>129</v>
      </c>
    </row>
    <row r="141" spans="2:31" ht="21.95" customHeight="1" x14ac:dyDescent="0.2">
      <c r="B141" s="277" t="s">
        <v>97</v>
      </c>
      <c r="C141" s="343">
        <f>F35</f>
        <v>16743177.625827663</v>
      </c>
      <c r="E141" s="277" t="str" cm="1">
        <f t="array" ref="E141:F145">_xlfn._xlws.SORT(_xlfn._xlws.FILTER(B141:C145, C141:C145 &gt; 0), 2, -1)</f>
        <v>Travel Time</v>
      </c>
      <c r="F141" s="279">
        <v>155296997.67875656</v>
      </c>
    </row>
    <row r="142" spans="2:31" ht="21.95" customHeight="1" x14ac:dyDescent="0.2">
      <c r="B142" s="277" t="s">
        <v>15</v>
      </c>
      <c r="C142" s="343">
        <f t="shared" ref="C142" si="114">F36</f>
        <v>155296997.67875656</v>
      </c>
      <c r="E142" s="277" t="str">
        <v>Safety</v>
      </c>
      <c r="F142" s="279">
        <v>16743177.625827663</v>
      </c>
    </row>
    <row r="143" spans="2:31" ht="21.95" customHeight="1" x14ac:dyDescent="0.2">
      <c r="B143" s="277" t="s">
        <v>296</v>
      </c>
      <c r="C143" s="344">
        <f>F37</f>
        <v>917021.84375982359</v>
      </c>
      <c r="E143" s="277" t="str">
        <v>Residual Value</v>
      </c>
      <c r="F143" s="279">
        <v>7083206.1398240654</v>
      </c>
    </row>
    <row r="144" spans="2:31" ht="21.95" customHeight="1" x14ac:dyDescent="0.2">
      <c r="B144" s="277" t="s">
        <v>290</v>
      </c>
      <c r="C144" s="343">
        <f t="shared" ref="C144:C145" si="115">F38</f>
        <v>840344.87871175271</v>
      </c>
      <c r="E144" s="290" t="str">
        <v>Environmental</v>
      </c>
      <c r="F144" s="342">
        <v>917021.84375982359</v>
      </c>
    </row>
    <row r="145" spans="2:6" ht="21.95" customHeight="1" x14ac:dyDescent="0.2">
      <c r="B145" s="290" t="s">
        <v>105</v>
      </c>
      <c r="C145" s="345">
        <f t="shared" si="115"/>
        <v>7083206.1398240654</v>
      </c>
      <c r="E145" t="str">
        <v>O&amp;M</v>
      </c>
      <c r="F145" s="23">
        <v>840344.87871175271</v>
      </c>
    </row>
    <row r="146" spans="2:6" ht="21.95" customHeight="1" x14ac:dyDescent="0.2">
      <c r="E146"/>
      <c r="F146" s="23"/>
    </row>
    <row r="147" spans="2:6" ht="21.95" customHeight="1" x14ac:dyDescent="0.2">
      <c r="E147"/>
      <c r="F147" s="23"/>
    </row>
  </sheetData>
  <mergeCells count="44">
    <mergeCell ref="B44:C44"/>
    <mergeCell ref="B45:C45"/>
    <mergeCell ref="B39:C39"/>
    <mergeCell ref="B40:C40"/>
    <mergeCell ref="B41:C41"/>
    <mergeCell ref="B42:C42"/>
    <mergeCell ref="B43:C43"/>
    <mergeCell ref="B34:C34"/>
    <mergeCell ref="B35:C35"/>
    <mergeCell ref="B36:C36"/>
    <mergeCell ref="B37:C37"/>
    <mergeCell ref="B38:C38"/>
    <mergeCell ref="N44:O44"/>
    <mergeCell ref="N45:O45"/>
    <mergeCell ref="N46:O46"/>
    <mergeCell ref="H34:I34"/>
    <mergeCell ref="H35:I35"/>
    <mergeCell ref="H36:I36"/>
    <mergeCell ref="H37:I37"/>
    <mergeCell ref="H38:I38"/>
    <mergeCell ref="H39:I39"/>
    <mergeCell ref="H40:I40"/>
    <mergeCell ref="H41:I41"/>
    <mergeCell ref="H42:I42"/>
    <mergeCell ref="H43:I43"/>
    <mergeCell ref="H44:I44"/>
    <mergeCell ref="H45:I45"/>
    <mergeCell ref="H46:I46"/>
    <mergeCell ref="N39:O39"/>
    <mergeCell ref="N40:O40"/>
    <mergeCell ref="N41:O41"/>
    <mergeCell ref="N42:O42"/>
    <mergeCell ref="N43:O43"/>
    <mergeCell ref="N34:O34"/>
    <mergeCell ref="N35:O35"/>
    <mergeCell ref="N36:O36"/>
    <mergeCell ref="N37:O37"/>
    <mergeCell ref="N38:O38"/>
    <mergeCell ref="B5:D6"/>
    <mergeCell ref="F7:F8"/>
    <mergeCell ref="I7:J8"/>
    <mergeCell ref="L7:M8"/>
    <mergeCell ref="O7:P8"/>
    <mergeCell ref="L6:M6"/>
  </mergeCell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01E5D-FCA2-4264-A1F2-382A6C6A5AC3}">
  <sheetPr codeName="Sheet1">
    <tabColor theme="1"/>
  </sheetPr>
  <dimension ref="B2:I62"/>
  <sheetViews>
    <sheetView zoomScale="85" zoomScaleNormal="85" workbookViewId="0">
      <selection activeCell="C28" sqref="C28"/>
    </sheetView>
  </sheetViews>
  <sheetFormatPr defaultRowHeight="21.95" customHeight="1" x14ac:dyDescent="0.2"/>
  <cols>
    <col min="1" max="1" width="3.375" customWidth="1"/>
    <col min="2" max="2" width="16.375" customWidth="1"/>
    <col min="3" max="3" width="53" bestFit="1" customWidth="1"/>
    <col min="4" max="4" width="18.5" customWidth="1"/>
    <col min="5" max="7" width="12.75" customWidth="1"/>
    <col min="8" max="8" width="11.5" bestFit="1" customWidth="1"/>
    <col min="9" max="9" width="244.25" bestFit="1" customWidth="1"/>
  </cols>
  <sheetData>
    <row r="2" spans="2:9" ht="23.25" x14ac:dyDescent="0.2">
      <c r="B2" s="242" t="s">
        <v>0</v>
      </c>
    </row>
    <row r="4" spans="2:9" ht="21.95" customHeight="1" x14ac:dyDescent="0.2">
      <c r="B4" s="349" t="s">
        <v>238</v>
      </c>
    </row>
    <row r="5" spans="2:9" ht="21.95" customHeight="1" x14ac:dyDescent="0.2">
      <c r="B5" s="346" t="s">
        <v>16</v>
      </c>
      <c r="C5" s="347" t="s">
        <v>1</v>
      </c>
      <c r="D5" s="347" t="s">
        <v>2</v>
      </c>
      <c r="E5" s="410"/>
      <c r="F5" s="410"/>
      <c r="G5" s="410"/>
      <c r="H5" s="410" t="s">
        <v>3</v>
      </c>
      <c r="I5" s="348" t="s">
        <v>4</v>
      </c>
    </row>
    <row r="6" spans="2:9" ht="21.95" customHeight="1" x14ac:dyDescent="0.2">
      <c r="B6" s="273" t="s">
        <v>7</v>
      </c>
      <c r="C6" s="143" t="s">
        <v>5</v>
      </c>
      <c r="D6" s="143" t="s">
        <v>6</v>
      </c>
      <c r="E6" s="143"/>
      <c r="F6" s="143"/>
      <c r="G6" s="143"/>
      <c r="H6" s="143">
        <v>2022</v>
      </c>
      <c r="I6" s="295"/>
    </row>
    <row r="7" spans="2:9" ht="21.95" customHeight="1" x14ac:dyDescent="0.2">
      <c r="B7" s="273"/>
      <c r="C7" s="143" t="s">
        <v>174</v>
      </c>
      <c r="D7" s="143" t="s">
        <v>6</v>
      </c>
      <c r="E7" s="143"/>
      <c r="F7" s="143"/>
      <c r="G7" s="143"/>
      <c r="H7" s="143">
        <v>2025</v>
      </c>
      <c r="I7" s="295"/>
    </row>
    <row r="8" spans="2:9" ht="21.95" customHeight="1" x14ac:dyDescent="0.2">
      <c r="B8" s="273"/>
      <c r="C8" s="143" t="s">
        <v>108</v>
      </c>
      <c r="D8" s="143" t="s">
        <v>6</v>
      </c>
      <c r="E8" s="143"/>
      <c r="F8" s="143"/>
      <c r="G8" s="143"/>
      <c r="H8" s="143">
        <v>2027</v>
      </c>
      <c r="I8" s="763" t="s">
        <v>231</v>
      </c>
    </row>
    <row r="9" spans="2:9" ht="21.95" customHeight="1" x14ac:dyDescent="0.2">
      <c r="B9" s="273"/>
      <c r="C9" s="143" t="s">
        <v>104</v>
      </c>
      <c r="D9" s="143" t="s">
        <v>103</v>
      </c>
      <c r="E9" s="143"/>
      <c r="F9" s="143"/>
      <c r="G9" s="143"/>
      <c r="H9" s="143">
        <f>H8-H7+1</f>
        <v>3</v>
      </c>
      <c r="I9" s="763"/>
    </row>
    <row r="10" spans="2:9" ht="21.95" customHeight="1" x14ac:dyDescent="0.2">
      <c r="B10" s="273"/>
      <c r="C10" s="143" t="s">
        <v>107</v>
      </c>
      <c r="D10" s="143" t="s">
        <v>103</v>
      </c>
      <c r="E10" s="143"/>
      <c r="F10" s="143"/>
      <c r="G10" s="143"/>
      <c r="H10" s="143">
        <v>20</v>
      </c>
      <c r="I10" s="295" t="s">
        <v>76</v>
      </c>
    </row>
    <row r="11" spans="2:9" ht="21.95" customHeight="1" x14ac:dyDescent="0.2">
      <c r="B11" s="285"/>
      <c r="C11" s="152" t="s">
        <v>106</v>
      </c>
      <c r="D11" s="152" t="s">
        <v>103</v>
      </c>
      <c r="E11" s="152"/>
      <c r="F11" s="152"/>
      <c r="G11" s="152"/>
      <c r="H11" s="152">
        <f>yearsOfBenefits + constructionDuration + startYear - baseYear</f>
        <v>26</v>
      </c>
      <c r="I11" s="309" t="s">
        <v>350</v>
      </c>
    </row>
    <row r="12" spans="2:9" ht="21.95" customHeight="1" x14ac:dyDescent="0.2">
      <c r="B12" s="273" t="s">
        <v>99</v>
      </c>
      <c r="C12" s="143" t="s">
        <v>32</v>
      </c>
      <c r="D12" s="143" t="s">
        <v>14</v>
      </c>
      <c r="E12" s="354"/>
      <c r="F12" s="354"/>
      <c r="G12" s="354"/>
      <c r="H12" s="354">
        <v>7.0000000000000007E-2</v>
      </c>
      <c r="I12" s="766" t="s">
        <v>407</v>
      </c>
    </row>
    <row r="13" spans="2:9" ht="21.95" customHeight="1" x14ac:dyDescent="0.2">
      <c r="B13" s="285"/>
      <c r="C13" s="152" t="s">
        <v>61</v>
      </c>
      <c r="D13" s="152" t="s">
        <v>14</v>
      </c>
      <c r="E13" s="350"/>
      <c r="F13" s="350"/>
      <c r="G13" s="350"/>
      <c r="H13" s="350">
        <v>0.03</v>
      </c>
      <c r="I13" s="740"/>
    </row>
    <row r="14" spans="2:9" ht="21.95" customHeight="1" x14ac:dyDescent="0.2">
      <c r="B14" s="273" t="s">
        <v>24</v>
      </c>
      <c r="C14" s="143" t="s">
        <v>79</v>
      </c>
      <c r="D14" s="143" t="s">
        <v>25</v>
      </c>
      <c r="E14" s="143"/>
      <c r="F14" s="143"/>
      <c r="G14" s="143"/>
      <c r="H14" s="143">
        <v>365</v>
      </c>
      <c r="I14" s="295" t="s">
        <v>75</v>
      </c>
    </row>
    <row r="15" spans="2:9" ht="21.95" customHeight="1" x14ac:dyDescent="0.2">
      <c r="B15" s="273"/>
      <c r="C15" s="143" t="s">
        <v>54</v>
      </c>
      <c r="D15" s="143" t="s">
        <v>55</v>
      </c>
      <c r="E15" s="216"/>
      <c r="F15" s="216"/>
      <c r="G15" s="216"/>
      <c r="H15" s="216">
        <v>1000000</v>
      </c>
      <c r="I15" s="295" t="s">
        <v>75</v>
      </c>
    </row>
    <row r="16" spans="2:9" ht="21.95" customHeight="1" x14ac:dyDescent="0.2">
      <c r="B16" s="277"/>
      <c r="C16" s="143" t="s">
        <v>101</v>
      </c>
      <c r="D16" s="143" t="s">
        <v>102</v>
      </c>
      <c r="E16" s="216"/>
      <c r="F16" s="216"/>
      <c r="G16" s="216"/>
      <c r="H16" s="216">
        <v>5280</v>
      </c>
      <c r="I16" s="295" t="s">
        <v>75</v>
      </c>
    </row>
    <row r="17" spans="2:9" ht="21.95" customHeight="1" x14ac:dyDescent="0.2">
      <c r="B17" s="280"/>
      <c r="C17" s="152" t="s">
        <v>284</v>
      </c>
      <c r="D17" s="152" t="s">
        <v>504</v>
      </c>
      <c r="E17" s="217"/>
      <c r="F17" s="217"/>
      <c r="G17" s="217"/>
      <c r="H17" s="703">
        <f>'Price Deflators'!$E$16</f>
        <v>0.89662251554920236</v>
      </c>
      <c r="I17" s="363" t="s">
        <v>285</v>
      </c>
    </row>
    <row r="18" spans="2:9" ht="21.95" customHeight="1" x14ac:dyDescent="0.2">
      <c r="B18" s="273" t="s">
        <v>77</v>
      </c>
      <c r="C18" s="143" t="s">
        <v>436</v>
      </c>
      <c r="D18" s="143" t="s">
        <v>179</v>
      </c>
      <c r="E18" s="351"/>
      <c r="F18" s="351"/>
      <c r="G18" s="351"/>
      <c r="H18" s="364">
        <f>2+E60</f>
        <v>2</v>
      </c>
      <c r="I18" s="295" t="s">
        <v>143</v>
      </c>
    </row>
    <row r="19" spans="2:9" ht="21.95" customHeight="1" x14ac:dyDescent="0.2">
      <c r="B19" s="277"/>
      <c r="C19" s="143" t="s">
        <v>437</v>
      </c>
      <c r="D19" s="143" t="s">
        <v>179</v>
      </c>
      <c r="E19" s="351"/>
      <c r="F19" s="351"/>
      <c r="G19" s="351"/>
      <c r="H19" s="364">
        <f>2+E60</f>
        <v>2</v>
      </c>
      <c r="I19" s="295" t="s">
        <v>143</v>
      </c>
    </row>
    <row r="20" spans="2:9" ht="21.95" customHeight="1" x14ac:dyDescent="0.2">
      <c r="B20" s="277"/>
      <c r="C20" s="152" t="s">
        <v>438</v>
      </c>
      <c r="D20" s="152" t="s">
        <v>179</v>
      </c>
      <c r="E20" s="352"/>
      <c r="F20" s="352"/>
      <c r="G20" s="352"/>
      <c r="H20" s="353">
        <f>18 - (peakHoursAM + peakHoursPM)</f>
        <v>14</v>
      </c>
      <c r="I20" s="309" t="s">
        <v>439</v>
      </c>
    </row>
    <row r="21" spans="2:9" ht="21.95" customHeight="1" x14ac:dyDescent="0.2">
      <c r="B21" s="277"/>
      <c r="C21" s="365" t="s">
        <v>202</v>
      </c>
      <c r="D21" s="143" t="s">
        <v>178</v>
      </c>
      <c r="E21" s="216"/>
      <c r="F21" s="216"/>
      <c r="G21" s="216"/>
      <c r="H21" s="354">
        <f>_xlfn.XLOOKUP(H18+H19, Speed!C65:C88, Speed!D65:D88)</f>
        <v>0.32800000000000001</v>
      </c>
      <c r="I21" s="361" t="s">
        <v>253</v>
      </c>
    </row>
    <row r="22" spans="2:9" ht="21.95" customHeight="1" x14ac:dyDescent="0.2">
      <c r="B22" s="280"/>
      <c r="C22" s="353" t="s">
        <v>440</v>
      </c>
      <c r="D22" s="152" t="s">
        <v>178</v>
      </c>
      <c r="E22" s="217"/>
      <c r="F22" s="217"/>
      <c r="G22" s="217"/>
      <c r="H22" s="350">
        <f>1 - percentPeak</f>
        <v>0.67199999999999993</v>
      </c>
      <c r="I22" s="309" t="s">
        <v>282</v>
      </c>
    </row>
    <row r="23" spans="2:9" ht="21.95" customHeight="1" x14ac:dyDescent="0.2">
      <c r="B23" s="273" t="s">
        <v>15</v>
      </c>
      <c r="C23" s="143" t="s">
        <v>244</v>
      </c>
      <c r="D23" s="143" t="s">
        <v>506</v>
      </c>
      <c r="E23" s="355"/>
      <c r="F23" s="355"/>
      <c r="G23" s="355"/>
      <c r="H23" s="356">
        <v>18.8</v>
      </c>
      <c r="I23" s="295" t="s">
        <v>145</v>
      </c>
    </row>
    <row r="24" spans="2:9" ht="21.95" customHeight="1" x14ac:dyDescent="0.2">
      <c r="B24" s="273"/>
      <c r="C24" s="143" t="s">
        <v>245</v>
      </c>
      <c r="D24" s="143" t="s">
        <v>506</v>
      </c>
      <c r="E24" s="355"/>
      <c r="F24" s="355"/>
      <c r="G24" s="355"/>
      <c r="H24" s="356">
        <v>32.4</v>
      </c>
      <c r="I24" s="295" t="s">
        <v>145</v>
      </c>
    </row>
    <row r="25" spans="2:9" ht="21.95" customHeight="1" x14ac:dyDescent="0.2">
      <c r="B25" s="273"/>
      <c r="C25" s="323" t="s">
        <v>247</v>
      </c>
      <c r="D25" s="323" t="s">
        <v>13</v>
      </c>
      <c r="E25" s="323"/>
      <c r="F25" s="323"/>
      <c r="G25" s="323"/>
      <c r="H25" s="323">
        <v>1.67</v>
      </c>
      <c r="I25" s="362" t="s">
        <v>144</v>
      </c>
    </row>
    <row r="26" spans="2:9" ht="21.95" customHeight="1" x14ac:dyDescent="0.2">
      <c r="B26" s="285"/>
      <c r="C26" s="152" t="s">
        <v>246</v>
      </c>
      <c r="D26" s="152" t="s">
        <v>13</v>
      </c>
      <c r="E26" s="357"/>
      <c r="F26" s="357"/>
      <c r="G26" s="357"/>
      <c r="H26" s="357">
        <v>1</v>
      </c>
      <c r="I26" s="309" t="s">
        <v>143</v>
      </c>
    </row>
    <row r="27" spans="2:9" ht="21.95" customHeight="1" x14ac:dyDescent="0.2">
      <c r="B27" s="273" t="s">
        <v>97</v>
      </c>
      <c r="C27" s="143" t="s">
        <v>40</v>
      </c>
      <c r="D27" s="143" t="s">
        <v>507</v>
      </c>
      <c r="E27" s="143"/>
      <c r="F27" s="278"/>
      <c r="G27" s="278"/>
      <c r="H27" s="275">
        <v>11800000</v>
      </c>
      <c r="I27" s="295" t="s">
        <v>142</v>
      </c>
    </row>
    <row r="28" spans="2:9" ht="21.95" customHeight="1" x14ac:dyDescent="0.2">
      <c r="B28" s="273"/>
      <c r="C28" s="143" t="s">
        <v>41</v>
      </c>
      <c r="D28" s="143" t="s">
        <v>507</v>
      </c>
      <c r="E28" s="143"/>
      <c r="F28" s="278"/>
      <c r="G28" s="278"/>
      <c r="H28" s="275">
        <v>213900</v>
      </c>
      <c r="I28" s="295" t="s">
        <v>142</v>
      </c>
    </row>
    <row r="29" spans="2:9" ht="21.95" customHeight="1" x14ac:dyDescent="0.2">
      <c r="B29" s="273"/>
      <c r="C29" s="152" t="s">
        <v>42</v>
      </c>
      <c r="D29" s="152" t="s">
        <v>507</v>
      </c>
      <c r="E29" s="152"/>
      <c r="F29" s="281"/>
      <c r="G29" s="281"/>
      <c r="H29" s="358">
        <v>4000</v>
      </c>
      <c r="I29" s="309" t="s">
        <v>212</v>
      </c>
    </row>
    <row r="30" spans="2:9" ht="21.95" customHeight="1" x14ac:dyDescent="0.2">
      <c r="B30" s="285"/>
      <c r="C30" s="152" t="s">
        <v>301</v>
      </c>
      <c r="D30" s="152" t="s">
        <v>111</v>
      </c>
      <c r="E30" s="359"/>
      <c r="F30" s="360"/>
      <c r="G30" s="360"/>
      <c r="H30" s="338">
        <v>0.85</v>
      </c>
      <c r="I30" s="309" t="s">
        <v>415</v>
      </c>
    </row>
    <row r="31" spans="2:9" ht="21.95" customHeight="1" x14ac:dyDescent="0.2">
      <c r="B31" s="285" t="s">
        <v>47</v>
      </c>
      <c r="C31" s="152" t="s">
        <v>277</v>
      </c>
      <c r="D31" s="152" t="s">
        <v>177</v>
      </c>
      <c r="E31" s="143"/>
      <c r="F31" s="281"/>
      <c r="G31" s="281"/>
      <c r="H31" s="378">
        <v>2.5</v>
      </c>
      <c r="I31" s="309" t="s">
        <v>352</v>
      </c>
    </row>
    <row r="32" spans="2:9" ht="21.95" customHeight="1" x14ac:dyDescent="0.2">
      <c r="B32" s="366" t="s">
        <v>105</v>
      </c>
      <c r="C32" s="367" t="s">
        <v>294</v>
      </c>
      <c r="D32" s="367" t="s">
        <v>103</v>
      </c>
      <c r="E32" s="368"/>
      <c r="F32" s="368"/>
      <c r="G32" s="368"/>
      <c r="H32" s="368">
        <v>50</v>
      </c>
      <c r="I32" s="320" t="s">
        <v>143</v>
      </c>
    </row>
    <row r="33" spans="2:9" ht="21.95" customHeight="1" x14ac:dyDescent="0.2">
      <c r="E33" s="38"/>
      <c r="F33" s="38"/>
      <c r="G33" s="38"/>
      <c r="H33" s="38"/>
    </row>
    <row r="34" spans="2:9" ht="21.95" customHeight="1" x14ac:dyDescent="0.2">
      <c r="B34" s="656" t="s">
        <v>240</v>
      </c>
      <c r="E34" s="38"/>
      <c r="F34" s="38"/>
      <c r="G34" s="38"/>
      <c r="H34" s="38"/>
    </row>
    <row r="35" spans="2:9" ht="21.95" customHeight="1" x14ac:dyDescent="0.2">
      <c r="B35" s="369" t="s">
        <v>353</v>
      </c>
      <c r="E35" s="38"/>
      <c r="F35" s="38"/>
      <c r="G35" s="38"/>
      <c r="H35" s="38"/>
    </row>
    <row r="36" spans="2:9" ht="21.95" customHeight="1" x14ac:dyDescent="0.2">
      <c r="B36" s="411" t="s">
        <v>16</v>
      </c>
      <c r="C36" s="347" t="s">
        <v>1</v>
      </c>
      <c r="D36" s="347" t="s">
        <v>2</v>
      </c>
      <c r="E36" s="702" t="s">
        <v>503</v>
      </c>
      <c r="F36" s="412"/>
      <c r="G36" s="412"/>
      <c r="H36" s="412"/>
      <c r="I36" s="348" t="s">
        <v>4</v>
      </c>
    </row>
    <row r="37" spans="2:9" ht="21.95" customHeight="1" x14ac:dyDescent="0.2">
      <c r="B37" s="273" t="s">
        <v>77</v>
      </c>
      <c r="C37" s="143" t="s">
        <v>239</v>
      </c>
      <c r="D37" s="143" t="s">
        <v>178</v>
      </c>
      <c r="E37" s="370">
        <f>1 - percentTrucks</f>
        <v>0.80099999999999993</v>
      </c>
      <c r="F37" s="370"/>
      <c r="G37" s="370"/>
      <c r="H37" s="370"/>
      <c r="I37" s="738" t="s">
        <v>413</v>
      </c>
    </row>
    <row r="38" spans="2:9" ht="21.95" customHeight="1" x14ac:dyDescent="0.2">
      <c r="B38" s="277"/>
      <c r="C38" s="152" t="s">
        <v>12</v>
      </c>
      <c r="D38" s="152" t="s">
        <v>178</v>
      </c>
      <c r="E38" s="371">
        <v>0.19900000000000001</v>
      </c>
      <c r="F38" s="371"/>
      <c r="G38" s="371"/>
      <c r="H38" s="371"/>
      <c r="I38" s="740"/>
    </row>
    <row r="39" spans="2:9" ht="21.95" customHeight="1" x14ac:dyDescent="0.2">
      <c r="B39" s="277"/>
      <c r="C39" s="323" t="s">
        <v>645</v>
      </c>
      <c r="D39" s="323" t="s">
        <v>78</v>
      </c>
      <c r="E39" s="373">
        <v>52600</v>
      </c>
      <c r="F39" s="372"/>
      <c r="G39" s="373"/>
      <c r="H39" s="373"/>
      <c r="I39" s="767" t="s">
        <v>622</v>
      </c>
    </row>
    <row r="40" spans="2:9" ht="21.95" customHeight="1" x14ac:dyDescent="0.2">
      <c r="B40" s="273"/>
      <c r="C40" s="152" t="s">
        <v>646</v>
      </c>
      <c r="D40" s="152" t="s">
        <v>78</v>
      </c>
      <c r="E40" s="352">
        <f>E39*(1+E42)^30</f>
        <v>84042.925278219467</v>
      </c>
      <c r="F40" s="217"/>
      <c r="G40" s="217"/>
      <c r="H40" s="217"/>
      <c r="I40" s="768"/>
    </row>
    <row r="41" spans="2:9" ht="21.95" customHeight="1" x14ac:dyDescent="0.2">
      <c r="B41" s="273"/>
      <c r="C41" s="323" t="s">
        <v>241</v>
      </c>
      <c r="D41" s="323" t="s">
        <v>14</v>
      </c>
      <c r="E41" s="374">
        <v>0.59777424483306829</v>
      </c>
      <c r="F41" s="374"/>
      <c r="G41" s="375"/>
      <c r="H41" s="375"/>
      <c r="I41" s="766" t="s">
        <v>282</v>
      </c>
    </row>
    <row r="42" spans="2:9" ht="21.95" customHeight="1" x14ac:dyDescent="0.2">
      <c r="B42" s="273"/>
      <c r="C42" s="152" t="s">
        <v>281</v>
      </c>
      <c r="D42" s="152" t="s">
        <v>14</v>
      </c>
      <c r="E42" s="376">
        <f>((1 + E41)^(1/30) - 1) + E59</f>
        <v>1.574302138882322E-2</v>
      </c>
      <c r="F42" s="376"/>
      <c r="G42" s="376"/>
      <c r="H42" s="376"/>
      <c r="I42" s="740"/>
    </row>
    <row r="43" spans="2:9" ht="21.95" customHeight="1" x14ac:dyDescent="0.2">
      <c r="B43" s="273"/>
      <c r="C43" s="143" t="s">
        <v>389</v>
      </c>
      <c r="D43" s="143" t="s">
        <v>217</v>
      </c>
      <c r="E43" s="365">
        <v>4</v>
      </c>
      <c r="F43" s="365"/>
      <c r="G43" s="365"/>
      <c r="H43" s="365"/>
      <c r="I43" s="766" t="s">
        <v>343</v>
      </c>
    </row>
    <row r="44" spans="2:9" ht="21.95" customHeight="1" x14ac:dyDescent="0.2">
      <c r="B44" s="273"/>
      <c r="C44" s="152" t="s">
        <v>390</v>
      </c>
      <c r="D44" s="152" t="s">
        <v>217</v>
      </c>
      <c r="E44" s="353">
        <v>6</v>
      </c>
      <c r="F44" s="353"/>
      <c r="G44" s="353"/>
      <c r="H44" s="353"/>
      <c r="I44" s="740"/>
    </row>
    <row r="45" spans="2:9" ht="21.95" customHeight="1" x14ac:dyDescent="0.2">
      <c r="B45" s="280"/>
      <c r="C45" s="359" t="s">
        <v>242</v>
      </c>
      <c r="D45" s="359" t="s">
        <v>53</v>
      </c>
      <c r="E45" s="377">
        <f>'Project Cost Data'!C12+'Project Cost Data'!C13</f>
        <v>6.2</v>
      </c>
      <c r="F45" s="377"/>
      <c r="G45" s="377"/>
      <c r="H45" s="377"/>
      <c r="I45" s="381" t="s">
        <v>354</v>
      </c>
    </row>
    <row r="46" spans="2:9" ht="21.95" customHeight="1" x14ac:dyDescent="0.2">
      <c r="B46" s="273" t="s">
        <v>17</v>
      </c>
      <c r="C46" s="143" t="s">
        <v>243</v>
      </c>
      <c r="D46" s="143" t="s">
        <v>80</v>
      </c>
      <c r="E46" s="364">
        <v>75</v>
      </c>
      <c r="F46" s="364"/>
      <c r="G46" s="364"/>
      <c r="H46" s="364"/>
      <c r="I46" s="362" t="s">
        <v>447</v>
      </c>
    </row>
    <row r="47" spans="2:9" ht="21.95" customHeight="1" x14ac:dyDescent="0.2">
      <c r="B47" s="273"/>
      <c r="C47" s="152" t="s">
        <v>452</v>
      </c>
      <c r="D47" s="152" t="s">
        <v>80</v>
      </c>
      <c r="E47" s="378">
        <v>72.017436974789902</v>
      </c>
      <c r="F47" s="378"/>
      <c r="G47" s="378"/>
      <c r="H47" s="378"/>
      <c r="I47" s="309" t="s">
        <v>379</v>
      </c>
    </row>
    <row r="48" spans="2:9" ht="21.95" customHeight="1" x14ac:dyDescent="0.2">
      <c r="B48" s="273"/>
      <c r="C48" s="143" t="s">
        <v>441</v>
      </c>
      <c r="D48" s="143" t="s">
        <v>111</v>
      </c>
      <c r="E48" s="382">
        <v>0.91</v>
      </c>
      <c r="F48" s="382"/>
      <c r="G48" s="382"/>
      <c r="H48" s="364"/>
      <c r="I48" s="738" t="s">
        <v>448</v>
      </c>
    </row>
    <row r="49" spans="2:9" ht="21.95" customHeight="1" x14ac:dyDescent="0.2">
      <c r="B49" s="285"/>
      <c r="C49" s="152" t="s">
        <v>453</v>
      </c>
      <c r="D49" s="152" t="s">
        <v>111</v>
      </c>
      <c r="E49" s="379">
        <v>0.9</v>
      </c>
      <c r="F49" s="379"/>
      <c r="G49" s="379"/>
      <c r="H49" s="378"/>
      <c r="I49" s="740"/>
    </row>
    <row r="50" spans="2:9" ht="21.95" customHeight="1" x14ac:dyDescent="0.2">
      <c r="B50" s="273" t="s">
        <v>15</v>
      </c>
      <c r="C50" s="143" t="s">
        <v>631</v>
      </c>
      <c r="D50" s="143" t="s">
        <v>360</v>
      </c>
      <c r="E50" s="383">
        <v>0.23846153846153847</v>
      </c>
      <c r="F50" s="364"/>
      <c r="G50" s="364"/>
      <c r="H50" s="364"/>
      <c r="I50" s="764"/>
    </row>
    <row r="51" spans="2:9" ht="21.95" customHeight="1" x14ac:dyDescent="0.2">
      <c r="B51" s="277"/>
      <c r="C51" s="143" t="s">
        <v>627</v>
      </c>
      <c r="D51" s="143" t="s">
        <v>360</v>
      </c>
      <c r="E51" s="383">
        <v>2.1938461538461538</v>
      </c>
      <c r="F51" s="364"/>
      <c r="G51" s="364"/>
      <c r="H51" s="364"/>
      <c r="I51" s="764"/>
    </row>
    <row r="52" spans="2:9" ht="21.95" customHeight="1" x14ac:dyDescent="0.2">
      <c r="B52" s="273"/>
      <c r="C52" s="143" t="s">
        <v>632</v>
      </c>
      <c r="D52" s="143" t="s">
        <v>360</v>
      </c>
      <c r="E52" s="383">
        <v>0.7153846153846154</v>
      </c>
      <c r="F52" s="364"/>
      <c r="G52" s="364"/>
      <c r="H52" s="364"/>
      <c r="I52" s="764"/>
    </row>
    <row r="53" spans="2:9" ht="21.95" customHeight="1" x14ac:dyDescent="0.2">
      <c r="B53" s="273"/>
      <c r="C53" s="143" t="s">
        <v>628</v>
      </c>
      <c r="D53" s="143" t="s">
        <v>360</v>
      </c>
      <c r="E53" s="383">
        <v>4.8169230769230769</v>
      </c>
      <c r="F53" s="364"/>
      <c r="G53" s="364"/>
      <c r="H53" s="364"/>
      <c r="I53" s="764"/>
    </row>
    <row r="54" spans="2:9" ht="21.95" customHeight="1" x14ac:dyDescent="0.2">
      <c r="B54" s="277"/>
      <c r="C54" s="143" t="s">
        <v>633</v>
      </c>
      <c r="D54" s="143" t="s">
        <v>360</v>
      </c>
      <c r="E54" s="383">
        <v>0.1907692307692308</v>
      </c>
      <c r="F54" s="364"/>
      <c r="G54" s="364"/>
      <c r="H54" s="364"/>
      <c r="I54" s="764"/>
    </row>
    <row r="55" spans="2:9" ht="21.95" customHeight="1" x14ac:dyDescent="0.2">
      <c r="B55" s="277"/>
      <c r="C55" s="143" t="s">
        <v>629</v>
      </c>
      <c r="D55" s="143" t="s">
        <v>360</v>
      </c>
      <c r="E55" s="383">
        <v>1.6692307692307693</v>
      </c>
      <c r="F55" s="364"/>
      <c r="G55" s="364"/>
      <c r="H55" s="364"/>
      <c r="I55" s="764"/>
    </row>
    <row r="56" spans="2:9" ht="21.95" customHeight="1" x14ac:dyDescent="0.2">
      <c r="B56" s="273"/>
      <c r="C56" s="143" t="s">
        <v>634</v>
      </c>
      <c r="D56" s="143" t="s">
        <v>360</v>
      </c>
      <c r="E56" s="383">
        <v>0.1907692307692308</v>
      </c>
      <c r="F56" s="364"/>
      <c r="G56" s="364"/>
      <c r="H56" s="364"/>
      <c r="I56" s="764"/>
    </row>
    <row r="57" spans="2:9" ht="21.95" customHeight="1" x14ac:dyDescent="0.2">
      <c r="B57" s="384"/>
      <c r="C57" s="291" t="s">
        <v>630</v>
      </c>
      <c r="D57" s="291" t="s">
        <v>360</v>
      </c>
      <c r="E57" s="385">
        <v>1.86</v>
      </c>
      <c r="F57" s="386"/>
      <c r="G57" s="386"/>
      <c r="H57" s="386"/>
      <c r="I57" s="765"/>
    </row>
    <row r="58" spans="2:9" ht="21.95" customHeight="1" x14ac:dyDescent="0.2">
      <c r="I58" s="37"/>
    </row>
    <row r="59" spans="2:9" ht="21.95" customHeight="1" x14ac:dyDescent="0.2">
      <c r="B59" s="760" t="s">
        <v>497</v>
      </c>
      <c r="C59" s="316" t="s">
        <v>498</v>
      </c>
      <c r="D59" s="316"/>
      <c r="E59" s="387">
        <v>0</v>
      </c>
      <c r="F59" s="24"/>
      <c r="G59" s="30"/>
      <c r="H59" s="30"/>
      <c r="I59" s="37"/>
    </row>
    <row r="60" spans="2:9" ht="21.95" customHeight="1" x14ac:dyDescent="0.2">
      <c r="B60" s="761"/>
      <c r="C60" s="143" t="s">
        <v>499</v>
      </c>
      <c r="D60" s="143"/>
      <c r="E60" s="295">
        <v>0</v>
      </c>
    </row>
    <row r="61" spans="2:9" ht="21.95" customHeight="1" x14ac:dyDescent="0.2">
      <c r="B61" s="761"/>
      <c r="C61" s="143" t="s">
        <v>500</v>
      </c>
      <c r="D61" s="143"/>
      <c r="E61" s="295">
        <v>1</v>
      </c>
    </row>
    <row r="62" spans="2:9" ht="21.95" customHeight="1" x14ac:dyDescent="0.2">
      <c r="B62" s="762"/>
      <c r="C62" s="291" t="s">
        <v>501</v>
      </c>
      <c r="D62" s="291"/>
      <c r="E62" s="314">
        <v>1</v>
      </c>
    </row>
  </sheetData>
  <scenarios current="0" sqref="C63:C64">
    <scenario name="test" locked="1" count="1" user="Lee, Jessica" comment="Created by Lee, Jessica on 5/16/2022_x000a_Modified by Lee, Jessica on 5/16/2022">
      <inputCells r="H23" val="25" numFmtId="164"/>
    </scenario>
    <scenario name="test2" locked="1" count="1" user="Lee, Jessica" comment="Created by Lee, Jessica on 5/16/2022">
      <inputCells r="H23" val="30" numFmtId="164"/>
    </scenario>
  </scenarios>
  <mergeCells count="9">
    <mergeCell ref="B59:B62"/>
    <mergeCell ref="I8:I9"/>
    <mergeCell ref="I37:I38"/>
    <mergeCell ref="I50:I57"/>
    <mergeCell ref="I43:I44"/>
    <mergeCell ref="I39:I40"/>
    <mergeCell ref="I41:I42"/>
    <mergeCell ref="I12:I13"/>
    <mergeCell ref="I48:I49"/>
  </mergeCells>
  <hyperlinks>
    <hyperlink ref="I21" location="Speed!B62:J95" display="California DOT, Cal-B/C v8.1 Table: Demand for Travel during Peak Period. (2021)" xr:uid="{0CDA7C55-2669-4032-BFBE-0B3C6D76051E}"/>
    <hyperlink ref="I17" location="'Price Deflators'!A1" display="'Price Deflators'!A1" xr:uid="{906E4B51-7775-4010-B6CF-D37040738ED2}"/>
    <hyperlink ref="I8:I9" location="'Project Cost Data'!A1" display="Project Cost Data" xr:uid="{19DC379E-8A00-4F73-AECA-FE1F6E96B0EE}"/>
    <hyperlink ref="I45" location="'Project Cost Data'!C9:C14" display="Project cost data from ODOT." xr:uid="{F6DDB431-3244-4E84-B863-106D6143168A}"/>
  </hyperlinks>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4BC75-5069-4BA9-B897-B2DCCE6FF4FC}">
  <sheetPr codeName="Sheet13">
    <tabColor theme="1"/>
    <pageSetUpPr autoPageBreaks="0"/>
  </sheetPr>
  <dimension ref="A2:O234"/>
  <sheetViews>
    <sheetView topLeftCell="A85" zoomScaleNormal="100" workbookViewId="0">
      <selection activeCell="G93" sqref="G93"/>
    </sheetView>
  </sheetViews>
  <sheetFormatPr defaultColWidth="9" defaultRowHeight="18" x14ac:dyDescent="0.2"/>
  <cols>
    <col min="1" max="1" width="17.75" style="182" bestFit="1" customWidth="1"/>
    <col min="2" max="2" width="1.5" style="1" customWidth="1"/>
    <col min="3" max="3" width="71.125" style="175" bestFit="1" customWidth="1"/>
    <col min="4" max="4" width="38.25" style="175" bestFit="1" customWidth="1"/>
    <col min="5" max="5" width="20.75" style="175" customWidth="1"/>
    <col min="6" max="6" width="33.5" style="175" customWidth="1"/>
    <col min="7" max="7" width="20.75" style="175" customWidth="1"/>
    <col min="8" max="8" width="87" style="175" bestFit="1" customWidth="1"/>
    <col min="9" max="9" width="33.5" style="175" customWidth="1"/>
    <col min="10" max="16384" width="9" style="175"/>
  </cols>
  <sheetData>
    <row r="2" spans="1:6" x14ac:dyDescent="0.2">
      <c r="A2" s="388" t="s">
        <v>382</v>
      </c>
      <c r="B2" s="1" t="s">
        <v>112</v>
      </c>
      <c r="C2" s="389" t="s">
        <v>458</v>
      </c>
    </row>
    <row r="3" spans="1:6" ht="24" x14ac:dyDescent="0.2">
      <c r="C3" s="414" t="s">
        <v>148</v>
      </c>
      <c r="D3" s="414" t="s">
        <v>147</v>
      </c>
      <c r="E3" s="415" t="s">
        <v>146</v>
      </c>
      <c r="F3" s="416" t="s">
        <v>333</v>
      </c>
    </row>
    <row r="4" spans="1:6" ht="45.2" customHeight="1" x14ac:dyDescent="0.2">
      <c r="C4" s="805" t="s">
        <v>152</v>
      </c>
      <c r="D4" s="804" t="s">
        <v>19</v>
      </c>
      <c r="E4" s="390" t="s">
        <v>459</v>
      </c>
      <c r="F4" s="413">
        <f>'Travel Time'!E167+'Travel Time'!E170</f>
        <v>21917471.803320166</v>
      </c>
    </row>
    <row r="5" spans="1:6" ht="45.2" customHeight="1" x14ac:dyDescent="0.2">
      <c r="C5" s="806"/>
      <c r="D5" s="805"/>
      <c r="E5" s="222" t="s">
        <v>336</v>
      </c>
      <c r="F5" s="391">
        <f>'Travel Time'!E168+'Travel Time'!E171</f>
        <v>133379525.87543641</v>
      </c>
    </row>
    <row r="6" spans="1:6" ht="45.2" customHeight="1" x14ac:dyDescent="0.2">
      <c r="C6" s="222" t="s">
        <v>97</v>
      </c>
      <c r="D6" s="222" t="s">
        <v>18</v>
      </c>
      <c r="E6" s="222" t="s">
        <v>334</v>
      </c>
      <c r="F6" s="391">
        <f>'Results Summary'!F35</f>
        <v>16743177.625827663</v>
      </c>
    </row>
    <row r="7" spans="1:6" ht="45.2" customHeight="1" x14ac:dyDescent="0.2">
      <c r="C7" s="222" t="s">
        <v>155</v>
      </c>
      <c r="D7" s="222" t="s">
        <v>335</v>
      </c>
      <c r="E7" s="222" t="s">
        <v>460</v>
      </c>
      <c r="F7" s="391">
        <f>'Results Summary'!F37</f>
        <v>917021.84375982359</v>
      </c>
    </row>
    <row r="8" spans="1:6" ht="45.2" customHeight="1" x14ac:dyDescent="0.2">
      <c r="C8" s="807" t="s">
        <v>156</v>
      </c>
      <c r="D8" s="222" t="s">
        <v>462</v>
      </c>
      <c r="E8" s="222" t="s">
        <v>461</v>
      </c>
      <c r="F8" s="391">
        <f>'Results Summary'!F38</f>
        <v>840344.87871175271</v>
      </c>
    </row>
    <row r="9" spans="1:6" ht="45.2" customHeight="1" x14ac:dyDescent="0.2">
      <c r="C9" s="808"/>
      <c r="D9" s="392" t="s">
        <v>20</v>
      </c>
      <c r="E9" s="392" t="s">
        <v>157</v>
      </c>
      <c r="F9" s="393">
        <f>'Results Summary'!F39</f>
        <v>7083206.1398240654</v>
      </c>
    </row>
    <row r="11" spans="1:6" x14ac:dyDescent="0.2">
      <c r="B11" s="1" t="s">
        <v>112</v>
      </c>
      <c r="C11" s="389" t="s">
        <v>616</v>
      </c>
    </row>
    <row r="12" spans="1:6" x14ac:dyDescent="0.2">
      <c r="C12" s="417" t="s">
        <v>11</v>
      </c>
      <c r="D12" s="418" t="s">
        <v>160</v>
      </c>
      <c r="E12" s="419" t="s">
        <v>161</v>
      </c>
    </row>
    <row r="13" spans="1:6" x14ac:dyDescent="0.2">
      <c r="C13" s="396">
        <f>'Project Costs'!E42</f>
        <v>2022</v>
      </c>
      <c r="D13" s="193" cm="1">
        <f t="array" ref="D13:D17">TRANSPOSE('Project Costs'!E55:I55)</f>
        <v>935832.69</v>
      </c>
      <c r="E13" s="397" cm="1">
        <f t="array" ref="E13:E17">TRANSPOSE('Results Summary'!G97:K97)</f>
        <v>5564707.0654205615</v>
      </c>
    </row>
    <row r="14" spans="1:6" x14ac:dyDescent="0.2">
      <c r="C14" s="396">
        <f t="shared" ref="C14:C15" si="0">C13+1</f>
        <v>2023</v>
      </c>
      <c r="D14" s="193">
        <v>5954236.5600000005</v>
      </c>
      <c r="E14" s="397">
        <v>6776413.1801904095</v>
      </c>
    </row>
    <row r="15" spans="1:6" x14ac:dyDescent="0.2">
      <c r="C15" s="394">
        <f t="shared" si="0"/>
        <v>2024</v>
      </c>
      <c r="D15" s="192">
        <v>7758315.4500000002</v>
      </c>
      <c r="E15" s="395">
        <v>16754885.012199571</v>
      </c>
    </row>
    <row r="16" spans="1:6" x14ac:dyDescent="0.2">
      <c r="C16" s="394">
        <f t="shared" ref="C16:C17" si="1">C15+1</f>
        <v>2025</v>
      </c>
      <c r="D16" s="192">
        <v>20525454.600000001</v>
      </c>
      <c r="E16" s="395">
        <v>15658771.039438853</v>
      </c>
    </row>
    <row r="17" spans="1:9" x14ac:dyDescent="0.2">
      <c r="C17" s="394">
        <f t="shared" si="1"/>
        <v>2026</v>
      </c>
      <c r="D17" s="192">
        <v>20525454.600000001</v>
      </c>
      <c r="E17" s="395">
        <v>14634365.457419489</v>
      </c>
    </row>
    <row r="18" spans="1:9" x14ac:dyDescent="0.2">
      <c r="C18" s="398" t="s">
        <v>28</v>
      </c>
      <c r="D18" s="399">
        <f>SUM(D13:D17)</f>
        <v>55699293.899999999</v>
      </c>
      <c r="E18" s="400">
        <f>SUM(E13:E17)</f>
        <v>59389141.754668877</v>
      </c>
    </row>
    <row r="21" spans="1:9" x14ac:dyDescent="0.2">
      <c r="B21" s="1" t="s">
        <v>112</v>
      </c>
      <c r="C21" s="389" t="s">
        <v>463</v>
      </c>
    </row>
    <row r="22" spans="1:9" x14ac:dyDescent="0.2">
      <c r="C22" s="417" t="s">
        <v>148</v>
      </c>
      <c r="D22" s="418" t="s">
        <v>141</v>
      </c>
      <c r="E22" s="418" t="s">
        <v>149</v>
      </c>
      <c r="F22" s="418" t="s">
        <v>150</v>
      </c>
      <c r="G22" s="419" t="s">
        <v>151</v>
      </c>
    </row>
    <row r="23" spans="1:9" ht="36" x14ac:dyDescent="0.2">
      <c r="C23" s="799" t="s">
        <v>152</v>
      </c>
      <c r="D23" s="804" t="str">
        <f>D4</f>
        <v>Travel Time Savings</v>
      </c>
      <c r="E23" s="390" t="str">
        <f>E4</f>
        <v>Improved travel times from increased speeds as a result of lane additions.</v>
      </c>
      <c r="F23" s="390" t="s">
        <v>154</v>
      </c>
      <c r="G23" s="420" t="s">
        <v>153</v>
      </c>
    </row>
    <row r="24" spans="1:9" ht="60" x14ac:dyDescent="0.2">
      <c r="C24" s="794"/>
      <c r="D24" s="805"/>
      <c r="E24" s="222" t="str">
        <f>E5</f>
        <v>Improved travel time reliability from reducing delays experienced at interchanges during peak hours.</v>
      </c>
      <c r="F24" s="222" t="s">
        <v>154</v>
      </c>
      <c r="G24" s="401" t="s">
        <v>153</v>
      </c>
    </row>
    <row r="25" spans="1:9" ht="36" x14ac:dyDescent="0.2">
      <c r="C25" s="403" t="s">
        <v>97</v>
      </c>
      <c r="D25" s="222" t="str">
        <f>D6</f>
        <v>Improved Safety</v>
      </c>
      <c r="E25" s="222" t="str">
        <f>E6</f>
        <v>Improve roadway safety from increasing the number of lanes.</v>
      </c>
      <c r="F25" s="222" t="s">
        <v>154</v>
      </c>
      <c r="G25" s="401" t="s">
        <v>153</v>
      </c>
    </row>
    <row r="26" spans="1:9" ht="48" x14ac:dyDescent="0.2">
      <c r="C26" s="403" t="s">
        <v>155</v>
      </c>
      <c r="D26" s="222" t="str">
        <f>D7</f>
        <v>Reduced Emissions</v>
      </c>
      <c r="E26" s="222" t="str">
        <f>E7</f>
        <v>Avoided emissions from reduced idling times at the SH-9W and SH-153 interchanges.</v>
      </c>
      <c r="F26" s="222" t="s">
        <v>154</v>
      </c>
      <c r="G26" s="401" t="s">
        <v>153</v>
      </c>
    </row>
    <row r="27" spans="1:9" ht="48" x14ac:dyDescent="0.2">
      <c r="C27" s="794" t="s">
        <v>156</v>
      </c>
      <c r="D27" s="222" t="str">
        <f>D8</f>
        <v>Incremental O&amp;M Costs</v>
      </c>
      <c r="E27" s="222" t="str">
        <f>E8</f>
        <v>Reduced incremental O&amp;M from reconstructing infrastructure beyond state of good repair</v>
      </c>
      <c r="F27" s="222" t="s">
        <v>154</v>
      </c>
      <c r="G27" s="401" t="s">
        <v>153</v>
      </c>
    </row>
    <row r="28" spans="1:9" ht="24" x14ac:dyDescent="0.2">
      <c r="C28" s="795"/>
      <c r="D28" s="392" t="str">
        <f>D9</f>
        <v>Residual Value of Assets</v>
      </c>
      <c r="E28" s="392" t="str">
        <f>E9</f>
        <v>Residual value of capital assets.</v>
      </c>
      <c r="F28" s="392" t="s">
        <v>154</v>
      </c>
      <c r="G28" s="402" t="s">
        <v>153</v>
      </c>
    </row>
    <row r="30" spans="1:9" x14ac:dyDescent="0.2">
      <c r="C30" s="179"/>
      <c r="D30" s="179"/>
      <c r="E30" s="180"/>
      <c r="F30" s="180"/>
      <c r="G30" s="180"/>
      <c r="H30" s="180"/>
      <c r="I30" s="180"/>
    </row>
    <row r="31" spans="1:9" x14ac:dyDescent="0.2">
      <c r="A31" s="388" t="s">
        <v>383</v>
      </c>
      <c r="B31" s="1" t="s">
        <v>359</v>
      </c>
      <c r="C31" s="389" t="s">
        <v>417</v>
      </c>
      <c r="I31"/>
    </row>
    <row r="32" spans="1:9" x14ac:dyDescent="0.2">
      <c r="C32" s="417" t="s">
        <v>1</v>
      </c>
      <c r="D32" s="418" t="s">
        <v>505</v>
      </c>
      <c r="E32" s="418"/>
      <c r="F32" s="418"/>
      <c r="G32" s="418"/>
      <c r="H32" s="419" t="s">
        <v>4</v>
      </c>
      <c r="I32"/>
    </row>
    <row r="33" spans="3:9" x14ac:dyDescent="0.2">
      <c r="C33" s="788" t="s">
        <v>408</v>
      </c>
      <c r="D33" s="789"/>
      <c r="E33" s="789"/>
      <c r="F33" s="789"/>
      <c r="G33" s="789"/>
      <c r="H33" s="790"/>
      <c r="I33"/>
    </row>
    <row r="34" spans="3:9" ht="17.45" customHeight="1" x14ac:dyDescent="0.2">
      <c r="C34" s="404">
        <v>2022</v>
      </c>
      <c r="D34" s="194">
        <f>Inputs!E39</f>
        <v>52600</v>
      </c>
      <c r="E34" s="194"/>
      <c r="F34" s="194"/>
      <c r="G34" s="194"/>
      <c r="H34" s="787" t="s">
        <v>618</v>
      </c>
      <c r="I34"/>
    </row>
    <row r="35" spans="3:9" x14ac:dyDescent="0.2">
      <c r="C35" s="404">
        <v>2052</v>
      </c>
      <c r="D35" s="194">
        <f>Inputs!E40</f>
        <v>84042.925278219467</v>
      </c>
      <c r="E35" s="194"/>
      <c r="F35" s="194"/>
      <c r="G35" s="194"/>
      <c r="H35" s="787"/>
      <c r="I35"/>
    </row>
    <row r="36" spans="3:9" x14ac:dyDescent="0.2">
      <c r="C36" s="784" t="s">
        <v>409</v>
      </c>
      <c r="D36" s="785"/>
      <c r="E36" s="785"/>
      <c r="F36" s="785"/>
      <c r="G36" s="785"/>
      <c r="H36" s="786"/>
      <c r="I36"/>
    </row>
    <row r="37" spans="3:9" x14ac:dyDescent="0.2">
      <c r="C37" s="404" t="s">
        <v>243</v>
      </c>
      <c r="D37" s="195">
        <f>Inputs!E46</f>
        <v>75</v>
      </c>
      <c r="E37" s="195"/>
      <c r="F37" s="195"/>
      <c r="G37" s="195"/>
      <c r="H37" s="405" t="str">
        <f>Inputs!I46</f>
        <v>Assumed based on characteristics and classes of the roads; values are in line with posted speed limits.</v>
      </c>
      <c r="I37"/>
    </row>
    <row r="38" spans="3:9" ht="17.45" customHeight="1" x14ac:dyDescent="0.2">
      <c r="C38" s="404" t="s">
        <v>452</v>
      </c>
      <c r="D38" s="195">
        <f>Inputs!E47</f>
        <v>72.017436974789902</v>
      </c>
      <c r="E38" s="195"/>
      <c r="F38" s="195"/>
      <c r="G38" s="195"/>
      <c r="H38" s="406" t="s">
        <v>446</v>
      </c>
      <c r="I38"/>
    </row>
    <row r="39" spans="3:9" x14ac:dyDescent="0.2">
      <c r="C39" s="784" t="s">
        <v>449</v>
      </c>
      <c r="D39" s="785"/>
      <c r="E39" s="785"/>
      <c r="F39" s="785"/>
      <c r="G39" s="785"/>
      <c r="H39" s="786"/>
      <c r="I39"/>
    </row>
    <row r="40" spans="3:9" x14ac:dyDescent="0.2">
      <c r="C40" s="404" t="str">
        <f>Inputs!C48</f>
        <v>Heavy Vehicle Adjustment Factor (Fhv)</v>
      </c>
      <c r="D40" s="219">
        <f>Inputs!E48</f>
        <v>0.91</v>
      </c>
      <c r="E40" s="219"/>
      <c r="F40" s="219"/>
      <c r="G40" s="219"/>
      <c r="H40" s="787" t="s">
        <v>448</v>
      </c>
      <c r="I40"/>
    </row>
    <row r="41" spans="3:9" x14ac:dyDescent="0.2">
      <c r="C41" s="404" t="str">
        <f>Inputs!C49</f>
        <v>Peak-Hour Factor (PHF)</v>
      </c>
      <c r="D41" s="219">
        <f>Inputs!E49</f>
        <v>0.9</v>
      </c>
      <c r="E41" s="219"/>
      <c r="F41" s="219"/>
      <c r="G41" s="219"/>
      <c r="H41" s="787"/>
      <c r="I41"/>
    </row>
    <row r="42" spans="3:9" x14ac:dyDescent="0.2">
      <c r="C42" s="784" t="s">
        <v>410</v>
      </c>
      <c r="D42" s="785"/>
      <c r="E42" s="785"/>
      <c r="F42" s="785"/>
      <c r="G42" s="785"/>
      <c r="H42" s="786"/>
      <c r="I42"/>
    </row>
    <row r="43" spans="3:9" ht="17.45" customHeight="1" x14ac:dyDescent="0.2">
      <c r="C43" s="404" t="s">
        <v>361</v>
      </c>
      <c r="D43" s="196">
        <v>0.5</v>
      </c>
      <c r="E43" s="196"/>
      <c r="F43" s="196"/>
      <c r="G43" s="195"/>
      <c r="H43" s="787"/>
      <c r="I43"/>
    </row>
    <row r="44" spans="3:9" x14ac:dyDescent="0.2">
      <c r="C44" s="404" t="s">
        <v>366</v>
      </c>
      <c r="D44" s="222">
        <v>4.5999999999999996</v>
      </c>
      <c r="E44" s="196"/>
      <c r="F44" s="222"/>
      <c r="G44" s="195"/>
      <c r="H44" s="787"/>
      <c r="I44"/>
    </row>
    <row r="45" spans="3:9" x14ac:dyDescent="0.2">
      <c r="C45" s="404" t="s">
        <v>365</v>
      </c>
      <c r="D45" s="222">
        <v>1.5</v>
      </c>
      <c r="E45" s="196"/>
      <c r="F45" s="222"/>
      <c r="G45" s="195"/>
      <c r="H45" s="787"/>
      <c r="I45"/>
    </row>
    <row r="46" spans="3:9" x14ac:dyDescent="0.2">
      <c r="C46" s="404" t="s">
        <v>363</v>
      </c>
      <c r="D46" s="222">
        <v>10.1</v>
      </c>
      <c r="E46" s="196"/>
      <c r="F46" s="222"/>
      <c r="G46" s="195"/>
      <c r="H46" s="787"/>
    </row>
    <row r="47" spans="3:9" x14ac:dyDescent="0.2">
      <c r="C47" s="404" t="s">
        <v>362</v>
      </c>
      <c r="D47" s="222">
        <v>0.4</v>
      </c>
      <c r="E47" s="196"/>
      <c r="F47" s="222"/>
      <c r="G47" s="195"/>
      <c r="H47" s="787"/>
    </row>
    <row r="48" spans="3:9" x14ac:dyDescent="0.2">
      <c r="C48" s="404" t="s">
        <v>367</v>
      </c>
      <c r="D48" s="222">
        <v>3.5</v>
      </c>
      <c r="E48" s="196"/>
      <c r="F48" s="222"/>
      <c r="G48" s="195"/>
      <c r="H48" s="787"/>
    </row>
    <row r="49" spans="2:11" x14ac:dyDescent="0.2">
      <c r="C49" s="404" t="s">
        <v>364</v>
      </c>
      <c r="D49" s="222">
        <v>0.4</v>
      </c>
      <c r="E49" s="196"/>
      <c r="F49" s="222"/>
      <c r="G49" s="195"/>
      <c r="H49" s="787"/>
    </row>
    <row r="50" spans="2:11" x14ac:dyDescent="0.2">
      <c r="C50" s="407" t="s">
        <v>368</v>
      </c>
      <c r="D50" s="392">
        <v>3.9</v>
      </c>
      <c r="E50" s="408"/>
      <c r="F50" s="392"/>
      <c r="G50" s="409"/>
      <c r="H50" s="798"/>
    </row>
    <row r="53" spans="2:11" x14ac:dyDescent="0.2">
      <c r="B53" s="1" t="s">
        <v>112</v>
      </c>
      <c r="C53" s="389" t="s">
        <v>418</v>
      </c>
      <c r="D53" s="176"/>
      <c r="E53" s="176"/>
      <c r="F53" s="176"/>
      <c r="G53" s="176"/>
      <c r="H53" s="176"/>
      <c r="I53" s="176"/>
      <c r="K53" s="175" t="s">
        <v>378</v>
      </c>
    </row>
    <row r="54" spans="2:11" x14ac:dyDescent="0.2">
      <c r="C54" s="417" t="s">
        <v>1</v>
      </c>
      <c r="D54" s="418" t="s">
        <v>505</v>
      </c>
      <c r="E54" s="418"/>
      <c r="F54" s="418"/>
      <c r="G54" s="418"/>
      <c r="H54" s="419" t="s">
        <v>374</v>
      </c>
    </row>
    <row r="55" spans="2:11" x14ac:dyDescent="0.2">
      <c r="C55" s="788" t="s">
        <v>411</v>
      </c>
      <c r="D55" s="789"/>
      <c r="E55" s="789"/>
      <c r="F55" s="789"/>
      <c r="G55" s="789"/>
      <c r="H55" s="790"/>
    </row>
    <row r="56" spans="2:11" ht="17.45" customHeight="1" x14ac:dyDescent="0.2">
      <c r="C56" s="404">
        <v>2026</v>
      </c>
      <c r="D56" s="194" cm="1">
        <f t="array" ref="D56">INDEX(_xlfn.ANCHORARRAY('Volume and Speed'!$F$30), 1, _xlfn.XMATCH($J56, year))</f>
        <v>20436851.886580672</v>
      </c>
      <c r="E56" s="194"/>
      <c r="F56" s="194"/>
      <c r="G56" s="194"/>
      <c r="H56" s="787" t="s">
        <v>380</v>
      </c>
      <c r="J56" s="175">
        <v>2026</v>
      </c>
    </row>
    <row r="57" spans="2:11" x14ac:dyDescent="0.2">
      <c r="C57" s="404">
        <v>2045</v>
      </c>
      <c r="D57" s="194" cm="1">
        <f t="array" ref="D57">INDEX(_xlfn.ANCHORARRAY('Volume and Speed'!$F$30), 1, _xlfn.XMATCH($J57, year))</f>
        <v>27498379.067036148</v>
      </c>
      <c r="E57" s="194"/>
      <c r="F57" s="194"/>
      <c r="G57" s="194"/>
      <c r="H57" s="787"/>
      <c r="J57" s="175">
        <v>2045</v>
      </c>
    </row>
    <row r="58" spans="2:11" x14ac:dyDescent="0.2">
      <c r="C58" s="784" t="s">
        <v>409</v>
      </c>
      <c r="D58" s="785"/>
      <c r="E58" s="785"/>
      <c r="F58" s="785"/>
      <c r="G58" s="785"/>
      <c r="H58" s="786"/>
    </row>
    <row r="59" spans="2:11" ht="18" customHeight="1" x14ac:dyDescent="0.2">
      <c r="C59" s="404" t="s">
        <v>464</v>
      </c>
      <c r="D59" s="195" cm="1">
        <f t="array" ref="D59">INDEX(_xlfn.ANCHORARRAY('Volume and Speed'!$F$56), 1, _xlfn.XMATCH($J59, year))</f>
        <v>71.690782685554296</v>
      </c>
      <c r="E59" s="195"/>
      <c r="F59" s="195"/>
      <c r="G59" s="196"/>
      <c r="H59" s="787" t="s">
        <v>472</v>
      </c>
      <c r="J59" s="175">
        <v>2026</v>
      </c>
    </row>
    <row r="60" spans="2:11" x14ac:dyDescent="0.2">
      <c r="C60" s="404" t="s">
        <v>465</v>
      </c>
      <c r="D60" s="195" cm="1">
        <f t="array" ref="D60">INDEX(_xlfn.ANCHORARRAY('Volume and Speed'!$F$74), 1, _xlfn.XMATCH($J60, year))</f>
        <v>74.999999999999972</v>
      </c>
      <c r="E60" s="195"/>
      <c r="F60" s="195"/>
      <c r="G60" s="196"/>
      <c r="H60" s="787"/>
      <c r="J60" s="175">
        <v>2026</v>
      </c>
    </row>
    <row r="61" spans="2:11" x14ac:dyDescent="0.2">
      <c r="C61" s="404" t="s">
        <v>466</v>
      </c>
      <c r="D61" s="195" cm="1">
        <f t="array" ref="D61">INDEX(_xlfn.ANCHORARRAY('Volume and Speed'!$F$56), 1, _xlfn.XMATCH($J61, year))</f>
        <v>70.159293928294147</v>
      </c>
      <c r="E61" s="195"/>
      <c r="F61" s="195"/>
      <c r="G61" s="196"/>
      <c r="H61" s="787"/>
      <c r="J61" s="175">
        <v>2045</v>
      </c>
    </row>
    <row r="62" spans="2:11" x14ac:dyDescent="0.2">
      <c r="C62" s="404" t="s">
        <v>467</v>
      </c>
      <c r="D62" s="195" cm="1">
        <f t="array" ref="D62">INDEX(_xlfn.ANCHORARRAY('Volume and Speed'!$F$74), 1, _xlfn.XMATCH($J62, year))</f>
        <v>74.999999999999972</v>
      </c>
      <c r="E62" s="195"/>
      <c r="F62" s="195"/>
      <c r="G62" s="196"/>
      <c r="H62" s="787"/>
      <c r="J62" s="175">
        <v>2045</v>
      </c>
    </row>
    <row r="63" spans="2:11" x14ac:dyDescent="0.2">
      <c r="C63" s="404" t="s">
        <v>468</v>
      </c>
      <c r="D63" s="195" cm="1">
        <f t="array" ref="D63">INDEX(_xlfn.ANCHORARRAY('Volume and Speed'!$F$58), 1, _xlfn.XMATCH($J63, year))</f>
        <v>72.017436974789931</v>
      </c>
      <c r="E63" s="195"/>
      <c r="F63" s="195"/>
      <c r="G63" s="196"/>
      <c r="H63" s="787"/>
      <c r="J63" s="175">
        <v>2026</v>
      </c>
    </row>
    <row r="64" spans="2:11" x14ac:dyDescent="0.2">
      <c r="C64" s="404" t="s">
        <v>469</v>
      </c>
      <c r="D64" s="195" cm="1">
        <f t="array" ref="D64">INDEX(_xlfn.ANCHORARRAY('Volume and Speed'!$F$76), 1, _xlfn.XMATCH($J64, year))</f>
        <v>74.999997452134991</v>
      </c>
      <c r="E64" s="195"/>
      <c r="F64" s="195"/>
      <c r="G64" s="196"/>
      <c r="H64" s="787"/>
      <c r="J64" s="175">
        <v>2026</v>
      </c>
    </row>
    <row r="65" spans="3:10" x14ac:dyDescent="0.2">
      <c r="C65" s="404" t="s">
        <v>470</v>
      </c>
      <c r="D65" s="195" cm="1">
        <f t="array" ref="D65">INDEX(_xlfn.ANCHORARRAY('Volume and Speed'!$F$58), 1, _xlfn.XMATCH($J65, year))</f>
        <v>72.017436974789931</v>
      </c>
      <c r="E65" s="195"/>
      <c r="F65" s="195"/>
      <c r="G65" s="196"/>
      <c r="H65" s="787"/>
      <c r="J65" s="175">
        <v>2045</v>
      </c>
    </row>
    <row r="66" spans="3:10" x14ac:dyDescent="0.2">
      <c r="C66" s="404" t="s">
        <v>471</v>
      </c>
      <c r="D66" s="195" cm="1">
        <f t="array" ref="D66">INDEX(_xlfn.ANCHORARRAY('Volume and Speed'!$F$76), 1, _xlfn.XMATCH($J66, year))</f>
        <v>74.999999757346103</v>
      </c>
      <c r="E66" s="421"/>
      <c r="F66" s="195"/>
      <c r="G66" s="196"/>
      <c r="H66" s="787"/>
      <c r="J66" s="175">
        <v>2045</v>
      </c>
    </row>
    <row r="67" spans="3:10" x14ac:dyDescent="0.2">
      <c r="C67" s="784" t="s">
        <v>414</v>
      </c>
      <c r="D67" s="785"/>
      <c r="E67" s="785"/>
      <c r="F67" s="785"/>
      <c r="G67" s="785"/>
      <c r="H67" s="786"/>
    </row>
    <row r="68" spans="3:10" ht="18" customHeight="1" x14ac:dyDescent="0.2">
      <c r="C68" s="404" t="s">
        <v>369</v>
      </c>
      <c r="D68" s="195">
        <v>9.3900739643064501E-2</v>
      </c>
      <c r="E68" s="197"/>
      <c r="F68" s="195"/>
      <c r="G68" s="197"/>
      <c r="H68" s="787" t="s">
        <v>381</v>
      </c>
      <c r="J68" s="175">
        <v>2026</v>
      </c>
    </row>
    <row r="69" spans="3:10" x14ac:dyDescent="0.2">
      <c r="C69" s="404" t="s">
        <v>371</v>
      </c>
      <c r="D69" s="195">
        <v>3.912498992895401E-2</v>
      </c>
      <c r="E69" s="197"/>
      <c r="F69" s="195"/>
      <c r="G69" s="197"/>
      <c r="H69" s="787"/>
      <c r="J69" s="175">
        <v>2026</v>
      </c>
    </row>
    <row r="70" spans="3:10" x14ac:dyDescent="0.2">
      <c r="C70" s="404" t="s">
        <v>370</v>
      </c>
      <c r="D70" s="195">
        <v>0.3469112539569903</v>
      </c>
      <c r="E70" s="197"/>
      <c r="F70" s="195"/>
      <c r="G70" s="197"/>
      <c r="H70" s="787"/>
      <c r="J70" s="175">
        <v>2045</v>
      </c>
    </row>
    <row r="71" spans="3:10" x14ac:dyDescent="0.2">
      <c r="C71" s="404" t="s">
        <v>372</v>
      </c>
      <c r="D71" s="195">
        <v>0.16805200865735168</v>
      </c>
      <c r="E71" s="197"/>
      <c r="F71" s="195"/>
      <c r="G71" s="197"/>
      <c r="H71" s="787"/>
      <c r="J71" s="175">
        <v>2045</v>
      </c>
    </row>
    <row r="72" spans="3:10" x14ac:dyDescent="0.2">
      <c r="C72" s="784" t="s">
        <v>412</v>
      </c>
      <c r="D72" s="785"/>
      <c r="E72" s="785"/>
      <c r="F72" s="785"/>
      <c r="G72" s="785"/>
      <c r="H72" s="786"/>
    </row>
    <row r="73" spans="3:10" ht="18" customHeight="1" x14ac:dyDescent="0.2">
      <c r="C73" s="404" t="s">
        <v>369</v>
      </c>
      <c r="D73" s="194" cm="1">
        <f t="array" ref="D73">INDEX(_xlfn.ANCHORARRAY(Emissions!$F$33), 1, _xlfn.XMATCH($J73, year)) + INDEX(_xlfn.ANCHORARRAY(Emissions!$F$34), 1, _xlfn.XMATCH($J73, year))</f>
        <v>126708481.69680016</v>
      </c>
      <c r="E73" s="194"/>
      <c r="F73" s="194"/>
      <c r="G73" s="194"/>
      <c r="H73" s="787" t="s">
        <v>617</v>
      </c>
      <c r="J73" s="175">
        <v>2026</v>
      </c>
    </row>
    <row r="74" spans="3:10" x14ac:dyDescent="0.2">
      <c r="C74" s="404" t="s">
        <v>371</v>
      </c>
      <c r="D74" s="194" cm="1">
        <f t="array" ref="D74">INDEX(_xlfn.ANCHORARRAY(Emissions!$F$39), 1, _xlfn.XMATCH($J74, year)) + INDEX(_xlfn.ANCHORARRAY(Emissions!$F$40), 1, _xlfn.XMATCH($J74, year))</f>
        <v>126708481.69680016</v>
      </c>
      <c r="E74" s="194"/>
      <c r="F74" s="194"/>
      <c r="G74" s="194"/>
      <c r="H74" s="787"/>
      <c r="J74" s="175">
        <v>2026</v>
      </c>
    </row>
    <row r="75" spans="3:10" x14ac:dyDescent="0.2">
      <c r="C75" s="404" t="s">
        <v>370</v>
      </c>
      <c r="D75" s="194" cm="1">
        <f t="array" ref="D75">INDEX(_xlfn.ANCHORARRAY(Emissions!$F$33), 1, _xlfn.XMATCH($J75, year)) + INDEX(_xlfn.ANCHORARRAY(Emissions!$F$34), 1, _xlfn.XMATCH($J75, year))</f>
        <v>170489950.21562412</v>
      </c>
      <c r="E75" s="194"/>
      <c r="F75" s="194"/>
      <c r="G75" s="194"/>
      <c r="H75" s="787"/>
      <c r="J75" s="175">
        <v>2045</v>
      </c>
    </row>
    <row r="76" spans="3:10" ht="54.75" customHeight="1" x14ac:dyDescent="0.2">
      <c r="C76" s="407" t="s">
        <v>372</v>
      </c>
      <c r="D76" s="422" cm="1">
        <f t="array" ref="D76">INDEX(_xlfn.ANCHORARRAY(Emissions!$F$39), 1, _xlfn.XMATCH($J76, year)) + INDEX(_xlfn.ANCHORARRAY(Emissions!$F$40), 1, _xlfn.XMATCH($J76, year))</f>
        <v>170489950.21562412</v>
      </c>
      <c r="E76" s="422"/>
      <c r="F76" s="422"/>
      <c r="G76" s="422"/>
      <c r="H76" s="798"/>
      <c r="J76" s="175">
        <v>2045</v>
      </c>
    </row>
    <row r="77" spans="3:10" x14ac:dyDescent="0.2">
      <c r="C77" s="223"/>
      <c r="D77" s="224"/>
      <c r="E77" s="224"/>
      <c r="F77" s="224"/>
      <c r="G77" s="224"/>
      <c r="H77" s="225"/>
    </row>
    <row r="78" spans="3:10" hidden="1" x14ac:dyDescent="0.2">
      <c r="C78" s="223"/>
      <c r="D78" s="224"/>
      <c r="E78" s="224"/>
      <c r="F78" s="224"/>
      <c r="G78" s="224"/>
      <c r="H78" s="225"/>
    </row>
    <row r="79" spans="3:10" hidden="1" x14ac:dyDescent="0.2">
      <c r="C79" s="223"/>
      <c r="D79" s="224"/>
      <c r="E79" s="224"/>
      <c r="F79" s="224"/>
      <c r="G79" s="224"/>
      <c r="H79" s="225"/>
    </row>
    <row r="80" spans="3:10" hidden="1" x14ac:dyDescent="0.2">
      <c r="C80" s="223"/>
      <c r="D80" s="224"/>
      <c r="E80" s="224"/>
      <c r="F80" s="224"/>
      <c r="G80" s="224"/>
      <c r="H80" s="225"/>
    </row>
    <row r="81" spans="1:9" hidden="1" x14ac:dyDescent="0.2">
      <c r="C81" s="223"/>
      <c r="D81" s="224"/>
      <c r="E81" s="224"/>
      <c r="F81" s="224"/>
      <c r="G81" s="224"/>
      <c r="H81" s="225"/>
    </row>
    <row r="82" spans="1:9" hidden="1" x14ac:dyDescent="0.2">
      <c r="C82" s="179"/>
      <c r="D82" s="179"/>
      <c r="E82" s="180"/>
      <c r="F82" s="185"/>
      <c r="G82" s="180"/>
      <c r="H82" s="185"/>
      <c r="I82" s="181"/>
    </row>
    <row r="83" spans="1:9" x14ac:dyDescent="0.2">
      <c r="C83" s="179"/>
      <c r="D83" s="179"/>
      <c r="E83" s="180"/>
      <c r="F83" s="185"/>
      <c r="G83" s="180"/>
      <c r="H83" s="185"/>
      <c r="I83" s="181"/>
    </row>
    <row r="84" spans="1:9" x14ac:dyDescent="0.2">
      <c r="A84" s="388" t="s">
        <v>15</v>
      </c>
      <c r="B84" s="1" t="s">
        <v>112</v>
      </c>
      <c r="C84" s="389" t="s">
        <v>419</v>
      </c>
    </row>
    <row r="85" spans="1:9" x14ac:dyDescent="0.2">
      <c r="C85" s="417" t="s">
        <v>1</v>
      </c>
      <c r="D85" s="485" t="s">
        <v>2</v>
      </c>
      <c r="E85" s="485" t="s">
        <v>3</v>
      </c>
      <c r="F85" s="486" t="s">
        <v>137</v>
      </c>
    </row>
    <row r="86" spans="1:9" ht="31.15" customHeight="1" x14ac:dyDescent="0.2">
      <c r="C86" s="483" t="str" cm="1">
        <f t="array" ref="C86:C89">Inputs!C23:C26</f>
        <v>Value of Travel Time Savings – Automobiles</v>
      </c>
      <c r="D86" s="484" t="str" cm="1">
        <f t="array" ref="D86:D89">Inputs!D23:D26</f>
        <v>2021$/hour</v>
      </c>
      <c r="E86" s="484" cm="1">
        <f t="array" ref="E86:E89">Inputs!H23:H26</f>
        <v>18.8</v>
      </c>
      <c r="F86" s="775" t="str">
        <f>Inputs!I23</f>
        <v>Revised Departmental Guidance on Valuation of Travel Time in Economic Analysis (2016). Obtained from: U.S. DOT Benefit-Cost Analysis Guidance for Discretionary Grant Programs, March 2022.</v>
      </c>
    </row>
    <row r="87" spans="1:9" ht="31.9" customHeight="1" x14ac:dyDescent="0.2">
      <c r="C87" s="427" t="str">
        <v>Value of Travel Time Savings – Trucks</v>
      </c>
      <c r="D87" s="202" t="str">
        <v>2021$/hour</v>
      </c>
      <c r="E87" s="201">
        <v>32.4</v>
      </c>
      <c r="F87" s="776"/>
    </row>
    <row r="88" spans="1:9" ht="51" customHeight="1" x14ac:dyDescent="0.2">
      <c r="C88" s="427" t="str">
        <v>Vehicle Occupancy – Automobiles</v>
      </c>
      <c r="D88" s="202" t="str">
        <v>persons/vehicle</v>
      </c>
      <c r="E88" s="201">
        <v>1.67</v>
      </c>
      <c r="F88" s="428" t="str">
        <f>Inputs!I25</f>
        <v>2017 National Household Travel Survey. Obtained from: U.S. DOT Benefit-Cost Analysis Guidance for Discretionary Grant Programs, March 2022.</v>
      </c>
    </row>
    <row r="89" spans="1:9" x14ac:dyDescent="0.2">
      <c r="C89" s="427" t="str">
        <v>Vehicle Occupancy – Trucks</v>
      </c>
      <c r="D89" s="202" t="str">
        <v>persons/vehicle</v>
      </c>
      <c r="E89" s="201">
        <v>1</v>
      </c>
      <c r="F89" s="428" t="str">
        <f>Inputs!I26</f>
        <v>Assumption</v>
      </c>
    </row>
    <row r="90" spans="1:9" x14ac:dyDescent="0.2">
      <c r="C90" s="429" t="str">
        <f>Inputs!C18</f>
        <v>Number of Peak Period Hours – AM</v>
      </c>
      <c r="D90" s="202" t="str">
        <f>Inputs!D18</f>
        <v>hours</v>
      </c>
      <c r="E90" s="201">
        <f>peakHoursAM</f>
        <v>2</v>
      </c>
      <c r="F90" s="776" t="str">
        <f>Inputs!I18</f>
        <v>Assumption</v>
      </c>
    </row>
    <row r="91" spans="1:9" x14ac:dyDescent="0.2">
      <c r="C91" s="429" t="str">
        <f>Inputs!C19</f>
        <v>Number of Peak Period Hours – PM</v>
      </c>
      <c r="D91" s="202" t="str">
        <f>Inputs!D19</f>
        <v>hours</v>
      </c>
      <c r="E91" s="201">
        <f>peakHoursAM</f>
        <v>2</v>
      </c>
      <c r="F91" s="776"/>
    </row>
    <row r="92" spans="1:9" ht="48" x14ac:dyDescent="0.2">
      <c r="C92" s="429" t="str">
        <f>Inputs!C20</f>
        <v>Number of Non-Peak Period Hours</v>
      </c>
      <c r="D92" s="202" t="str">
        <f>Inputs!D20</f>
        <v>hours</v>
      </c>
      <c r="E92" s="201">
        <f>nonpeakHours</f>
        <v>14</v>
      </c>
      <c r="F92" s="428" t="str">
        <f>Inputs!I20</f>
        <v xml:space="preserve">Assumed that volume is negligible for 6 hours each day (e.g., 12 AM to 6 AM); remaining 18 hours minus the peak period hours is the number of non-peak period hours. </v>
      </c>
    </row>
    <row r="93" spans="1:9" ht="24" x14ac:dyDescent="0.2">
      <c r="C93" s="429" t="str">
        <f>Inputs!C21</f>
        <v>Percent of Daily Travel during Peak Hours</v>
      </c>
      <c r="D93" s="202" t="str">
        <f>Inputs!D21</f>
        <v>%</v>
      </c>
      <c r="E93" s="203">
        <f>percentPeak</f>
        <v>0.32800000000000001</v>
      </c>
      <c r="F93" s="428" t="str">
        <f>Inputs!I21</f>
        <v>California DOT, Cal-B/C v8.1 Table: Demand for Travel during Peak Period. (2021)</v>
      </c>
    </row>
    <row r="94" spans="1:9" x14ac:dyDescent="0.2">
      <c r="C94" s="430" t="str">
        <f>Inputs!C22</f>
        <v>Percent of Daily Travel during Non-Peak Hours</v>
      </c>
      <c r="D94" s="423" t="str">
        <f>Inputs!D22</f>
        <v>%</v>
      </c>
      <c r="E94" s="424">
        <f>Inputs!H22</f>
        <v>0.67199999999999993</v>
      </c>
      <c r="F94" s="431" t="str">
        <f>Inputs!I22</f>
        <v>Calculated</v>
      </c>
    </row>
    <row r="95" spans="1:9" x14ac:dyDescent="0.2">
      <c r="C95" s="199"/>
      <c r="D95" s="198"/>
      <c r="E95" s="200"/>
      <c r="F95" s="199"/>
    </row>
    <row r="96" spans="1:9" x14ac:dyDescent="0.2">
      <c r="C96" s="389" t="s">
        <v>420</v>
      </c>
      <c r="D96" s="187"/>
      <c r="E96" s="188"/>
      <c r="F96" s="187"/>
    </row>
    <row r="97" spans="1:9" x14ac:dyDescent="0.2">
      <c r="C97" s="417" t="s">
        <v>1</v>
      </c>
      <c r="D97" s="485" t="s">
        <v>2</v>
      </c>
      <c r="E97" s="485" t="s">
        <v>503</v>
      </c>
      <c r="F97" s="485"/>
      <c r="G97" s="485"/>
      <c r="H97" s="485"/>
      <c r="I97" s="486" t="s">
        <v>137</v>
      </c>
    </row>
    <row r="98" spans="1:9" x14ac:dyDescent="0.2">
      <c r="C98" s="439" t="str" cm="1">
        <f t="array" ref="C98:H99">Inputs!C37:H38</f>
        <v>Percentage of Automobiles</v>
      </c>
      <c r="D98" s="204" t="str">
        <v>%</v>
      </c>
      <c r="E98" s="205">
        <v>0.80099999999999993</v>
      </c>
      <c r="F98" s="205">
        <v>0</v>
      </c>
      <c r="G98" s="205">
        <v>0</v>
      </c>
      <c r="H98" s="205">
        <v>0</v>
      </c>
      <c r="I98" s="796" t="str">
        <f>Inputs!I37</f>
        <v>ODOT.</v>
      </c>
    </row>
    <row r="99" spans="1:9" x14ac:dyDescent="0.2">
      <c r="C99" s="432" t="str">
        <v>Percentage of Trucks</v>
      </c>
      <c r="D99" s="425" t="str">
        <v>%</v>
      </c>
      <c r="E99" s="426">
        <v>0.19900000000000001</v>
      </c>
      <c r="F99" s="426">
        <v>0</v>
      </c>
      <c r="G99" s="426">
        <v>0</v>
      </c>
      <c r="H99" s="426">
        <v>0</v>
      </c>
      <c r="I99" s="797"/>
    </row>
    <row r="100" spans="1:9" x14ac:dyDescent="0.2">
      <c r="C100" s="179"/>
      <c r="D100" s="179"/>
      <c r="E100" s="189"/>
      <c r="F100" s="189"/>
      <c r="G100" s="189"/>
      <c r="H100" s="189"/>
      <c r="I100" s="181"/>
    </row>
    <row r="101" spans="1:9" x14ac:dyDescent="0.2">
      <c r="C101" s="389" t="s">
        <v>421</v>
      </c>
    </row>
    <row r="102" spans="1:9" x14ac:dyDescent="0.2">
      <c r="C102" s="438"/>
      <c r="D102" s="773" t="s">
        <v>159</v>
      </c>
      <c r="E102" s="774"/>
    </row>
    <row r="103" spans="1:9" x14ac:dyDescent="0.2">
      <c r="C103" s="487"/>
      <c r="D103" s="488" t="s">
        <v>160</v>
      </c>
      <c r="E103" s="489" t="s">
        <v>161</v>
      </c>
    </row>
    <row r="104" spans="1:9" x14ac:dyDescent="0.2">
      <c r="C104" s="439" t="s">
        <v>384</v>
      </c>
      <c r="D104" s="206">
        <f>SUM(_xlfn.ANCHORARRAY('Travel Time'!F167))</f>
        <v>61189071.701128319</v>
      </c>
      <c r="E104" s="433">
        <f>'Travel Time'!E167</f>
        <v>21917471.803320166</v>
      </c>
      <c r="G104" s="227">
        <f>D104/D106</f>
        <v>0.12289382055818085</v>
      </c>
      <c r="H104" s="227">
        <f>E104/E106</f>
        <v>0.14113261769978383</v>
      </c>
    </row>
    <row r="105" spans="1:9" x14ac:dyDescent="0.2">
      <c r="C105" s="440" t="s">
        <v>385</v>
      </c>
      <c r="D105" s="434">
        <f>SUM(_xlfn.ANCHORARRAY('Travel Time'!F168))</f>
        <v>436712868.55273467</v>
      </c>
      <c r="E105" s="435">
        <f>'Travel Time'!E168</f>
        <v>133379525.87543641</v>
      </c>
      <c r="G105" s="227">
        <f>D105/D106</f>
        <v>0.87710617944181923</v>
      </c>
      <c r="H105" s="227">
        <f>E105/E106</f>
        <v>0.8588673823002162</v>
      </c>
    </row>
    <row r="106" spans="1:9" x14ac:dyDescent="0.2">
      <c r="C106" s="441" t="s">
        <v>401</v>
      </c>
      <c r="D106" s="436">
        <f>SUM(D104:D105)</f>
        <v>497901940.25386298</v>
      </c>
      <c r="E106" s="437">
        <f>SUM(E104:E105)</f>
        <v>155296997.67875656</v>
      </c>
      <c r="G106" s="177"/>
    </row>
    <row r="109" spans="1:9" x14ac:dyDescent="0.2">
      <c r="A109" s="388" t="s">
        <v>97</v>
      </c>
      <c r="B109" s="1" t="s">
        <v>112</v>
      </c>
      <c r="C109" s="389" t="s">
        <v>422</v>
      </c>
    </row>
    <row r="110" spans="1:9" x14ac:dyDescent="0.2">
      <c r="C110" s="417" t="s">
        <v>1</v>
      </c>
      <c r="D110" s="485" t="s">
        <v>2</v>
      </c>
      <c r="E110" s="485" t="s">
        <v>3</v>
      </c>
      <c r="F110" s="486" t="s">
        <v>137</v>
      </c>
    </row>
    <row r="111" spans="1:9" ht="17.45" customHeight="1" x14ac:dyDescent="0.2">
      <c r="C111" s="490" t="str">
        <f>Inputs!C27</f>
        <v>Value of a Statistical Life</v>
      </c>
      <c r="D111" s="491" t="str">
        <f>Inputs!D27</f>
        <v>2021$/accident</v>
      </c>
      <c r="E111" s="492">
        <f>costLife</f>
        <v>11800000</v>
      </c>
      <c r="F111" s="775" t="s">
        <v>647</v>
      </c>
    </row>
    <row r="112" spans="1:9" x14ac:dyDescent="0.2">
      <c r="C112" s="429" t="str">
        <f>Inputs!C28</f>
        <v>Cost of Injury</v>
      </c>
      <c r="D112" s="202" t="str">
        <f>Inputs!D28</f>
        <v>2021$/accident</v>
      </c>
      <c r="E112" s="207">
        <f>costInjury</f>
        <v>213900</v>
      </c>
      <c r="F112" s="776"/>
    </row>
    <row r="113" spans="1:10" x14ac:dyDescent="0.2">
      <c r="C113" s="429" t="str">
        <f>Inputs!C29</f>
        <v>Cost of PDO</v>
      </c>
      <c r="D113" s="202" t="str">
        <f>Inputs!D29</f>
        <v>2021$/accident</v>
      </c>
      <c r="E113" s="207">
        <f>costPDO</f>
        <v>4000</v>
      </c>
      <c r="F113" s="776"/>
    </row>
    <row r="114" spans="1:10" ht="24" x14ac:dyDescent="0.2">
      <c r="C114" s="429" t="str">
        <f>Inputs!C30</f>
        <v>Crash Modification Factor</v>
      </c>
      <c r="D114" s="202" t="str">
        <f>Inputs!D30</f>
        <v>factor</v>
      </c>
      <c r="E114" s="201">
        <f>Inputs!H30</f>
        <v>0.85</v>
      </c>
      <c r="F114" s="442" t="str">
        <f>Inputs!I30</f>
        <v>CMF Clearinghouse. CMF ID: 7924; CMF Name: Increase from 4 lanes to 6 lanes.</v>
      </c>
      <c r="G114"/>
      <c r="H114"/>
      <c r="I114"/>
      <c r="J114"/>
    </row>
    <row r="115" spans="1:10" x14ac:dyDescent="0.2">
      <c r="C115" s="800" t="s">
        <v>221</v>
      </c>
      <c r="D115" s="801"/>
      <c r="E115" s="801"/>
      <c r="F115" s="802"/>
      <c r="G115"/>
      <c r="H115"/>
      <c r="I115"/>
      <c r="J115"/>
    </row>
    <row r="116" spans="1:10" x14ac:dyDescent="0.2">
      <c r="C116" s="429" t="s">
        <v>356</v>
      </c>
      <c r="D116" s="201" t="s">
        <v>178</v>
      </c>
      <c r="E116" s="208" cm="1">
        <f t="array" ref="E116:E118">Safety!F8:F10</f>
        <v>7.8947368421052634E-3</v>
      </c>
      <c r="F116" s="776" t="s">
        <v>351</v>
      </c>
    </row>
    <row r="117" spans="1:10" x14ac:dyDescent="0.2">
      <c r="C117" s="429" t="s">
        <v>357</v>
      </c>
      <c r="D117" s="201" t="s">
        <v>178</v>
      </c>
      <c r="E117" s="208">
        <v>0.2868421052631579</v>
      </c>
      <c r="F117" s="776"/>
    </row>
    <row r="118" spans="1:10" x14ac:dyDescent="0.2">
      <c r="C118" s="429" t="s">
        <v>358</v>
      </c>
      <c r="D118" s="201" t="s">
        <v>178</v>
      </c>
      <c r="E118" s="208">
        <v>0.70526315789473681</v>
      </c>
      <c r="F118" s="776"/>
    </row>
    <row r="119" spans="1:10" x14ac:dyDescent="0.2">
      <c r="C119" s="429" t="s">
        <v>300</v>
      </c>
      <c r="D119" s="201" t="s">
        <v>355</v>
      </c>
      <c r="E119" s="196">
        <f>Safety!F14</f>
        <v>76</v>
      </c>
      <c r="F119" s="776"/>
    </row>
    <row r="120" spans="1:10" x14ac:dyDescent="0.2">
      <c r="C120" s="800" t="s">
        <v>237</v>
      </c>
      <c r="D120" s="801"/>
      <c r="E120" s="801"/>
      <c r="F120" s="803"/>
    </row>
    <row r="121" spans="1:10" x14ac:dyDescent="0.2">
      <c r="C121" s="429" t="s">
        <v>356</v>
      </c>
      <c r="D121" s="201" t="s">
        <v>178</v>
      </c>
      <c r="E121" s="208" cm="1">
        <f t="array" ref="E121:E123">Safety!F11:F13</f>
        <v>0</v>
      </c>
      <c r="F121" s="776" t="s">
        <v>351</v>
      </c>
    </row>
    <row r="122" spans="1:10" x14ac:dyDescent="0.2">
      <c r="C122" s="429" t="s">
        <v>357</v>
      </c>
      <c r="D122" s="201" t="s">
        <v>178</v>
      </c>
      <c r="E122" s="208">
        <v>0</v>
      </c>
      <c r="F122" s="776"/>
    </row>
    <row r="123" spans="1:10" x14ac:dyDescent="0.2">
      <c r="C123" s="429" t="s">
        <v>358</v>
      </c>
      <c r="D123" s="201" t="s">
        <v>178</v>
      </c>
      <c r="E123" s="208">
        <v>0</v>
      </c>
      <c r="F123" s="776"/>
    </row>
    <row r="124" spans="1:10" customFormat="1" x14ac:dyDescent="0.2">
      <c r="A124" s="60"/>
      <c r="B124" s="178"/>
      <c r="C124" s="430" t="s">
        <v>300</v>
      </c>
      <c r="D124" s="443" t="s">
        <v>355</v>
      </c>
      <c r="E124" s="408">
        <f>Safety!F15</f>
        <v>0</v>
      </c>
      <c r="F124" s="792"/>
    </row>
    <row r="125" spans="1:10" customFormat="1" x14ac:dyDescent="0.2">
      <c r="A125" s="60"/>
      <c r="B125" s="178"/>
      <c r="C125" s="187"/>
      <c r="D125" s="179"/>
      <c r="E125" s="190"/>
    </row>
    <row r="126" spans="1:10" x14ac:dyDescent="0.2">
      <c r="B126" s="1" t="s">
        <v>112</v>
      </c>
      <c r="C126" s="389" t="s">
        <v>423</v>
      </c>
    </row>
    <row r="127" spans="1:10" x14ac:dyDescent="0.2">
      <c r="C127" s="438"/>
      <c r="D127" s="773" t="s">
        <v>159</v>
      </c>
      <c r="E127" s="774"/>
    </row>
    <row r="128" spans="1:10" x14ac:dyDescent="0.2">
      <c r="C128" s="487"/>
      <c r="D128" s="488" t="s">
        <v>160</v>
      </c>
      <c r="E128" s="489" t="s">
        <v>161</v>
      </c>
    </row>
    <row r="129" spans="1:6" x14ac:dyDescent="0.2">
      <c r="C129" s="439" t="s">
        <v>473</v>
      </c>
      <c r="D129" s="206">
        <f>SUM(_xlfn.ANCHORARRAY(Safety!E80))</f>
        <v>27168421.090797026</v>
      </c>
      <c r="E129" s="433" cm="1">
        <f t="array" ref="E129:E131">Safety!D80:D82</f>
        <v>9913651.7401629984</v>
      </c>
    </row>
    <row r="130" spans="1:6" x14ac:dyDescent="0.2">
      <c r="C130" s="439" t="s">
        <v>474</v>
      </c>
      <c r="D130" s="206">
        <f>SUM(_xlfn.ANCHORARRAY(Safety!E81))</f>
        <v>17893628.66028367</v>
      </c>
      <c r="E130" s="433">
        <v>6529315.8668665076</v>
      </c>
    </row>
    <row r="131" spans="1:6" x14ac:dyDescent="0.2">
      <c r="C131" s="439" t="s">
        <v>475</v>
      </c>
      <c r="D131" s="206">
        <f>SUM(_xlfn.ANCHORARRAY(Safety!E82))</f>
        <v>822727.32794729981</v>
      </c>
      <c r="E131" s="433">
        <v>300210.01879815635</v>
      </c>
    </row>
    <row r="132" spans="1:6" x14ac:dyDescent="0.2">
      <c r="C132" s="441" t="s">
        <v>402</v>
      </c>
      <c r="D132" s="436">
        <f>SUM(D129:D130)</f>
        <v>45062049.751080692</v>
      </c>
      <c r="E132" s="437">
        <f>SUM(E129:E130)</f>
        <v>16442967.607029505</v>
      </c>
    </row>
    <row r="134" spans="1:6" x14ac:dyDescent="0.2">
      <c r="B134" s="175"/>
    </row>
    <row r="135" spans="1:6" x14ac:dyDescent="0.2">
      <c r="A135" s="388" t="s">
        <v>47</v>
      </c>
      <c r="B135" s="175" t="s">
        <v>112</v>
      </c>
      <c r="C135" s="389" t="s">
        <v>424</v>
      </c>
    </row>
    <row r="136" spans="1:6" x14ac:dyDescent="0.2">
      <c r="B136" s="175"/>
      <c r="C136" s="494"/>
      <c r="D136" s="485" t="s">
        <v>482</v>
      </c>
      <c r="E136" s="485" t="s">
        <v>3</v>
      </c>
      <c r="F136" s="486" t="s">
        <v>137</v>
      </c>
    </row>
    <row r="137" spans="1:6" x14ac:dyDescent="0.2">
      <c r="B137" s="175"/>
      <c r="C137" s="493" t="s">
        <v>483</v>
      </c>
      <c r="D137" s="229" t="s">
        <v>484</v>
      </c>
      <c r="E137" s="229" t="s">
        <v>485</v>
      </c>
      <c r="F137" s="793" t="s">
        <v>648</v>
      </c>
    </row>
    <row r="138" spans="1:6" x14ac:dyDescent="0.2">
      <c r="B138" s="175"/>
      <c r="C138" s="444" t="s">
        <v>486</v>
      </c>
      <c r="D138" s="231" t="s">
        <v>484</v>
      </c>
      <c r="E138" s="231" t="s">
        <v>485</v>
      </c>
      <c r="F138" s="781"/>
    </row>
    <row r="139" spans="1:6" x14ac:dyDescent="0.2">
      <c r="B139" s="175"/>
      <c r="C139" s="444" t="s">
        <v>487</v>
      </c>
      <c r="D139" s="231" t="s">
        <v>484</v>
      </c>
      <c r="E139" s="231" t="s">
        <v>485</v>
      </c>
      <c r="F139" s="781"/>
    </row>
    <row r="140" spans="1:6" x14ac:dyDescent="0.2">
      <c r="B140" s="175"/>
      <c r="C140" s="444" t="s">
        <v>488</v>
      </c>
      <c r="D140" s="231" t="s">
        <v>484</v>
      </c>
      <c r="E140" s="231" t="s">
        <v>485</v>
      </c>
      <c r="F140" s="781"/>
    </row>
    <row r="141" spans="1:6" ht="24" x14ac:dyDescent="0.2">
      <c r="B141" s="175"/>
      <c r="C141" s="444" t="s">
        <v>489</v>
      </c>
      <c r="D141" s="231" t="s">
        <v>490</v>
      </c>
      <c r="E141" s="231" t="s">
        <v>491</v>
      </c>
      <c r="F141" s="781" t="s">
        <v>492</v>
      </c>
    </row>
    <row r="142" spans="1:6" ht="24" x14ac:dyDescent="0.2">
      <c r="B142" s="175"/>
      <c r="C142" s="444" t="s">
        <v>493</v>
      </c>
      <c r="D142" s="231" t="s">
        <v>490</v>
      </c>
      <c r="E142" s="231" t="s">
        <v>491</v>
      </c>
      <c r="F142" s="781"/>
    </row>
    <row r="143" spans="1:6" ht="24" x14ac:dyDescent="0.2">
      <c r="B143" s="175"/>
      <c r="C143" s="444" t="s">
        <v>494</v>
      </c>
      <c r="D143" s="231" t="s">
        <v>490</v>
      </c>
      <c r="E143" s="231" t="s">
        <v>491</v>
      </c>
      <c r="F143" s="781"/>
    </row>
    <row r="144" spans="1:6" ht="24" x14ac:dyDescent="0.2">
      <c r="B144" s="175"/>
      <c r="C144" s="445" t="s">
        <v>495</v>
      </c>
      <c r="D144" s="446" t="s">
        <v>490</v>
      </c>
      <c r="E144" s="446" t="s">
        <v>491</v>
      </c>
      <c r="F144" s="782"/>
    </row>
    <row r="145" spans="1:15" x14ac:dyDescent="0.2">
      <c r="B145" s="175"/>
      <c r="C145" s="236"/>
      <c r="D145" s="236"/>
      <c r="E145" s="236"/>
      <c r="F145" s="236"/>
    </row>
    <row r="146" spans="1:15" x14ac:dyDescent="0.2">
      <c r="B146" s="175"/>
      <c r="C146" s="236"/>
      <c r="D146" s="236"/>
      <c r="E146" s="236"/>
      <c r="F146" s="236"/>
    </row>
    <row r="147" spans="1:15" x14ac:dyDescent="0.2">
      <c r="B147" s="175"/>
      <c r="C147" s="389" t="s">
        <v>425</v>
      </c>
    </row>
    <row r="148" spans="1:15" x14ac:dyDescent="0.2">
      <c r="C148" s="438"/>
      <c r="D148" s="773" t="s">
        <v>159</v>
      </c>
      <c r="E148" s="774"/>
    </row>
    <row r="149" spans="1:15" x14ac:dyDescent="0.2">
      <c r="C149" s="487"/>
      <c r="D149" s="488" t="s">
        <v>160</v>
      </c>
      <c r="E149" s="489" t="s">
        <v>161</v>
      </c>
    </row>
    <row r="150" spans="1:15" x14ac:dyDescent="0.2">
      <c r="C150" s="439" t="s">
        <v>405</v>
      </c>
      <c r="D150" s="206">
        <v>2817078</v>
      </c>
      <c r="E150" s="433">
        <f>Emissions!E270</f>
        <v>1460340</v>
      </c>
      <c r="G150" s="227">
        <f>D150/D152</f>
        <v>0.59125781212122608</v>
      </c>
      <c r="H150" s="227">
        <f>E150/E152</f>
        <v>0.75949130090852501</v>
      </c>
    </row>
    <row r="151" spans="1:15" x14ac:dyDescent="0.2">
      <c r="C151" s="440" t="s">
        <v>406</v>
      </c>
      <c r="D151" s="434">
        <v>1947473</v>
      </c>
      <c r="E151" s="435">
        <f>Emissions!E271</f>
        <v>462447</v>
      </c>
      <c r="G151" s="227">
        <f>D151/D152</f>
        <v>0.40874218787877387</v>
      </c>
      <c r="H151" s="227">
        <f>E151/E152</f>
        <v>0.24050869909147504</v>
      </c>
    </row>
    <row r="152" spans="1:15" x14ac:dyDescent="0.2">
      <c r="C152" s="441" t="s">
        <v>403</v>
      </c>
      <c r="D152" s="436">
        <f>SUM(D150:D151)</f>
        <v>4764551</v>
      </c>
      <c r="E152" s="437">
        <f>SUM(E150:E151)</f>
        <v>1922787</v>
      </c>
    </row>
    <row r="155" spans="1:15" x14ac:dyDescent="0.2">
      <c r="A155" s="388" t="s">
        <v>399</v>
      </c>
      <c r="B155" s="1" t="s">
        <v>139</v>
      </c>
      <c r="C155" s="389" t="s">
        <v>426</v>
      </c>
      <c r="D155" s="176"/>
      <c r="E155" s="176"/>
      <c r="F155" s="176"/>
    </row>
    <row r="156" spans="1:15" x14ac:dyDescent="0.2">
      <c r="C156" s="417" t="s">
        <v>1</v>
      </c>
      <c r="D156" s="485" t="s">
        <v>2</v>
      </c>
      <c r="E156" s="485" t="s">
        <v>3</v>
      </c>
      <c r="F156" s="486" t="s">
        <v>374</v>
      </c>
    </row>
    <row r="157" spans="1:15" x14ac:dyDescent="0.2">
      <c r="C157" s="495" t="s">
        <v>386</v>
      </c>
      <c r="D157" s="496" t="s">
        <v>388</v>
      </c>
      <c r="E157" s="497">
        <f>'Project Cost Data'!J55</f>
        <v>0</v>
      </c>
      <c r="F157" s="498"/>
      <c r="H157" s="191"/>
      <c r="I157" s="191"/>
      <c r="J157" s="191"/>
      <c r="K157" s="191"/>
      <c r="L157" s="191"/>
      <c r="M157" s="191"/>
      <c r="N157" s="191"/>
      <c r="O157" s="12"/>
    </row>
    <row r="158" spans="1:15" x14ac:dyDescent="0.2">
      <c r="C158" s="447" t="s">
        <v>387</v>
      </c>
      <c r="D158" s="448" t="s">
        <v>388</v>
      </c>
      <c r="E158" s="449">
        <f>'Project Cost Data'!F55</f>
        <v>0</v>
      </c>
      <c r="F158" s="450"/>
      <c r="H158" s="191"/>
      <c r="I158" s="191"/>
      <c r="J158" s="191"/>
      <c r="K158" s="191"/>
      <c r="L158" s="191"/>
      <c r="M158" s="191"/>
      <c r="N158" s="191"/>
      <c r="O158" s="12"/>
    </row>
    <row r="159" spans="1:15" ht="60" x14ac:dyDescent="0.2">
      <c r="C159" s="447" t="s">
        <v>391</v>
      </c>
      <c r="D159" s="448" t="s">
        <v>388</v>
      </c>
      <c r="E159" s="449">
        <f>SUM('Project Cost Data'!D26:D45)</f>
        <v>10194230</v>
      </c>
      <c r="F159" s="450" t="s">
        <v>396</v>
      </c>
      <c r="H159"/>
      <c r="I159" s="187"/>
      <c r="J159" s="191"/>
      <c r="K159" s="191"/>
      <c r="L159" s="191"/>
      <c r="M159" s="191"/>
      <c r="N159" s="191"/>
      <c r="O159" s="12"/>
    </row>
    <row r="160" spans="1:15" ht="60" x14ac:dyDescent="0.2">
      <c r="C160" s="447" t="s">
        <v>392</v>
      </c>
      <c r="D160" s="448" t="s">
        <v>388</v>
      </c>
      <c r="E160" s="451">
        <f>SUM('Project Cost Data'!H26:H45)</f>
        <v>13449230</v>
      </c>
      <c r="F160" s="450" t="s">
        <v>395</v>
      </c>
      <c r="H160" s="191"/>
      <c r="I160" s="191"/>
      <c r="J160" s="191"/>
      <c r="K160" s="191"/>
      <c r="L160" s="191"/>
      <c r="M160" s="191"/>
      <c r="N160" s="191"/>
      <c r="O160" s="12"/>
    </row>
    <row r="161" spans="3:15" x14ac:dyDescent="0.2">
      <c r="C161" s="447" t="s">
        <v>393</v>
      </c>
      <c r="D161" s="448" t="s">
        <v>388</v>
      </c>
      <c r="E161" s="451">
        <f>SUM('Project Cost Data'!E26:E45)</f>
        <v>143077</v>
      </c>
      <c r="F161" s="450" t="s">
        <v>397</v>
      </c>
      <c r="H161" s="191"/>
      <c r="I161" s="191"/>
      <c r="J161" s="191"/>
      <c r="K161" s="191"/>
      <c r="L161" s="191"/>
      <c r="M161" s="191"/>
      <c r="N161" s="191"/>
      <c r="O161" s="12"/>
    </row>
    <row r="162" spans="3:15" ht="24" x14ac:dyDescent="0.2">
      <c r="C162" s="447" t="s">
        <v>394</v>
      </c>
      <c r="D162" s="448" t="s">
        <v>388</v>
      </c>
      <c r="E162" s="451">
        <f>SUM('Project Cost Data'!I26:I45)</f>
        <v>953846</v>
      </c>
      <c r="F162" s="450" t="s">
        <v>398</v>
      </c>
      <c r="H162" s="191"/>
      <c r="I162" s="191"/>
      <c r="J162" s="191"/>
      <c r="K162" s="191"/>
      <c r="L162" s="191"/>
      <c r="M162" s="191"/>
      <c r="N162" s="191"/>
      <c r="O162" s="12"/>
    </row>
    <row r="163" spans="3:15" x14ac:dyDescent="0.2">
      <c r="C163" s="452" t="str">
        <f>Inputs!C32</f>
        <v>Useful Life of Project</v>
      </c>
      <c r="D163" s="453" t="str">
        <f>Inputs!D32</f>
        <v>years</v>
      </c>
      <c r="E163" s="454">
        <f>usefulLife</f>
        <v>50</v>
      </c>
      <c r="F163" s="455" t="str">
        <f>Inputs!I32</f>
        <v>Assumption</v>
      </c>
    </row>
    <row r="164" spans="3:15" x14ac:dyDescent="0.2">
      <c r="C164" s="179"/>
      <c r="D164" s="179"/>
      <c r="E164" s="186"/>
      <c r="F164" s="187"/>
    </row>
    <row r="165" spans="3:15" x14ac:dyDescent="0.2">
      <c r="C165" s="389" t="s">
        <v>496</v>
      </c>
      <c r="D165" s="179"/>
      <c r="E165" s="186"/>
      <c r="F165" s="187"/>
    </row>
    <row r="166" spans="3:15" x14ac:dyDescent="0.2">
      <c r="C166" s="779" t="s">
        <v>11</v>
      </c>
      <c r="D166" s="773" t="s">
        <v>175</v>
      </c>
      <c r="E166" s="773"/>
      <c r="F166" s="773"/>
      <c r="G166" s="773" t="s">
        <v>10</v>
      </c>
      <c r="H166" s="773"/>
      <c r="I166" s="774"/>
    </row>
    <row r="167" spans="3:15" x14ac:dyDescent="0.2">
      <c r="C167" s="780"/>
      <c r="D167" s="488" t="s">
        <v>476</v>
      </c>
      <c r="E167" s="488" t="s">
        <v>477</v>
      </c>
      <c r="F167" s="488" t="s">
        <v>478</v>
      </c>
      <c r="G167" s="499" t="s">
        <v>476</v>
      </c>
      <c r="H167" s="488" t="s">
        <v>477</v>
      </c>
      <c r="I167" s="500" t="s">
        <v>478</v>
      </c>
    </row>
    <row r="168" spans="3:15" x14ac:dyDescent="0.2">
      <c r="C168" s="456">
        <v>2023</v>
      </c>
      <c r="D168" s="229"/>
      <c r="E168" s="229"/>
      <c r="F168" s="234">
        <v>385000</v>
      </c>
      <c r="G168" s="228"/>
      <c r="H168" s="229"/>
      <c r="I168" s="457">
        <v>410000</v>
      </c>
    </row>
    <row r="169" spans="3:15" x14ac:dyDescent="0.2">
      <c r="C169" s="458">
        <v>2024</v>
      </c>
      <c r="D169" s="231"/>
      <c r="E169" s="231"/>
      <c r="F169" s="235">
        <v>385000</v>
      </c>
      <c r="G169" s="230"/>
      <c r="H169" s="231"/>
      <c r="I169" s="459">
        <v>410000</v>
      </c>
    </row>
    <row r="170" spans="3:15" x14ac:dyDescent="0.2">
      <c r="C170" s="458">
        <v>2025</v>
      </c>
      <c r="D170" s="231"/>
      <c r="E170" s="231"/>
      <c r="F170" s="235">
        <v>385000</v>
      </c>
      <c r="G170" s="230"/>
      <c r="H170" s="231"/>
      <c r="I170" s="459">
        <v>410000</v>
      </c>
    </row>
    <row r="171" spans="3:15" x14ac:dyDescent="0.2">
      <c r="C171" s="458">
        <v>2026</v>
      </c>
      <c r="D171" s="231"/>
      <c r="E171" s="231"/>
      <c r="F171" s="235">
        <v>385000</v>
      </c>
      <c r="G171" s="230"/>
      <c r="H171" s="232">
        <v>300000</v>
      </c>
      <c r="I171" s="459">
        <v>410000</v>
      </c>
    </row>
    <row r="172" spans="3:15" x14ac:dyDescent="0.2">
      <c r="C172" s="458">
        <v>2027</v>
      </c>
      <c r="D172" s="232">
        <v>25000</v>
      </c>
      <c r="E172" s="231"/>
      <c r="F172" s="235">
        <v>385000</v>
      </c>
      <c r="G172" s="233">
        <v>125000</v>
      </c>
      <c r="H172" s="231"/>
      <c r="I172" s="459">
        <v>410000</v>
      </c>
    </row>
    <row r="173" spans="3:15" x14ac:dyDescent="0.2">
      <c r="C173" s="458">
        <v>2028</v>
      </c>
      <c r="D173" s="232">
        <v>4700000</v>
      </c>
      <c r="E173" s="231"/>
      <c r="F173" s="235">
        <v>385000</v>
      </c>
      <c r="G173" s="230"/>
      <c r="H173" s="231"/>
      <c r="I173" s="459">
        <v>410000</v>
      </c>
    </row>
    <row r="174" spans="3:15" x14ac:dyDescent="0.2">
      <c r="C174" s="458">
        <v>2029</v>
      </c>
      <c r="D174" s="231"/>
      <c r="E174" s="231"/>
      <c r="F174" s="235">
        <v>385000</v>
      </c>
      <c r="G174" s="230"/>
      <c r="H174" s="231"/>
      <c r="I174" s="459">
        <v>410000</v>
      </c>
    </row>
    <row r="175" spans="3:15" x14ac:dyDescent="0.2">
      <c r="C175" s="458">
        <v>2030</v>
      </c>
      <c r="D175" s="231"/>
      <c r="E175" s="232">
        <v>1000000</v>
      </c>
      <c r="F175" s="235">
        <v>385000</v>
      </c>
      <c r="G175" s="230"/>
      <c r="H175" s="231"/>
      <c r="I175" s="459">
        <v>410000</v>
      </c>
    </row>
    <row r="176" spans="3:15" x14ac:dyDescent="0.2">
      <c r="C176" s="458">
        <v>2031</v>
      </c>
      <c r="D176" s="231"/>
      <c r="E176" s="231"/>
      <c r="F176" s="235">
        <v>385000</v>
      </c>
      <c r="G176" s="230"/>
      <c r="H176" s="231"/>
      <c r="I176" s="459">
        <v>410000</v>
      </c>
    </row>
    <row r="177" spans="2:9" x14ac:dyDescent="0.2">
      <c r="C177" s="458">
        <v>2032</v>
      </c>
      <c r="D177" s="232">
        <v>25000</v>
      </c>
      <c r="E177" s="231"/>
      <c r="F177" s="235">
        <v>385000</v>
      </c>
      <c r="G177" s="233">
        <v>7125000</v>
      </c>
      <c r="H177" s="231"/>
      <c r="I177" s="459">
        <v>410000</v>
      </c>
    </row>
    <row r="178" spans="2:9" x14ac:dyDescent="0.2">
      <c r="C178" s="458">
        <v>2033</v>
      </c>
      <c r="D178" s="231"/>
      <c r="E178" s="231"/>
      <c r="F178" s="235">
        <v>385000</v>
      </c>
      <c r="G178" s="230"/>
      <c r="H178" s="231"/>
      <c r="I178" s="459">
        <v>410000</v>
      </c>
    </row>
    <row r="179" spans="2:9" x14ac:dyDescent="0.2">
      <c r="C179" s="458">
        <v>2034</v>
      </c>
      <c r="D179" s="231"/>
      <c r="E179" s="231"/>
      <c r="F179" s="235">
        <v>385000</v>
      </c>
      <c r="G179" s="230"/>
      <c r="H179" s="231"/>
      <c r="I179" s="459">
        <v>410000</v>
      </c>
    </row>
    <row r="180" spans="2:9" x14ac:dyDescent="0.2">
      <c r="C180" s="458">
        <v>2035</v>
      </c>
      <c r="D180" s="232">
        <v>4700000</v>
      </c>
      <c r="E180" s="232">
        <v>1000000</v>
      </c>
      <c r="F180" s="235">
        <v>385000</v>
      </c>
      <c r="G180" s="230"/>
      <c r="H180" s="231"/>
      <c r="I180" s="459">
        <v>410000</v>
      </c>
    </row>
    <row r="181" spans="2:9" x14ac:dyDescent="0.2">
      <c r="C181" s="458">
        <v>2036</v>
      </c>
      <c r="D181" s="231"/>
      <c r="E181" s="231"/>
      <c r="F181" s="235">
        <v>385000</v>
      </c>
      <c r="G181" s="230"/>
      <c r="H181" s="231"/>
      <c r="I181" s="459">
        <v>410000</v>
      </c>
    </row>
    <row r="182" spans="2:9" x14ac:dyDescent="0.2">
      <c r="C182" s="458">
        <v>2037</v>
      </c>
      <c r="D182" s="232">
        <v>25000</v>
      </c>
      <c r="E182" s="231"/>
      <c r="F182" s="235">
        <v>385000</v>
      </c>
      <c r="G182" s="233">
        <v>125000</v>
      </c>
      <c r="H182" s="231"/>
      <c r="I182" s="459">
        <v>410000</v>
      </c>
    </row>
    <row r="183" spans="2:9" x14ac:dyDescent="0.2">
      <c r="C183" s="458">
        <v>2038</v>
      </c>
      <c r="D183" s="231"/>
      <c r="E183" s="231"/>
      <c r="F183" s="235">
        <v>385000</v>
      </c>
      <c r="G183" s="230"/>
      <c r="H183" s="231"/>
      <c r="I183" s="459">
        <v>410000</v>
      </c>
    </row>
    <row r="184" spans="2:9" x14ac:dyDescent="0.2">
      <c r="C184" s="458">
        <v>2039</v>
      </c>
      <c r="D184" s="231"/>
      <c r="E184" s="231"/>
      <c r="F184" s="235">
        <v>385000</v>
      </c>
      <c r="G184" s="233">
        <v>14000000</v>
      </c>
      <c r="H184" s="231"/>
      <c r="I184" s="459">
        <v>410000</v>
      </c>
    </row>
    <row r="185" spans="2:9" x14ac:dyDescent="0.2">
      <c r="C185" s="458">
        <v>2040</v>
      </c>
      <c r="D185" s="231"/>
      <c r="E185" s="231"/>
      <c r="F185" s="235">
        <v>385000</v>
      </c>
      <c r="G185" s="230"/>
      <c r="H185" s="231"/>
      <c r="I185" s="459">
        <v>410000</v>
      </c>
    </row>
    <row r="186" spans="2:9" x14ac:dyDescent="0.2">
      <c r="C186" s="458">
        <v>2041</v>
      </c>
      <c r="D186" s="231"/>
      <c r="E186" s="231"/>
      <c r="F186" s="235">
        <v>385000</v>
      </c>
      <c r="G186" s="230"/>
      <c r="H186" s="231"/>
      <c r="I186" s="459">
        <v>410000</v>
      </c>
    </row>
    <row r="187" spans="2:9" x14ac:dyDescent="0.2">
      <c r="C187" s="458">
        <v>2042</v>
      </c>
      <c r="D187" s="232">
        <v>18725000</v>
      </c>
      <c r="E187" s="231"/>
      <c r="F187" s="235">
        <v>385000</v>
      </c>
      <c r="G187" s="233">
        <v>7125000</v>
      </c>
      <c r="H187" s="231"/>
      <c r="I187" s="459">
        <v>410000</v>
      </c>
    </row>
    <row r="188" spans="2:9" x14ac:dyDescent="0.2">
      <c r="C188" s="461" t="s">
        <v>28</v>
      </c>
      <c r="D188" s="462">
        <f>SUM(D168:D187)</f>
        <v>28200000</v>
      </c>
      <c r="E188" s="462">
        <f t="shared" ref="E188:F188" si="2">SUM(E168:E187)</f>
        <v>2000000</v>
      </c>
      <c r="F188" s="462">
        <f t="shared" si="2"/>
        <v>7700000</v>
      </c>
      <c r="G188" s="462">
        <f>SUM(G168:G187)</f>
        <v>28500000</v>
      </c>
      <c r="H188" s="462">
        <f t="shared" ref="H188" si="3">SUM(H168:H187)</f>
        <v>300000</v>
      </c>
      <c r="I188" s="460">
        <f t="shared" ref="I188" si="4">SUM(I168:I187)</f>
        <v>8200000</v>
      </c>
    </row>
    <row r="189" spans="2:9" x14ac:dyDescent="0.2">
      <c r="C189" s="441" t="s">
        <v>257</v>
      </c>
      <c r="D189" s="436"/>
      <c r="E189" s="436">
        <f>SUM(D188:F188)</f>
        <v>37900000</v>
      </c>
      <c r="F189" s="436"/>
      <c r="G189" s="436"/>
      <c r="H189" s="436">
        <f>SUM(G188:I188)</f>
        <v>37000000</v>
      </c>
      <c r="I189" s="437"/>
    </row>
    <row r="190" spans="2:9" x14ac:dyDescent="0.2">
      <c r="C190" s="179"/>
      <c r="D190" s="179"/>
      <c r="E190" s="186"/>
      <c r="F190" s="187"/>
    </row>
    <row r="191" spans="2:9" x14ac:dyDescent="0.2">
      <c r="B191" s="1" t="s">
        <v>112</v>
      </c>
      <c r="C191" s="389" t="s">
        <v>427</v>
      </c>
    </row>
    <row r="192" spans="2:9" x14ac:dyDescent="0.2">
      <c r="C192" s="438"/>
      <c r="D192" s="773" t="s">
        <v>159</v>
      </c>
      <c r="E192" s="774"/>
    </row>
    <row r="193" spans="1:6" x14ac:dyDescent="0.2">
      <c r="C193" s="487"/>
      <c r="D193" s="488" t="s">
        <v>160</v>
      </c>
      <c r="E193" s="489" t="s">
        <v>161</v>
      </c>
    </row>
    <row r="194" spans="1:6" x14ac:dyDescent="0.2">
      <c r="C194" s="439" t="s">
        <v>479</v>
      </c>
      <c r="D194" s="206">
        <f>'Results Summary'!E58</f>
        <v>303076.80000000028</v>
      </c>
      <c r="E194" s="433">
        <f>'Results Summary'!E94</f>
        <v>840344.87871175271</v>
      </c>
    </row>
    <row r="195" spans="1:6" x14ac:dyDescent="0.2">
      <c r="C195" s="440" t="str">
        <f>'Results Summary'!B39</f>
        <v>Residual Value of Assets</v>
      </c>
      <c r="D195" s="434">
        <f>'Results Summary'!E59</f>
        <v>38443624.200000003</v>
      </c>
      <c r="E195" s="435">
        <f>'Results Summary'!E95</f>
        <v>7083206.1398240654</v>
      </c>
    </row>
    <row r="196" spans="1:6" x14ac:dyDescent="0.2">
      <c r="C196" s="441" t="s">
        <v>404</v>
      </c>
      <c r="D196" s="436">
        <f>SUM(D194:D195)</f>
        <v>38746701</v>
      </c>
      <c r="E196" s="437">
        <f>SUM(E194:E195)</f>
        <v>7923551.018535818</v>
      </c>
    </row>
    <row r="199" spans="1:6" x14ac:dyDescent="0.2">
      <c r="A199" s="388" t="s">
        <v>400</v>
      </c>
      <c r="C199" s="463" t="s">
        <v>60</v>
      </c>
    </row>
    <row r="200" spans="1:6" x14ac:dyDescent="0.2">
      <c r="B200" s="1" t="s">
        <v>112</v>
      </c>
      <c r="C200" s="417" t="s">
        <v>148</v>
      </c>
      <c r="D200" s="485" t="s">
        <v>141</v>
      </c>
      <c r="E200" s="485" t="s">
        <v>160</v>
      </c>
      <c r="F200" s="486" t="s">
        <v>161</v>
      </c>
    </row>
    <row r="201" spans="1:6" x14ac:dyDescent="0.2">
      <c r="C201" s="791" t="s">
        <v>152</v>
      </c>
      <c r="D201" s="501" t="str" cm="1">
        <f t="array" ref="D201:F202">C104:E105</f>
        <v>Travel Time Savings from Lane Increase</v>
      </c>
      <c r="E201" s="502">
        <v>61189071.701128319</v>
      </c>
      <c r="F201" s="503">
        <v>21917471.803320166</v>
      </c>
    </row>
    <row r="202" spans="1:6" x14ac:dyDescent="0.2">
      <c r="C202" s="778"/>
      <c r="D202" s="469" t="str">
        <v>Travel Time Savings from Interchange Redesign</v>
      </c>
      <c r="E202" s="209">
        <v>436712868.55273467</v>
      </c>
      <c r="F202" s="464">
        <v>133379525.87543641</v>
      </c>
    </row>
    <row r="203" spans="1:6" x14ac:dyDescent="0.2">
      <c r="C203" s="470" t="s">
        <v>97</v>
      </c>
      <c r="D203" s="469" t="str">
        <f>D25</f>
        <v>Improved Safety</v>
      </c>
      <c r="E203" s="209" cm="1">
        <f t="array" ref="E203:F203">D132:E132</f>
        <v>45062049.751080692</v>
      </c>
      <c r="F203" s="464">
        <v>16442967.607029505</v>
      </c>
    </row>
    <row r="204" spans="1:6" x14ac:dyDescent="0.2">
      <c r="C204" s="777" t="s">
        <v>155</v>
      </c>
      <c r="D204" s="469" t="str" cm="1">
        <f t="array" ref="D204:F205">C150:E151</f>
        <v>Avoided Cost of GHG Emissions</v>
      </c>
      <c r="E204" s="209">
        <v>2817078</v>
      </c>
      <c r="F204" s="464">
        <v>1460340</v>
      </c>
    </row>
    <row r="205" spans="1:6" x14ac:dyDescent="0.2">
      <c r="C205" s="778"/>
      <c r="D205" s="469" t="str">
        <v>Avoided Cost of CAC Emissions</v>
      </c>
      <c r="E205" s="209">
        <v>1947473</v>
      </c>
      <c r="F205" s="464">
        <v>462447</v>
      </c>
    </row>
    <row r="206" spans="1:6" x14ac:dyDescent="0.2">
      <c r="C206" s="777" t="s">
        <v>156</v>
      </c>
      <c r="D206" s="469" t="str" cm="1">
        <f t="array" ref="D206:F207">C194:E195</f>
        <v>Incremental O&amp;M Savings</v>
      </c>
      <c r="E206" s="209">
        <v>303076.80000000028</v>
      </c>
      <c r="F206" s="464">
        <v>840344.87871175271</v>
      </c>
    </row>
    <row r="207" spans="1:6" x14ac:dyDescent="0.2">
      <c r="C207" s="778"/>
      <c r="D207" s="469" t="str">
        <v>Residual Value of Assets</v>
      </c>
      <c r="E207" s="209">
        <v>38443624.200000003</v>
      </c>
      <c r="F207" s="464">
        <v>7083206.1398240654</v>
      </c>
    </row>
    <row r="208" spans="1:6" x14ac:dyDescent="0.2">
      <c r="C208" s="471" t="s">
        <v>28</v>
      </c>
      <c r="D208" s="472"/>
      <c r="E208" s="465">
        <f>SUM(E201:E207)</f>
        <v>586475242.00494361</v>
      </c>
      <c r="F208" s="466">
        <f>SUM(F201:F207)</f>
        <v>181586303.30432189</v>
      </c>
    </row>
    <row r="209" spans="1:7" x14ac:dyDescent="0.2">
      <c r="A209" s="211"/>
      <c r="C209" s="212"/>
      <c r="D209" s="213"/>
      <c r="E209" s="214"/>
      <c r="F209" s="214"/>
    </row>
    <row r="210" spans="1:7" x14ac:dyDescent="0.2">
      <c r="A210" s="211"/>
      <c r="C210" s="212"/>
      <c r="D210" s="213"/>
      <c r="E210" s="214"/>
      <c r="F210" s="214"/>
    </row>
    <row r="211" spans="1:7" x14ac:dyDescent="0.2">
      <c r="B211" s="1" t="s">
        <v>112</v>
      </c>
      <c r="C211" s="389" t="s">
        <v>428</v>
      </c>
      <c r="D211" s="179"/>
      <c r="E211" s="179"/>
      <c r="F211" s="179"/>
    </row>
    <row r="212" spans="1:7" x14ac:dyDescent="0.2">
      <c r="C212" s="417" t="s">
        <v>162</v>
      </c>
      <c r="D212" s="485" t="s">
        <v>160</v>
      </c>
      <c r="E212" s="486" t="s">
        <v>161</v>
      </c>
    </row>
    <row r="213" spans="1:7" x14ac:dyDescent="0.2">
      <c r="C213" s="481" t="s">
        <v>63</v>
      </c>
      <c r="D213" s="502">
        <f>'Results Summary'!L40</f>
        <v>89396028.871380419</v>
      </c>
      <c r="E213" s="503">
        <f>'Results Summary'!F40</f>
        <v>181886514.06003579</v>
      </c>
    </row>
    <row r="214" spans="1:7" x14ac:dyDescent="0.2">
      <c r="C214" s="473" t="s">
        <v>114</v>
      </c>
      <c r="D214" s="209">
        <f>'Results Summary'!L41</f>
        <v>76224748.5</v>
      </c>
      <c r="E214" s="464">
        <f>'Results Summary'!F41</f>
        <v>60324974.444668889</v>
      </c>
    </row>
    <row r="215" spans="1:7" x14ac:dyDescent="0.2">
      <c r="C215" s="473" t="s">
        <v>163</v>
      </c>
      <c r="D215" s="209">
        <f>'Results Summary'!L42</f>
        <v>65064378.931380406</v>
      </c>
      <c r="E215" s="464">
        <f>'Results Summary'!F42</f>
        <v>157554864.12003583</v>
      </c>
    </row>
    <row r="216" spans="1:7" x14ac:dyDescent="0.2">
      <c r="C216" s="473" t="s">
        <v>165</v>
      </c>
      <c r="D216" s="195">
        <f>'Results Summary'!L43</f>
        <v>1.1727953273782257</v>
      </c>
      <c r="E216" s="467">
        <f>'Results Summary'!F43</f>
        <v>3.0151113321542349</v>
      </c>
    </row>
    <row r="217" spans="1:7" x14ac:dyDescent="0.2">
      <c r="C217" s="473" t="s">
        <v>71</v>
      </c>
      <c r="D217" s="195" t="str">
        <f>TEXT('Results Summary'!L44, "#.#") &amp; " years"</f>
        <v>9.8 years</v>
      </c>
      <c r="E217" s="467" t="str">
        <f>TEXT('Results Summary'!F44, "#.#") &amp; " years"</f>
        <v>6.8 years</v>
      </c>
    </row>
    <row r="218" spans="1:7" x14ac:dyDescent="0.2">
      <c r="C218" s="473" t="s">
        <v>164</v>
      </c>
      <c r="D218" s="210">
        <f>'Results Summary'!L45</f>
        <v>0.85358600994767997</v>
      </c>
      <c r="E218" s="468">
        <f>'Results Summary'!F45</f>
        <v>2.6117684353857102</v>
      </c>
    </row>
    <row r="219" spans="1:7" x14ac:dyDescent="0.2">
      <c r="C219" s="474" t="s">
        <v>166</v>
      </c>
      <c r="D219" s="771">
        <f>'Results Summary'!L46</f>
        <v>0.18328801761737168</v>
      </c>
      <c r="E219" s="772"/>
    </row>
    <row r="223" spans="1:7" x14ac:dyDescent="0.2">
      <c r="B223" s="1" t="s">
        <v>112</v>
      </c>
      <c r="C223" s="389" t="s">
        <v>429</v>
      </c>
    </row>
    <row r="224" spans="1:7" x14ac:dyDescent="0.2">
      <c r="C224" s="504" t="s">
        <v>167</v>
      </c>
      <c r="D224" s="415" t="s">
        <v>168</v>
      </c>
      <c r="E224" s="414" t="s">
        <v>186</v>
      </c>
      <c r="F224" s="414" t="s">
        <v>169</v>
      </c>
      <c r="G224" s="416" t="s">
        <v>432</v>
      </c>
    </row>
    <row r="225" spans="3:9" x14ac:dyDescent="0.2">
      <c r="C225" s="479" t="s">
        <v>430</v>
      </c>
      <c r="D225" s="480" t="s">
        <v>431</v>
      </c>
      <c r="E225" s="220">
        <v>155500000</v>
      </c>
      <c r="F225" s="221"/>
      <c r="G225" s="475">
        <v>3</v>
      </c>
      <c r="I225"/>
    </row>
    <row r="226" spans="3:9" x14ac:dyDescent="0.2">
      <c r="C226" s="473" t="s">
        <v>94</v>
      </c>
      <c r="D226" s="469" t="s">
        <v>455</v>
      </c>
      <c r="E226" s="209">
        <v>294500000</v>
      </c>
      <c r="F226" s="210">
        <v>1.89</v>
      </c>
      <c r="G226" s="467">
        <v>5</v>
      </c>
      <c r="I226"/>
    </row>
    <row r="227" spans="3:9" x14ac:dyDescent="0.2">
      <c r="C227" s="769" t="s">
        <v>64</v>
      </c>
      <c r="D227" s="469" t="s">
        <v>170</v>
      </c>
      <c r="E227" s="209">
        <v>69400000</v>
      </c>
      <c r="F227" s="210">
        <v>0.15</v>
      </c>
      <c r="G227" s="467">
        <v>2.6</v>
      </c>
      <c r="H227" s="47"/>
      <c r="I227"/>
    </row>
    <row r="228" spans="3:9" x14ac:dyDescent="0.2">
      <c r="C228" s="770"/>
      <c r="D228" s="469" t="s">
        <v>171</v>
      </c>
      <c r="E228" s="209">
        <v>513000000</v>
      </c>
      <c r="F228" s="210">
        <v>-0.18</v>
      </c>
      <c r="G228" s="467">
        <v>3.6</v>
      </c>
      <c r="H228" s="47"/>
      <c r="I228"/>
    </row>
    <row r="229" spans="3:9" x14ac:dyDescent="0.2">
      <c r="C229" s="769" t="s">
        <v>77</v>
      </c>
      <c r="D229" s="469" t="s">
        <v>480</v>
      </c>
      <c r="E229" s="209">
        <v>155700000</v>
      </c>
      <c r="F229" s="698">
        <v>1E-3</v>
      </c>
      <c r="G229" s="467">
        <v>3</v>
      </c>
    </row>
    <row r="230" spans="3:9" x14ac:dyDescent="0.2">
      <c r="C230" s="770"/>
      <c r="D230" s="469" t="s">
        <v>481</v>
      </c>
      <c r="E230" s="209">
        <v>155300000</v>
      </c>
      <c r="F230" s="698">
        <v>-1E-3</v>
      </c>
      <c r="G230" s="467">
        <v>3</v>
      </c>
    </row>
    <row r="231" spans="3:9" x14ac:dyDescent="0.2">
      <c r="C231" s="769" t="s">
        <v>454</v>
      </c>
      <c r="D231" s="469" t="s">
        <v>457</v>
      </c>
      <c r="E231" s="209">
        <v>312500000</v>
      </c>
      <c r="F231" s="210">
        <v>1.01</v>
      </c>
      <c r="G231" s="467">
        <v>5.6</v>
      </c>
    </row>
    <row r="232" spans="3:9" x14ac:dyDescent="0.2">
      <c r="C232" s="770"/>
      <c r="D232" s="469" t="s">
        <v>456</v>
      </c>
      <c r="E232" s="209">
        <v>97700000</v>
      </c>
      <c r="F232" s="210">
        <v>-0.37</v>
      </c>
      <c r="G232" s="467">
        <v>2.1</v>
      </c>
    </row>
    <row r="233" spans="3:9" x14ac:dyDescent="0.2">
      <c r="C233" s="769" t="s">
        <v>184</v>
      </c>
      <c r="D233" s="469" t="s">
        <v>434</v>
      </c>
      <c r="E233" s="209">
        <v>188900000</v>
      </c>
      <c r="F233" s="210">
        <v>0.21</v>
      </c>
      <c r="G233" s="467">
        <v>3.6</v>
      </c>
    </row>
    <row r="234" spans="3:9" x14ac:dyDescent="0.2">
      <c r="C234" s="783"/>
      <c r="D234" s="482" t="s">
        <v>433</v>
      </c>
      <c r="E234" s="476">
        <v>122200000</v>
      </c>
      <c r="F234" s="477">
        <v>-0.21</v>
      </c>
      <c r="G234" s="478">
        <v>2.5</v>
      </c>
    </row>
  </sheetData>
  <mergeCells count="46">
    <mergeCell ref="C23:C24"/>
    <mergeCell ref="D127:E127"/>
    <mergeCell ref="C115:F115"/>
    <mergeCell ref="C120:F120"/>
    <mergeCell ref="D4:D5"/>
    <mergeCell ref="F90:F91"/>
    <mergeCell ref="F116:F119"/>
    <mergeCell ref="C33:H33"/>
    <mergeCell ref="C36:H36"/>
    <mergeCell ref="C42:H42"/>
    <mergeCell ref="H56:H57"/>
    <mergeCell ref="H43:H50"/>
    <mergeCell ref="H68:H71"/>
    <mergeCell ref="C4:C5"/>
    <mergeCell ref="C8:C9"/>
    <mergeCell ref="D23:D24"/>
    <mergeCell ref="C27:C28"/>
    <mergeCell ref="I98:I99"/>
    <mergeCell ref="H59:H66"/>
    <mergeCell ref="C67:H67"/>
    <mergeCell ref="C72:H72"/>
    <mergeCell ref="H73:H76"/>
    <mergeCell ref="H34:H35"/>
    <mergeCell ref="C233:C234"/>
    <mergeCell ref="C227:C228"/>
    <mergeCell ref="C39:H39"/>
    <mergeCell ref="H40:H41"/>
    <mergeCell ref="C229:C230"/>
    <mergeCell ref="C55:H55"/>
    <mergeCell ref="C58:H58"/>
    <mergeCell ref="D166:F166"/>
    <mergeCell ref="G166:I166"/>
    <mergeCell ref="C201:C202"/>
    <mergeCell ref="C204:C205"/>
    <mergeCell ref="D148:E148"/>
    <mergeCell ref="F121:F124"/>
    <mergeCell ref="D102:E102"/>
    <mergeCell ref="F111:F113"/>
    <mergeCell ref="F137:F140"/>
    <mergeCell ref="C231:C232"/>
    <mergeCell ref="D219:E219"/>
    <mergeCell ref="D192:E192"/>
    <mergeCell ref="F86:F87"/>
    <mergeCell ref="C206:C207"/>
    <mergeCell ref="C166:C167"/>
    <mergeCell ref="F141:F144"/>
  </mergeCells>
  <pageMargins left="0.7" right="0.7" top="0.75" bottom="0.75" header="0.3" footer="0.3"/>
  <pageSetup orientation="portrait" horizontalDpi="90" verticalDpi="90" r:id="rId1"/>
  <ignoredErrors>
    <ignoredError sqref="D74 D6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9D706-1525-4014-A332-80125F7C9569}">
  <sheetPr>
    <tabColor theme="9"/>
  </sheetPr>
  <dimension ref="A2:AR97"/>
  <sheetViews>
    <sheetView showGridLines="0" zoomScale="85" zoomScaleNormal="85" workbookViewId="0">
      <selection activeCell="G9" sqref="G9"/>
    </sheetView>
  </sheetViews>
  <sheetFormatPr defaultColWidth="10.625" defaultRowHeight="21.95" customHeight="1" x14ac:dyDescent="0.2"/>
  <cols>
    <col min="1" max="1" width="3.375" customWidth="1"/>
    <col min="2" max="2" width="54.375" customWidth="1"/>
    <col min="3" max="4" width="16.75" customWidth="1"/>
    <col min="5" max="5" width="14.375" style="12" customWidth="1"/>
    <col min="6" max="6" width="14.75" style="12" customWidth="1"/>
    <col min="7" max="7" width="14.625" style="12" customWidth="1"/>
    <col min="8" max="8" width="14.25" style="12" customWidth="1"/>
    <col min="9" max="10" width="14.75" style="12" customWidth="1"/>
    <col min="11" max="11" width="14.875" style="12" customWidth="1"/>
    <col min="12" max="12" width="14.75" style="12" customWidth="1"/>
    <col min="13" max="15" width="14.5" style="12" customWidth="1"/>
    <col min="16" max="16" width="14.25" style="12" customWidth="1"/>
    <col min="17" max="17" width="14.75" style="12" customWidth="1"/>
    <col min="18" max="18" width="14.125" style="12" customWidth="1"/>
    <col min="19" max="20" width="14.25" style="12" customWidth="1"/>
    <col min="21" max="21" width="14.375" style="12" customWidth="1"/>
    <col min="22" max="22" width="15.75" style="12" customWidth="1"/>
    <col min="23" max="24" width="15.5" style="12" customWidth="1"/>
    <col min="25" max="25" width="15.375" style="12" customWidth="1"/>
    <col min="26" max="26" width="14.25" style="12" customWidth="1"/>
    <col min="27" max="27" width="14.375" style="12" customWidth="1"/>
    <col min="28" max="28" width="15.625" style="12" customWidth="1"/>
    <col min="29" max="29" width="14.25" customWidth="1"/>
    <col min="30" max="31" width="14.625" customWidth="1"/>
    <col min="32" max="39" width="12.25" customWidth="1"/>
  </cols>
  <sheetData>
    <row r="2" spans="1:28" ht="23.25" x14ac:dyDescent="0.2">
      <c r="B2" s="242" t="s">
        <v>8</v>
      </c>
      <c r="C2" s="111"/>
      <c r="D2" s="111"/>
    </row>
    <row r="4" spans="1:28" ht="21.95" customHeight="1" x14ac:dyDescent="0.2">
      <c r="A4" s="505"/>
      <c r="B4" s="506" t="s">
        <v>0</v>
      </c>
    </row>
    <row r="5" spans="1:28" ht="21.95" customHeight="1" x14ac:dyDescent="0.2">
      <c r="A5" s="14"/>
      <c r="B5" s="15"/>
      <c r="C5" s="15"/>
      <c r="D5" s="15"/>
    </row>
    <row r="6" spans="1:28" ht="21.95" customHeight="1" x14ac:dyDescent="0.2">
      <c r="A6" s="14"/>
      <c r="B6" s="349" t="s">
        <v>214</v>
      </c>
      <c r="E6"/>
      <c r="F6"/>
      <c r="G6" s="2"/>
      <c r="H6" s="2"/>
      <c r="M6"/>
      <c r="N6"/>
      <c r="O6"/>
    </row>
    <row r="7" spans="1:28" ht="21.6" customHeight="1" x14ac:dyDescent="0.2">
      <c r="B7" s="811" t="s">
        <v>30</v>
      </c>
      <c r="C7" s="514"/>
      <c r="D7" s="514"/>
      <c r="E7" s="813" t="s">
        <v>74</v>
      </c>
      <c r="F7" s="809" t="s">
        <v>249</v>
      </c>
      <c r="G7" s="809"/>
      <c r="H7" s="815" t="s">
        <v>248</v>
      </c>
      <c r="I7" s="809" t="s">
        <v>328</v>
      </c>
      <c r="J7" s="809"/>
      <c r="K7" s="809" t="s">
        <v>329</v>
      </c>
      <c r="L7" s="810"/>
      <c r="M7"/>
      <c r="N7"/>
      <c r="O7"/>
      <c r="AB7"/>
    </row>
    <row r="8" spans="1:28" s="4" customFormat="1" ht="21.95" customHeight="1" x14ac:dyDescent="0.2">
      <c r="A8"/>
      <c r="B8" s="812"/>
      <c r="C8" s="543"/>
      <c r="D8" s="543"/>
      <c r="E8" s="814" t="s">
        <v>21</v>
      </c>
      <c r="F8" s="545">
        <v>2022</v>
      </c>
      <c r="G8" s="545">
        <v>2052</v>
      </c>
      <c r="H8" s="816"/>
      <c r="I8" s="545">
        <v>2022</v>
      </c>
      <c r="J8" s="545">
        <v>2047</v>
      </c>
      <c r="K8" s="545">
        <v>2022</v>
      </c>
      <c r="L8" s="546">
        <v>2047</v>
      </c>
      <c r="M8"/>
      <c r="N8"/>
      <c r="O8"/>
      <c r="T8" s="13"/>
      <c r="U8" s="13"/>
      <c r="V8" s="13"/>
      <c r="W8" s="13"/>
      <c r="X8" s="13"/>
      <c r="Y8" s="13"/>
      <c r="Z8" s="13"/>
      <c r="AA8" s="13"/>
    </row>
    <row r="9" spans="1:28" ht="21.95" customHeight="1" x14ac:dyDescent="0.2">
      <c r="B9" s="277" t="s">
        <v>9</v>
      </c>
      <c r="C9" s="143"/>
      <c r="D9" s="143"/>
      <c r="E9" s="143" t="s">
        <v>503</v>
      </c>
      <c r="F9" s="216">
        <f>Inputs!$E$39</f>
        <v>52600</v>
      </c>
      <c r="G9" s="216">
        <f>Inputs!$E$40</f>
        <v>84042.925278219467</v>
      </c>
      <c r="H9" s="383">
        <f>Inputs!$E$45</f>
        <v>6.2</v>
      </c>
      <c r="I9" s="215">
        <f>Speed!N47</f>
        <v>72.017436974789902</v>
      </c>
      <c r="J9" s="215">
        <f>Speed!O47</f>
        <v>70</v>
      </c>
      <c r="K9" s="215">
        <f>Speed!P47</f>
        <v>72.017436974789902</v>
      </c>
      <c r="L9" s="507">
        <f>Speed!Q47</f>
        <v>72.017436974789902</v>
      </c>
      <c r="M9"/>
      <c r="N9"/>
      <c r="O9"/>
      <c r="P9" s="51"/>
      <c r="Q9" s="63"/>
      <c r="R9" s="168"/>
      <c r="S9" s="169"/>
      <c r="AB9"/>
    </row>
    <row r="10" spans="1:28" ht="21.95" customHeight="1" x14ac:dyDescent="0.2">
      <c r="B10" s="277"/>
      <c r="C10" s="143"/>
      <c r="D10" s="143"/>
      <c r="E10" s="143"/>
      <c r="F10" s="216"/>
      <c r="G10" s="216"/>
      <c r="H10" s="508"/>
      <c r="I10" s="508"/>
      <c r="J10" s="508"/>
      <c r="K10" s="508"/>
      <c r="L10" s="509"/>
      <c r="M10"/>
      <c r="N10"/>
      <c r="O10"/>
      <c r="P10"/>
      <c r="Q10"/>
      <c r="R10"/>
      <c r="S10"/>
      <c r="AB10"/>
    </row>
    <row r="11" spans="1:28" ht="21.95" customHeight="1" x14ac:dyDescent="0.2">
      <c r="B11" s="277"/>
      <c r="C11" s="143"/>
      <c r="D11" s="143"/>
      <c r="E11" s="143"/>
      <c r="F11" s="216"/>
      <c r="G11" s="216"/>
      <c r="H11" s="383"/>
      <c r="I11" s="215"/>
      <c r="J11" s="215"/>
      <c r="K11" s="215"/>
      <c r="L11" s="507"/>
      <c r="M11"/>
      <c r="N11"/>
      <c r="O11"/>
      <c r="Q11" s="120"/>
      <c r="AB11"/>
    </row>
    <row r="12" spans="1:28" ht="21.95" customHeight="1" x14ac:dyDescent="0.2">
      <c r="B12" s="280"/>
      <c r="C12" s="152"/>
      <c r="D12" s="152"/>
      <c r="E12" s="152"/>
      <c r="F12" s="217"/>
      <c r="G12" s="217"/>
      <c r="H12" s="218"/>
      <c r="I12" s="218"/>
      <c r="J12" s="218"/>
      <c r="K12" s="218"/>
      <c r="L12" s="510"/>
      <c r="M12"/>
      <c r="N12"/>
      <c r="O12"/>
      <c r="Q12" s="120"/>
      <c r="AB12"/>
    </row>
    <row r="13" spans="1:28" ht="21.95" customHeight="1" x14ac:dyDescent="0.2">
      <c r="B13" s="277" t="s">
        <v>10</v>
      </c>
      <c r="C13" s="143"/>
      <c r="D13" s="143"/>
      <c r="E13" s="143" t="s">
        <v>503</v>
      </c>
      <c r="F13" s="216">
        <f>F9</f>
        <v>52600</v>
      </c>
      <c r="G13" s="216">
        <f>G9</f>
        <v>84042.925278219467</v>
      </c>
      <c r="H13" s="383">
        <f>H9</f>
        <v>6.2</v>
      </c>
      <c r="I13" s="215">
        <f>Speed!N49</f>
        <v>75</v>
      </c>
      <c r="J13" s="215">
        <f>Speed!O49</f>
        <v>75</v>
      </c>
      <c r="K13" s="215">
        <f>Speed!P49</f>
        <v>74.999996966827439</v>
      </c>
      <c r="L13" s="507">
        <f>Speed!Q49</f>
        <v>75</v>
      </c>
      <c r="M13"/>
      <c r="N13"/>
      <c r="O13"/>
      <c r="AB13"/>
    </row>
    <row r="14" spans="1:28" ht="21.95" customHeight="1" x14ac:dyDescent="0.2">
      <c r="B14" s="277"/>
      <c r="C14" s="143"/>
      <c r="D14" s="143"/>
      <c r="E14" s="143"/>
      <c r="F14" s="216"/>
      <c r="G14" s="216"/>
      <c r="H14" s="508"/>
      <c r="I14" s="508"/>
      <c r="J14" s="508"/>
      <c r="K14" s="508"/>
      <c r="L14" s="509"/>
      <c r="M14"/>
      <c r="N14"/>
      <c r="O14"/>
      <c r="AB14"/>
    </row>
    <row r="15" spans="1:28" ht="21.95" customHeight="1" x14ac:dyDescent="0.2">
      <c r="B15" s="277"/>
      <c r="C15" s="143"/>
      <c r="D15" s="143"/>
      <c r="E15" s="143"/>
      <c r="F15" s="216"/>
      <c r="G15" s="216"/>
      <c r="H15" s="383"/>
      <c r="I15" s="215"/>
      <c r="J15" s="215"/>
      <c r="K15" s="215"/>
      <c r="L15" s="507"/>
      <c r="M15"/>
      <c r="N15"/>
      <c r="O15"/>
      <c r="AB15"/>
    </row>
    <row r="16" spans="1:28" ht="21.95" customHeight="1" x14ac:dyDescent="0.2">
      <c r="B16" s="290"/>
      <c r="C16" s="291"/>
      <c r="D16" s="291"/>
      <c r="E16" s="291"/>
      <c r="F16" s="511"/>
      <c r="G16" s="511"/>
      <c r="H16" s="512"/>
      <c r="I16" s="512"/>
      <c r="J16" s="512"/>
      <c r="K16" s="512"/>
      <c r="L16" s="513"/>
      <c r="M16"/>
      <c r="N16"/>
      <c r="O16"/>
      <c r="P16"/>
      <c r="Q16"/>
      <c r="AB16"/>
    </row>
    <row r="17" spans="2:44" ht="21.95" customHeight="1" x14ac:dyDescent="0.2">
      <c r="B17" s="122" t="s">
        <v>347</v>
      </c>
      <c r="C17" s="9"/>
      <c r="D17" s="9"/>
      <c r="M17"/>
      <c r="N17"/>
      <c r="O17"/>
      <c r="P17"/>
      <c r="Q17"/>
      <c r="R17"/>
    </row>
    <row r="18" spans="2:44" ht="21.95" customHeight="1" x14ac:dyDescent="0.2">
      <c r="B18" s="9" t="s">
        <v>444</v>
      </c>
      <c r="K18" s="63"/>
      <c r="N18"/>
      <c r="P18"/>
      <c r="Q18"/>
      <c r="R18"/>
    </row>
    <row r="19" spans="2:44" ht="21.95" customHeight="1" x14ac:dyDescent="0.2">
      <c r="B19" s="9" t="s">
        <v>443</v>
      </c>
      <c r="K19" s="63"/>
      <c r="N19"/>
      <c r="P19"/>
      <c r="Q19"/>
      <c r="R19"/>
    </row>
    <row r="20" spans="2:44" ht="21.95" customHeight="1" x14ac:dyDescent="0.2">
      <c r="B20" s="9"/>
      <c r="K20" s="63"/>
      <c r="N20"/>
      <c r="P20"/>
      <c r="Q20"/>
      <c r="R20"/>
    </row>
    <row r="21" spans="2:44" ht="21.95" customHeight="1" x14ac:dyDescent="0.2">
      <c r="B21" s="349" t="s">
        <v>204</v>
      </c>
      <c r="E21"/>
      <c r="K21" s="63"/>
      <c r="N21"/>
      <c r="P21"/>
      <c r="Q21"/>
      <c r="R21"/>
      <c r="AR21">
        <f>AE30/365</f>
        <v>77728.793095308574</v>
      </c>
    </row>
    <row r="22" spans="2:44" ht="21.95" customHeight="1" x14ac:dyDescent="0.2">
      <c r="B22" s="411" t="s">
        <v>1</v>
      </c>
      <c r="C22" s="410"/>
      <c r="D22" s="410"/>
      <c r="E22" s="410" t="s">
        <v>2</v>
      </c>
      <c r="F22" s="547" t="s">
        <v>3</v>
      </c>
      <c r="G22"/>
      <c r="K22" s="63"/>
      <c r="N22"/>
      <c r="P22"/>
      <c r="Q22"/>
      <c r="R22"/>
    </row>
    <row r="23" spans="2:44" ht="21.95" customHeight="1" x14ac:dyDescent="0.2">
      <c r="B23" s="277" t="s">
        <v>210</v>
      </c>
      <c r="C23" s="365"/>
      <c r="D23" s="365"/>
      <c r="E23" s="365" t="s">
        <v>179</v>
      </c>
      <c r="F23" s="516">
        <f>Inputs!$H$18</f>
        <v>2</v>
      </c>
      <c r="G23"/>
      <c r="K23" s="63"/>
      <c r="N23"/>
      <c r="P23"/>
      <c r="Q23"/>
      <c r="R23"/>
    </row>
    <row r="24" spans="2:44" ht="21.95" customHeight="1" x14ac:dyDescent="0.2">
      <c r="B24" s="280" t="s">
        <v>211</v>
      </c>
      <c r="C24" s="353"/>
      <c r="D24" s="353"/>
      <c r="E24" s="353" t="s">
        <v>179</v>
      </c>
      <c r="F24" s="517">
        <f>Inputs!$H$19</f>
        <v>2</v>
      </c>
      <c r="G24"/>
      <c r="K24" s="63"/>
      <c r="N24"/>
      <c r="P24"/>
      <c r="Q24"/>
      <c r="R24"/>
    </row>
    <row r="25" spans="2:44" ht="21.95" customHeight="1" x14ac:dyDescent="0.2">
      <c r="B25" s="518" t="s">
        <v>202</v>
      </c>
      <c r="C25" s="519"/>
      <c r="D25" s="519"/>
      <c r="E25" s="519" t="s">
        <v>178</v>
      </c>
      <c r="F25" s="520">
        <f>Inputs!$H$21</f>
        <v>0.32800000000000001</v>
      </c>
      <c r="G25"/>
      <c r="K25" s="63"/>
      <c r="N25"/>
      <c r="P25"/>
      <c r="Q25"/>
      <c r="R25"/>
    </row>
    <row r="26" spans="2:44" ht="21.95" customHeight="1" x14ac:dyDescent="0.2">
      <c r="B26" s="12"/>
      <c r="C26" s="12"/>
      <c r="D26" s="12"/>
      <c r="F26" s="120"/>
      <c r="G26"/>
      <c r="K26" s="63"/>
      <c r="N26"/>
      <c r="P26"/>
      <c r="Q26"/>
      <c r="R26"/>
    </row>
    <row r="27" spans="2:44" ht="21.95" customHeight="1" x14ac:dyDescent="0.2">
      <c r="B27" s="12"/>
      <c r="C27" s="12"/>
      <c r="D27" s="12"/>
      <c r="F27" s="120"/>
      <c r="G27"/>
      <c r="K27" s="63"/>
      <c r="N27"/>
      <c r="P27"/>
      <c r="Q27"/>
      <c r="R27"/>
    </row>
    <row r="28" spans="2:44" ht="21.95" customHeight="1" x14ac:dyDescent="0.2">
      <c r="B28" s="349" t="s">
        <v>77</v>
      </c>
      <c r="C28" s="12"/>
      <c r="D28" s="12"/>
      <c r="F28" s="120"/>
      <c r="G28"/>
      <c r="K28" s="63"/>
      <c r="N28"/>
      <c r="P28"/>
      <c r="Q28"/>
      <c r="R28"/>
    </row>
    <row r="29" spans="2:44" s="7" customFormat="1" ht="21.95" customHeight="1" x14ac:dyDescent="0.2">
      <c r="B29" s="411"/>
      <c r="C29" s="410" t="s">
        <v>2</v>
      </c>
      <c r="D29" s="410" t="s">
        <v>320</v>
      </c>
      <c r="E29" s="410" t="s">
        <v>74</v>
      </c>
      <c r="F29" s="347" cm="1">
        <f t="array" ref="F29:AE29">year</f>
        <v>2022</v>
      </c>
      <c r="G29" s="347">
        <v>2023</v>
      </c>
      <c r="H29" s="347">
        <v>2024</v>
      </c>
      <c r="I29" s="347">
        <v>2025</v>
      </c>
      <c r="J29" s="347">
        <v>2026</v>
      </c>
      <c r="K29" s="347">
        <v>2027</v>
      </c>
      <c r="L29" s="347">
        <v>2028</v>
      </c>
      <c r="M29" s="347">
        <v>2029</v>
      </c>
      <c r="N29" s="347">
        <v>2030</v>
      </c>
      <c r="O29" s="347">
        <v>2031</v>
      </c>
      <c r="P29" s="347">
        <v>2032</v>
      </c>
      <c r="Q29" s="347">
        <v>2033</v>
      </c>
      <c r="R29" s="347">
        <v>2034</v>
      </c>
      <c r="S29" s="347">
        <v>2035</v>
      </c>
      <c r="T29" s="347">
        <v>2036</v>
      </c>
      <c r="U29" s="347">
        <v>2037</v>
      </c>
      <c r="V29" s="347">
        <v>2038</v>
      </c>
      <c r="W29" s="347">
        <v>2039</v>
      </c>
      <c r="X29" s="347">
        <v>2040</v>
      </c>
      <c r="Y29" s="347">
        <v>2041</v>
      </c>
      <c r="Z29" s="347">
        <v>2042</v>
      </c>
      <c r="AA29" s="347">
        <v>2043</v>
      </c>
      <c r="AB29" s="347">
        <v>2044</v>
      </c>
      <c r="AC29" s="347">
        <v>2045</v>
      </c>
      <c r="AD29" s="347">
        <v>2046</v>
      </c>
      <c r="AE29" s="348">
        <v>2047</v>
      </c>
      <c r="AF29" s="33"/>
      <c r="AG29" s="33"/>
      <c r="AH29" s="33"/>
      <c r="AI29" s="33"/>
      <c r="AJ29" s="33"/>
      <c r="AK29" s="33"/>
      <c r="AL29" s="33"/>
    </row>
    <row r="30" spans="2:44" ht="21.95" customHeight="1" x14ac:dyDescent="0.2">
      <c r="B30" s="521" t="s">
        <v>319</v>
      </c>
      <c r="C30" s="383" t="s">
        <v>78</v>
      </c>
      <c r="D30" s="383"/>
      <c r="E30" s="143" t="s">
        <v>503</v>
      </c>
      <c r="F30" s="522" cm="1">
        <f t="array" ref="F30:AE30">GROWTH(F9:G9, $F$8:$G$8, year)*365</f>
        <v>19198999.999999996</v>
      </c>
      <c r="G30" s="522">
        <v>19501250.267644025</v>
      </c>
      <c r="H30" s="522">
        <v>19808258.867716286</v>
      </c>
      <c r="I30" s="522">
        <v>20120100.710746102</v>
      </c>
      <c r="J30" s="522">
        <v>20436851.886580672</v>
      </c>
      <c r="K30" s="522">
        <v>20758589.682951335</v>
      </c>
      <c r="L30" s="522">
        <v>21085392.604331862</v>
      </c>
      <c r="M30" s="522">
        <v>21417340.391093608</v>
      </c>
      <c r="N30" s="522">
        <v>21754514.038962238</v>
      </c>
      <c r="O30" s="522">
        <v>22096995.818781093</v>
      </c>
      <c r="P30" s="522">
        <v>22444869.296584915</v>
      </c>
      <c r="Q30" s="522">
        <v>22798219.35399041</v>
      </c>
      <c r="R30" s="522">
        <v>23157132.208907381</v>
      </c>
      <c r="S30" s="522">
        <v>23521695.436575949</v>
      </c>
      <c r="T30" s="522">
        <v>23891997.990935367</v>
      </c>
      <c r="U30" s="522">
        <v>24268130.226328403</v>
      </c>
      <c r="V30" s="522">
        <v>24650183.919548251</v>
      </c>
      <c r="W30" s="522">
        <v>25038252.292232145</v>
      </c>
      <c r="X30" s="522">
        <v>25432430.033607434</v>
      </c>
      <c r="Y30" s="522">
        <v>25832813.323596284</v>
      </c>
      <c r="Z30" s="522">
        <v>26239499.856283151</v>
      </c>
      <c r="AA30" s="522">
        <v>26652588.863752663</v>
      </c>
      <c r="AB30" s="522">
        <v>27072181.140302256</v>
      </c>
      <c r="AC30" s="522">
        <v>27498379.067036148</v>
      </c>
      <c r="AD30" s="522">
        <v>27931286.636846386</v>
      </c>
      <c r="AE30" s="523">
        <v>28371009.479787629</v>
      </c>
      <c r="AF30" s="5"/>
      <c r="AG30" s="5"/>
      <c r="AH30" s="5"/>
      <c r="AI30" s="5"/>
      <c r="AJ30" s="5"/>
      <c r="AK30" s="5"/>
      <c r="AL30" s="5"/>
    </row>
    <row r="31" spans="2:44" ht="21.95" customHeight="1" x14ac:dyDescent="0.2">
      <c r="B31" s="524" t="s">
        <v>376</v>
      </c>
      <c r="C31" s="525"/>
      <c r="D31" s="525"/>
      <c r="E31" s="143"/>
      <c r="F31" s="522"/>
      <c r="G31" s="522"/>
      <c r="H31" s="522"/>
      <c r="I31" s="522"/>
      <c r="J31" s="522"/>
      <c r="K31" s="522"/>
      <c r="L31" s="522"/>
      <c r="M31" s="522"/>
      <c r="N31" s="522"/>
      <c r="O31" s="522"/>
      <c r="P31" s="522"/>
      <c r="Q31" s="522"/>
      <c r="R31" s="522"/>
      <c r="S31" s="522"/>
      <c r="T31" s="522"/>
      <c r="U31" s="522"/>
      <c r="V31" s="522"/>
      <c r="W31" s="522"/>
      <c r="X31" s="522"/>
      <c r="Y31" s="522"/>
      <c r="Z31" s="522"/>
      <c r="AA31" s="522"/>
      <c r="AB31" s="522"/>
      <c r="AC31" s="522"/>
      <c r="AD31" s="522"/>
      <c r="AE31" s="523"/>
      <c r="AF31" s="5"/>
      <c r="AG31" s="5"/>
      <c r="AH31" s="5"/>
      <c r="AI31" s="5"/>
      <c r="AJ31" s="5"/>
      <c r="AK31" s="5"/>
      <c r="AL31" s="5"/>
    </row>
    <row r="32" spans="2:44" ht="21.95" customHeight="1" x14ac:dyDescent="0.2">
      <c r="B32" s="524"/>
      <c r="C32" s="525"/>
      <c r="D32" s="525"/>
      <c r="E32" s="143"/>
      <c r="F32" s="526"/>
      <c r="G32" s="522"/>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3"/>
      <c r="AF32" s="5"/>
      <c r="AG32" s="5"/>
      <c r="AH32" s="5"/>
      <c r="AI32" s="5"/>
      <c r="AJ32" s="5"/>
      <c r="AK32" s="5"/>
      <c r="AL32" s="5"/>
    </row>
    <row r="33" spans="1:38" ht="21.95" customHeight="1" x14ac:dyDescent="0.2">
      <c r="B33" s="524"/>
      <c r="C33" s="525"/>
      <c r="D33" s="525"/>
      <c r="E33" s="152"/>
      <c r="F33" s="522"/>
      <c r="G33" s="522"/>
      <c r="H33" s="522"/>
      <c r="I33" s="522"/>
      <c r="J33" s="522"/>
      <c r="K33" s="522"/>
      <c r="L33" s="522"/>
      <c r="M33" s="522"/>
      <c r="N33" s="522"/>
      <c r="O33" s="522"/>
      <c r="P33" s="522"/>
      <c r="Q33" s="522"/>
      <c r="R33" s="522"/>
      <c r="S33" s="522"/>
      <c r="T33" s="522"/>
      <c r="U33" s="522"/>
      <c r="V33" s="522"/>
      <c r="W33" s="522"/>
      <c r="X33" s="522"/>
      <c r="Y33" s="522"/>
      <c r="Z33" s="522"/>
      <c r="AA33" s="522"/>
      <c r="AB33" s="522"/>
      <c r="AC33" s="522"/>
      <c r="AD33" s="522"/>
      <c r="AE33" s="523"/>
      <c r="AF33" s="5"/>
      <c r="AG33" s="5"/>
      <c r="AH33" s="5"/>
      <c r="AI33" s="5"/>
      <c r="AJ33" s="5"/>
      <c r="AK33" s="5"/>
      <c r="AL33" s="5"/>
    </row>
    <row r="34" spans="1:38" ht="21.95" customHeight="1" x14ac:dyDescent="0.2">
      <c r="B34" s="280"/>
      <c r="C34" s="152"/>
      <c r="D34" s="152"/>
      <c r="E34" s="153" t="s">
        <v>28</v>
      </c>
      <c r="F34" s="527" cm="1">
        <f t="array" ref="F34:AE34">_xlfn.ANCHORARRAY(F30)</f>
        <v>19198999.999999996</v>
      </c>
      <c r="G34" s="527">
        <v>19501250.267644025</v>
      </c>
      <c r="H34" s="527">
        <v>19808258.867716286</v>
      </c>
      <c r="I34" s="527">
        <v>20120100.710746102</v>
      </c>
      <c r="J34" s="527">
        <v>20436851.886580672</v>
      </c>
      <c r="K34" s="527">
        <v>20758589.682951335</v>
      </c>
      <c r="L34" s="527">
        <v>21085392.604331862</v>
      </c>
      <c r="M34" s="527">
        <v>21417340.391093608</v>
      </c>
      <c r="N34" s="527">
        <v>21754514.038962238</v>
      </c>
      <c r="O34" s="527">
        <v>22096995.818781093</v>
      </c>
      <c r="P34" s="527">
        <v>22444869.296584915</v>
      </c>
      <c r="Q34" s="527">
        <v>22798219.35399041</v>
      </c>
      <c r="R34" s="527">
        <v>23157132.208907381</v>
      </c>
      <c r="S34" s="527">
        <v>23521695.436575949</v>
      </c>
      <c r="T34" s="527">
        <v>23891997.990935367</v>
      </c>
      <c r="U34" s="527">
        <v>24268130.226328403</v>
      </c>
      <c r="V34" s="527">
        <v>24650183.919548251</v>
      </c>
      <c r="W34" s="527">
        <v>25038252.292232145</v>
      </c>
      <c r="X34" s="527">
        <v>25432430.033607434</v>
      </c>
      <c r="Y34" s="527">
        <v>25832813.323596284</v>
      </c>
      <c r="Z34" s="527">
        <v>26239499.856283151</v>
      </c>
      <c r="AA34" s="527">
        <v>26652588.863752663</v>
      </c>
      <c r="AB34" s="527">
        <v>27072181.140302256</v>
      </c>
      <c r="AC34" s="527">
        <v>27498379.067036148</v>
      </c>
      <c r="AD34" s="527">
        <v>27931286.636846386</v>
      </c>
      <c r="AE34" s="528">
        <v>28371009.479787629</v>
      </c>
      <c r="AF34" s="57"/>
      <c r="AG34" s="57"/>
      <c r="AH34" s="57"/>
      <c r="AI34" s="57"/>
      <c r="AJ34" s="57"/>
      <c r="AK34" s="57"/>
      <c r="AL34" s="57"/>
    </row>
    <row r="35" spans="1:38" ht="21.95" customHeight="1" x14ac:dyDescent="0.2">
      <c r="B35" s="521" t="s">
        <v>323</v>
      </c>
      <c r="C35" s="383" t="s">
        <v>78</v>
      </c>
      <c r="D35" s="529" t="s">
        <v>321</v>
      </c>
      <c r="E35" s="143" t="s">
        <v>503</v>
      </c>
      <c r="F35" s="522" cm="1">
        <f t="array" ref="F35:AE35">_xlfn.ANCHORARRAY(F30) * percentPeak</f>
        <v>6297271.9999999991</v>
      </c>
      <c r="G35" s="522">
        <v>6396410.0877872407</v>
      </c>
      <c r="H35" s="522">
        <v>6497108.9086109418</v>
      </c>
      <c r="I35" s="522">
        <v>6599393.0331247216</v>
      </c>
      <c r="J35" s="522">
        <v>6703287.4187984606</v>
      </c>
      <c r="K35" s="522">
        <v>6808817.4160080384</v>
      </c>
      <c r="L35" s="522">
        <v>6916008.7742208512</v>
      </c>
      <c r="M35" s="522">
        <v>7024887.6482787039</v>
      </c>
      <c r="N35" s="522">
        <v>7135480.6047796141</v>
      </c>
      <c r="O35" s="522">
        <v>7247814.6285601985</v>
      </c>
      <c r="P35" s="522">
        <v>7361917.1292798528</v>
      </c>
      <c r="Q35" s="522">
        <v>7477815.9481088547</v>
      </c>
      <c r="R35" s="522">
        <v>7595539.3645216208</v>
      </c>
      <c r="S35" s="522">
        <v>7715116.1031969115</v>
      </c>
      <c r="T35" s="522">
        <v>7836575.3410268007</v>
      </c>
      <c r="U35" s="522">
        <v>7959946.7142357165</v>
      </c>
      <c r="V35" s="522">
        <v>8085260.325611827</v>
      </c>
      <c r="W35" s="522">
        <v>8212546.7518521436</v>
      </c>
      <c r="X35" s="522">
        <v>8341837.0510232393</v>
      </c>
      <c r="Y35" s="522">
        <v>8473162.7701395806</v>
      </c>
      <c r="Z35" s="522">
        <v>8606555.9528608732</v>
      </c>
      <c r="AA35" s="522">
        <v>8742049.1473108735</v>
      </c>
      <c r="AB35" s="522">
        <v>8879675.4140191395</v>
      </c>
      <c r="AC35" s="522">
        <v>9019468.3339878563</v>
      </c>
      <c r="AD35" s="522">
        <v>9161462.0168856159</v>
      </c>
      <c r="AE35" s="523">
        <v>9305691.1093703434</v>
      </c>
      <c r="AF35" s="5"/>
      <c r="AG35" s="5"/>
      <c r="AH35" s="5"/>
      <c r="AI35" s="5"/>
      <c r="AJ35" s="5"/>
      <c r="AK35" s="5"/>
      <c r="AL35" s="5"/>
    </row>
    <row r="36" spans="1:38" ht="21.95" customHeight="1" x14ac:dyDescent="0.2">
      <c r="B36" s="530" t="s">
        <v>324</v>
      </c>
      <c r="C36" s="525"/>
      <c r="D36" s="531"/>
      <c r="E36" s="143"/>
      <c r="F36" s="522"/>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3"/>
      <c r="AF36" s="5"/>
      <c r="AG36" s="5"/>
      <c r="AH36" s="5"/>
      <c r="AI36" s="5"/>
      <c r="AJ36" s="5"/>
      <c r="AK36" s="5"/>
      <c r="AL36" s="5"/>
    </row>
    <row r="37" spans="1:38" ht="21.95" customHeight="1" x14ac:dyDescent="0.2">
      <c r="B37" s="524"/>
      <c r="C37" s="525"/>
      <c r="D37" s="531"/>
      <c r="E37" s="143"/>
      <c r="F37" s="526"/>
      <c r="G37" s="522"/>
      <c r="H37" s="522"/>
      <c r="I37" s="522"/>
      <c r="J37" s="522"/>
      <c r="K37" s="522"/>
      <c r="L37" s="522"/>
      <c r="M37" s="522"/>
      <c r="N37" s="522"/>
      <c r="O37" s="522"/>
      <c r="P37" s="522"/>
      <c r="Q37" s="522"/>
      <c r="R37" s="522"/>
      <c r="S37" s="522"/>
      <c r="T37" s="522"/>
      <c r="U37" s="522"/>
      <c r="V37" s="522"/>
      <c r="W37" s="522"/>
      <c r="X37" s="522"/>
      <c r="Y37" s="522"/>
      <c r="Z37" s="522"/>
      <c r="AA37" s="522"/>
      <c r="AB37" s="522"/>
      <c r="AC37" s="522"/>
      <c r="AD37" s="522"/>
      <c r="AE37" s="523"/>
      <c r="AF37" s="5"/>
      <c r="AG37" s="5"/>
      <c r="AH37" s="5"/>
      <c r="AI37" s="5"/>
      <c r="AJ37" s="5"/>
      <c r="AK37" s="5"/>
      <c r="AL37" s="5"/>
    </row>
    <row r="38" spans="1:38" ht="21.95" customHeight="1" x14ac:dyDescent="0.2">
      <c r="B38" s="277"/>
      <c r="C38" s="143"/>
      <c r="D38" s="531"/>
      <c r="E38" s="152"/>
      <c r="F38" s="522"/>
      <c r="G38" s="522"/>
      <c r="H38" s="522"/>
      <c r="I38" s="522"/>
      <c r="J38" s="522"/>
      <c r="K38" s="522"/>
      <c r="L38" s="522"/>
      <c r="M38" s="522"/>
      <c r="N38" s="522"/>
      <c r="O38" s="522"/>
      <c r="P38" s="522"/>
      <c r="Q38" s="522"/>
      <c r="R38" s="522"/>
      <c r="S38" s="522"/>
      <c r="T38" s="522"/>
      <c r="U38" s="522"/>
      <c r="V38" s="522"/>
      <c r="W38" s="522"/>
      <c r="X38" s="522"/>
      <c r="Y38" s="522"/>
      <c r="Z38" s="522"/>
      <c r="AA38" s="522"/>
      <c r="AB38" s="522"/>
      <c r="AC38" s="522"/>
      <c r="AD38" s="522"/>
      <c r="AE38" s="523"/>
      <c r="AF38" s="5"/>
      <c r="AG38" s="5"/>
      <c r="AH38" s="5"/>
      <c r="AI38" s="5"/>
      <c r="AJ38" s="5"/>
      <c r="AK38" s="5"/>
      <c r="AL38" s="5"/>
    </row>
    <row r="39" spans="1:38" ht="21.95" customHeight="1" x14ac:dyDescent="0.2">
      <c r="B39" s="277"/>
      <c r="C39" s="143"/>
      <c r="D39" s="154"/>
      <c r="E39" s="153" t="s">
        <v>28</v>
      </c>
      <c r="F39" s="527">
        <f>F35</f>
        <v>6297271.9999999991</v>
      </c>
      <c r="G39" s="527">
        <f t="shared" ref="G39:AE39" si="0">G35</f>
        <v>6396410.0877872407</v>
      </c>
      <c r="H39" s="527">
        <f t="shared" si="0"/>
        <v>6497108.9086109418</v>
      </c>
      <c r="I39" s="527">
        <f t="shared" si="0"/>
        <v>6599393.0331247216</v>
      </c>
      <c r="J39" s="527">
        <f t="shared" si="0"/>
        <v>6703287.4187984606</v>
      </c>
      <c r="K39" s="527">
        <f t="shared" si="0"/>
        <v>6808817.4160080384</v>
      </c>
      <c r="L39" s="527">
        <f t="shared" si="0"/>
        <v>6916008.7742208512</v>
      </c>
      <c r="M39" s="527">
        <f t="shared" si="0"/>
        <v>7024887.6482787039</v>
      </c>
      <c r="N39" s="527">
        <f t="shared" si="0"/>
        <v>7135480.6047796141</v>
      </c>
      <c r="O39" s="527">
        <f t="shared" si="0"/>
        <v>7247814.6285601985</v>
      </c>
      <c r="P39" s="527">
        <f t="shared" si="0"/>
        <v>7361917.1292798528</v>
      </c>
      <c r="Q39" s="527">
        <f t="shared" si="0"/>
        <v>7477815.9481088547</v>
      </c>
      <c r="R39" s="527">
        <f t="shared" si="0"/>
        <v>7595539.3645216208</v>
      </c>
      <c r="S39" s="527">
        <f t="shared" si="0"/>
        <v>7715116.1031969115</v>
      </c>
      <c r="T39" s="527">
        <f t="shared" si="0"/>
        <v>7836575.3410268007</v>
      </c>
      <c r="U39" s="527">
        <f t="shared" si="0"/>
        <v>7959946.7142357165</v>
      </c>
      <c r="V39" s="527">
        <f t="shared" si="0"/>
        <v>8085260.325611827</v>
      </c>
      <c r="W39" s="527">
        <f t="shared" si="0"/>
        <v>8212546.7518521436</v>
      </c>
      <c r="X39" s="527">
        <f t="shared" si="0"/>
        <v>8341837.0510232393</v>
      </c>
      <c r="Y39" s="527">
        <f t="shared" si="0"/>
        <v>8473162.7701395806</v>
      </c>
      <c r="Z39" s="527">
        <f t="shared" si="0"/>
        <v>8606555.9528608732</v>
      </c>
      <c r="AA39" s="527">
        <f t="shared" si="0"/>
        <v>8742049.1473108735</v>
      </c>
      <c r="AB39" s="527">
        <f t="shared" si="0"/>
        <v>8879675.4140191395</v>
      </c>
      <c r="AC39" s="527">
        <f t="shared" si="0"/>
        <v>9019468.3339878563</v>
      </c>
      <c r="AD39" s="527">
        <f t="shared" si="0"/>
        <v>9161462.0168856159</v>
      </c>
      <c r="AE39" s="528">
        <f t="shared" si="0"/>
        <v>9305691.1093703434</v>
      </c>
      <c r="AF39" s="57"/>
      <c r="AG39" s="57"/>
      <c r="AH39" s="57"/>
      <c r="AI39" s="57"/>
      <c r="AJ39" s="57"/>
      <c r="AK39" s="57"/>
      <c r="AL39" s="57"/>
    </row>
    <row r="40" spans="1:38" ht="21.95" customHeight="1" x14ac:dyDescent="0.2">
      <c r="A40" s="9"/>
      <c r="B40" s="524"/>
      <c r="C40" s="525"/>
      <c r="D40" s="529" t="s">
        <v>322</v>
      </c>
      <c r="E40" s="143" t="s">
        <v>503</v>
      </c>
      <c r="F40" s="522" cm="1">
        <f t="array" ref="F40:AE40">_xlfn.ANCHORARRAY(F30) * (1 - percentPeak)</f>
        <v>12901727.999999996</v>
      </c>
      <c r="G40" s="522">
        <v>13104840.179856783</v>
      </c>
      <c r="H40" s="522">
        <v>13311149.959105343</v>
      </c>
      <c r="I40" s="522">
        <v>13520707.677621379</v>
      </c>
      <c r="J40" s="522">
        <v>13733564.467782211</v>
      </c>
      <c r="K40" s="522">
        <v>13949772.266943296</v>
      </c>
      <c r="L40" s="522">
        <v>14169383.83011101</v>
      </c>
      <c r="M40" s="522">
        <v>14392452.742814902</v>
      </c>
      <c r="N40" s="522">
        <v>14619033.434182622</v>
      </c>
      <c r="O40" s="522">
        <v>14849181.190220892</v>
      </c>
      <c r="P40" s="522">
        <v>15082952.167305062</v>
      </c>
      <c r="Q40" s="522">
        <v>15320403.405881554</v>
      </c>
      <c r="R40" s="522">
        <v>15561592.844385758</v>
      </c>
      <c r="S40" s="522">
        <v>15806579.333379036</v>
      </c>
      <c r="T40" s="522">
        <v>16055422.649908565</v>
      </c>
      <c r="U40" s="522">
        <v>16308183.512092685</v>
      </c>
      <c r="V40" s="522">
        <v>16564923.593936423</v>
      </c>
      <c r="W40" s="522">
        <v>16825705.540380001</v>
      </c>
      <c r="X40" s="522">
        <v>17090592.982584193</v>
      </c>
      <c r="Y40" s="522">
        <v>17359650.553456701</v>
      </c>
      <c r="Z40" s="522">
        <v>17632943.903422274</v>
      </c>
      <c r="AA40" s="522">
        <v>17910539.716441788</v>
      </c>
      <c r="AB40" s="522">
        <v>18192505.726283114</v>
      </c>
      <c r="AC40" s="522">
        <v>18478910.73304829</v>
      </c>
      <c r="AD40" s="522">
        <v>18769824.61996077</v>
      </c>
      <c r="AE40" s="523">
        <v>19065318.370417286</v>
      </c>
      <c r="AF40" s="5"/>
      <c r="AG40" s="5"/>
      <c r="AH40" s="5"/>
      <c r="AI40" s="5"/>
      <c r="AJ40" s="5"/>
      <c r="AK40" s="5"/>
      <c r="AL40" s="5"/>
    </row>
    <row r="41" spans="1:38" ht="21.95" customHeight="1" x14ac:dyDescent="0.2">
      <c r="B41" s="524"/>
      <c r="C41" s="525"/>
      <c r="D41" s="525"/>
      <c r="E41" s="143"/>
      <c r="F41" s="522"/>
      <c r="G41" s="522"/>
      <c r="H41" s="522"/>
      <c r="I41" s="522"/>
      <c r="J41" s="522"/>
      <c r="K41" s="522"/>
      <c r="L41" s="522"/>
      <c r="M41" s="522"/>
      <c r="N41" s="522"/>
      <c r="O41" s="522"/>
      <c r="P41" s="522"/>
      <c r="Q41" s="522"/>
      <c r="R41" s="522"/>
      <c r="S41" s="522"/>
      <c r="T41" s="522"/>
      <c r="U41" s="522"/>
      <c r="V41" s="522"/>
      <c r="W41" s="522"/>
      <c r="X41" s="522"/>
      <c r="Y41" s="522"/>
      <c r="Z41" s="522"/>
      <c r="AA41" s="522"/>
      <c r="AB41" s="522"/>
      <c r="AC41" s="522"/>
      <c r="AD41" s="522"/>
      <c r="AE41" s="523"/>
      <c r="AF41" s="5"/>
      <c r="AG41" s="5"/>
      <c r="AH41" s="5"/>
      <c r="AI41" s="5"/>
      <c r="AJ41" s="5"/>
      <c r="AK41" s="5"/>
      <c r="AL41" s="5"/>
    </row>
    <row r="42" spans="1:38" ht="21.95" customHeight="1" x14ac:dyDescent="0.2">
      <c r="B42" s="524"/>
      <c r="C42" s="525"/>
      <c r="D42" s="525"/>
      <c r="E42" s="143"/>
      <c r="F42" s="526"/>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3"/>
      <c r="AF42" s="5"/>
      <c r="AG42" s="5"/>
      <c r="AH42" s="5"/>
      <c r="AI42" s="5"/>
      <c r="AJ42" s="5"/>
      <c r="AK42" s="5"/>
      <c r="AL42" s="5"/>
    </row>
    <row r="43" spans="1:38" ht="21.95" customHeight="1" x14ac:dyDescent="0.2">
      <c r="B43" s="524"/>
      <c r="C43" s="525"/>
      <c r="D43" s="525"/>
      <c r="E43" s="15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3"/>
      <c r="AF43" s="5"/>
      <c r="AG43" s="5"/>
      <c r="AH43" s="5"/>
      <c r="AI43" s="5"/>
      <c r="AJ43" s="5"/>
      <c r="AK43" s="5"/>
      <c r="AL43" s="5"/>
    </row>
    <row r="44" spans="1:38" ht="21.95" customHeight="1" x14ac:dyDescent="0.2">
      <c r="B44" s="280"/>
      <c r="C44" s="152"/>
      <c r="D44" s="152"/>
      <c r="E44" s="153" t="s">
        <v>28</v>
      </c>
      <c r="F44" s="527">
        <f>F40</f>
        <v>12901727.999999996</v>
      </c>
      <c r="G44" s="527">
        <f t="shared" ref="G44:AE44" si="1">G40</f>
        <v>13104840.179856783</v>
      </c>
      <c r="H44" s="527">
        <f t="shared" si="1"/>
        <v>13311149.959105343</v>
      </c>
      <c r="I44" s="527">
        <f t="shared" si="1"/>
        <v>13520707.677621379</v>
      </c>
      <c r="J44" s="527">
        <f t="shared" si="1"/>
        <v>13733564.467782211</v>
      </c>
      <c r="K44" s="527">
        <f t="shared" si="1"/>
        <v>13949772.266943296</v>
      </c>
      <c r="L44" s="527">
        <f t="shared" si="1"/>
        <v>14169383.83011101</v>
      </c>
      <c r="M44" s="527">
        <f t="shared" si="1"/>
        <v>14392452.742814902</v>
      </c>
      <c r="N44" s="527">
        <f t="shared" si="1"/>
        <v>14619033.434182622</v>
      </c>
      <c r="O44" s="527">
        <f t="shared" si="1"/>
        <v>14849181.190220892</v>
      </c>
      <c r="P44" s="527">
        <f t="shared" si="1"/>
        <v>15082952.167305062</v>
      </c>
      <c r="Q44" s="527">
        <f t="shared" si="1"/>
        <v>15320403.405881554</v>
      </c>
      <c r="R44" s="527">
        <f t="shared" si="1"/>
        <v>15561592.844385758</v>
      </c>
      <c r="S44" s="527">
        <f t="shared" si="1"/>
        <v>15806579.333379036</v>
      </c>
      <c r="T44" s="527">
        <f t="shared" si="1"/>
        <v>16055422.649908565</v>
      </c>
      <c r="U44" s="527">
        <f t="shared" si="1"/>
        <v>16308183.512092685</v>
      </c>
      <c r="V44" s="527">
        <f t="shared" si="1"/>
        <v>16564923.593936423</v>
      </c>
      <c r="W44" s="527">
        <f t="shared" si="1"/>
        <v>16825705.540380001</v>
      </c>
      <c r="X44" s="527">
        <f t="shared" si="1"/>
        <v>17090592.982584193</v>
      </c>
      <c r="Y44" s="527">
        <f t="shared" si="1"/>
        <v>17359650.553456701</v>
      </c>
      <c r="Z44" s="527">
        <f t="shared" si="1"/>
        <v>17632943.903422274</v>
      </c>
      <c r="AA44" s="527">
        <f t="shared" si="1"/>
        <v>17910539.716441788</v>
      </c>
      <c r="AB44" s="527">
        <f t="shared" si="1"/>
        <v>18192505.726283114</v>
      </c>
      <c r="AC44" s="527">
        <f t="shared" si="1"/>
        <v>18478910.73304829</v>
      </c>
      <c r="AD44" s="527">
        <f t="shared" si="1"/>
        <v>18769824.61996077</v>
      </c>
      <c r="AE44" s="528">
        <f t="shared" si="1"/>
        <v>19065318.370417286</v>
      </c>
      <c r="AF44" s="57"/>
      <c r="AG44" s="57"/>
      <c r="AH44" s="57"/>
      <c r="AI44" s="57"/>
      <c r="AJ44" s="57"/>
      <c r="AK44" s="57"/>
      <c r="AL44" s="57"/>
    </row>
    <row r="45" spans="1:38" ht="21.95" customHeight="1" x14ac:dyDescent="0.2">
      <c r="B45" s="273" t="s">
        <v>621</v>
      </c>
      <c r="C45" s="143" t="s">
        <v>216</v>
      </c>
      <c r="D45" s="529" t="s">
        <v>321</v>
      </c>
      <c r="E45" s="143" t="s">
        <v>503</v>
      </c>
      <c r="F45" s="522" cm="1">
        <f t="array" ref="F45:AE45">_xlfn.ANCHORARRAY(F35) * H9</f>
        <v>39043086.399999999</v>
      </c>
      <c r="G45" s="522">
        <v>39657742.544280894</v>
      </c>
      <c r="H45" s="522">
        <v>40282075.233387843</v>
      </c>
      <c r="I45" s="522">
        <v>40916236.805373274</v>
      </c>
      <c r="J45" s="522">
        <v>41560381.996550456</v>
      </c>
      <c r="K45" s="522">
        <v>42214667.979249842</v>
      </c>
      <c r="L45" s="522">
        <v>42879254.400169276</v>
      </c>
      <c r="M45" s="522">
        <v>43554303.419327967</v>
      </c>
      <c r="N45" s="522">
        <v>44239979.74963361</v>
      </c>
      <c r="O45" s="522">
        <v>44936450.697073229</v>
      </c>
      <c r="P45" s="522">
        <v>45643886.201535091</v>
      </c>
      <c r="Q45" s="522">
        <v>46362458.878274903</v>
      </c>
      <c r="R45" s="522">
        <v>47092344.060034052</v>
      </c>
      <c r="S45" s="522">
        <v>47833719.839820854</v>
      </c>
      <c r="T45" s="522">
        <v>48586767.114366166</v>
      </c>
      <c r="U45" s="522">
        <v>49351669.628261447</v>
      </c>
      <c r="V45" s="522">
        <v>50128614.01879333</v>
      </c>
      <c r="W45" s="522">
        <v>50917789.861483291</v>
      </c>
      <c r="X45" s="522">
        <v>51719389.716344088</v>
      </c>
      <c r="Y45" s="522">
        <v>52533609.174865402</v>
      </c>
      <c r="Z45" s="522">
        <v>53360646.907737419</v>
      </c>
      <c r="AA45" s="522">
        <v>54200704.713327415</v>
      </c>
      <c r="AB45" s="522">
        <v>55053987.566918664</v>
      </c>
      <c r="AC45" s="522">
        <v>55920703.670724712</v>
      </c>
      <c r="AD45" s="522">
        <v>56801064.504690818</v>
      </c>
      <c r="AE45" s="523">
        <v>57695284.878096133</v>
      </c>
      <c r="AF45" s="5"/>
      <c r="AG45" s="5"/>
      <c r="AH45" s="5"/>
      <c r="AI45" s="5"/>
      <c r="AJ45" s="5"/>
      <c r="AK45" s="5"/>
      <c r="AL45" s="5"/>
    </row>
    <row r="46" spans="1:38" ht="21.95" customHeight="1" x14ac:dyDescent="0.2">
      <c r="B46" s="530" t="s">
        <v>445</v>
      </c>
      <c r="C46" s="525"/>
      <c r="D46" s="531"/>
      <c r="E46" s="143"/>
      <c r="F46" s="526"/>
      <c r="G46" s="522"/>
      <c r="H46" s="522"/>
      <c r="I46" s="522"/>
      <c r="J46" s="522"/>
      <c r="K46" s="522"/>
      <c r="L46" s="522"/>
      <c r="M46" s="522"/>
      <c r="N46" s="522"/>
      <c r="O46" s="522"/>
      <c r="P46" s="522"/>
      <c r="Q46" s="522"/>
      <c r="R46" s="522"/>
      <c r="S46" s="522"/>
      <c r="T46" s="522"/>
      <c r="U46" s="522"/>
      <c r="V46" s="522"/>
      <c r="W46" s="522"/>
      <c r="X46" s="522"/>
      <c r="Y46" s="522"/>
      <c r="Z46" s="522"/>
      <c r="AA46" s="522"/>
      <c r="AB46" s="522"/>
      <c r="AC46" s="522"/>
      <c r="AD46" s="522"/>
      <c r="AE46" s="523"/>
      <c r="AF46" s="5"/>
      <c r="AG46" s="5"/>
      <c r="AH46" s="5"/>
      <c r="AI46" s="5"/>
      <c r="AJ46" s="5"/>
      <c r="AK46" s="5"/>
      <c r="AL46" s="5"/>
    </row>
    <row r="47" spans="1:38" ht="21.95" customHeight="1" x14ac:dyDescent="0.2">
      <c r="B47" s="532"/>
      <c r="C47" s="143"/>
      <c r="D47" s="154"/>
      <c r="E47" s="153" t="s">
        <v>28</v>
      </c>
      <c r="F47" s="527" cm="1">
        <f t="array" ref="F47:AE47">_xlfn.ANCHORARRAY(F45)</f>
        <v>39043086.399999999</v>
      </c>
      <c r="G47" s="527">
        <v>39657742.544280894</v>
      </c>
      <c r="H47" s="527">
        <v>40282075.233387843</v>
      </c>
      <c r="I47" s="527">
        <v>40916236.805373274</v>
      </c>
      <c r="J47" s="527">
        <v>41560381.996550456</v>
      </c>
      <c r="K47" s="527">
        <v>42214667.979249842</v>
      </c>
      <c r="L47" s="527">
        <v>42879254.400169276</v>
      </c>
      <c r="M47" s="527">
        <v>43554303.419327967</v>
      </c>
      <c r="N47" s="527">
        <v>44239979.74963361</v>
      </c>
      <c r="O47" s="527">
        <v>44936450.697073229</v>
      </c>
      <c r="P47" s="527">
        <v>45643886.201535091</v>
      </c>
      <c r="Q47" s="527">
        <v>46362458.878274903</v>
      </c>
      <c r="R47" s="527">
        <v>47092344.060034052</v>
      </c>
      <c r="S47" s="527">
        <v>47833719.839820854</v>
      </c>
      <c r="T47" s="527">
        <v>48586767.114366166</v>
      </c>
      <c r="U47" s="527">
        <v>49351669.628261447</v>
      </c>
      <c r="V47" s="527">
        <v>50128614.01879333</v>
      </c>
      <c r="W47" s="527">
        <v>50917789.861483291</v>
      </c>
      <c r="X47" s="527">
        <v>51719389.716344088</v>
      </c>
      <c r="Y47" s="527">
        <v>52533609.174865402</v>
      </c>
      <c r="Z47" s="527">
        <v>53360646.907737419</v>
      </c>
      <c r="AA47" s="527">
        <v>54200704.713327415</v>
      </c>
      <c r="AB47" s="527">
        <v>55053987.566918664</v>
      </c>
      <c r="AC47" s="527">
        <v>55920703.670724712</v>
      </c>
      <c r="AD47" s="527">
        <v>56801064.504690818</v>
      </c>
      <c r="AE47" s="528">
        <v>57695284.878096133</v>
      </c>
      <c r="AF47" s="57"/>
      <c r="AG47" s="57"/>
      <c r="AH47" s="57"/>
      <c r="AI47" s="57"/>
      <c r="AJ47" s="57"/>
      <c r="AK47" s="57"/>
      <c r="AL47" s="57"/>
    </row>
    <row r="48" spans="1:38" ht="21.95" customHeight="1" x14ac:dyDescent="0.2">
      <c r="B48" s="273"/>
      <c r="C48" s="525"/>
      <c r="D48" s="529" t="s">
        <v>322</v>
      </c>
      <c r="E48" s="143" t="s">
        <v>503</v>
      </c>
      <c r="F48" s="522" cm="1">
        <f t="array" ref="F48:AE48">_xlfn.ANCHORARRAY(F40) * H9</f>
        <v>79990713.599999979</v>
      </c>
      <c r="G48" s="522">
        <v>81250009.115112051</v>
      </c>
      <c r="H48" s="522">
        <v>82529129.746453121</v>
      </c>
      <c r="I48" s="522">
        <v>83828387.601252556</v>
      </c>
      <c r="J48" s="522">
        <v>85148099.700249702</v>
      </c>
      <c r="K48" s="522">
        <v>86488588.055048436</v>
      </c>
      <c r="L48" s="522">
        <v>87850179.746688262</v>
      </c>
      <c r="M48" s="522">
        <v>89233207.005452394</v>
      </c>
      <c r="N48" s="522">
        <v>90638007.291932255</v>
      </c>
      <c r="O48" s="522">
        <v>92064923.379369542</v>
      </c>
      <c r="P48" s="522">
        <v>93514303.437291384</v>
      </c>
      <c r="Q48" s="522">
        <v>94986501.116465643</v>
      </c>
      <c r="R48" s="522">
        <v>96481875.635191709</v>
      </c>
      <c r="S48" s="522">
        <v>98000791.86695002</v>
      </c>
      <c r="T48" s="522">
        <v>99543620.429433107</v>
      </c>
      <c r="U48" s="522">
        <v>101110737.77497466</v>
      </c>
      <c r="V48" s="522">
        <v>102702526.28240582</v>
      </c>
      <c r="W48" s="522">
        <v>104319374.35035601</v>
      </c>
      <c r="X48" s="522">
        <v>105961676.49202201</v>
      </c>
      <c r="Y48" s="522">
        <v>107629833.43143155</v>
      </c>
      <c r="Z48" s="522">
        <v>109324252.2012181</v>
      </c>
      <c r="AA48" s="522">
        <v>111045346.24193908</v>
      </c>
      <c r="AB48" s="522">
        <v>112793535.50295532</v>
      </c>
      <c r="AC48" s="522">
        <v>114569246.5448994</v>
      </c>
      <c r="AD48" s="522">
        <v>116372912.64375678</v>
      </c>
      <c r="AE48" s="523">
        <v>118204973.89658718</v>
      </c>
      <c r="AF48" s="5"/>
      <c r="AG48" s="5"/>
      <c r="AH48" s="5"/>
      <c r="AI48" s="5"/>
      <c r="AJ48" s="5"/>
      <c r="AK48" s="5"/>
      <c r="AL48" s="5"/>
    </row>
    <row r="49" spans="1:38" ht="21.95" customHeight="1" x14ac:dyDescent="0.2">
      <c r="B49" s="530"/>
      <c r="C49" s="525"/>
      <c r="D49" s="525"/>
      <c r="E49" s="143"/>
      <c r="F49" s="526"/>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3"/>
      <c r="AF49" s="5"/>
      <c r="AG49" s="5"/>
      <c r="AH49" s="5"/>
      <c r="AI49" s="5"/>
      <c r="AJ49" s="5"/>
      <c r="AK49" s="5"/>
      <c r="AL49" s="5"/>
    </row>
    <row r="50" spans="1:38" ht="21.95" customHeight="1" x14ac:dyDescent="0.2">
      <c r="B50" s="533"/>
      <c r="C50" s="291"/>
      <c r="D50" s="291"/>
      <c r="E50" s="534" t="s">
        <v>28</v>
      </c>
      <c r="F50" s="535" cm="1">
        <f t="array" ref="F50:AE50">_xlfn.ANCHORARRAY(F48)</f>
        <v>79990713.599999979</v>
      </c>
      <c r="G50" s="535">
        <v>81250009.115112051</v>
      </c>
      <c r="H50" s="535">
        <v>82529129.746453121</v>
      </c>
      <c r="I50" s="535">
        <v>83828387.601252556</v>
      </c>
      <c r="J50" s="535">
        <v>85148099.700249702</v>
      </c>
      <c r="K50" s="535">
        <v>86488588.055048436</v>
      </c>
      <c r="L50" s="535">
        <v>87850179.746688262</v>
      </c>
      <c r="M50" s="535">
        <v>89233207.005452394</v>
      </c>
      <c r="N50" s="535">
        <v>90638007.291932255</v>
      </c>
      <c r="O50" s="535">
        <v>92064923.379369542</v>
      </c>
      <c r="P50" s="535">
        <v>93514303.437291384</v>
      </c>
      <c r="Q50" s="535">
        <v>94986501.116465643</v>
      </c>
      <c r="R50" s="535">
        <v>96481875.635191709</v>
      </c>
      <c r="S50" s="535">
        <v>98000791.86695002</v>
      </c>
      <c r="T50" s="535">
        <v>99543620.429433107</v>
      </c>
      <c r="U50" s="535">
        <v>101110737.77497466</v>
      </c>
      <c r="V50" s="535">
        <v>102702526.28240582</v>
      </c>
      <c r="W50" s="535">
        <v>104319374.35035601</v>
      </c>
      <c r="X50" s="535">
        <v>105961676.49202201</v>
      </c>
      <c r="Y50" s="535">
        <v>107629833.43143155</v>
      </c>
      <c r="Z50" s="535">
        <v>109324252.2012181</v>
      </c>
      <c r="AA50" s="535">
        <v>111045346.24193908</v>
      </c>
      <c r="AB50" s="535">
        <v>112793535.50295532</v>
      </c>
      <c r="AC50" s="535">
        <v>114569246.5448994</v>
      </c>
      <c r="AD50" s="535">
        <v>116372912.64375678</v>
      </c>
      <c r="AE50" s="536">
        <v>118204973.89658718</v>
      </c>
      <c r="AF50" s="57"/>
      <c r="AG50" s="57"/>
      <c r="AH50" s="57"/>
      <c r="AI50" s="57"/>
      <c r="AJ50" s="57"/>
      <c r="AK50" s="57"/>
      <c r="AL50" s="57"/>
    </row>
    <row r="51" spans="1:38" ht="21.95" customHeight="1" x14ac:dyDescent="0.2">
      <c r="E51" s="1"/>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row>
    <row r="52" spans="1:38" ht="21.95" customHeight="1" x14ac:dyDescent="0.2">
      <c r="B52" s="9"/>
      <c r="K52" s="63"/>
      <c r="N52"/>
      <c r="O52"/>
      <c r="P52"/>
      <c r="Q52"/>
      <c r="R52"/>
    </row>
    <row r="53" spans="1:38" ht="21.95" customHeight="1" x14ac:dyDescent="0.2">
      <c r="A53" s="505"/>
      <c r="B53" s="506" t="s">
        <v>9</v>
      </c>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row>
    <row r="54" spans="1:38" ht="21.95" customHeight="1" x14ac:dyDescent="0.2">
      <c r="B54" s="1"/>
    </row>
    <row r="55" spans="1:38" s="7" customFormat="1" ht="21.95" customHeight="1" x14ac:dyDescent="0.2">
      <c r="B55" s="411"/>
      <c r="C55" s="410" t="s">
        <v>2</v>
      </c>
      <c r="D55" s="410" t="s">
        <v>320</v>
      </c>
      <c r="E55" s="410" t="s">
        <v>74</v>
      </c>
      <c r="F55" s="347" cm="1">
        <f t="array" ref="F55:AE55">year</f>
        <v>2022</v>
      </c>
      <c r="G55" s="347">
        <v>2023</v>
      </c>
      <c r="H55" s="347">
        <v>2024</v>
      </c>
      <c r="I55" s="347">
        <v>2025</v>
      </c>
      <c r="J55" s="347">
        <v>2026</v>
      </c>
      <c r="K55" s="347">
        <v>2027</v>
      </c>
      <c r="L55" s="347">
        <v>2028</v>
      </c>
      <c r="M55" s="347">
        <v>2029</v>
      </c>
      <c r="N55" s="347">
        <v>2030</v>
      </c>
      <c r="O55" s="347">
        <v>2031</v>
      </c>
      <c r="P55" s="347">
        <v>2032</v>
      </c>
      <c r="Q55" s="347">
        <v>2033</v>
      </c>
      <c r="R55" s="347">
        <v>2034</v>
      </c>
      <c r="S55" s="347">
        <v>2035</v>
      </c>
      <c r="T55" s="347">
        <v>2036</v>
      </c>
      <c r="U55" s="347">
        <v>2037</v>
      </c>
      <c r="V55" s="347">
        <v>2038</v>
      </c>
      <c r="W55" s="347">
        <v>2039</v>
      </c>
      <c r="X55" s="347">
        <v>2040</v>
      </c>
      <c r="Y55" s="347">
        <v>2041</v>
      </c>
      <c r="Z55" s="347">
        <v>2042</v>
      </c>
      <c r="AA55" s="347">
        <v>2043</v>
      </c>
      <c r="AB55" s="347">
        <v>2044</v>
      </c>
      <c r="AC55" s="347">
        <v>2045</v>
      </c>
      <c r="AD55" s="347">
        <v>2046</v>
      </c>
      <c r="AE55" s="348">
        <v>2047</v>
      </c>
      <c r="AF55" s="33"/>
      <c r="AG55" s="33"/>
      <c r="AH55" s="33"/>
      <c r="AI55" s="33"/>
      <c r="AJ55" s="33"/>
      <c r="AK55" s="33"/>
      <c r="AL55" s="33"/>
    </row>
    <row r="56" spans="1:38" ht="21.95" customHeight="1" x14ac:dyDescent="0.2">
      <c r="B56" s="273" t="s">
        <v>17</v>
      </c>
      <c r="C56" s="143" t="s">
        <v>177</v>
      </c>
      <c r="D56" s="274" t="s">
        <v>321</v>
      </c>
      <c r="E56" s="143" t="s">
        <v>503</v>
      </c>
      <c r="F56" s="288" cm="1">
        <f t="array" ref="F56:AE56">GROWTH(I9:J9, $I$8:$J$8, year)</f>
        <v>72.017436974789959</v>
      </c>
      <c r="G56" s="288">
        <v>71.935634131223154</v>
      </c>
      <c r="H56" s="288">
        <v>71.853924205503716</v>
      </c>
      <c r="I56" s="288">
        <v>71.772307092088468</v>
      </c>
      <c r="J56" s="288">
        <v>71.690782685554296</v>
      </c>
      <c r="K56" s="288">
        <v>71.609350880597617</v>
      </c>
      <c r="L56" s="288">
        <v>71.528011572034671</v>
      </c>
      <c r="M56" s="288">
        <v>71.446764654801001</v>
      </c>
      <c r="N56" s="288">
        <v>71.365610023951547</v>
      </c>
      <c r="O56" s="288">
        <v>71.284547574660508</v>
      </c>
      <c r="P56" s="288">
        <v>71.203577202221069</v>
      </c>
      <c r="Q56" s="288">
        <v>71.122698802045448</v>
      </c>
      <c r="R56" s="288">
        <v>71.041912269664564</v>
      </c>
      <c r="S56" s="288">
        <v>70.961217500727997</v>
      </c>
      <c r="T56" s="288">
        <v>70.880614391003974</v>
      </c>
      <c r="U56" s="288">
        <v>70.800102836378969</v>
      </c>
      <c r="V56" s="288">
        <v>70.719682732857862</v>
      </c>
      <c r="W56" s="288">
        <v>70.639353976563527</v>
      </c>
      <c r="X56" s="288">
        <v>70.559116463736885</v>
      </c>
      <c r="Y56" s="288">
        <v>70.478970090736752</v>
      </c>
      <c r="Z56" s="288">
        <v>70.398914754039581</v>
      </c>
      <c r="AA56" s="288">
        <v>70.318950350239533</v>
      </c>
      <c r="AB56" s="288">
        <v>70.239076776048094</v>
      </c>
      <c r="AC56" s="288">
        <v>70.159293928294147</v>
      </c>
      <c r="AD56" s="288">
        <v>70.079601703923771</v>
      </c>
      <c r="AE56" s="289">
        <v>70.000000000000057</v>
      </c>
      <c r="AF56" s="46"/>
      <c r="AG56" s="46"/>
      <c r="AH56" s="46"/>
      <c r="AI56" s="46"/>
      <c r="AJ56" s="46"/>
      <c r="AK56" s="46"/>
      <c r="AL56" s="46"/>
    </row>
    <row r="57" spans="1:38" ht="21.95" customHeight="1" x14ac:dyDescent="0.2">
      <c r="B57" s="524" t="s">
        <v>375</v>
      </c>
      <c r="C57" s="143"/>
      <c r="D57" s="154"/>
      <c r="E57" s="152"/>
      <c r="F57" s="537"/>
      <c r="G57" s="537"/>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8"/>
      <c r="AF57" s="107"/>
      <c r="AG57" s="107"/>
      <c r="AH57" s="107"/>
      <c r="AI57" s="107"/>
      <c r="AJ57" s="107"/>
      <c r="AK57" s="107"/>
      <c r="AL57" s="107"/>
    </row>
    <row r="58" spans="1:38" ht="21.95" customHeight="1" x14ac:dyDescent="0.2">
      <c r="B58" s="273"/>
      <c r="C58" s="143"/>
      <c r="D58" s="274" t="s">
        <v>322</v>
      </c>
      <c r="E58" s="143" t="s">
        <v>503</v>
      </c>
      <c r="F58" s="288" cm="1">
        <f t="array" ref="F58:AE58">GROWTH(K9:L9, $K$8:$L$8, year)</f>
        <v>72.017436974789931</v>
      </c>
      <c r="G58" s="288">
        <v>72.017436974789931</v>
      </c>
      <c r="H58" s="288">
        <v>72.017436974789931</v>
      </c>
      <c r="I58" s="288">
        <v>72.017436974789931</v>
      </c>
      <c r="J58" s="288">
        <v>72.017436974789931</v>
      </c>
      <c r="K58" s="288">
        <v>72.017436974789931</v>
      </c>
      <c r="L58" s="288">
        <v>72.017436974789931</v>
      </c>
      <c r="M58" s="288">
        <v>72.017436974789931</v>
      </c>
      <c r="N58" s="288">
        <v>72.017436974789931</v>
      </c>
      <c r="O58" s="288">
        <v>72.017436974789931</v>
      </c>
      <c r="P58" s="288">
        <v>72.017436974789931</v>
      </c>
      <c r="Q58" s="288">
        <v>72.017436974789931</v>
      </c>
      <c r="R58" s="288">
        <v>72.017436974789931</v>
      </c>
      <c r="S58" s="288">
        <v>72.017436974789931</v>
      </c>
      <c r="T58" s="288">
        <v>72.017436974789931</v>
      </c>
      <c r="U58" s="288">
        <v>72.017436974789931</v>
      </c>
      <c r="V58" s="288">
        <v>72.017436974789931</v>
      </c>
      <c r="W58" s="288">
        <v>72.017436974789931</v>
      </c>
      <c r="X58" s="288">
        <v>72.017436974789931</v>
      </c>
      <c r="Y58" s="288">
        <v>72.017436974789931</v>
      </c>
      <c r="Z58" s="288">
        <v>72.017436974789931</v>
      </c>
      <c r="AA58" s="288">
        <v>72.017436974789931</v>
      </c>
      <c r="AB58" s="288">
        <v>72.017436974789931</v>
      </c>
      <c r="AC58" s="288">
        <v>72.017436974789931</v>
      </c>
      <c r="AD58" s="288">
        <v>72.017436974789931</v>
      </c>
      <c r="AE58" s="289">
        <v>72.017436974789931</v>
      </c>
      <c r="AF58" s="46"/>
      <c r="AG58" s="46"/>
      <c r="AH58" s="46"/>
      <c r="AI58" s="46"/>
      <c r="AJ58" s="46"/>
      <c r="AK58" s="46"/>
      <c r="AL58" s="46"/>
    </row>
    <row r="59" spans="1:38" ht="21.95" customHeight="1" x14ac:dyDescent="0.2">
      <c r="B59" s="539"/>
      <c r="C59" s="152"/>
      <c r="D59" s="152"/>
      <c r="E59" s="152"/>
      <c r="F59" s="537"/>
      <c r="G59" s="537"/>
      <c r="H59" s="537"/>
      <c r="I59" s="537"/>
      <c r="J59" s="537"/>
      <c r="K59" s="537"/>
      <c r="L59" s="537"/>
      <c r="M59" s="537"/>
      <c r="N59" s="537"/>
      <c r="O59" s="537"/>
      <c r="P59" s="537"/>
      <c r="Q59" s="537"/>
      <c r="R59" s="537"/>
      <c r="S59" s="537"/>
      <c r="T59" s="537"/>
      <c r="U59" s="537"/>
      <c r="V59" s="537"/>
      <c r="W59" s="537"/>
      <c r="X59" s="537"/>
      <c r="Y59" s="537"/>
      <c r="Z59" s="537"/>
      <c r="AA59" s="537"/>
      <c r="AB59" s="537"/>
      <c r="AC59" s="537"/>
      <c r="AD59" s="537"/>
      <c r="AE59" s="538"/>
      <c r="AF59" s="107"/>
      <c r="AG59" s="107"/>
      <c r="AH59" s="107"/>
      <c r="AI59" s="107"/>
      <c r="AJ59" s="107"/>
      <c r="AK59" s="107"/>
      <c r="AL59" s="107"/>
    </row>
    <row r="60" spans="1:38" ht="21.95" customHeight="1" x14ac:dyDescent="0.2">
      <c r="B60" s="273" t="s">
        <v>325</v>
      </c>
      <c r="C60" s="143" t="s">
        <v>215</v>
      </c>
      <c r="D60" s="274" t="s">
        <v>321</v>
      </c>
      <c r="E60" s="143" t="s">
        <v>503</v>
      </c>
      <c r="F60" s="522" cm="1">
        <f t="array" ref="F60:AE60">_xlfn.ANCHORARRAY(F45) /_xlfn.ANCHORARRAY( F56)</f>
        <v>542133.79481509759</v>
      </c>
      <c r="G60" s="522">
        <v>551294.82103317871</v>
      </c>
      <c r="H60" s="522">
        <v>560610.65110626759</v>
      </c>
      <c r="I60" s="522">
        <v>570083.90092400287</v>
      </c>
      <c r="J60" s="522">
        <v>579717.23057955783</v>
      </c>
      <c r="K60" s="522">
        <v>589513.34511660552</v>
      </c>
      <c r="L60" s="522">
        <v>599474.99528889172</v>
      </c>
      <c r="M60" s="522">
        <v>609604.97833265085</v>
      </c>
      <c r="N60" s="522">
        <v>619906.138752067</v>
      </c>
      <c r="O60" s="522">
        <v>630381.36911802145</v>
      </c>
      <c r="P60" s="522">
        <v>641033.61088031554</v>
      </c>
      <c r="Q60" s="522">
        <v>651865.85519363824</v>
      </c>
      <c r="R60" s="522">
        <v>662881.14375748357</v>
      </c>
      <c r="S60" s="522">
        <v>674082.56967025856</v>
      </c>
      <c r="T60" s="522">
        <v>685473.27829783456</v>
      </c>
      <c r="U60" s="522">
        <v>697056.46815675602</v>
      </c>
      <c r="V60" s="522">
        <v>708835.39181239158</v>
      </c>
      <c r="W60" s="522">
        <v>720813.35679225798</v>
      </c>
      <c r="X60" s="522">
        <v>732993.72651476902</v>
      </c>
      <c r="Y60" s="522">
        <v>745379.9212336964</v>
      </c>
      <c r="Z60" s="522">
        <v>757975.41899856518</v>
      </c>
      <c r="AA60" s="522">
        <v>770783.75663129881</v>
      </c>
      <c r="AB60" s="522">
        <v>783808.53071936127</v>
      </c>
      <c r="AC60" s="522">
        <v>797053.39862567757</v>
      </c>
      <c r="AD60" s="522">
        <v>810522.079515622</v>
      </c>
      <c r="AE60" s="523">
        <v>824218.35540137265</v>
      </c>
      <c r="AF60" s="5"/>
      <c r="AG60" s="5"/>
      <c r="AH60" s="5"/>
      <c r="AI60" s="5"/>
      <c r="AJ60" s="5"/>
      <c r="AK60" s="5"/>
      <c r="AL60" s="5"/>
    </row>
    <row r="61" spans="1:38" ht="21.95" customHeight="1" x14ac:dyDescent="0.2">
      <c r="B61" s="524" t="s">
        <v>81</v>
      </c>
      <c r="C61" s="525"/>
      <c r="D61" s="525"/>
      <c r="E61" s="143"/>
      <c r="F61" s="526"/>
      <c r="G61" s="522"/>
      <c r="H61" s="522"/>
      <c r="I61" s="522"/>
      <c r="J61" s="522"/>
      <c r="K61" s="522"/>
      <c r="L61" s="522"/>
      <c r="M61" s="522"/>
      <c r="N61" s="522"/>
      <c r="O61" s="522"/>
      <c r="P61" s="522"/>
      <c r="Q61" s="522"/>
      <c r="R61" s="522"/>
      <c r="S61" s="522"/>
      <c r="T61" s="522"/>
      <c r="U61" s="522"/>
      <c r="V61" s="522"/>
      <c r="W61" s="522"/>
      <c r="X61" s="522"/>
      <c r="Y61" s="522"/>
      <c r="Z61" s="522"/>
      <c r="AA61" s="522"/>
      <c r="AB61" s="522"/>
      <c r="AC61" s="522"/>
      <c r="AD61" s="522"/>
      <c r="AE61" s="523"/>
      <c r="AF61" s="5"/>
      <c r="AG61" s="5"/>
      <c r="AH61" s="5"/>
      <c r="AI61" s="5"/>
      <c r="AJ61" s="5"/>
      <c r="AK61" s="5"/>
      <c r="AL61" s="5"/>
    </row>
    <row r="62" spans="1:38" ht="21.95" customHeight="1" x14ac:dyDescent="0.2">
      <c r="B62" s="277"/>
      <c r="C62" s="143"/>
      <c r="D62" s="152"/>
      <c r="E62" s="153" t="s">
        <v>28</v>
      </c>
      <c r="F62" s="527" cm="1">
        <f t="array" ref="F62:AE62">_xlfn.ANCHORARRAY(F60)</f>
        <v>542133.79481509759</v>
      </c>
      <c r="G62" s="527">
        <v>551294.82103317871</v>
      </c>
      <c r="H62" s="527">
        <v>560610.65110626759</v>
      </c>
      <c r="I62" s="527">
        <v>570083.90092400287</v>
      </c>
      <c r="J62" s="527">
        <v>579717.23057955783</v>
      </c>
      <c r="K62" s="527">
        <v>589513.34511660552</v>
      </c>
      <c r="L62" s="527">
        <v>599474.99528889172</v>
      </c>
      <c r="M62" s="527">
        <v>609604.97833265085</v>
      </c>
      <c r="N62" s="527">
        <v>619906.138752067</v>
      </c>
      <c r="O62" s="527">
        <v>630381.36911802145</v>
      </c>
      <c r="P62" s="527">
        <v>641033.61088031554</v>
      </c>
      <c r="Q62" s="527">
        <v>651865.85519363824</v>
      </c>
      <c r="R62" s="527">
        <v>662881.14375748357</v>
      </c>
      <c r="S62" s="527">
        <v>674082.56967025856</v>
      </c>
      <c r="T62" s="527">
        <v>685473.27829783456</v>
      </c>
      <c r="U62" s="527">
        <v>697056.46815675602</v>
      </c>
      <c r="V62" s="527">
        <v>708835.39181239158</v>
      </c>
      <c r="W62" s="527">
        <v>720813.35679225798</v>
      </c>
      <c r="X62" s="527">
        <v>732993.72651476902</v>
      </c>
      <c r="Y62" s="527">
        <v>745379.9212336964</v>
      </c>
      <c r="Z62" s="527">
        <v>757975.41899856518</v>
      </c>
      <c r="AA62" s="527">
        <v>770783.75663129881</v>
      </c>
      <c r="AB62" s="527">
        <v>783808.53071936127</v>
      </c>
      <c r="AC62" s="527">
        <v>797053.39862567757</v>
      </c>
      <c r="AD62" s="527">
        <v>810522.079515622</v>
      </c>
      <c r="AE62" s="528">
        <v>824218.35540137265</v>
      </c>
      <c r="AF62" s="57"/>
      <c r="AG62" s="57"/>
      <c r="AH62" s="57"/>
      <c r="AI62" s="57"/>
      <c r="AJ62" s="57"/>
      <c r="AK62" s="57"/>
      <c r="AL62" s="57"/>
    </row>
    <row r="63" spans="1:38" ht="21.95" customHeight="1" x14ac:dyDescent="0.2">
      <c r="B63" s="273"/>
      <c r="C63" s="143"/>
      <c r="D63" s="274" t="s">
        <v>322</v>
      </c>
      <c r="E63" s="143" t="s">
        <v>503</v>
      </c>
      <c r="F63" s="522" cm="1">
        <f t="array" ref="F63:AE63">_xlfn.ANCHORARRAY(F48) /_xlfn.ANCHORARRAY( F58)</f>
        <v>1110713.1405967853</v>
      </c>
      <c r="G63" s="522">
        <v>1128199.1213260482</v>
      </c>
      <c r="H63" s="522">
        <v>1145960.3842239326</v>
      </c>
      <c r="I63" s="522">
        <v>1164001.2630635148</v>
      </c>
      <c r="J63" s="522">
        <v>1182326.1598445419</v>
      </c>
      <c r="K63" s="522">
        <v>1200939.5458675404</v>
      </c>
      <c r="L63" s="522">
        <v>1219845.962824818</v>
      </c>
      <c r="M63" s="522">
        <v>1239050.0239086393</v>
      </c>
      <c r="N63" s="522">
        <v>1258556.4149368512</v>
      </c>
      <c r="O63" s="522">
        <v>1278369.8954962441</v>
      </c>
      <c r="P63" s="522">
        <v>1298495.3001038698</v>
      </c>
      <c r="Q63" s="522">
        <v>1318937.5393866925</v>
      </c>
      <c r="R63" s="522">
        <v>1339701.60127978</v>
      </c>
      <c r="S63" s="522">
        <v>1360792.5522433643</v>
      </c>
      <c r="T63" s="522">
        <v>1382215.5384990841</v>
      </c>
      <c r="U63" s="522">
        <v>1403975.7872856401</v>
      </c>
      <c r="V63" s="522">
        <v>1426078.6081342683</v>
      </c>
      <c r="W63" s="522">
        <v>1448529.3941642707</v>
      </c>
      <c r="X63" s="522">
        <v>1471333.6233989336</v>
      </c>
      <c r="Y63" s="522">
        <v>1494496.8601021988</v>
      </c>
      <c r="Z63" s="522">
        <v>1518024.7561363175</v>
      </c>
      <c r="AA63" s="522">
        <v>1541923.0523409361</v>
      </c>
      <c r="AB63" s="522">
        <v>1566197.5799338606</v>
      </c>
      <c r="AC63" s="522">
        <v>1590854.2619338834</v>
      </c>
      <c r="AD63" s="522">
        <v>1615899.1146060044</v>
      </c>
      <c r="AE63" s="523">
        <v>1641338.2489294284</v>
      </c>
      <c r="AF63" s="5"/>
      <c r="AG63" s="5"/>
      <c r="AH63" s="5"/>
      <c r="AI63" s="5"/>
      <c r="AJ63" s="5"/>
      <c r="AK63" s="5"/>
      <c r="AL63" s="5"/>
    </row>
    <row r="64" spans="1:38" ht="21.95" customHeight="1" x14ac:dyDescent="0.2">
      <c r="B64" s="524"/>
      <c r="C64" s="525"/>
      <c r="D64" s="525"/>
      <c r="E64" s="143"/>
      <c r="F64" s="526"/>
      <c r="G64" s="522"/>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3"/>
      <c r="AF64" s="5"/>
      <c r="AG64" s="5"/>
      <c r="AH64" s="5"/>
      <c r="AI64" s="5"/>
      <c r="AJ64" s="5"/>
      <c r="AK64" s="5"/>
      <c r="AL64" s="5"/>
    </row>
    <row r="65" spans="1:38" ht="21.95" customHeight="1" x14ac:dyDescent="0.2">
      <c r="B65" s="277"/>
      <c r="C65" s="143"/>
      <c r="D65" s="152"/>
      <c r="E65" s="153" t="s">
        <v>28</v>
      </c>
      <c r="F65" s="527" cm="1">
        <f t="array" ref="F65:AE65">_xlfn.ANCHORARRAY(F63)</f>
        <v>1110713.1405967853</v>
      </c>
      <c r="G65" s="527">
        <v>1128199.1213260482</v>
      </c>
      <c r="H65" s="527">
        <v>1145960.3842239326</v>
      </c>
      <c r="I65" s="527">
        <v>1164001.2630635148</v>
      </c>
      <c r="J65" s="527">
        <v>1182326.1598445419</v>
      </c>
      <c r="K65" s="527">
        <v>1200939.5458675404</v>
      </c>
      <c r="L65" s="527">
        <v>1219845.962824818</v>
      </c>
      <c r="M65" s="527">
        <v>1239050.0239086393</v>
      </c>
      <c r="N65" s="527">
        <v>1258556.4149368512</v>
      </c>
      <c r="O65" s="527">
        <v>1278369.8954962441</v>
      </c>
      <c r="P65" s="527">
        <v>1298495.3001038698</v>
      </c>
      <c r="Q65" s="527">
        <v>1318937.5393866925</v>
      </c>
      <c r="R65" s="527">
        <v>1339701.60127978</v>
      </c>
      <c r="S65" s="527">
        <v>1360792.5522433643</v>
      </c>
      <c r="T65" s="527">
        <v>1382215.5384990841</v>
      </c>
      <c r="U65" s="527">
        <v>1403975.7872856401</v>
      </c>
      <c r="V65" s="527">
        <v>1426078.6081342683</v>
      </c>
      <c r="W65" s="527">
        <v>1448529.3941642707</v>
      </c>
      <c r="X65" s="527">
        <v>1471333.6233989336</v>
      </c>
      <c r="Y65" s="527">
        <v>1494496.8601021988</v>
      </c>
      <c r="Z65" s="527">
        <v>1518024.7561363175</v>
      </c>
      <c r="AA65" s="527">
        <v>1541923.0523409361</v>
      </c>
      <c r="AB65" s="527">
        <v>1566197.5799338606</v>
      </c>
      <c r="AC65" s="527">
        <v>1590854.2619338834</v>
      </c>
      <c r="AD65" s="527">
        <v>1615899.1146060044</v>
      </c>
      <c r="AE65" s="528">
        <v>1641338.2489294284</v>
      </c>
      <c r="AF65" s="57"/>
      <c r="AG65" s="57"/>
      <c r="AH65" s="57"/>
      <c r="AI65" s="57"/>
      <c r="AJ65" s="57"/>
      <c r="AK65" s="57"/>
      <c r="AL65" s="57"/>
    </row>
    <row r="66" spans="1:38" ht="21.95" customHeight="1" x14ac:dyDescent="0.2">
      <c r="B66" s="273"/>
      <c r="C66" s="143"/>
      <c r="D66" s="274" t="s">
        <v>26</v>
      </c>
      <c r="E66" s="143" t="s">
        <v>503</v>
      </c>
      <c r="F66" s="522" cm="1">
        <f t="array" ref="F66:AE66">_xlfn.ANCHORARRAY(F60) +_xlfn.ANCHORARRAY( F63)</f>
        <v>1652846.9354118831</v>
      </c>
      <c r="G66" s="522">
        <v>1679493.9423592268</v>
      </c>
      <c r="H66" s="522">
        <v>1706571.0353302001</v>
      </c>
      <c r="I66" s="522">
        <v>1734085.1639875178</v>
      </c>
      <c r="J66" s="522">
        <v>1762043.3904240998</v>
      </c>
      <c r="K66" s="522">
        <v>1790452.8909841459</v>
      </c>
      <c r="L66" s="522">
        <v>1819320.9581137097</v>
      </c>
      <c r="M66" s="522">
        <v>1848655.0022412902</v>
      </c>
      <c r="N66" s="522">
        <v>1878462.5536889182</v>
      </c>
      <c r="O66" s="522">
        <v>1908751.2646142654</v>
      </c>
      <c r="P66" s="522">
        <v>1939528.9109841853</v>
      </c>
      <c r="Q66" s="522">
        <v>1970803.3945803307</v>
      </c>
      <c r="R66" s="522">
        <v>2002582.7450372637</v>
      </c>
      <c r="S66" s="522">
        <v>2034875.1219136228</v>
      </c>
      <c r="T66" s="522">
        <v>2067688.8167969186</v>
      </c>
      <c r="U66" s="522">
        <v>2101032.2554423963</v>
      </c>
      <c r="V66" s="522">
        <v>2134913.9999466599</v>
      </c>
      <c r="W66" s="522">
        <v>2169342.7509565288</v>
      </c>
      <c r="X66" s="522">
        <v>2204327.3499137023</v>
      </c>
      <c r="Y66" s="522">
        <v>2239876.7813358949</v>
      </c>
      <c r="Z66" s="522">
        <v>2276000.1751348828</v>
      </c>
      <c r="AA66" s="522">
        <v>2312706.8089722348</v>
      </c>
      <c r="AB66" s="522">
        <v>2350006.1106532216</v>
      </c>
      <c r="AC66" s="522">
        <v>2387907.6605595611</v>
      </c>
      <c r="AD66" s="522">
        <v>2426421.1941216262</v>
      </c>
      <c r="AE66" s="523">
        <v>2465556.6043308009</v>
      </c>
      <c r="AF66" s="5"/>
      <c r="AG66" s="5"/>
      <c r="AH66" s="5"/>
      <c r="AI66" s="5"/>
      <c r="AJ66" s="5"/>
      <c r="AK66" s="5"/>
      <c r="AL66" s="5"/>
    </row>
    <row r="67" spans="1:38" ht="21.95" customHeight="1" x14ac:dyDescent="0.2">
      <c r="B67" s="524"/>
      <c r="C67" s="525"/>
      <c r="D67" s="525"/>
      <c r="E67" s="143"/>
      <c r="F67" s="526"/>
      <c r="G67" s="522"/>
      <c r="H67" s="522"/>
      <c r="I67" s="522"/>
      <c r="J67" s="522"/>
      <c r="K67" s="522"/>
      <c r="L67" s="522"/>
      <c r="M67" s="522"/>
      <c r="N67" s="522"/>
      <c r="O67" s="522"/>
      <c r="P67" s="522"/>
      <c r="Q67" s="522"/>
      <c r="R67" s="522"/>
      <c r="S67" s="522"/>
      <c r="T67" s="522"/>
      <c r="U67" s="522"/>
      <c r="V67" s="522"/>
      <c r="W67" s="522"/>
      <c r="X67" s="522"/>
      <c r="Y67" s="522"/>
      <c r="Z67" s="522"/>
      <c r="AA67" s="522"/>
      <c r="AB67" s="522"/>
      <c r="AC67" s="522"/>
      <c r="AD67" s="522"/>
      <c r="AE67" s="523"/>
      <c r="AF67" s="5"/>
      <c r="AG67" s="5"/>
      <c r="AH67" s="5"/>
      <c r="AI67" s="5"/>
      <c r="AJ67" s="5"/>
      <c r="AK67" s="5"/>
      <c r="AL67" s="5"/>
    </row>
    <row r="68" spans="1:38" ht="21.95" customHeight="1" x14ac:dyDescent="0.2">
      <c r="B68" s="290"/>
      <c r="C68" s="291"/>
      <c r="D68" s="291"/>
      <c r="E68" s="534" t="s">
        <v>257</v>
      </c>
      <c r="F68" s="535" cm="1">
        <f t="array" ref="F68:AE68">_xlfn.ANCHORARRAY(F66)</f>
        <v>1652846.9354118831</v>
      </c>
      <c r="G68" s="535">
        <v>1679493.9423592268</v>
      </c>
      <c r="H68" s="535">
        <v>1706571.0353302001</v>
      </c>
      <c r="I68" s="535">
        <v>1734085.1639875178</v>
      </c>
      <c r="J68" s="535">
        <v>1762043.3904240998</v>
      </c>
      <c r="K68" s="535">
        <v>1790452.8909841459</v>
      </c>
      <c r="L68" s="535">
        <v>1819320.9581137097</v>
      </c>
      <c r="M68" s="535">
        <v>1848655.0022412902</v>
      </c>
      <c r="N68" s="535">
        <v>1878462.5536889182</v>
      </c>
      <c r="O68" s="535">
        <v>1908751.2646142654</v>
      </c>
      <c r="P68" s="535">
        <v>1939528.9109841853</v>
      </c>
      <c r="Q68" s="535">
        <v>1970803.3945803307</v>
      </c>
      <c r="R68" s="535">
        <v>2002582.7450372637</v>
      </c>
      <c r="S68" s="535">
        <v>2034875.1219136228</v>
      </c>
      <c r="T68" s="535">
        <v>2067688.8167969186</v>
      </c>
      <c r="U68" s="535">
        <v>2101032.2554423963</v>
      </c>
      <c r="V68" s="535">
        <v>2134913.9999466599</v>
      </c>
      <c r="W68" s="535">
        <v>2169342.7509565288</v>
      </c>
      <c r="X68" s="535">
        <v>2204327.3499137023</v>
      </c>
      <c r="Y68" s="535">
        <v>2239876.7813358949</v>
      </c>
      <c r="Z68" s="535">
        <v>2276000.1751348828</v>
      </c>
      <c r="AA68" s="535">
        <v>2312706.8089722348</v>
      </c>
      <c r="AB68" s="535">
        <v>2350006.1106532216</v>
      </c>
      <c r="AC68" s="535">
        <v>2387907.6605595611</v>
      </c>
      <c r="AD68" s="535">
        <v>2426421.1941216262</v>
      </c>
      <c r="AE68" s="536">
        <v>2465556.6043308009</v>
      </c>
      <c r="AF68" s="57"/>
      <c r="AG68" s="57"/>
      <c r="AH68" s="57"/>
      <c r="AI68" s="57"/>
      <c r="AJ68" s="57"/>
      <c r="AK68" s="57"/>
      <c r="AL68" s="57"/>
    </row>
    <row r="69" spans="1:38" ht="21.95" customHeight="1" x14ac:dyDescent="0.2">
      <c r="E69" s="1"/>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row>
    <row r="70" spans="1:38" ht="21.95" customHeight="1" x14ac:dyDescent="0.2">
      <c r="AB70"/>
    </row>
    <row r="71" spans="1:38" ht="21.95" customHeight="1" x14ac:dyDescent="0.2">
      <c r="A71" s="505"/>
      <c r="B71" s="506" t="s">
        <v>10</v>
      </c>
      <c r="AB71"/>
    </row>
    <row r="72" spans="1:38" ht="21.95" customHeight="1" x14ac:dyDescent="0.2">
      <c r="B72" s="1"/>
      <c r="AB72"/>
    </row>
    <row r="73" spans="1:38" s="7" customFormat="1" ht="21.95" customHeight="1" x14ac:dyDescent="0.2">
      <c r="B73" s="411"/>
      <c r="C73" s="410" t="s">
        <v>2</v>
      </c>
      <c r="D73" s="410"/>
      <c r="E73" s="410" t="s">
        <v>74</v>
      </c>
      <c r="F73" s="347" cm="1">
        <f t="array" ref="F73:AE73">year</f>
        <v>2022</v>
      </c>
      <c r="G73" s="347">
        <v>2023</v>
      </c>
      <c r="H73" s="347">
        <v>2024</v>
      </c>
      <c r="I73" s="347">
        <v>2025</v>
      </c>
      <c r="J73" s="347">
        <v>2026</v>
      </c>
      <c r="K73" s="347">
        <v>2027</v>
      </c>
      <c r="L73" s="347">
        <v>2028</v>
      </c>
      <c r="M73" s="347">
        <v>2029</v>
      </c>
      <c r="N73" s="347">
        <v>2030</v>
      </c>
      <c r="O73" s="347">
        <v>2031</v>
      </c>
      <c r="P73" s="347">
        <v>2032</v>
      </c>
      <c r="Q73" s="347">
        <v>2033</v>
      </c>
      <c r="R73" s="347">
        <v>2034</v>
      </c>
      <c r="S73" s="347">
        <v>2035</v>
      </c>
      <c r="T73" s="347">
        <v>2036</v>
      </c>
      <c r="U73" s="347">
        <v>2037</v>
      </c>
      <c r="V73" s="347">
        <v>2038</v>
      </c>
      <c r="W73" s="347">
        <v>2039</v>
      </c>
      <c r="X73" s="347">
        <v>2040</v>
      </c>
      <c r="Y73" s="347">
        <v>2041</v>
      </c>
      <c r="Z73" s="347">
        <v>2042</v>
      </c>
      <c r="AA73" s="347">
        <v>2043</v>
      </c>
      <c r="AB73" s="347">
        <v>2044</v>
      </c>
      <c r="AC73" s="347">
        <v>2045</v>
      </c>
      <c r="AD73" s="347">
        <v>2046</v>
      </c>
      <c r="AE73" s="348">
        <v>2047</v>
      </c>
      <c r="AF73" s="33"/>
      <c r="AG73" s="33"/>
      <c r="AH73" s="33"/>
      <c r="AI73" s="33"/>
      <c r="AJ73" s="33"/>
      <c r="AK73" s="33"/>
      <c r="AL73" s="33"/>
    </row>
    <row r="74" spans="1:38" ht="21.95" customHeight="1" x14ac:dyDescent="0.2">
      <c r="B74" s="273" t="s">
        <v>17</v>
      </c>
      <c r="C74" s="143" t="s">
        <v>177</v>
      </c>
      <c r="D74" s="274" t="s">
        <v>321</v>
      </c>
      <c r="E74" s="143" t="s">
        <v>503</v>
      </c>
      <c r="F74" s="288" cm="1">
        <f t="array" ref="F74:AE74">GROWTH(I13:J13, $I$8:$J$8, year)</f>
        <v>74.999999999999972</v>
      </c>
      <c r="G74" s="288">
        <v>74.999999999999972</v>
      </c>
      <c r="H74" s="288">
        <v>74.999999999999972</v>
      </c>
      <c r="I74" s="288">
        <v>74.999999999999972</v>
      </c>
      <c r="J74" s="288">
        <v>74.999999999999972</v>
      </c>
      <c r="K74" s="288">
        <v>74.999999999999972</v>
      </c>
      <c r="L74" s="288">
        <v>74.999999999999972</v>
      </c>
      <c r="M74" s="288">
        <v>74.999999999999972</v>
      </c>
      <c r="N74" s="288">
        <v>74.999999999999972</v>
      </c>
      <c r="O74" s="288">
        <v>74.999999999999972</v>
      </c>
      <c r="P74" s="288">
        <v>74.999999999999972</v>
      </c>
      <c r="Q74" s="288">
        <v>74.999999999999972</v>
      </c>
      <c r="R74" s="288">
        <v>74.999999999999972</v>
      </c>
      <c r="S74" s="288">
        <v>74.999999999999972</v>
      </c>
      <c r="T74" s="288">
        <v>74.999999999999972</v>
      </c>
      <c r="U74" s="288">
        <v>74.999999999999972</v>
      </c>
      <c r="V74" s="288">
        <v>74.999999999999972</v>
      </c>
      <c r="W74" s="288">
        <v>74.999999999999972</v>
      </c>
      <c r="X74" s="288">
        <v>74.999999999999972</v>
      </c>
      <c r="Y74" s="288">
        <v>74.999999999999972</v>
      </c>
      <c r="Z74" s="288">
        <v>74.999999999999972</v>
      </c>
      <c r="AA74" s="288">
        <v>74.999999999999972</v>
      </c>
      <c r="AB74" s="288">
        <v>74.999999999999972</v>
      </c>
      <c r="AC74" s="288">
        <v>74.999999999999972</v>
      </c>
      <c r="AD74" s="288">
        <v>74.999999999999972</v>
      </c>
      <c r="AE74" s="289">
        <v>74.999999999999972</v>
      </c>
      <c r="AF74" s="46"/>
      <c r="AG74" s="46"/>
      <c r="AH74" s="46"/>
      <c r="AI74" s="46"/>
      <c r="AJ74" s="46"/>
      <c r="AK74" s="46"/>
      <c r="AL74" s="46"/>
    </row>
    <row r="75" spans="1:38" ht="21.95" customHeight="1" x14ac:dyDescent="0.2">
      <c r="B75" s="524" t="s">
        <v>375</v>
      </c>
      <c r="C75" s="143"/>
      <c r="D75" s="143"/>
      <c r="E75" s="152"/>
      <c r="F75" s="537"/>
      <c r="G75" s="537"/>
      <c r="H75" s="537"/>
      <c r="I75" s="537"/>
      <c r="J75" s="537"/>
      <c r="K75" s="537"/>
      <c r="L75" s="537"/>
      <c r="M75" s="537"/>
      <c r="N75" s="537"/>
      <c r="O75" s="537"/>
      <c r="P75" s="537"/>
      <c r="Q75" s="537"/>
      <c r="R75" s="537"/>
      <c r="S75" s="537"/>
      <c r="T75" s="537"/>
      <c r="U75" s="537"/>
      <c r="V75" s="537"/>
      <c r="W75" s="537"/>
      <c r="X75" s="537"/>
      <c r="Y75" s="537"/>
      <c r="Z75" s="537"/>
      <c r="AA75" s="537"/>
      <c r="AB75" s="537"/>
      <c r="AC75" s="537"/>
      <c r="AD75" s="537"/>
      <c r="AE75" s="538"/>
      <c r="AF75" s="107"/>
      <c r="AG75" s="107"/>
      <c r="AH75" s="107"/>
      <c r="AI75" s="107"/>
      <c r="AJ75" s="107"/>
      <c r="AK75" s="107"/>
      <c r="AL75" s="107"/>
    </row>
    <row r="76" spans="1:38" ht="21.95" customHeight="1" x14ac:dyDescent="0.2">
      <c r="B76" s="273"/>
      <c r="C76" s="143"/>
      <c r="D76" s="274" t="s">
        <v>322</v>
      </c>
      <c r="E76" s="143" t="s">
        <v>503</v>
      </c>
      <c r="F76" s="288" cm="1">
        <f t="array" ref="F76:AE76">GROWTH(K13:L13, $K$8:$L$8, year)</f>
        <v>74.999996966827396</v>
      </c>
      <c r="G76" s="288">
        <v>74.999997088154302</v>
      </c>
      <c r="H76" s="288">
        <v>74.999997209481194</v>
      </c>
      <c r="I76" s="288">
        <v>74.999997330808085</v>
      </c>
      <c r="J76" s="288">
        <v>74.999997452134991</v>
      </c>
      <c r="K76" s="288">
        <v>74.999997573461883</v>
      </c>
      <c r="L76" s="288">
        <v>74.999997694788803</v>
      </c>
      <c r="M76" s="288">
        <v>74.999997816115695</v>
      </c>
      <c r="N76" s="288">
        <v>74.999997937442586</v>
      </c>
      <c r="O76" s="288">
        <v>74.999998058769492</v>
      </c>
      <c r="P76" s="288">
        <v>74.999998180096384</v>
      </c>
      <c r="Q76" s="288">
        <v>74.999998301423304</v>
      </c>
      <c r="R76" s="288">
        <v>74.999998422750195</v>
      </c>
      <c r="S76" s="288">
        <v>74.999998544077087</v>
      </c>
      <c r="T76" s="288">
        <v>74.999998665403993</v>
      </c>
      <c r="U76" s="288">
        <v>74.999998786730899</v>
      </c>
      <c r="V76" s="288">
        <v>74.99999890805779</v>
      </c>
      <c r="W76" s="288">
        <v>74.999999029384696</v>
      </c>
      <c r="X76" s="288">
        <v>74.999999150711602</v>
      </c>
      <c r="Y76" s="288">
        <v>74.999999272038508</v>
      </c>
      <c r="Z76" s="288">
        <v>74.9999993933654</v>
      </c>
      <c r="AA76" s="288">
        <v>74.999999514692306</v>
      </c>
      <c r="AB76" s="288">
        <v>74.999999636019211</v>
      </c>
      <c r="AC76" s="288">
        <v>74.999999757346103</v>
      </c>
      <c r="AD76" s="288">
        <v>74.999999878673023</v>
      </c>
      <c r="AE76" s="289">
        <v>74.999999999999915</v>
      </c>
      <c r="AF76" s="46"/>
      <c r="AG76" s="46"/>
      <c r="AH76" s="46"/>
      <c r="AI76" s="46"/>
      <c r="AJ76" s="46"/>
      <c r="AK76" s="46"/>
      <c r="AL76" s="46"/>
    </row>
    <row r="77" spans="1:38" ht="21.95" customHeight="1" x14ac:dyDescent="0.2">
      <c r="B77" s="539"/>
      <c r="C77" s="152"/>
      <c r="D77" s="152"/>
      <c r="E77" s="152"/>
      <c r="F77" s="537"/>
      <c r="G77" s="537"/>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8"/>
      <c r="AF77" s="107"/>
      <c r="AG77" s="107"/>
      <c r="AH77" s="107"/>
      <c r="AI77" s="107"/>
      <c r="AJ77" s="107"/>
      <c r="AK77" s="107"/>
      <c r="AL77" s="107"/>
    </row>
    <row r="78" spans="1:38" ht="21.95" customHeight="1" x14ac:dyDescent="0.2">
      <c r="B78" s="273" t="s">
        <v>325</v>
      </c>
      <c r="C78" s="143" t="s">
        <v>215</v>
      </c>
      <c r="D78" s="274" t="s">
        <v>321</v>
      </c>
      <c r="E78" s="143" t="s">
        <v>503</v>
      </c>
      <c r="F78" s="522" cm="1">
        <f t="array" ref="F78:AE78">_xlfn.ANCHORARRAY(F45) /_xlfn.ANCHORARRAY( F74)</f>
        <v>520574.48533333349</v>
      </c>
      <c r="G78" s="522">
        <v>528769.90059041209</v>
      </c>
      <c r="H78" s="522">
        <v>537094.33644517139</v>
      </c>
      <c r="I78" s="522">
        <v>545549.82407164387</v>
      </c>
      <c r="J78" s="522">
        <v>554138.42662067292</v>
      </c>
      <c r="K78" s="522">
        <v>562862.23972333141</v>
      </c>
      <c r="L78" s="522">
        <v>571723.39200225717</v>
      </c>
      <c r="M78" s="522">
        <v>580724.04559103982</v>
      </c>
      <c r="N78" s="522">
        <v>589866.39666178171</v>
      </c>
      <c r="O78" s="522">
        <v>599152.67596097663</v>
      </c>
      <c r="P78" s="522">
        <v>608585.14935380139</v>
      </c>
      <c r="Q78" s="522">
        <v>618166.11837699893</v>
      </c>
      <c r="R78" s="522">
        <v>627897.92080045422</v>
      </c>
      <c r="S78" s="522">
        <v>637782.93119761162</v>
      </c>
      <c r="T78" s="522">
        <v>647823.56152488245</v>
      </c>
      <c r="U78" s="522">
        <v>658022.26171015284</v>
      </c>
      <c r="V78" s="522">
        <v>668381.52025057795</v>
      </c>
      <c r="W78" s="522">
        <v>678903.86481977743</v>
      </c>
      <c r="X78" s="522">
        <v>689591.86288458807</v>
      </c>
      <c r="Y78" s="522">
        <v>700448.12233153894</v>
      </c>
      <c r="Z78" s="522">
        <v>711475.29210316588</v>
      </c>
      <c r="AA78" s="522">
        <v>722676.06284436584</v>
      </c>
      <c r="AB78" s="522">
        <v>734053.1675589158</v>
      </c>
      <c r="AC78" s="522">
        <v>745609.38227632979</v>
      </c>
      <c r="AD78" s="522">
        <v>757347.52672921121</v>
      </c>
      <c r="AE78" s="523">
        <v>769270.46504128212</v>
      </c>
      <c r="AF78" s="5"/>
      <c r="AG78" s="5"/>
      <c r="AH78" s="5"/>
      <c r="AI78" s="5"/>
      <c r="AJ78" s="5"/>
      <c r="AK78" s="5"/>
      <c r="AL78" s="5"/>
    </row>
    <row r="79" spans="1:38" ht="21.95" customHeight="1" x14ac:dyDescent="0.2">
      <c r="B79" s="524" t="s">
        <v>81</v>
      </c>
      <c r="C79" s="525"/>
      <c r="D79" s="525"/>
      <c r="E79" s="143"/>
      <c r="F79" s="522"/>
      <c r="G79" s="522"/>
      <c r="H79" s="522"/>
      <c r="I79" s="522"/>
      <c r="J79" s="522"/>
      <c r="K79" s="522"/>
      <c r="L79" s="522"/>
      <c r="M79" s="522"/>
      <c r="N79" s="522"/>
      <c r="O79" s="522"/>
      <c r="P79" s="522"/>
      <c r="Q79" s="522"/>
      <c r="R79" s="522"/>
      <c r="S79" s="522"/>
      <c r="T79" s="522"/>
      <c r="U79" s="522"/>
      <c r="V79" s="522"/>
      <c r="W79" s="522"/>
      <c r="X79" s="522"/>
      <c r="Y79" s="522"/>
      <c r="Z79" s="522"/>
      <c r="AA79" s="522"/>
      <c r="AB79" s="522"/>
      <c r="AC79" s="522"/>
      <c r="AD79" s="522"/>
      <c r="AE79" s="523"/>
      <c r="AF79" s="5"/>
      <c r="AG79" s="5"/>
      <c r="AH79" s="5"/>
      <c r="AI79" s="5"/>
      <c r="AJ79" s="5"/>
      <c r="AK79" s="5"/>
      <c r="AL79" s="5"/>
    </row>
    <row r="80" spans="1:38" ht="21.95" customHeight="1" x14ac:dyDescent="0.2">
      <c r="B80" s="277"/>
      <c r="C80" s="143"/>
      <c r="D80" s="152"/>
      <c r="E80" s="153" t="s">
        <v>28</v>
      </c>
      <c r="F80" s="527" cm="1">
        <f t="array" ref="F80:AE80">_xlfn.ANCHORARRAY(F78)</f>
        <v>520574.48533333349</v>
      </c>
      <c r="G80" s="527">
        <v>528769.90059041209</v>
      </c>
      <c r="H80" s="527">
        <v>537094.33644517139</v>
      </c>
      <c r="I80" s="527">
        <v>545549.82407164387</v>
      </c>
      <c r="J80" s="527">
        <v>554138.42662067292</v>
      </c>
      <c r="K80" s="527">
        <v>562862.23972333141</v>
      </c>
      <c r="L80" s="527">
        <v>571723.39200225717</v>
      </c>
      <c r="M80" s="527">
        <v>580724.04559103982</v>
      </c>
      <c r="N80" s="527">
        <v>589866.39666178171</v>
      </c>
      <c r="O80" s="527">
        <v>599152.67596097663</v>
      </c>
      <c r="P80" s="527">
        <v>608585.14935380139</v>
      </c>
      <c r="Q80" s="527">
        <v>618166.11837699893</v>
      </c>
      <c r="R80" s="527">
        <v>627897.92080045422</v>
      </c>
      <c r="S80" s="527">
        <v>637782.93119761162</v>
      </c>
      <c r="T80" s="527">
        <v>647823.56152488245</v>
      </c>
      <c r="U80" s="527">
        <v>658022.26171015284</v>
      </c>
      <c r="V80" s="527">
        <v>668381.52025057795</v>
      </c>
      <c r="W80" s="527">
        <v>678903.86481977743</v>
      </c>
      <c r="X80" s="527">
        <v>689591.86288458807</v>
      </c>
      <c r="Y80" s="527">
        <v>700448.12233153894</v>
      </c>
      <c r="Z80" s="527">
        <v>711475.29210316588</v>
      </c>
      <c r="AA80" s="527">
        <v>722676.06284436584</v>
      </c>
      <c r="AB80" s="527">
        <v>734053.1675589158</v>
      </c>
      <c r="AC80" s="527">
        <v>745609.38227632979</v>
      </c>
      <c r="AD80" s="527">
        <v>757347.52672921121</v>
      </c>
      <c r="AE80" s="528">
        <v>769270.46504128212</v>
      </c>
      <c r="AF80" s="57"/>
      <c r="AG80" s="57"/>
      <c r="AH80" s="57"/>
      <c r="AI80" s="57"/>
      <c r="AJ80" s="57"/>
      <c r="AK80" s="57"/>
      <c r="AL80" s="57"/>
    </row>
    <row r="81" spans="1:38" ht="21.95" customHeight="1" x14ac:dyDescent="0.2">
      <c r="B81" s="273"/>
      <c r="C81" s="143"/>
      <c r="D81" s="274" t="s">
        <v>322</v>
      </c>
      <c r="E81" s="143" t="s">
        <v>503</v>
      </c>
      <c r="F81" s="522" cm="1">
        <f t="array" ref="F81:AE81">_xlfn.ANCHORARRAY(F48) /_xlfn.ANCHORARRAY( F76)</f>
        <v>1066542.8911334488</v>
      </c>
      <c r="G81" s="522">
        <v>1083333.4969281605</v>
      </c>
      <c r="H81" s="522">
        <v>1100388.4375614368</v>
      </c>
      <c r="I81" s="522">
        <v>1117711.8744618674</v>
      </c>
      <c r="J81" s="522">
        <v>1135308.0345714842</v>
      </c>
      <c r="K81" s="522">
        <v>1153181.2113771546</v>
      </c>
      <c r="L81" s="522">
        <v>1171335.7659581944</v>
      </c>
      <c r="M81" s="522">
        <v>1189776.1280504775</v>
      </c>
      <c r="N81" s="522">
        <v>1208506.797127292</v>
      </c>
      <c r="O81" s="522">
        <v>1227532.343497237</v>
      </c>
      <c r="P81" s="522">
        <v>1246857.4094193559</v>
      </c>
      <c r="Q81" s="522">
        <v>1266486.7102358728</v>
      </c>
      <c r="R81" s="522">
        <v>1286425.035522738</v>
      </c>
      <c r="S81" s="522">
        <v>1306677.2502582849</v>
      </c>
      <c r="T81" s="522">
        <v>1327248.2960103117</v>
      </c>
      <c r="U81" s="522">
        <v>1348143.1921418018</v>
      </c>
      <c r="V81" s="522">
        <v>1369367.0370356732</v>
      </c>
      <c r="W81" s="522">
        <v>1390925.0093387882</v>
      </c>
      <c r="X81" s="522">
        <v>1412822.3692255421</v>
      </c>
      <c r="Y81" s="522">
        <v>1435064.4596813761</v>
      </c>
      <c r="Z81" s="522">
        <v>1457656.7078064412</v>
      </c>
      <c r="AA81" s="522">
        <v>1480604.6261398387</v>
      </c>
      <c r="AB81" s="522">
        <v>1503913.8140046806</v>
      </c>
      <c r="AC81" s="522">
        <v>1527589.9588743341</v>
      </c>
      <c r="AD81" s="522">
        <v>1551638.8377601658</v>
      </c>
      <c r="AE81" s="523">
        <v>1576066.3186211642</v>
      </c>
      <c r="AF81" s="5"/>
      <c r="AG81" s="5"/>
      <c r="AH81" s="5"/>
      <c r="AI81" s="5"/>
      <c r="AJ81" s="5"/>
      <c r="AK81" s="5"/>
      <c r="AL81" s="5"/>
    </row>
    <row r="82" spans="1:38" ht="21.95" customHeight="1" x14ac:dyDescent="0.2">
      <c r="B82" s="524"/>
      <c r="C82" s="525"/>
      <c r="D82" s="525"/>
      <c r="E82" s="143"/>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2"/>
      <c r="AE82" s="523"/>
      <c r="AF82" s="5"/>
      <c r="AG82" s="5"/>
      <c r="AH82" s="5"/>
      <c r="AI82" s="5"/>
      <c r="AJ82" s="5"/>
      <c r="AK82" s="5"/>
      <c r="AL82" s="5"/>
    </row>
    <row r="83" spans="1:38" ht="21.95" customHeight="1" x14ac:dyDescent="0.2">
      <c r="B83" s="277"/>
      <c r="C83" s="143"/>
      <c r="D83" s="152"/>
      <c r="E83" s="153" t="s">
        <v>28</v>
      </c>
      <c r="F83" s="527" cm="1">
        <f t="array" ref="F83:AE83">_xlfn.ANCHORARRAY(F81)</f>
        <v>1066542.8911334488</v>
      </c>
      <c r="G83" s="527">
        <v>1083333.4969281605</v>
      </c>
      <c r="H83" s="527">
        <v>1100388.4375614368</v>
      </c>
      <c r="I83" s="527">
        <v>1117711.8744618674</v>
      </c>
      <c r="J83" s="527">
        <v>1135308.0345714842</v>
      </c>
      <c r="K83" s="527">
        <v>1153181.2113771546</v>
      </c>
      <c r="L83" s="527">
        <v>1171335.7659581944</v>
      </c>
      <c r="M83" s="527">
        <v>1189776.1280504775</v>
      </c>
      <c r="N83" s="527">
        <v>1208506.797127292</v>
      </c>
      <c r="O83" s="527">
        <v>1227532.343497237</v>
      </c>
      <c r="P83" s="527">
        <v>1246857.4094193559</v>
      </c>
      <c r="Q83" s="527">
        <v>1266486.7102358728</v>
      </c>
      <c r="R83" s="527">
        <v>1286425.035522738</v>
      </c>
      <c r="S83" s="527">
        <v>1306677.2502582849</v>
      </c>
      <c r="T83" s="527">
        <v>1327248.2960103117</v>
      </c>
      <c r="U83" s="527">
        <v>1348143.1921418018</v>
      </c>
      <c r="V83" s="527">
        <v>1369367.0370356732</v>
      </c>
      <c r="W83" s="527">
        <v>1390925.0093387882</v>
      </c>
      <c r="X83" s="527">
        <v>1412822.3692255421</v>
      </c>
      <c r="Y83" s="527">
        <v>1435064.4596813761</v>
      </c>
      <c r="Z83" s="527">
        <v>1457656.7078064412</v>
      </c>
      <c r="AA83" s="527">
        <v>1480604.6261398387</v>
      </c>
      <c r="AB83" s="527">
        <v>1503913.8140046806</v>
      </c>
      <c r="AC83" s="527">
        <v>1527589.9588743341</v>
      </c>
      <c r="AD83" s="527">
        <v>1551638.8377601658</v>
      </c>
      <c r="AE83" s="528">
        <v>1576066.3186211642</v>
      </c>
      <c r="AF83" s="57"/>
      <c r="AG83" s="57"/>
      <c r="AH83" s="57"/>
      <c r="AI83" s="57"/>
      <c r="AJ83" s="57"/>
      <c r="AK83" s="57"/>
      <c r="AL83" s="57"/>
    </row>
    <row r="84" spans="1:38" ht="21.95" customHeight="1" x14ac:dyDescent="0.2">
      <c r="B84" s="273"/>
      <c r="C84" s="143"/>
      <c r="D84" s="274" t="s">
        <v>26</v>
      </c>
      <c r="E84" s="143" t="s">
        <v>503</v>
      </c>
      <c r="F84" s="522" cm="1">
        <f t="array" ref="F84:AE84">_xlfn.ANCHORARRAY(F78) +_xlfn.ANCHORARRAY( F81)</f>
        <v>1587117.3764667823</v>
      </c>
      <c r="G84" s="522">
        <v>1612103.3975185726</v>
      </c>
      <c r="H84" s="522">
        <v>1637482.7740066082</v>
      </c>
      <c r="I84" s="522">
        <v>1663261.6985335113</v>
      </c>
      <c r="J84" s="522">
        <v>1689446.4611921571</v>
      </c>
      <c r="K84" s="522">
        <v>1716043.4511004859</v>
      </c>
      <c r="L84" s="522">
        <v>1743059.1579604517</v>
      </c>
      <c r="M84" s="522">
        <v>1770500.1736415173</v>
      </c>
      <c r="N84" s="522">
        <v>1798373.1937890737</v>
      </c>
      <c r="O84" s="522">
        <v>1826685.0194582136</v>
      </c>
      <c r="P84" s="522">
        <v>1855442.5587731572</v>
      </c>
      <c r="Q84" s="522">
        <v>1884652.8286128717</v>
      </c>
      <c r="R84" s="522">
        <v>1914322.9563231922</v>
      </c>
      <c r="S84" s="522">
        <v>1944460.1814558965</v>
      </c>
      <c r="T84" s="522">
        <v>1975071.8575351941</v>
      </c>
      <c r="U84" s="522">
        <v>2006165.4538519545</v>
      </c>
      <c r="V84" s="522">
        <v>2037748.5572862511</v>
      </c>
      <c r="W84" s="522">
        <v>2069828.8741585657</v>
      </c>
      <c r="X84" s="522">
        <v>2102414.2321101301</v>
      </c>
      <c r="Y84" s="522">
        <v>2135512.5820129151</v>
      </c>
      <c r="Z84" s="522">
        <v>2169131.9999096072</v>
      </c>
      <c r="AA84" s="522">
        <v>2203280.6889842045</v>
      </c>
      <c r="AB84" s="522">
        <v>2237966.9815635965</v>
      </c>
      <c r="AC84" s="522">
        <v>2273199.3411506638</v>
      </c>
      <c r="AD84" s="522">
        <v>2308986.364489377</v>
      </c>
      <c r="AE84" s="523">
        <v>2345336.7836624463</v>
      </c>
      <c r="AF84" s="5"/>
      <c r="AG84" s="5"/>
      <c r="AH84" s="5"/>
      <c r="AI84" s="5"/>
      <c r="AJ84" s="5"/>
      <c r="AK84" s="5"/>
      <c r="AL84" s="5"/>
    </row>
    <row r="85" spans="1:38" ht="21.95" customHeight="1" x14ac:dyDescent="0.2">
      <c r="B85" s="524"/>
      <c r="C85" s="525"/>
      <c r="D85" s="525"/>
      <c r="E85" s="143"/>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2"/>
      <c r="AE85" s="523"/>
      <c r="AF85" s="5"/>
      <c r="AG85" s="5"/>
      <c r="AH85" s="5"/>
      <c r="AI85" s="5"/>
      <c r="AJ85" s="5"/>
      <c r="AK85" s="5"/>
      <c r="AL85" s="5"/>
    </row>
    <row r="86" spans="1:38" ht="21.95" customHeight="1" x14ac:dyDescent="0.2">
      <c r="B86" s="290"/>
      <c r="C86" s="291"/>
      <c r="D86" s="291"/>
      <c r="E86" s="534" t="s">
        <v>257</v>
      </c>
      <c r="F86" s="535" cm="1">
        <f t="array" ref="F86:AE86">_xlfn.ANCHORARRAY(F84)</f>
        <v>1587117.3764667823</v>
      </c>
      <c r="G86" s="535">
        <v>1612103.3975185726</v>
      </c>
      <c r="H86" s="535">
        <v>1637482.7740066082</v>
      </c>
      <c r="I86" s="535">
        <v>1663261.6985335113</v>
      </c>
      <c r="J86" s="535">
        <v>1689446.4611921571</v>
      </c>
      <c r="K86" s="535">
        <v>1716043.4511004859</v>
      </c>
      <c r="L86" s="535">
        <v>1743059.1579604517</v>
      </c>
      <c r="M86" s="535">
        <v>1770500.1736415173</v>
      </c>
      <c r="N86" s="535">
        <v>1798373.1937890737</v>
      </c>
      <c r="O86" s="535">
        <v>1826685.0194582136</v>
      </c>
      <c r="P86" s="535">
        <v>1855442.5587731572</v>
      </c>
      <c r="Q86" s="535">
        <v>1884652.8286128717</v>
      </c>
      <c r="R86" s="535">
        <v>1914322.9563231922</v>
      </c>
      <c r="S86" s="535">
        <v>1944460.1814558965</v>
      </c>
      <c r="T86" s="535">
        <v>1975071.8575351941</v>
      </c>
      <c r="U86" s="535">
        <v>2006165.4538519545</v>
      </c>
      <c r="V86" s="535">
        <v>2037748.5572862511</v>
      </c>
      <c r="W86" s="535">
        <v>2069828.8741585657</v>
      </c>
      <c r="X86" s="535">
        <v>2102414.2321101301</v>
      </c>
      <c r="Y86" s="535">
        <v>2135512.5820129151</v>
      </c>
      <c r="Z86" s="535">
        <v>2169131.9999096072</v>
      </c>
      <c r="AA86" s="535">
        <v>2203280.6889842045</v>
      </c>
      <c r="AB86" s="535">
        <v>2237966.9815635965</v>
      </c>
      <c r="AC86" s="535">
        <v>2273199.3411506638</v>
      </c>
      <c r="AD86" s="535">
        <v>2308986.364489377</v>
      </c>
      <c r="AE86" s="536">
        <v>2345336.7836624463</v>
      </c>
      <c r="AF86" s="57"/>
      <c r="AG86" s="57"/>
      <c r="AH86" s="57"/>
      <c r="AI86" s="57"/>
      <c r="AJ86" s="57"/>
      <c r="AK86" s="57"/>
      <c r="AL86" s="57"/>
    </row>
    <row r="87" spans="1:38" ht="21.95" customHeight="1" x14ac:dyDescent="0.2">
      <c r="AB87"/>
      <c r="AE87" s="167"/>
    </row>
    <row r="88" spans="1:38" ht="21.95" customHeight="1" x14ac:dyDescent="0.2">
      <c r="AB88"/>
      <c r="AE88" s="167"/>
    </row>
    <row r="89" spans="1:38" ht="21.95" customHeight="1" x14ac:dyDescent="0.2">
      <c r="A89" s="505"/>
      <c r="B89" s="506" t="s">
        <v>45</v>
      </c>
      <c r="AB89"/>
    </row>
    <row r="90" spans="1:38" ht="21.95" customHeight="1" x14ac:dyDescent="0.2">
      <c r="AB90"/>
    </row>
    <row r="91" spans="1:38" s="7" customFormat="1" ht="21.95" customHeight="1" x14ac:dyDescent="0.2">
      <c r="B91" s="411"/>
      <c r="C91" s="410" t="s">
        <v>320</v>
      </c>
      <c r="D91" s="410" t="s">
        <v>74</v>
      </c>
      <c r="E91" s="410" t="s">
        <v>28</v>
      </c>
      <c r="F91" s="347" cm="1">
        <f t="array" ref="F91:AE91">year</f>
        <v>2022</v>
      </c>
      <c r="G91" s="347">
        <v>2023</v>
      </c>
      <c r="H91" s="347">
        <v>2024</v>
      </c>
      <c r="I91" s="347">
        <v>2025</v>
      </c>
      <c r="J91" s="347">
        <v>2026</v>
      </c>
      <c r="K91" s="347">
        <v>2027</v>
      </c>
      <c r="L91" s="347">
        <v>2028</v>
      </c>
      <c r="M91" s="347">
        <v>2029</v>
      </c>
      <c r="N91" s="347">
        <v>2030</v>
      </c>
      <c r="O91" s="347">
        <v>2031</v>
      </c>
      <c r="P91" s="347">
        <v>2032</v>
      </c>
      <c r="Q91" s="347">
        <v>2033</v>
      </c>
      <c r="R91" s="347">
        <v>2034</v>
      </c>
      <c r="S91" s="347">
        <v>2035</v>
      </c>
      <c r="T91" s="347">
        <v>2036</v>
      </c>
      <c r="U91" s="347">
        <v>2037</v>
      </c>
      <c r="V91" s="347">
        <v>2038</v>
      </c>
      <c r="W91" s="347">
        <v>2039</v>
      </c>
      <c r="X91" s="347">
        <v>2040</v>
      </c>
      <c r="Y91" s="347">
        <v>2041</v>
      </c>
      <c r="Z91" s="347">
        <v>2042</v>
      </c>
      <c r="AA91" s="347">
        <v>2043</v>
      </c>
      <c r="AB91" s="347">
        <v>2044</v>
      </c>
      <c r="AC91" s="347">
        <v>2045</v>
      </c>
      <c r="AD91" s="347">
        <v>2046</v>
      </c>
      <c r="AE91" s="348">
        <v>2047</v>
      </c>
      <c r="AF91" s="33"/>
      <c r="AG91" s="33"/>
      <c r="AH91" s="33"/>
      <c r="AI91" s="33"/>
      <c r="AJ91" s="33"/>
      <c r="AK91" s="33"/>
      <c r="AL91" s="33"/>
    </row>
    <row r="92" spans="1:38" ht="21.95" customHeight="1" x14ac:dyDescent="0.2">
      <c r="B92" s="273" t="s">
        <v>327</v>
      </c>
      <c r="C92" s="274" t="s">
        <v>321</v>
      </c>
      <c r="D92" s="143" t="s">
        <v>503</v>
      </c>
      <c r="E92" s="522">
        <f t="shared" ref="E92:E97" si="2">SUM(_xlfn.ANCHORARRAY(F92))</f>
        <v>806642.62367322017</v>
      </c>
      <c r="F92" s="522" cm="1">
        <f t="array" ref="F92:AE92">IF(year &gt; endYear,_xlfn.ANCHORARRAY( F60) -_xlfn.ANCHORARRAY( F78), 0)</f>
        <v>0</v>
      </c>
      <c r="G92" s="522">
        <v>0</v>
      </c>
      <c r="H92" s="522">
        <v>0</v>
      </c>
      <c r="I92" s="522">
        <v>0</v>
      </c>
      <c r="J92" s="522">
        <v>0</v>
      </c>
      <c r="K92" s="522">
        <v>0</v>
      </c>
      <c r="L92" s="522">
        <v>27751.603286634549</v>
      </c>
      <c r="M92" s="522">
        <v>28880.932741611032</v>
      </c>
      <c r="N92" s="522">
        <v>30039.74209028529</v>
      </c>
      <c r="O92" s="522">
        <v>31228.693157044821</v>
      </c>
      <c r="P92" s="522">
        <v>32448.461526514147</v>
      </c>
      <c r="Q92" s="522">
        <v>33699.736816639313</v>
      </c>
      <c r="R92" s="522">
        <v>34983.222957029357</v>
      </c>
      <c r="S92" s="522">
        <v>36299.63847264694</v>
      </c>
      <c r="T92" s="522">
        <v>37649.716772952117</v>
      </c>
      <c r="U92" s="522">
        <v>39034.206446603173</v>
      </c>
      <c r="V92" s="522">
        <v>40453.871561813634</v>
      </c>
      <c r="W92" s="522">
        <v>41909.491972480551</v>
      </c>
      <c r="X92" s="522">
        <v>43401.863630180946</v>
      </c>
      <c r="Y92" s="522">
        <v>44931.798902157461</v>
      </c>
      <c r="Z92" s="522">
        <v>46500.126895399299</v>
      </c>
      <c r="AA92" s="522">
        <v>48107.69378693297</v>
      </c>
      <c r="AB92" s="522">
        <v>49755.363160445471</v>
      </c>
      <c r="AC92" s="522">
        <v>51444.016349347774</v>
      </c>
      <c r="AD92" s="522">
        <v>53174.552786410786</v>
      </c>
      <c r="AE92" s="523">
        <v>54947.890360090532</v>
      </c>
      <c r="AF92" s="5"/>
      <c r="AG92" s="5"/>
      <c r="AH92" s="5"/>
      <c r="AI92" s="5"/>
      <c r="AJ92" s="5"/>
      <c r="AK92" s="5"/>
      <c r="AL92" s="5"/>
    </row>
    <row r="93" spans="1:38" ht="21.95" customHeight="1" x14ac:dyDescent="0.2">
      <c r="B93" s="524" t="s">
        <v>637</v>
      </c>
      <c r="C93" s="143"/>
      <c r="D93" s="143"/>
      <c r="E93" s="540"/>
      <c r="F93" s="522"/>
      <c r="G93" s="522"/>
      <c r="H93" s="522"/>
      <c r="I93" s="522"/>
      <c r="J93" s="522"/>
      <c r="K93" s="522"/>
      <c r="L93" s="522"/>
      <c r="M93" s="522"/>
      <c r="N93" s="522"/>
      <c r="O93" s="522"/>
      <c r="P93" s="522"/>
      <c r="Q93" s="522"/>
      <c r="R93" s="522"/>
      <c r="S93" s="522"/>
      <c r="T93" s="522"/>
      <c r="U93" s="522"/>
      <c r="V93" s="522"/>
      <c r="W93" s="522"/>
      <c r="X93" s="522"/>
      <c r="Y93" s="522"/>
      <c r="Z93" s="522"/>
      <c r="AA93" s="522"/>
      <c r="AB93" s="522"/>
      <c r="AC93" s="522"/>
      <c r="AD93" s="522"/>
      <c r="AE93" s="523"/>
      <c r="AF93" s="5"/>
      <c r="AG93" s="5"/>
      <c r="AH93" s="5"/>
      <c r="AI93" s="5"/>
      <c r="AJ93" s="5"/>
      <c r="AK93" s="5"/>
      <c r="AL93" s="5"/>
    </row>
    <row r="94" spans="1:38" ht="21.95" customHeight="1" x14ac:dyDescent="0.2">
      <c r="B94" s="277"/>
      <c r="C94" s="154"/>
      <c r="D94" s="153" t="s">
        <v>28</v>
      </c>
      <c r="E94" s="541">
        <f t="shared" si="2"/>
        <v>806642.62367322017</v>
      </c>
      <c r="F94" s="527" cm="1">
        <f t="array" ref="F94:AE94">_xlfn.ANCHORARRAY(F92)</f>
        <v>0</v>
      </c>
      <c r="G94" s="527">
        <v>0</v>
      </c>
      <c r="H94" s="527">
        <v>0</v>
      </c>
      <c r="I94" s="527">
        <v>0</v>
      </c>
      <c r="J94" s="527">
        <v>0</v>
      </c>
      <c r="K94" s="527">
        <v>0</v>
      </c>
      <c r="L94" s="527">
        <v>27751.603286634549</v>
      </c>
      <c r="M94" s="527">
        <v>28880.932741611032</v>
      </c>
      <c r="N94" s="527">
        <v>30039.74209028529</v>
      </c>
      <c r="O94" s="527">
        <v>31228.693157044821</v>
      </c>
      <c r="P94" s="527">
        <v>32448.461526514147</v>
      </c>
      <c r="Q94" s="527">
        <v>33699.736816639313</v>
      </c>
      <c r="R94" s="527">
        <v>34983.222957029357</v>
      </c>
      <c r="S94" s="527">
        <v>36299.63847264694</v>
      </c>
      <c r="T94" s="527">
        <v>37649.716772952117</v>
      </c>
      <c r="U94" s="527">
        <v>39034.206446603173</v>
      </c>
      <c r="V94" s="527">
        <v>40453.871561813634</v>
      </c>
      <c r="W94" s="527">
        <v>41909.491972480551</v>
      </c>
      <c r="X94" s="527">
        <v>43401.863630180946</v>
      </c>
      <c r="Y94" s="527">
        <v>44931.798902157461</v>
      </c>
      <c r="Z94" s="527">
        <v>46500.126895399299</v>
      </c>
      <c r="AA94" s="527">
        <v>48107.69378693297</v>
      </c>
      <c r="AB94" s="527">
        <v>49755.363160445471</v>
      </c>
      <c r="AC94" s="527">
        <v>51444.016349347774</v>
      </c>
      <c r="AD94" s="527">
        <v>53174.552786410786</v>
      </c>
      <c r="AE94" s="528">
        <v>54947.890360090532</v>
      </c>
      <c r="AF94" s="57"/>
      <c r="AG94" s="57"/>
      <c r="AH94" s="57"/>
      <c r="AI94" s="57"/>
      <c r="AJ94" s="57"/>
      <c r="AK94" s="57"/>
      <c r="AL94" s="57"/>
    </row>
    <row r="95" spans="1:38" ht="21.95" customHeight="1" x14ac:dyDescent="0.2">
      <c r="B95" s="273"/>
      <c r="C95" s="274" t="s">
        <v>322</v>
      </c>
      <c r="D95" s="143" t="s">
        <v>503</v>
      </c>
      <c r="E95" s="522">
        <f t="shared" si="2"/>
        <v>1129978.0489355151</v>
      </c>
      <c r="F95" s="522" cm="1">
        <f t="array" ref="F95:AE95">IF(year &gt; endYear,_xlfn.ANCHORARRAY( F63) -_xlfn.ANCHORARRAY( F81), 0)</f>
        <v>0</v>
      </c>
      <c r="G95" s="522">
        <v>0</v>
      </c>
      <c r="H95" s="522">
        <v>0</v>
      </c>
      <c r="I95" s="522">
        <v>0</v>
      </c>
      <c r="J95" s="522">
        <v>0</v>
      </c>
      <c r="K95" s="522">
        <v>0</v>
      </c>
      <c r="L95" s="522">
        <v>48510.196866623592</v>
      </c>
      <c r="M95" s="522">
        <v>49273.89585816185</v>
      </c>
      <c r="N95" s="522">
        <v>50049.617809559219</v>
      </c>
      <c r="O95" s="522">
        <v>50837.551999007119</v>
      </c>
      <c r="P95" s="522">
        <v>51637.890684513841</v>
      </c>
      <c r="Q95" s="522">
        <v>52450.829150819685</v>
      </c>
      <c r="R95" s="522">
        <v>53276.56575704203</v>
      </c>
      <c r="S95" s="522">
        <v>54115.301985079423</v>
      </c>
      <c r="T95" s="522">
        <v>54967.242488772376</v>
      </c>
      <c r="U95" s="522">
        <v>55832.59514383832</v>
      </c>
      <c r="V95" s="522">
        <v>56711.571098595159</v>
      </c>
      <c r="W95" s="522">
        <v>57604.384825482499</v>
      </c>
      <c r="X95" s="522">
        <v>58511.254173391499</v>
      </c>
      <c r="Y95" s="522">
        <v>59432.400420822669</v>
      </c>
      <c r="Z95" s="522">
        <v>60368.04832987627</v>
      </c>
      <c r="AA95" s="522">
        <v>61318.426201097434</v>
      </c>
      <c r="AB95" s="522">
        <v>62283.765929179965</v>
      </c>
      <c r="AC95" s="522">
        <v>63264.303059549304</v>
      </c>
      <c r="AD95" s="522">
        <v>64260.276845838642</v>
      </c>
      <c r="AE95" s="523">
        <v>65271.930308264215</v>
      </c>
      <c r="AF95" s="5"/>
      <c r="AG95" s="5"/>
      <c r="AH95" s="5"/>
      <c r="AI95" s="5"/>
      <c r="AJ95" s="5"/>
      <c r="AK95" s="5"/>
      <c r="AL95" s="5"/>
    </row>
    <row r="96" spans="1:38" ht="21.95" customHeight="1" x14ac:dyDescent="0.2">
      <c r="B96" s="524"/>
      <c r="C96" s="143"/>
      <c r="D96" s="143"/>
      <c r="E96" s="540"/>
      <c r="F96" s="522"/>
      <c r="G96" s="522"/>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3"/>
      <c r="AF96" s="5"/>
      <c r="AG96" s="5"/>
      <c r="AH96" s="5"/>
      <c r="AI96" s="5"/>
      <c r="AJ96" s="5"/>
      <c r="AK96" s="5"/>
      <c r="AL96" s="5"/>
    </row>
    <row r="97" spans="2:38" ht="21.95" customHeight="1" x14ac:dyDescent="0.2">
      <c r="B97" s="290"/>
      <c r="C97" s="331"/>
      <c r="D97" s="534" t="s">
        <v>28</v>
      </c>
      <c r="E97" s="542">
        <f t="shared" si="2"/>
        <v>1129978.0489355151</v>
      </c>
      <c r="F97" s="535" cm="1">
        <f t="array" ref="F97:AE97">_xlfn.ANCHORARRAY(F95)</f>
        <v>0</v>
      </c>
      <c r="G97" s="535">
        <v>0</v>
      </c>
      <c r="H97" s="535">
        <v>0</v>
      </c>
      <c r="I97" s="535">
        <v>0</v>
      </c>
      <c r="J97" s="535">
        <v>0</v>
      </c>
      <c r="K97" s="535">
        <v>0</v>
      </c>
      <c r="L97" s="535">
        <v>48510.196866623592</v>
      </c>
      <c r="M97" s="535">
        <v>49273.89585816185</v>
      </c>
      <c r="N97" s="535">
        <v>50049.617809559219</v>
      </c>
      <c r="O97" s="535">
        <v>50837.551999007119</v>
      </c>
      <c r="P97" s="535">
        <v>51637.890684513841</v>
      </c>
      <c r="Q97" s="535">
        <v>52450.829150819685</v>
      </c>
      <c r="R97" s="535">
        <v>53276.56575704203</v>
      </c>
      <c r="S97" s="535">
        <v>54115.301985079423</v>
      </c>
      <c r="T97" s="535">
        <v>54967.242488772376</v>
      </c>
      <c r="U97" s="535">
        <v>55832.59514383832</v>
      </c>
      <c r="V97" s="535">
        <v>56711.571098595159</v>
      </c>
      <c r="W97" s="535">
        <v>57604.384825482499</v>
      </c>
      <c r="X97" s="535">
        <v>58511.254173391499</v>
      </c>
      <c r="Y97" s="535">
        <v>59432.400420822669</v>
      </c>
      <c r="Z97" s="535">
        <v>60368.04832987627</v>
      </c>
      <c r="AA97" s="535">
        <v>61318.426201097434</v>
      </c>
      <c r="AB97" s="535">
        <v>62283.765929179965</v>
      </c>
      <c r="AC97" s="535">
        <v>63264.303059549304</v>
      </c>
      <c r="AD97" s="535">
        <v>64260.276845838642</v>
      </c>
      <c r="AE97" s="536">
        <v>65271.930308264215</v>
      </c>
      <c r="AF97" s="57"/>
      <c r="AG97" s="57"/>
      <c r="AH97" s="57"/>
      <c r="AI97" s="57"/>
      <c r="AJ97" s="57"/>
      <c r="AK97" s="57"/>
      <c r="AL97" s="57"/>
    </row>
  </sheetData>
  <mergeCells count="6">
    <mergeCell ref="I7:J7"/>
    <mergeCell ref="K7:L7"/>
    <mergeCell ref="B7:B8"/>
    <mergeCell ref="E7:E8"/>
    <mergeCell ref="F7:G7"/>
    <mergeCell ref="H7:H8"/>
  </mergeCells>
  <hyperlinks>
    <hyperlink ref="B17" location="Speed!B43" display="2045 Speed Estimation" xr:uid="{600D2B0F-95F2-4651-B956-D79A73A68036}"/>
  </hyperlinks>
  <pageMargins left="0.7" right="0.7" top="0.75" bottom="0.75" header="0.3" footer="0.3"/>
  <pageSetup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C4BE7-3846-4196-997F-63950000EDD1}">
  <sheetPr>
    <tabColor theme="9"/>
  </sheetPr>
  <dimension ref="A1:AL173"/>
  <sheetViews>
    <sheetView zoomScale="70" zoomScaleNormal="70" workbookViewId="0">
      <selection activeCell="K185" sqref="K185"/>
    </sheetView>
  </sheetViews>
  <sheetFormatPr defaultColWidth="11.625" defaultRowHeight="21.95" customHeight="1" x14ac:dyDescent="0.2"/>
  <cols>
    <col min="1" max="1" width="3.375" customWidth="1"/>
    <col min="2" max="2" width="50.625" customWidth="1"/>
    <col min="3" max="3" width="16.625" bestFit="1" customWidth="1"/>
    <col min="4" max="4" width="19" customWidth="1"/>
    <col min="5" max="5" width="16" bestFit="1" customWidth="1"/>
    <col min="6" max="7" width="14.75" style="2" customWidth="1"/>
    <col min="8" max="8" width="36.125" style="2" bestFit="1" customWidth="1"/>
    <col min="9" max="15" width="14.75" style="2" customWidth="1"/>
    <col min="16" max="16" width="15.875" bestFit="1" customWidth="1"/>
    <col min="17" max="38" width="14.75" customWidth="1"/>
  </cols>
  <sheetData>
    <row r="1" spans="1:27" ht="21.95" customHeight="1" x14ac:dyDescent="0.2">
      <c r="E1" s="12"/>
      <c r="F1" s="12"/>
      <c r="G1" s="12"/>
      <c r="H1" s="12"/>
      <c r="I1" s="12"/>
      <c r="J1" s="12"/>
      <c r="K1" s="12"/>
      <c r="L1" s="12"/>
      <c r="M1" s="12"/>
      <c r="N1" s="12"/>
      <c r="O1" s="12"/>
      <c r="P1" s="12"/>
      <c r="Q1" s="12"/>
      <c r="R1" s="12"/>
      <c r="S1" s="12"/>
      <c r="T1" s="12"/>
      <c r="U1" s="12"/>
      <c r="V1" s="12"/>
      <c r="W1" s="12"/>
      <c r="X1" s="12"/>
      <c r="Y1" s="12"/>
      <c r="Z1" s="12"/>
      <c r="AA1" s="12"/>
    </row>
    <row r="2" spans="1:27" ht="23.25" x14ac:dyDescent="0.2">
      <c r="B2" s="242" t="s">
        <v>15</v>
      </c>
      <c r="C2" s="10"/>
      <c r="D2" s="10"/>
      <c r="E2" s="12"/>
      <c r="F2" s="12"/>
      <c r="G2" s="12"/>
      <c r="H2" s="12"/>
      <c r="I2" s="12"/>
      <c r="J2" s="12"/>
      <c r="K2" s="12"/>
      <c r="L2" s="12"/>
      <c r="M2" s="12"/>
      <c r="N2" s="12"/>
      <c r="O2" s="12"/>
      <c r="P2" s="12"/>
      <c r="Q2" s="12"/>
      <c r="R2" s="12"/>
      <c r="S2" s="12"/>
      <c r="T2" s="12"/>
      <c r="U2" s="12"/>
      <c r="V2" s="12"/>
      <c r="W2" s="12"/>
      <c r="X2" s="12"/>
      <c r="Y2" s="12"/>
      <c r="Z2" s="12"/>
      <c r="AA2" s="12"/>
    </row>
    <row r="3" spans="1:27" ht="21.95" customHeight="1" x14ac:dyDescent="0.2">
      <c r="E3" s="12"/>
      <c r="F3" s="12"/>
      <c r="G3" s="12"/>
      <c r="H3" s="12"/>
      <c r="I3" s="12"/>
      <c r="J3" s="12"/>
      <c r="K3" s="12"/>
      <c r="L3" s="12"/>
      <c r="M3" s="12"/>
      <c r="N3" s="12"/>
      <c r="O3" s="12"/>
      <c r="P3" s="12"/>
      <c r="Q3" s="12"/>
      <c r="R3" s="12"/>
      <c r="S3" s="12"/>
      <c r="T3" s="12"/>
      <c r="U3" s="12"/>
      <c r="V3" s="12"/>
      <c r="W3" s="12"/>
      <c r="X3" s="12"/>
      <c r="Y3" s="12"/>
      <c r="Z3" s="12"/>
      <c r="AA3" s="12"/>
    </row>
    <row r="4" spans="1:27" ht="21.95" customHeight="1" x14ac:dyDescent="0.2">
      <c r="B4" s="172" t="s">
        <v>338</v>
      </c>
      <c r="E4" s="12"/>
      <c r="F4" s="12"/>
      <c r="G4" s="12"/>
      <c r="H4" s="12"/>
      <c r="I4" s="12"/>
      <c r="J4" s="12"/>
      <c r="K4" s="12"/>
      <c r="L4" s="12"/>
      <c r="M4" s="12"/>
      <c r="N4" s="12"/>
      <c r="O4" s="12"/>
      <c r="P4" s="12"/>
      <c r="Q4" s="12"/>
      <c r="R4" s="12"/>
      <c r="S4" s="12"/>
      <c r="T4" s="12"/>
      <c r="U4" s="12"/>
      <c r="V4" s="12"/>
      <c r="W4" s="12"/>
      <c r="X4" s="12"/>
      <c r="Y4" s="12"/>
      <c r="Z4" s="12"/>
      <c r="AA4" s="12"/>
    </row>
    <row r="5" spans="1:27" ht="21.95" customHeight="1" x14ac:dyDescent="0.2">
      <c r="B5" s="173" t="s">
        <v>615</v>
      </c>
      <c r="E5" s="12"/>
      <c r="F5" s="12"/>
      <c r="G5" s="12"/>
      <c r="H5" s="12"/>
      <c r="I5" s="12"/>
      <c r="J5" s="12"/>
      <c r="K5" s="12"/>
      <c r="L5" s="12"/>
      <c r="M5" s="7"/>
      <c r="N5" s="12"/>
      <c r="O5" s="12"/>
      <c r="P5" s="12"/>
      <c r="Q5" s="12"/>
      <c r="R5" s="12"/>
      <c r="S5" s="12"/>
      <c r="T5" s="12"/>
      <c r="U5" s="12"/>
      <c r="V5" s="12"/>
      <c r="W5" s="12"/>
      <c r="X5" s="12"/>
      <c r="Y5" s="12"/>
      <c r="Z5" s="12"/>
      <c r="AA5" s="12"/>
    </row>
    <row r="6" spans="1:27" ht="21.95" customHeight="1" x14ac:dyDescent="0.2">
      <c r="B6" s="173"/>
      <c r="E6" s="12"/>
      <c r="F6" s="12"/>
      <c r="G6" s="12"/>
      <c r="H6" s="12"/>
      <c r="I6" s="12"/>
      <c r="J6" s="12"/>
      <c r="K6" s="12"/>
      <c r="L6" s="12"/>
      <c r="M6" s="12"/>
      <c r="N6" s="12"/>
      <c r="O6" s="12"/>
      <c r="P6" s="12"/>
      <c r="Q6" s="12"/>
      <c r="R6" s="12"/>
      <c r="S6" s="12"/>
      <c r="T6" s="12"/>
      <c r="U6" s="12"/>
      <c r="V6" s="12"/>
      <c r="W6" s="12"/>
      <c r="X6" s="12"/>
      <c r="Y6" s="12"/>
      <c r="Z6" s="12"/>
      <c r="AA6" s="12"/>
    </row>
    <row r="7" spans="1:27" ht="21.95" customHeight="1" x14ac:dyDescent="0.2">
      <c r="E7" s="12"/>
      <c r="F7" s="12"/>
      <c r="G7" s="12"/>
      <c r="H7" s="12"/>
      <c r="I7" s="12"/>
      <c r="J7" s="12"/>
      <c r="K7" s="12"/>
      <c r="L7" s="12"/>
      <c r="M7" s="12"/>
      <c r="N7" s="12"/>
      <c r="O7" s="12"/>
      <c r="P7" s="12"/>
      <c r="Q7" s="12"/>
      <c r="R7" s="12"/>
      <c r="S7" s="12"/>
      <c r="T7" s="12"/>
      <c r="U7" s="12"/>
      <c r="V7" s="12"/>
      <c r="W7" s="12"/>
      <c r="X7" s="12"/>
      <c r="Y7" s="12"/>
      <c r="Z7" s="12"/>
      <c r="AA7" s="12"/>
    </row>
    <row r="8" spans="1:27" ht="21.95" customHeight="1" x14ac:dyDescent="0.2">
      <c r="A8" s="505"/>
      <c r="B8" s="506" t="s">
        <v>0</v>
      </c>
      <c r="E8" s="12"/>
      <c r="F8" s="12"/>
      <c r="G8" s="12"/>
      <c r="H8" s="12"/>
      <c r="I8" s="12"/>
      <c r="J8" s="12"/>
      <c r="K8" s="12"/>
      <c r="L8" s="12"/>
      <c r="M8" s="12"/>
      <c r="N8" s="12"/>
      <c r="O8" s="12"/>
      <c r="P8" s="12"/>
      <c r="Q8" s="12"/>
      <c r="R8" s="12"/>
      <c r="S8" s="12"/>
      <c r="T8" s="12"/>
      <c r="U8" s="12"/>
      <c r="V8" s="12"/>
      <c r="W8" s="12"/>
      <c r="X8" s="12"/>
      <c r="Y8" s="12"/>
      <c r="Z8" s="12"/>
      <c r="AA8" s="12"/>
    </row>
    <row r="9" spans="1:27" ht="21.95" customHeight="1" x14ac:dyDescent="0.2">
      <c r="A9" s="14"/>
      <c r="B9" s="15"/>
      <c r="C9" s="15"/>
      <c r="D9" s="15"/>
      <c r="E9" s="12"/>
      <c r="F9" s="12"/>
      <c r="G9" s="12"/>
      <c r="H9" s="12"/>
      <c r="I9" s="12"/>
      <c r="J9" s="12"/>
      <c r="K9" s="12"/>
      <c r="L9" s="12"/>
      <c r="M9" s="12"/>
      <c r="N9" s="12"/>
      <c r="O9" s="12"/>
      <c r="P9" s="12"/>
      <c r="Q9" s="12"/>
      <c r="R9" s="12"/>
      <c r="S9" s="12"/>
      <c r="T9" s="12"/>
      <c r="U9" s="12"/>
      <c r="V9" s="12"/>
      <c r="W9" s="12"/>
      <c r="X9" s="12"/>
      <c r="Y9" s="12"/>
      <c r="Z9" s="12"/>
      <c r="AA9" s="12"/>
    </row>
    <row r="10" spans="1:27" ht="21.95" customHeight="1" x14ac:dyDescent="0.2">
      <c r="A10" s="14"/>
      <c r="B10" s="369" t="s">
        <v>184</v>
      </c>
      <c r="C10" s="1"/>
      <c r="D10" s="1"/>
      <c r="H10" s="369" t="s">
        <v>37</v>
      </c>
      <c r="I10"/>
      <c r="J10"/>
      <c r="K10"/>
      <c r="O10"/>
      <c r="Q10" s="12"/>
      <c r="R10" s="12"/>
      <c r="S10" s="12"/>
      <c r="T10" s="12"/>
      <c r="U10" s="12"/>
      <c r="V10" s="12"/>
      <c r="W10" s="12"/>
      <c r="X10" s="12"/>
      <c r="Y10" s="12"/>
      <c r="Z10" s="12"/>
      <c r="AA10" s="12"/>
    </row>
    <row r="11" spans="1:27" ht="40.35" customHeight="1" x14ac:dyDescent="0.2">
      <c r="B11" s="811" t="s">
        <v>30</v>
      </c>
      <c r="C11" s="813" t="s">
        <v>21</v>
      </c>
      <c r="D11" s="813" t="s">
        <v>73</v>
      </c>
      <c r="E11" s="818" t="s">
        <v>180</v>
      </c>
      <c r="F11" s="819"/>
      <c r="G11"/>
      <c r="H11" s="411" t="s">
        <v>1</v>
      </c>
      <c r="I11" s="410"/>
      <c r="J11" s="410"/>
      <c r="K11" s="410" t="s">
        <v>2</v>
      </c>
      <c r="L11" s="547" t="s">
        <v>3</v>
      </c>
      <c r="Q11" s="12"/>
      <c r="S11" s="12"/>
      <c r="T11" s="12"/>
      <c r="U11" s="12"/>
      <c r="V11" s="12"/>
      <c r="W11" s="12"/>
      <c r="X11" s="12"/>
      <c r="Y11" s="12"/>
    </row>
    <row r="12" spans="1:27" s="4" customFormat="1" ht="21.95" customHeight="1" x14ac:dyDescent="0.2">
      <c r="A12"/>
      <c r="B12" s="812"/>
      <c r="C12" s="814" t="s">
        <v>21</v>
      </c>
      <c r="D12" s="817" t="s">
        <v>21</v>
      </c>
      <c r="E12" s="548">
        <v>2022</v>
      </c>
      <c r="F12" s="551">
        <v>2048</v>
      </c>
      <c r="G12"/>
      <c r="H12" s="277" t="s">
        <v>210</v>
      </c>
      <c r="I12" s="143"/>
      <c r="J12" s="143"/>
      <c r="K12" s="365" t="s">
        <v>179</v>
      </c>
      <c r="L12" s="516">
        <f>Inputs!$H$18</f>
        <v>2</v>
      </c>
      <c r="Q12" s="12"/>
      <c r="R12" s="12"/>
      <c r="S12" s="12"/>
      <c r="T12" s="12"/>
      <c r="U12" s="12"/>
      <c r="V12" s="13"/>
      <c r="W12" s="13"/>
      <c r="X12" s="13"/>
      <c r="Y12" s="13"/>
    </row>
    <row r="13" spans="1:27" ht="21.95" customHeight="1" x14ac:dyDescent="0.2">
      <c r="B13" s="277" t="s">
        <v>9</v>
      </c>
      <c r="C13" s="143" t="s">
        <v>505</v>
      </c>
      <c r="D13" s="143" t="s">
        <v>176</v>
      </c>
      <c r="E13" s="550">
        <f>Inputs!E50</f>
        <v>0.23846153846153847</v>
      </c>
      <c r="F13" s="552">
        <f>Inputs!E51</f>
        <v>2.1938461538461538</v>
      </c>
      <c r="G13"/>
      <c r="H13" s="280" t="s">
        <v>211</v>
      </c>
      <c r="I13" s="152"/>
      <c r="J13" s="152"/>
      <c r="K13" s="353" t="s">
        <v>179</v>
      </c>
      <c r="L13" s="517">
        <f>Inputs!$H$19</f>
        <v>2</v>
      </c>
      <c r="M13"/>
      <c r="N13"/>
      <c r="O13"/>
      <c r="Q13" s="12"/>
      <c r="S13" s="12"/>
      <c r="T13" s="168"/>
      <c r="U13" s="12"/>
      <c r="V13" s="12"/>
      <c r="W13" s="12"/>
      <c r="X13" s="12"/>
      <c r="Y13" s="12"/>
    </row>
    <row r="14" spans="1:27" ht="21.95" customHeight="1" x14ac:dyDescent="0.2">
      <c r="B14" s="277"/>
      <c r="C14" s="152"/>
      <c r="D14" s="152" t="s">
        <v>140</v>
      </c>
      <c r="E14" s="549">
        <f>Inputs!E52</f>
        <v>0.7153846153846154</v>
      </c>
      <c r="F14" s="553">
        <f>Inputs!E53</f>
        <v>4.8169230769230769</v>
      </c>
      <c r="G14"/>
      <c r="H14" s="557" t="s">
        <v>202</v>
      </c>
      <c r="I14" s="353"/>
      <c r="J14" s="353"/>
      <c r="K14" s="353" t="s">
        <v>178</v>
      </c>
      <c r="L14" s="558">
        <f>Inputs!$H$21</f>
        <v>0.32800000000000001</v>
      </c>
      <c r="M14"/>
      <c r="N14"/>
      <c r="O14"/>
      <c r="Q14" s="12"/>
      <c r="S14" s="12"/>
      <c r="T14" s="12"/>
      <c r="U14" s="12"/>
      <c r="V14" s="12"/>
      <c r="W14" s="12"/>
      <c r="X14" s="12"/>
      <c r="Y14" s="12"/>
    </row>
    <row r="15" spans="1:27" ht="21.95" customHeight="1" x14ac:dyDescent="0.2">
      <c r="B15" s="277"/>
      <c r="C15" s="143"/>
      <c r="D15" s="143"/>
      <c r="E15" s="550"/>
      <c r="F15" s="552"/>
      <c r="G15"/>
      <c r="H15" s="277" t="s">
        <v>247</v>
      </c>
      <c r="I15" s="143"/>
      <c r="J15" s="143"/>
      <c r="K15" s="143" t="s">
        <v>13</v>
      </c>
      <c r="L15" s="559">
        <f>occupancyAutos</f>
        <v>1.67</v>
      </c>
      <c r="M15"/>
      <c r="N15"/>
      <c r="O15"/>
      <c r="Q15" s="12"/>
      <c r="S15" s="12"/>
      <c r="T15" s="12"/>
      <c r="U15" s="12"/>
      <c r="V15" s="12"/>
      <c r="W15" s="12"/>
      <c r="X15" s="12"/>
      <c r="Y15" s="12"/>
    </row>
    <row r="16" spans="1:27" ht="21.95" customHeight="1" x14ac:dyDescent="0.2">
      <c r="B16" s="280"/>
      <c r="C16" s="152"/>
      <c r="D16" s="152"/>
      <c r="E16" s="549"/>
      <c r="F16" s="553"/>
      <c r="G16"/>
      <c r="H16" s="277" t="s">
        <v>246</v>
      </c>
      <c r="I16" s="353"/>
      <c r="J16" s="353"/>
      <c r="K16" s="143" t="s">
        <v>13</v>
      </c>
      <c r="L16" s="560">
        <f>occupancyTrucks</f>
        <v>1</v>
      </c>
      <c r="M16"/>
      <c r="N16"/>
      <c r="O16"/>
      <c r="Q16" s="12"/>
      <c r="S16" s="12"/>
      <c r="T16" s="12"/>
      <c r="U16" s="12"/>
      <c r="V16" s="12"/>
      <c r="W16" s="12"/>
      <c r="X16" s="12"/>
      <c r="Y16" s="12"/>
    </row>
    <row r="17" spans="2:38" ht="21.95" customHeight="1" x14ac:dyDescent="0.2">
      <c r="B17" s="277" t="s">
        <v>10</v>
      </c>
      <c r="C17" s="143" t="s">
        <v>505</v>
      </c>
      <c r="D17" s="143" t="s">
        <v>176</v>
      </c>
      <c r="E17" s="550">
        <f>Inputs!E54</f>
        <v>0.1907692307692308</v>
      </c>
      <c r="F17" s="552">
        <f>Inputs!E55</f>
        <v>1.6692307692307693</v>
      </c>
      <c r="G17"/>
      <c r="H17" s="322" t="s">
        <v>255</v>
      </c>
      <c r="I17" s="323"/>
      <c r="J17" s="323"/>
      <c r="K17" s="323" t="str">
        <f>Inputs!D23</f>
        <v>2021$/hour</v>
      </c>
      <c r="L17" s="561">
        <f>VTTSAutos</f>
        <v>18.8</v>
      </c>
      <c r="M17"/>
      <c r="N17"/>
      <c r="O17"/>
      <c r="Q17" s="12"/>
      <c r="S17" s="12"/>
      <c r="T17" s="12"/>
      <c r="U17" s="12"/>
      <c r="V17" s="12"/>
      <c r="W17" s="12"/>
      <c r="X17" s="12"/>
      <c r="Y17" s="12"/>
    </row>
    <row r="18" spans="2:38" ht="21.95" customHeight="1" x14ac:dyDescent="0.2">
      <c r="B18" s="290"/>
      <c r="C18" s="291"/>
      <c r="D18" s="291" t="s">
        <v>140</v>
      </c>
      <c r="E18" s="554">
        <f>Inputs!E56</f>
        <v>0.1907692307692308</v>
      </c>
      <c r="F18" s="555">
        <f>Inputs!E56</f>
        <v>0.1907692307692308</v>
      </c>
      <c r="G18"/>
      <c r="H18" s="290" t="s">
        <v>256</v>
      </c>
      <c r="I18" s="291"/>
      <c r="J18" s="291"/>
      <c r="K18" s="291" t="str">
        <f>Inputs!D24</f>
        <v>2021$/hour</v>
      </c>
      <c r="L18" s="562">
        <f>VTTSTrucks</f>
        <v>32.4</v>
      </c>
      <c r="M18"/>
      <c r="N18"/>
      <c r="O18"/>
      <c r="S18" s="12"/>
      <c r="T18" s="12"/>
      <c r="U18" s="12"/>
      <c r="V18" s="12"/>
      <c r="W18" s="12"/>
      <c r="X18" s="12"/>
      <c r="Y18" s="12"/>
    </row>
    <row r="19" spans="2:38" ht="21.95" customHeight="1" x14ac:dyDescent="0.2">
      <c r="B19" s="9"/>
      <c r="E19" s="124"/>
      <c r="F19" s="124"/>
      <c r="G19" s="12"/>
      <c r="H19"/>
      <c r="I19"/>
      <c r="J19"/>
      <c r="K19"/>
      <c r="L19"/>
      <c r="M19"/>
      <c r="N19"/>
      <c r="O19"/>
      <c r="S19" s="12"/>
      <c r="T19" s="12"/>
      <c r="U19" s="12"/>
      <c r="V19" s="12"/>
      <c r="W19" s="12"/>
      <c r="X19" s="12"/>
      <c r="Y19" s="12"/>
    </row>
    <row r="20" spans="2:38" ht="21.95" customHeight="1" x14ac:dyDescent="0.2">
      <c r="B20" s="50"/>
      <c r="C20" s="50"/>
      <c r="D20" s="50"/>
      <c r="E20" s="52"/>
      <c r="F20" s="52"/>
      <c r="G20" s="12"/>
      <c r="H20"/>
      <c r="I20"/>
      <c r="J20"/>
      <c r="K20"/>
      <c r="L20"/>
      <c r="M20"/>
      <c r="N20"/>
      <c r="O20" s="12"/>
      <c r="P20" s="12"/>
      <c r="Q20" s="12"/>
      <c r="R20" s="12"/>
      <c r="S20" s="12"/>
      <c r="T20" s="12"/>
      <c r="U20" s="12"/>
      <c r="V20" s="12"/>
      <c r="W20" s="12"/>
      <c r="X20" s="12"/>
      <c r="Y20" s="12"/>
    </row>
    <row r="21" spans="2:38" ht="21.95" customHeight="1" x14ac:dyDescent="0.2">
      <c r="E21" s="12"/>
      <c r="F21" s="12"/>
      <c r="G21" s="12"/>
      <c r="H21"/>
      <c r="I21"/>
      <c r="J21"/>
      <c r="K21"/>
      <c r="L21"/>
      <c r="M21"/>
      <c r="N21"/>
      <c r="O21" s="12"/>
      <c r="P21" s="12"/>
      <c r="Q21" s="12"/>
      <c r="R21" s="12"/>
      <c r="S21" s="12"/>
      <c r="T21" s="12"/>
      <c r="U21" s="12"/>
      <c r="V21" s="12"/>
      <c r="W21" s="12"/>
      <c r="X21" s="12"/>
      <c r="Y21" s="12"/>
    </row>
    <row r="22" spans="2:38" ht="21.95" customHeight="1" x14ac:dyDescent="0.2">
      <c r="B22" s="369" t="s">
        <v>254</v>
      </c>
      <c r="C22" s="12"/>
      <c r="D22" s="2"/>
      <c r="E22" s="12"/>
      <c r="F22" s="12"/>
      <c r="G22" s="12"/>
      <c r="H22" s="12"/>
      <c r="I22"/>
      <c r="J22"/>
      <c r="K22"/>
      <c r="L22"/>
      <c r="M22"/>
      <c r="N22"/>
      <c r="O22" s="12"/>
      <c r="P22" s="12"/>
      <c r="Q22" s="12"/>
      <c r="R22" s="12"/>
      <c r="S22" s="12"/>
      <c r="T22" s="12"/>
      <c r="U22" s="12"/>
      <c r="V22" s="12"/>
      <c r="W22" s="12"/>
      <c r="X22" s="12"/>
      <c r="Y22" s="12"/>
    </row>
    <row r="23" spans="2:38" ht="21.95" customHeight="1" x14ac:dyDescent="0.2">
      <c r="B23" s="411" t="s">
        <v>1</v>
      </c>
      <c r="C23" s="587" t="s">
        <v>505</v>
      </c>
      <c r="D23" s="119"/>
      <c r="E23" s="119"/>
      <c r="F23" s="119"/>
      <c r="G23"/>
      <c r="H23"/>
      <c r="I23"/>
      <c r="J23"/>
      <c r="K23"/>
      <c r="L23"/>
      <c r="M23"/>
      <c r="N23"/>
      <c r="O23" s="12"/>
      <c r="P23" s="12"/>
      <c r="Q23" s="12"/>
      <c r="R23" s="12"/>
      <c r="S23" s="12"/>
      <c r="T23" s="12"/>
      <c r="U23" s="12"/>
      <c r="V23" s="12"/>
      <c r="W23" s="12"/>
      <c r="X23" s="12"/>
      <c r="Y23" s="12"/>
    </row>
    <row r="24" spans="2:38" ht="21.95" customHeight="1" x14ac:dyDescent="0.2">
      <c r="B24" s="277" t="str">
        <f>Inputs!$C$37</f>
        <v>Percentage of Automobiles</v>
      </c>
      <c r="C24" s="565">
        <f>percentAutos</f>
        <v>0.80099999999999993</v>
      </c>
      <c r="F24"/>
      <c r="G24"/>
      <c r="H24"/>
      <c r="I24"/>
      <c r="J24"/>
      <c r="K24"/>
      <c r="L24"/>
      <c r="M24"/>
      <c r="N24"/>
      <c r="O24" s="12"/>
      <c r="P24" s="12"/>
      <c r="Q24" s="12"/>
      <c r="R24" s="12"/>
      <c r="S24" s="12"/>
      <c r="T24" s="12"/>
      <c r="U24" s="12"/>
      <c r="V24" s="12"/>
      <c r="W24" s="12"/>
      <c r="X24" s="12"/>
      <c r="Y24" s="12"/>
    </row>
    <row r="25" spans="2:38" ht="21.95" customHeight="1" x14ac:dyDescent="0.2">
      <c r="B25" s="290" t="str">
        <f>Inputs!$C$38</f>
        <v>Percentage of Trucks</v>
      </c>
      <c r="C25" s="566">
        <f>percentTrucks</f>
        <v>0.19900000000000001</v>
      </c>
      <c r="F25"/>
      <c r="G25"/>
      <c r="H25"/>
      <c r="I25"/>
      <c r="J25"/>
      <c r="K25"/>
      <c r="L25"/>
      <c r="M25"/>
      <c r="N25"/>
      <c r="O25" s="12"/>
      <c r="P25" s="12"/>
      <c r="Q25" s="12"/>
      <c r="R25" s="12"/>
      <c r="S25" s="12"/>
      <c r="T25" s="12"/>
      <c r="U25" s="12"/>
      <c r="V25" s="12"/>
      <c r="W25" s="12"/>
      <c r="X25" s="12"/>
      <c r="Y25" s="12"/>
    </row>
    <row r="26" spans="2:38" ht="21.95" customHeight="1" x14ac:dyDescent="0.2">
      <c r="E26" s="12"/>
      <c r="F26" s="12"/>
      <c r="G26" s="12"/>
      <c r="H26"/>
      <c r="I26"/>
      <c r="J26"/>
      <c r="K26"/>
      <c r="L26" s="30"/>
      <c r="M26"/>
      <c r="N26"/>
      <c r="O26" s="12"/>
      <c r="P26" s="12"/>
      <c r="Q26" s="12"/>
      <c r="R26" s="12"/>
      <c r="S26" s="12"/>
      <c r="T26" s="12"/>
      <c r="U26" s="12"/>
      <c r="V26" s="12"/>
      <c r="W26" s="12"/>
      <c r="X26" s="12"/>
      <c r="Y26" s="12"/>
    </row>
    <row r="27" spans="2:38" ht="21.95" customHeight="1" x14ac:dyDescent="0.2">
      <c r="E27" s="12"/>
      <c r="F27" s="12"/>
      <c r="G27" s="12"/>
      <c r="H27"/>
      <c r="I27"/>
      <c r="J27"/>
      <c r="K27"/>
      <c r="L27" s="30"/>
      <c r="M27"/>
      <c r="N27"/>
      <c r="O27" s="12"/>
      <c r="P27" s="12"/>
      <c r="Q27" s="12"/>
      <c r="R27" s="12"/>
      <c r="S27" s="12"/>
      <c r="T27" s="12"/>
      <c r="U27" s="12"/>
      <c r="V27" s="12"/>
      <c r="W27" s="12"/>
      <c r="X27" s="12"/>
      <c r="Y27" s="12"/>
    </row>
    <row r="28" spans="2:38" ht="21.95" customHeight="1" x14ac:dyDescent="0.2">
      <c r="B28" s="369" t="s">
        <v>331</v>
      </c>
      <c r="E28" s="12"/>
      <c r="F28" s="12"/>
      <c r="G28" s="12"/>
      <c r="H28"/>
      <c r="I28"/>
      <c r="J28"/>
      <c r="K28"/>
      <c r="L28" s="30"/>
      <c r="M28"/>
      <c r="N28"/>
      <c r="O28" s="12"/>
      <c r="P28" s="12"/>
      <c r="Q28" s="12"/>
      <c r="R28" s="12"/>
      <c r="S28" s="12"/>
      <c r="T28" s="12"/>
      <c r="U28" s="12"/>
      <c r="V28" s="12"/>
      <c r="W28" s="12"/>
      <c r="X28" s="12"/>
      <c r="Y28" s="12"/>
    </row>
    <row r="29" spans="2:38" s="7" customFormat="1" ht="21.95" customHeight="1" x14ac:dyDescent="0.2">
      <c r="B29" s="411"/>
      <c r="C29" s="410" t="s">
        <v>2</v>
      </c>
      <c r="D29" s="410" t="s">
        <v>21</v>
      </c>
      <c r="E29" s="410"/>
      <c r="F29" s="347" cm="1">
        <f t="array" ref="F29:AE29">year</f>
        <v>2022</v>
      </c>
      <c r="G29" s="347">
        <v>2023</v>
      </c>
      <c r="H29" s="347">
        <v>2024</v>
      </c>
      <c r="I29" s="347">
        <v>2025</v>
      </c>
      <c r="J29" s="347">
        <v>2026</v>
      </c>
      <c r="K29" s="347">
        <v>2027</v>
      </c>
      <c r="L29" s="347">
        <v>2028</v>
      </c>
      <c r="M29" s="347">
        <v>2029</v>
      </c>
      <c r="N29" s="347">
        <v>2030</v>
      </c>
      <c r="O29" s="347">
        <v>2031</v>
      </c>
      <c r="P29" s="347">
        <v>2032</v>
      </c>
      <c r="Q29" s="347">
        <v>2033</v>
      </c>
      <c r="R29" s="347">
        <v>2034</v>
      </c>
      <c r="S29" s="347">
        <v>2035</v>
      </c>
      <c r="T29" s="347">
        <v>2036</v>
      </c>
      <c r="U29" s="347">
        <v>2037</v>
      </c>
      <c r="V29" s="347">
        <v>2038</v>
      </c>
      <c r="W29" s="347">
        <v>2039</v>
      </c>
      <c r="X29" s="347">
        <v>2040</v>
      </c>
      <c r="Y29" s="347">
        <v>2041</v>
      </c>
      <c r="Z29" s="347">
        <v>2042</v>
      </c>
      <c r="AA29" s="347">
        <v>2043</v>
      </c>
      <c r="AB29" s="347">
        <v>2044</v>
      </c>
      <c r="AC29" s="347">
        <v>2045</v>
      </c>
      <c r="AD29" s="347">
        <v>2046</v>
      </c>
      <c r="AE29" s="348">
        <v>2047</v>
      </c>
      <c r="AF29" s="33"/>
      <c r="AG29" s="33"/>
      <c r="AH29" s="33"/>
      <c r="AI29" s="33"/>
      <c r="AJ29" s="33"/>
      <c r="AK29" s="33"/>
      <c r="AL29" s="33"/>
    </row>
    <row r="30" spans="2:38" ht="21.95" customHeight="1" x14ac:dyDescent="0.2">
      <c r="B30" s="521" t="s">
        <v>267</v>
      </c>
      <c r="C30" s="383" t="s">
        <v>78</v>
      </c>
      <c r="D30" s="274"/>
      <c r="E30" s="143" t="s">
        <v>503</v>
      </c>
      <c r="F30" s="522" cm="1">
        <f t="array" ref="F30:AE30">_xlfn.ANCHORARRAY('Volume and Speed'!F35)</f>
        <v>6297271.9999999991</v>
      </c>
      <c r="G30" s="522">
        <v>6396410.0877872407</v>
      </c>
      <c r="H30" s="522">
        <v>6497108.9086109418</v>
      </c>
      <c r="I30" s="522">
        <v>6599393.0331247216</v>
      </c>
      <c r="J30" s="522">
        <v>6703287.4187984606</v>
      </c>
      <c r="K30" s="522">
        <v>6808817.4160080384</v>
      </c>
      <c r="L30" s="522">
        <v>6916008.7742208512</v>
      </c>
      <c r="M30" s="522">
        <v>7024887.6482787039</v>
      </c>
      <c r="N30" s="522">
        <v>7135480.6047796141</v>
      </c>
      <c r="O30" s="522">
        <v>7247814.6285601985</v>
      </c>
      <c r="P30" s="522">
        <v>7361917.1292798528</v>
      </c>
      <c r="Q30" s="522">
        <v>7477815.9481088547</v>
      </c>
      <c r="R30" s="522">
        <v>7595539.3645216208</v>
      </c>
      <c r="S30" s="522">
        <v>7715116.1031969115</v>
      </c>
      <c r="T30" s="522">
        <v>7836575.3410268007</v>
      </c>
      <c r="U30" s="522">
        <v>7959946.7142357165</v>
      </c>
      <c r="V30" s="522">
        <v>8085260.325611827</v>
      </c>
      <c r="W30" s="522">
        <v>8212546.7518521436</v>
      </c>
      <c r="X30" s="522">
        <v>8341837.0510232393</v>
      </c>
      <c r="Y30" s="522">
        <v>8473162.7701395806</v>
      </c>
      <c r="Z30" s="522">
        <v>8606555.9528608732</v>
      </c>
      <c r="AA30" s="522">
        <v>8742049.1473108735</v>
      </c>
      <c r="AB30" s="522">
        <v>8879675.4140191395</v>
      </c>
      <c r="AC30" s="522">
        <v>9019468.3339878563</v>
      </c>
      <c r="AD30" s="522">
        <v>9161462.0168856159</v>
      </c>
      <c r="AE30" s="523">
        <v>9305691.1093703434</v>
      </c>
      <c r="AF30" s="5"/>
      <c r="AG30" s="5"/>
      <c r="AH30" s="5"/>
      <c r="AI30" s="5"/>
      <c r="AJ30" s="5"/>
      <c r="AK30" s="5"/>
      <c r="AL30" s="5"/>
    </row>
    <row r="31" spans="2:38" ht="21.95" customHeight="1" x14ac:dyDescent="0.2">
      <c r="B31" s="524" t="s">
        <v>272</v>
      </c>
      <c r="C31" s="525"/>
      <c r="D31" s="531"/>
      <c r="E31" s="152"/>
      <c r="F31" s="522"/>
      <c r="G31" s="540"/>
      <c r="H31" s="540"/>
      <c r="I31" s="540"/>
      <c r="J31" s="540"/>
      <c r="K31" s="540"/>
      <c r="L31" s="540"/>
      <c r="M31" s="540"/>
      <c r="N31" s="540"/>
      <c r="O31" s="540"/>
      <c r="P31" s="540"/>
      <c r="Q31" s="540"/>
      <c r="R31" s="540"/>
      <c r="S31" s="540"/>
      <c r="T31" s="540"/>
      <c r="U31" s="540"/>
      <c r="V31" s="540"/>
      <c r="W31" s="540"/>
      <c r="X31" s="540"/>
      <c r="Y31" s="540"/>
      <c r="Z31" s="540"/>
      <c r="AA31" s="540"/>
      <c r="AB31" s="540"/>
      <c r="AC31" s="540"/>
      <c r="AD31" s="540"/>
      <c r="AE31" s="568"/>
      <c r="AF31" s="55"/>
      <c r="AG31" s="55"/>
      <c r="AH31" s="55"/>
      <c r="AI31" s="55"/>
      <c r="AJ31" s="55"/>
      <c r="AK31" s="55"/>
      <c r="AL31" s="55"/>
    </row>
    <row r="32" spans="2:38" ht="21.95" customHeight="1" x14ac:dyDescent="0.2">
      <c r="B32" s="277"/>
      <c r="C32" s="143"/>
      <c r="D32" s="567"/>
      <c r="E32" s="154" t="s">
        <v>28</v>
      </c>
      <c r="F32" s="527" cm="1">
        <f t="array" ref="F32:AE32">_xlfn.ANCHORARRAY(F30)</f>
        <v>6297271.9999999991</v>
      </c>
      <c r="G32" s="541">
        <v>6396410.0877872407</v>
      </c>
      <c r="H32" s="541">
        <v>6497108.9086109418</v>
      </c>
      <c r="I32" s="541">
        <v>6599393.0331247216</v>
      </c>
      <c r="J32" s="541">
        <v>6703287.4187984606</v>
      </c>
      <c r="K32" s="541">
        <v>6808817.4160080384</v>
      </c>
      <c r="L32" s="541">
        <v>6916008.7742208512</v>
      </c>
      <c r="M32" s="541">
        <v>7024887.6482787039</v>
      </c>
      <c r="N32" s="541">
        <v>7135480.6047796141</v>
      </c>
      <c r="O32" s="541">
        <v>7247814.6285601985</v>
      </c>
      <c r="P32" s="541">
        <v>7361917.1292798528</v>
      </c>
      <c r="Q32" s="541">
        <v>7477815.9481088547</v>
      </c>
      <c r="R32" s="541">
        <v>7595539.3645216208</v>
      </c>
      <c r="S32" s="541">
        <v>7715116.1031969115</v>
      </c>
      <c r="T32" s="541">
        <v>7836575.3410268007</v>
      </c>
      <c r="U32" s="541">
        <v>7959946.7142357165</v>
      </c>
      <c r="V32" s="541">
        <v>8085260.325611827</v>
      </c>
      <c r="W32" s="541">
        <v>8212546.7518521436</v>
      </c>
      <c r="X32" s="541">
        <v>8341837.0510232393</v>
      </c>
      <c r="Y32" s="541">
        <v>8473162.7701395806</v>
      </c>
      <c r="Z32" s="541">
        <v>8606555.9528608732</v>
      </c>
      <c r="AA32" s="541">
        <v>8742049.1473108735</v>
      </c>
      <c r="AB32" s="541">
        <v>8879675.4140191395</v>
      </c>
      <c r="AC32" s="541">
        <v>9019468.3339878563</v>
      </c>
      <c r="AD32" s="541">
        <v>9161462.0168856159</v>
      </c>
      <c r="AE32" s="569">
        <v>9305691.1093703434</v>
      </c>
      <c r="AF32" s="54"/>
      <c r="AG32" s="54"/>
      <c r="AH32" s="54"/>
      <c r="AI32" s="54"/>
      <c r="AJ32" s="54"/>
      <c r="AK32" s="54"/>
      <c r="AL32" s="54"/>
    </row>
    <row r="33" spans="1:38" ht="21.95" customHeight="1" x14ac:dyDescent="0.2">
      <c r="B33" s="521"/>
      <c r="C33" s="383"/>
      <c r="D33" s="274"/>
      <c r="E33" s="143"/>
      <c r="F33" s="522"/>
      <c r="G33" s="522"/>
      <c r="H33" s="522"/>
      <c r="I33" s="522"/>
      <c r="J33" s="522"/>
      <c r="K33" s="522"/>
      <c r="L33" s="522"/>
      <c r="M33" s="522"/>
      <c r="N33" s="522"/>
      <c r="O33" s="522"/>
      <c r="P33" s="522"/>
      <c r="Q33" s="522"/>
      <c r="R33" s="522"/>
      <c r="S33" s="522"/>
      <c r="T33" s="522"/>
      <c r="U33" s="522"/>
      <c r="V33" s="522"/>
      <c r="W33" s="522"/>
      <c r="X33" s="522"/>
      <c r="Y33" s="522"/>
      <c r="Z33" s="522"/>
      <c r="AA33" s="522"/>
      <c r="AB33" s="522"/>
      <c r="AC33" s="522"/>
      <c r="AD33" s="522"/>
      <c r="AE33" s="523"/>
      <c r="AF33" s="5"/>
      <c r="AG33" s="5"/>
      <c r="AH33" s="5"/>
      <c r="AI33" s="5"/>
      <c r="AJ33" s="5"/>
      <c r="AK33" s="5"/>
      <c r="AL33" s="5"/>
    </row>
    <row r="34" spans="1:38" ht="21.95" customHeight="1" x14ac:dyDescent="0.2">
      <c r="B34" s="524"/>
      <c r="C34" s="525"/>
      <c r="D34" s="531"/>
      <c r="E34" s="152"/>
      <c r="F34" s="540"/>
      <c r="G34" s="540"/>
      <c r="H34" s="540"/>
      <c r="I34" s="540"/>
      <c r="J34" s="540"/>
      <c r="K34" s="540"/>
      <c r="L34" s="540"/>
      <c r="M34" s="540"/>
      <c r="N34" s="540"/>
      <c r="O34" s="540"/>
      <c r="P34" s="540"/>
      <c r="Q34" s="540"/>
      <c r="R34" s="540"/>
      <c r="S34" s="540"/>
      <c r="T34" s="540"/>
      <c r="U34" s="540"/>
      <c r="V34" s="540"/>
      <c r="W34" s="540"/>
      <c r="X34" s="540"/>
      <c r="Y34" s="540"/>
      <c r="Z34" s="540"/>
      <c r="AA34" s="540"/>
      <c r="AB34" s="540"/>
      <c r="AC34" s="540"/>
      <c r="AD34" s="540"/>
      <c r="AE34" s="568"/>
      <c r="AF34" s="55"/>
      <c r="AG34" s="55"/>
      <c r="AH34" s="55"/>
      <c r="AI34" s="55"/>
      <c r="AJ34" s="55"/>
      <c r="AK34" s="55"/>
      <c r="AL34" s="55"/>
    </row>
    <row r="35" spans="1:38" ht="21.95" customHeight="1" x14ac:dyDescent="0.2">
      <c r="B35" s="280"/>
      <c r="C35" s="152"/>
      <c r="D35" s="567"/>
      <c r="E35" s="154"/>
      <c r="F35" s="527"/>
      <c r="G35" s="541"/>
      <c r="H35" s="541"/>
      <c r="I35" s="541"/>
      <c r="J35" s="541"/>
      <c r="K35" s="541"/>
      <c r="L35" s="541"/>
      <c r="M35" s="541"/>
      <c r="N35" s="541"/>
      <c r="O35" s="541"/>
      <c r="P35" s="541"/>
      <c r="Q35" s="541"/>
      <c r="R35" s="541"/>
      <c r="S35" s="541"/>
      <c r="T35" s="541"/>
      <c r="U35" s="541"/>
      <c r="V35" s="541"/>
      <c r="W35" s="541"/>
      <c r="X35" s="541"/>
      <c r="Y35" s="541"/>
      <c r="Z35" s="541"/>
      <c r="AA35" s="541"/>
      <c r="AB35" s="541"/>
      <c r="AC35" s="541"/>
      <c r="AD35" s="541"/>
      <c r="AE35" s="569"/>
      <c r="AF35" s="54"/>
      <c r="AG35" s="54"/>
      <c r="AH35" s="54"/>
      <c r="AI35" s="54"/>
      <c r="AJ35" s="54"/>
      <c r="AK35" s="54"/>
      <c r="AL35" s="54"/>
    </row>
    <row r="36" spans="1:38" ht="21.95" customHeight="1" x14ac:dyDescent="0.2">
      <c r="B36" s="521" t="s">
        <v>267</v>
      </c>
      <c r="C36" s="383" t="s">
        <v>138</v>
      </c>
      <c r="D36" s="529" t="s">
        <v>505</v>
      </c>
      <c r="E36" s="143" t="s">
        <v>23</v>
      </c>
      <c r="F36" s="522" cm="1">
        <f t="array" ref="F36:AE36">(_xlfn.ANCHORARRAY(F30) * $C$24)</f>
        <v>5044114.8719999986</v>
      </c>
      <c r="G36" s="522">
        <v>5123524.4803175796</v>
      </c>
      <c r="H36" s="522">
        <v>5204184.2357973643</v>
      </c>
      <c r="I36" s="522">
        <v>5286113.819532902</v>
      </c>
      <c r="J36" s="522">
        <v>5369333.2224575663</v>
      </c>
      <c r="K36" s="522">
        <v>5453862.750222438</v>
      </c>
      <c r="L36" s="522">
        <v>5539723.0281509012</v>
      </c>
      <c r="M36" s="522">
        <v>5626935.0062712412</v>
      </c>
      <c r="N36" s="522">
        <v>5715519.9644284705</v>
      </c>
      <c r="O36" s="522">
        <v>5805499.5174767189</v>
      </c>
      <c r="P36" s="522">
        <v>5896895.6205531619</v>
      </c>
      <c r="Q36" s="522">
        <v>5989730.5744351922</v>
      </c>
      <c r="R36" s="522">
        <v>6084027.0309818182</v>
      </c>
      <c r="S36" s="522">
        <v>6179807.9986607255</v>
      </c>
      <c r="T36" s="522">
        <v>6277096.8481624667</v>
      </c>
      <c r="U36" s="522">
        <v>6375917.3181028087</v>
      </c>
      <c r="V36" s="522">
        <v>6476293.5208150726</v>
      </c>
      <c r="W36" s="522">
        <v>6578249.9482335662</v>
      </c>
      <c r="X36" s="522">
        <v>6681811.477869614</v>
      </c>
      <c r="Y36" s="522">
        <v>6787003.3788818037</v>
      </c>
      <c r="Z36" s="522">
        <v>6893851.318241559</v>
      </c>
      <c r="AA36" s="522">
        <v>7002381.3669960089</v>
      </c>
      <c r="AB36" s="522">
        <v>7112620.0066293301</v>
      </c>
      <c r="AC36" s="522">
        <v>7224594.135524272</v>
      </c>
      <c r="AD36" s="522">
        <v>7338331.0755253779</v>
      </c>
      <c r="AE36" s="523">
        <v>7453858.5786056444</v>
      </c>
      <c r="AF36" s="5"/>
      <c r="AG36" s="5"/>
      <c r="AH36" s="5"/>
      <c r="AI36" s="5"/>
      <c r="AJ36" s="5"/>
      <c r="AK36" s="5"/>
      <c r="AL36" s="5"/>
    </row>
    <row r="37" spans="1:38" ht="21.95" customHeight="1" x14ac:dyDescent="0.2">
      <c r="B37" s="530" t="s">
        <v>271</v>
      </c>
      <c r="C37" s="525"/>
      <c r="D37" s="525"/>
      <c r="E37" s="152" t="s">
        <v>22</v>
      </c>
      <c r="F37" s="522" cm="1">
        <f t="array" ref="F37:AE37">(_xlfn.ANCHORARRAY(F30)*$C$25)</f>
        <v>1253157.1279999998</v>
      </c>
      <c r="G37" s="540">
        <v>1272885.6074696609</v>
      </c>
      <c r="H37" s="540">
        <v>1292924.6728135776</v>
      </c>
      <c r="I37" s="540">
        <v>1313279.2135918196</v>
      </c>
      <c r="J37" s="540">
        <v>1333954.1963408936</v>
      </c>
      <c r="K37" s="540">
        <v>1354954.6657855997</v>
      </c>
      <c r="L37" s="540">
        <v>1376285.7460699494</v>
      </c>
      <c r="M37" s="540">
        <v>1397952.6420074622</v>
      </c>
      <c r="N37" s="540">
        <v>1419960.6403511432</v>
      </c>
      <c r="O37" s="540">
        <v>1442315.1110834796</v>
      </c>
      <c r="P37" s="540">
        <v>1465021.5087266909</v>
      </c>
      <c r="Q37" s="540">
        <v>1488085.3736736621</v>
      </c>
      <c r="R37" s="540">
        <v>1511512.3335398026</v>
      </c>
      <c r="S37" s="540">
        <v>1535308.1045361855</v>
      </c>
      <c r="T37" s="540">
        <v>1559478.4928643333</v>
      </c>
      <c r="U37" s="540">
        <v>1584029.3961329076</v>
      </c>
      <c r="V37" s="540">
        <v>1608966.8047967537</v>
      </c>
      <c r="W37" s="540">
        <v>1634296.8036185766</v>
      </c>
      <c r="X37" s="540">
        <v>1660025.5731536248</v>
      </c>
      <c r="Y37" s="540">
        <v>1686159.3912577766</v>
      </c>
      <c r="Z37" s="540">
        <v>1712704.6346193138</v>
      </c>
      <c r="AA37" s="540">
        <v>1739667.7803148639</v>
      </c>
      <c r="AB37" s="540">
        <v>1767055.4073898089</v>
      </c>
      <c r="AC37" s="540">
        <v>1794874.1984635836</v>
      </c>
      <c r="AD37" s="540">
        <v>1823130.9413602375</v>
      </c>
      <c r="AE37" s="568">
        <v>1851832.5307646985</v>
      </c>
      <c r="AF37" s="55"/>
      <c r="AG37" s="55"/>
      <c r="AH37" s="55"/>
      <c r="AI37" s="55"/>
      <c r="AJ37" s="55"/>
      <c r="AK37" s="55"/>
      <c r="AL37" s="55"/>
    </row>
    <row r="38" spans="1:38" ht="21.95" customHeight="1" x14ac:dyDescent="0.2">
      <c r="B38" s="290"/>
      <c r="C38" s="291"/>
      <c r="D38" s="291"/>
      <c r="E38" s="331" t="s">
        <v>28</v>
      </c>
      <c r="F38" s="535" cm="1">
        <f t="array" ref="F38:AE38">_xlfn.ANCHORARRAY(F36) +_xlfn.ANCHORARRAY( F37)</f>
        <v>6297271.9999999981</v>
      </c>
      <c r="G38" s="542">
        <v>6396410.0877872407</v>
      </c>
      <c r="H38" s="542">
        <v>6497108.9086109418</v>
      </c>
      <c r="I38" s="542">
        <v>6599393.0331247216</v>
      </c>
      <c r="J38" s="542">
        <v>6703287.4187984597</v>
      </c>
      <c r="K38" s="542">
        <v>6808817.4160080375</v>
      </c>
      <c r="L38" s="542">
        <v>6916008.7742208503</v>
      </c>
      <c r="M38" s="542">
        <v>7024887.6482787039</v>
      </c>
      <c r="N38" s="542">
        <v>7135480.6047796141</v>
      </c>
      <c r="O38" s="542">
        <v>7247814.6285601985</v>
      </c>
      <c r="P38" s="542">
        <v>7361917.1292798528</v>
      </c>
      <c r="Q38" s="542">
        <v>7477815.9481088538</v>
      </c>
      <c r="R38" s="542">
        <v>7595539.3645216208</v>
      </c>
      <c r="S38" s="542">
        <v>7715116.1031969115</v>
      </c>
      <c r="T38" s="542">
        <v>7836575.3410267998</v>
      </c>
      <c r="U38" s="542">
        <v>7959946.7142357165</v>
      </c>
      <c r="V38" s="542">
        <v>8085260.325611826</v>
      </c>
      <c r="W38" s="542">
        <v>8212546.7518521426</v>
      </c>
      <c r="X38" s="542">
        <v>8341837.0510232393</v>
      </c>
      <c r="Y38" s="542">
        <v>8473162.7701395806</v>
      </c>
      <c r="Z38" s="542">
        <v>8606555.9528608732</v>
      </c>
      <c r="AA38" s="542">
        <v>8742049.1473108735</v>
      </c>
      <c r="AB38" s="542">
        <v>8879675.4140191395</v>
      </c>
      <c r="AC38" s="542">
        <v>9019468.3339878563</v>
      </c>
      <c r="AD38" s="542">
        <v>9161462.0168856159</v>
      </c>
      <c r="AE38" s="570">
        <v>9305691.1093703434</v>
      </c>
      <c r="AF38" s="54"/>
      <c r="AG38" s="54"/>
      <c r="AH38" s="54"/>
      <c r="AI38" s="54"/>
      <c r="AJ38" s="54"/>
      <c r="AK38" s="54"/>
      <c r="AL38" s="54"/>
    </row>
    <row r="39" spans="1:38" ht="21.95" customHeight="1" x14ac:dyDescent="0.2">
      <c r="B39" s="8"/>
      <c r="C39" s="7"/>
      <c r="D39" s="8"/>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row>
    <row r="40" spans="1:38" ht="21.95" customHeight="1" x14ac:dyDescent="0.2">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55"/>
      <c r="AI40" s="55"/>
      <c r="AJ40" s="55"/>
      <c r="AK40" s="55"/>
      <c r="AL40" s="55"/>
    </row>
    <row r="41" spans="1:38" ht="21.95" customHeight="1" x14ac:dyDescent="0.2">
      <c r="B41" s="50"/>
      <c r="C41" s="50"/>
      <c r="D41" s="50"/>
      <c r="E41" s="53"/>
      <c r="F41" s="57"/>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row>
    <row r="42" spans="1:38" ht="21.95" customHeight="1" x14ac:dyDescent="0.2">
      <c r="E42" s="12"/>
      <c r="F42" s="12"/>
      <c r="G42" s="12"/>
      <c r="H42"/>
      <c r="I42"/>
      <c r="J42"/>
      <c r="K42"/>
      <c r="L42" s="30"/>
      <c r="M42"/>
      <c r="N42"/>
      <c r="O42" s="12"/>
      <c r="P42" s="12"/>
      <c r="Q42" s="12"/>
      <c r="R42" s="12"/>
      <c r="S42" s="12"/>
      <c r="T42" s="12"/>
      <c r="U42" s="12"/>
      <c r="V42" s="12"/>
      <c r="W42" s="12"/>
      <c r="X42" s="12"/>
      <c r="Y42" s="12"/>
    </row>
    <row r="43" spans="1:38" ht="21.95" customHeight="1" x14ac:dyDescent="0.2">
      <c r="E43" s="12"/>
      <c r="F43" s="12"/>
      <c r="G43" s="12"/>
      <c r="H43"/>
      <c r="I43"/>
      <c r="J43"/>
      <c r="K43"/>
      <c r="L43" s="30"/>
      <c r="M43"/>
      <c r="N43"/>
      <c r="O43" s="12"/>
      <c r="P43" s="12"/>
      <c r="Q43" s="12"/>
      <c r="R43" s="12"/>
      <c r="S43" s="12"/>
      <c r="T43" s="12"/>
      <c r="U43" s="12"/>
      <c r="V43" s="12"/>
      <c r="W43" s="12"/>
      <c r="X43" s="12"/>
      <c r="Y43" s="12"/>
    </row>
    <row r="44" spans="1:38" ht="21.95" customHeight="1" x14ac:dyDescent="0.2">
      <c r="A44" s="505"/>
      <c r="B44" s="506" t="s">
        <v>9</v>
      </c>
      <c r="E44" s="12"/>
      <c r="F44" s="12"/>
      <c r="G44" s="12"/>
      <c r="H44"/>
      <c r="I44"/>
      <c r="J44"/>
      <c r="K44"/>
      <c r="L44" s="12"/>
      <c r="M44" s="12"/>
      <c r="N44" s="12"/>
      <c r="O44" s="12"/>
      <c r="P44" s="12"/>
      <c r="Q44" s="12"/>
      <c r="R44" s="12"/>
      <c r="S44" s="12"/>
      <c r="T44" s="12"/>
      <c r="U44" s="12"/>
      <c r="V44" s="12"/>
      <c r="W44" s="12"/>
      <c r="X44" s="12"/>
      <c r="Y44" s="12"/>
      <c r="Z44" s="12"/>
      <c r="AA44" s="12"/>
    </row>
    <row r="45" spans="1:38" ht="21.95" customHeight="1" x14ac:dyDescent="0.2">
      <c r="B45" s="1"/>
      <c r="C45" s="1"/>
      <c r="D45" s="1"/>
      <c r="E45" s="12"/>
      <c r="F45" s="12"/>
      <c r="G45" s="12"/>
      <c r="H45" s="12"/>
      <c r="I45" s="12"/>
      <c r="J45" s="12"/>
      <c r="K45" s="12"/>
      <c r="L45" s="12"/>
      <c r="M45" s="12"/>
      <c r="N45" s="12"/>
      <c r="O45" s="12"/>
      <c r="P45" s="12"/>
      <c r="Q45" s="12"/>
      <c r="R45" s="12"/>
      <c r="S45" s="12"/>
      <c r="T45" s="12"/>
      <c r="U45" s="12"/>
      <c r="V45" s="12"/>
      <c r="W45" s="12"/>
      <c r="X45" s="12"/>
      <c r="Y45" s="12"/>
      <c r="Z45" s="12"/>
      <c r="AA45" s="12"/>
    </row>
    <row r="46" spans="1:38" ht="21.95" customHeight="1" x14ac:dyDescent="0.2">
      <c r="B46" s="349" t="s">
        <v>15</v>
      </c>
      <c r="C46" s="1"/>
      <c r="D46" s="1"/>
      <c r="E46" s="12"/>
      <c r="F46" s="12"/>
      <c r="G46" s="12"/>
      <c r="H46" s="12"/>
      <c r="I46" s="12"/>
      <c r="J46" s="12"/>
      <c r="K46" s="12"/>
      <c r="L46" s="12"/>
      <c r="M46" s="12"/>
      <c r="N46" s="12"/>
      <c r="O46" s="12"/>
      <c r="P46" s="12"/>
      <c r="Q46" s="12"/>
      <c r="R46" s="12"/>
      <c r="S46" s="12"/>
      <c r="T46" s="12"/>
      <c r="U46" s="12"/>
      <c r="V46" s="12"/>
      <c r="W46" s="12"/>
      <c r="X46" s="12"/>
      <c r="Y46" s="12"/>
      <c r="Z46" s="12"/>
      <c r="AA46" s="12"/>
    </row>
    <row r="47" spans="1:38" ht="21.95" customHeight="1" x14ac:dyDescent="0.2">
      <c r="B47" s="9" t="s">
        <v>620</v>
      </c>
      <c r="C47" s="1"/>
      <c r="D47" s="1"/>
      <c r="E47" s="12"/>
      <c r="F47" s="12"/>
      <c r="G47" s="12"/>
      <c r="H47" s="12"/>
      <c r="I47" s="12"/>
      <c r="J47" s="12"/>
      <c r="K47" s="12"/>
      <c r="L47" s="12"/>
      <c r="M47" s="12"/>
      <c r="N47" s="12"/>
      <c r="O47" s="12"/>
      <c r="P47" s="12"/>
      <c r="Q47" s="12"/>
      <c r="R47" s="12"/>
      <c r="S47" s="12"/>
      <c r="T47" s="12"/>
      <c r="U47" s="12"/>
      <c r="V47" s="12"/>
      <c r="W47" s="12"/>
      <c r="X47" s="12"/>
      <c r="Y47" s="12"/>
      <c r="Z47" s="12"/>
      <c r="AA47" s="12"/>
    </row>
    <row r="48" spans="1:38" s="7" customFormat="1" ht="21.95" customHeight="1" x14ac:dyDescent="0.2">
      <c r="B48" s="411"/>
      <c r="C48" s="410" t="s">
        <v>2</v>
      </c>
      <c r="D48" s="410" t="s">
        <v>21</v>
      </c>
      <c r="E48" s="410" t="s">
        <v>27</v>
      </c>
      <c r="F48" s="347" cm="1">
        <f t="array" ref="F48:AE48">year</f>
        <v>2022</v>
      </c>
      <c r="G48" s="347">
        <v>2023</v>
      </c>
      <c r="H48" s="347">
        <v>2024</v>
      </c>
      <c r="I48" s="347">
        <v>2025</v>
      </c>
      <c r="J48" s="347">
        <v>2026</v>
      </c>
      <c r="K48" s="347">
        <v>2027</v>
      </c>
      <c r="L48" s="347">
        <v>2028</v>
      </c>
      <c r="M48" s="347">
        <v>2029</v>
      </c>
      <c r="N48" s="347">
        <v>2030</v>
      </c>
      <c r="O48" s="347">
        <v>2031</v>
      </c>
      <c r="P48" s="347">
        <v>2032</v>
      </c>
      <c r="Q48" s="347">
        <v>2033</v>
      </c>
      <c r="R48" s="347">
        <v>2034</v>
      </c>
      <c r="S48" s="347">
        <v>2035</v>
      </c>
      <c r="T48" s="347">
        <v>2036</v>
      </c>
      <c r="U48" s="347">
        <v>2037</v>
      </c>
      <c r="V48" s="347">
        <v>2038</v>
      </c>
      <c r="W48" s="347">
        <v>2039</v>
      </c>
      <c r="X48" s="347">
        <v>2040</v>
      </c>
      <c r="Y48" s="347">
        <v>2041</v>
      </c>
      <c r="Z48" s="347">
        <v>2042</v>
      </c>
      <c r="AA48" s="347">
        <v>2043</v>
      </c>
      <c r="AB48" s="347">
        <v>2044</v>
      </c>
      <c r="AC48" s="347">
        <v>2045</v>
      </c>
      <c r="AD48" s="347">
        <v>2046</v>
      </c>
      <c r="AE48" s="348">
        <v>2047</v>
      </c>
      <c r="AF48" s="33"/>
      <c r="AG48" s="33"/>
      <c r="AH48" s="33"/>
      <c r="AI48" s="33"/>
      <c r="AJ48" s="33"/>
      <c r="AK48" s="33"/>
      <c r="AL48" s="33"/>
    </row>
    <row r="49" spans="2:38" ht="21.95" customHeight="1" x14ac:dyDescent="0.2">
      <c r="B49" s="273" t="s">
        <v>325</v>
      </c>
      <c r="C49" s="383" t="s">
        <v>215</v>
      </c>
      <c r="D49" s="274" t="s">
        <v>505</v>
      </c>
      <c r="E49" s="143" t="s">
        <v>26</v>
      </c>
      <c r="F49" s="522" cm="1">
        <f t="array" ref="F49:AE49">_xlfn.ANCHORARRAY('Volume and Speed'!F66)</f>
        <v>1652846.9354118831</v>
      </c>
      <c r="G49" s="522">
        <v>1679493.9423592268</v>
      </c>
      <c r="H49" s="522">
        <v>1706571.0353302001</v>
      </c>
      <c r="I49" s="522">
        <v>1734085.1639875178</v>
      </c>
      <c r="J49" s="522">
        <v>1762043.3904240998</v>
      </c>
      <c r="K49" s="522">
        <v>1790452.8909841459</v>
      </c>
      <c r="L49" s="522">
        <v>1819320.9581137097</v>
      </c>
      <c r="M49" s="522">
        <v>1848655.0022412902</v>
      </c>
      <c r="N49" s="522">
        <v>1878462.5536889182</v>
      </c>
      <c r="O49" s="522">
        <v>1908751.2646142654</v>
      </c>
      <c r="P49" s="522">
        <v>1939528.9109841853</v>
      </c>
      <c r="Q49" s="522">
        <v>1970803.3945803307</v>
      </c>
      <c r="R49" s="522">
        <v>2002582.7450372637</v>
      </c>
      <c r="S49" s="522">
        <v>2034875.1219136228</v>
      </c>
      <c r="T49" s="522">
        <v>2067688.8167969186</v>
      </c>
      <c r="U49" s="522">
        <v>2101032.2554423963</v>
      </c>
      <c r="V49" s="522">
        <v>2134913.9999466599</v>
      </c>
      <c r="W49" s="522">
        <v>2169342.7509565288</v>
      </c>
      <c r="X49" s="522">
        <v>2204327.3499137023</v>
      </c>
      <c r="Y49" s="522">
        <v>2239876.7813358949</v>
      </c>
      <c r="Z49" s="522">
        <v>2276000.1751348828</v>
      </c>
      <c r="AA49" s="522">
        <v>2312706.8089722348</v>
      </c>
      <c r="AB49" s="522">
        <v>2350006.1106532216</v>
      </c>
      <c r="AC49" s="522">
        <v>2387907.6605595611</v>
      </c>
      <c r="AD49" s="522">
        <v>2426421.1941216262</v>
      </c>
      <c r="AE49" s="523">
        <v>2465556.6043308009</v>
      </c>
      <c r="AF49" s="5"/>
      <c r="AG49" s="5"/>
      <c r="AH49" s="5"/>
      <c r="AI49" s="5"/>
      <c r="AJ49" s="5"/>
      <c r="AK49" s="5"/>
      <c r="AL49" s="5"/>
    </row>
    <row r="50" spans="2:38" ht="21.95" customHeight="1" x14ac:dyDescent="0.2">
      <c r="B50" s="572" t="s">
        <v>272</v>
      </c>
      <c r="C50" s="357"/>
      <c r="D50" s="154"/>
      <c r="E50" s="152"/>
      <c r="F50" s="540"/>
      <c r="G50" s="540"/>
      <c r="H50" s="540"/>
      <c r="I50" s="540"/>
      <c r="J50" s="540"/>
      <c r="K50" s="540"/>
      <c r="L50" s="540"/>
      <c r="M50" s="540"/>
      <c r="N50" s="540"/>
      <c r="O50" s="540"/>
      <c r="P50" s="540"/>
      <c r="Q50" s="540"/>
      <c r="R50" s="540"/>
      <c r="S50" s="540"/>
      <c r="T50" s="540"/>
      <c r="U50" s="540"/>
      <c r="V50" s="540"/>
      <c r="W50" s="540"/>
      <c r="X50" s="540"/>
      <c r="Y50" s="540"/>
      <c r="Z50" s="540"/>
      <c r="AA50" s="540"/>
      <c r="AB50" s="540"/>
      <c r="AC50" s="540"/>
      <c r="AD50" s="540"/>
      <c r="AE50" s="568"/>
      <c r="AF50" s="55"/>
      <c r="AG50" s="55"/>
      <c r="AH50" s="55"/>
      <c r="AI50" s="55"/>
      <c r="AJ50" s="55"/>
      <c r="AK50" s="55"/>
      <c r="AL50" s="55"/>
    </row>
    <row r="51" spans="2:38" ht="21.95" customHeight="1" x14ac:dyDescent="0.2">
      <c r="B51" s="273" t="s">
        <v>325</v>
      </c>
      <c r="C51" s="143" t="s">
        <v>219</v>
      </c>
      <c r="D51" s="274" t="s">
        <v>505</v>
      </c>
      <c r="E51" s="143" t="s">
        <v>23</v>
      </c>
      <c r="F51" s="522" cm="1">
        <f t="array" ref="F51:AE51">_xlfn.ANCHORARRAY(F49) * $C$24</f>
        <v>1323930.3952649182</v>
      </c>
      <c r="G51" s="522">
        <v>1345274.6478297405</v>
      </c>
      <c r="H51" s="522">
        <v>1366963.3992994903</v>
      </c>
      <c r="I51" s="522">
        <v>1389002.2163540015</v>
      </c>
      <c r="J51" s="522">
        <v>1411396.7557297037</v>
      </c>
      <c r="K51" s="522">
        <v>1434152.7656783008</v>
      </c>
      <c r="L51" s="522">
        <v>1457276.0874490812</v>
      </c>
      <c r="M51" s="522">
        <v>1480772.6567952733</v>
      </c>
      <c r="N51" s="522">
        <v>1504648.5055048233</v>
      </c>
      <c r="O51" s="522">
        <v>1528909.7629560265</v>
      </c>
      <c r="P51" s="522">
        <v>1553562.6576983323</v>
      </c>
      <c r="Q51" s="522">
        <v>1578613.5190588448</v>
      </c>
      <c r="R51" s="522">
        <v>1604068.7787748482</v>
      </c>
      <c r="S51" s="522">
        <v>1629934.9726528118</v>
      </c>
      <c r="T51" s="522">
        <v>1656218.7422543317</v>
      </c>
      <c r="U51" s="522">
        <v>1682926.8366093594</v>
      </c>
      <c r="V51" s="522">
        <v>1710066.1139572745</v>
      </c>
      <c r="W51" s="522">
        <v>1737643.5435161795</v>
      </c>
      <c r="X51" s="522">
        <v>1765666.2072808754</v>
      </c>
      <c r="Y51" s="522">
        <v>1794141.3018500516</v>
      </c>
      <c r="Z51" s="522">
        <v>1823076.1402830409</v>
      </c>
      <c r="AA51" s="522">
        <v>1852478.1539867599</v>
      </c>
      <c r="AB51" s="522">
        <v>1882354.8946332303</v>
      </c>
      <c r="AC51" s="522">
        <v>1912714.0361082084</v>
      </c>
      <c r="AD51" s="522">
        <v>1943563.3764914225</v>
      </c>
      <c r="AE51" s="523">
        <v>1974910.8400689715</v>
      </c>
      <c r="AF51" s="5"/>
      <c r="AG51" s="5"/>
      <c r="AH51" s="5"/>
      <c r="AI51" s="5"/>
      <c r="AJ51" s="17"/>
      <c r="AK51" s="17"/>
      <c r="AL51" s="17"/>
    </row>
    <row r="52" spans="2:38" ht="21.95" customHeight="1" x14ac:dyDescent="0.2">
      <c r="B52" s="530" t="s">
        <v>271</v>
      </c>
      <c r="C52" s="525"/>
      <c r="D52" s="531"/>
      <c r="E52" s="152" t="s">
        <v>22</v>
      </c>
      <c r="F52" s="522" cm="1">
        <f t="array" ref="F52:AE52">_xlfn.ANCHORARRAY(F49) * $C$25</f>
        <v>328916.54014696472</v>
      </c>
      <c r="G52" s="540">
        <v>334219.29452948616</v>
      </c>
      <c r="H52" s="540">
        <v>339607.63603070984</v>
      </c>
      <c r="I52" s="540">
        <v>345082.94763351604</v>
      </c>
      <c r="J52" s="540">
        <v>350646.63469439588</v>
      </c>
      <c r="K52" s="540">
        <v>356300.12530584505</v>
      </c>
      <c r="L52" s="540">
        <v>362044.87066462822</v>
      </c>
      <c r="M52" s="540">
        <v>367882.34544601676</v>
      </c>
      <c r="N52" s="540">
        <v>373814.04818409478</v>
      </c>
      <c r="O52" s="540">
        <v>379841.50165823882</v>
      </c>
      <c r="P52" s="540">
        <v>385966.2532858529</v>
      </c>
      <c r="Q52" s="540">
        <v>392189.87552148581</v>
      </c>
      <c r="R52" s="540">
        <v>398513.96626241552</v>
      </c>
      <c r="S52" s="540">
        <v>404940.14926081098</v>
      </c>
      <c r="T52" s="540">
        <v>411470.07454258681</v>
      </c>
      <c r="U52" s="540">
        <v>418105.41883303691</v>
      </c>
      <c r="V52" s="540">
        <v>424847.88598938537</v>
      </c>
      <c r="W52" s="540">
        <v>431699.20744034927</v>
      </c>
      <c r="X52" s="540">
        <v>438661.14263282681</v>
      </c>
      <c r="Y52" s="540">
        <v>445735.4794858431</v>
      </c>
      <c r="Z52" s="540">
        <v>452924.03485184169</v>
      </c>
      <c r="AA52" s="540">
        <v>460228.65498547477</v>
      </c>
      <c r="AB52" s="540">
        <v>467651.21601999115</v>
      </c>
      <c r="AC52" s="540">
        <v>475193.62445135269</v>
      </c>
      <c r="AD52" s="540">
        <v>482857.81763020362</v>
      </c>
      <c r="AE52" s="568">
        <v>490645.76426182943</v>
      </c>
      <c r="AF52" s="55"/>
      <c r="AG52" s="55"/>
      <c r="AH52" s="55"/>
      <c r="AI52" s="55"/>
      <c r="AJ52" s="58"/>
      <c r="AK52" s="58"/>
      <c r="AL52" s="58"/>
    </row>
    <row r="53" spans="2:38" s="1" customFormat="1" ht="21.95" customHeight="1" x14ac:dyDescent="0.2">
      <c r="B53" s="573"/>
      <c r="C53" s="531"/>
      <c r="D53" s="567"/>
      <c r="E53" s="154" t="s">
        <v>28</v>
      </c>
      <c r="F53" s="527" cm="1">
        <f t="array" ref="F53:AE53">_xlfn.ANCHORARRAY(F51) +_xlfn.ANCHORARRAY( F52)</f>
        <v>1652846.9354118831</v>
      </c>
      <c r="G53" s="541">
        <v>1679493.9423592268</v>
      </c>
      <c r="H53" s="541">
        <v>1706571.0353302001</v>
      </c>
      <c r="I53" s="541">
        <v>1734085.1639875176</v>
      </c>
      <c r="J53" s="541">
        <v>1762043.3904240995</v>
      </c>
      <c r="K53" s="541">
        <v>1790452.8909841459</v>
      </c>
      <c r="L53" s="541">
        <v>1819320.9581137095</v>
      </c>
      <c r="M53" s="541">
        <v>1848655.0022412902</v>
      </c>
      <c r="N53" s="541">
        <v>1878462.553688918</v>
      </c>
      <c r="O53" s="541">
        <v>1908751.2646142654</v>
      </c>
      <c r="P53" s="541">
        <v>1939528.9109841853</v>
      </c>
      <c r="Q53" s="541">
        <v>1970803.3945803307</v>
      </c>
      <c r="R53" s="541">
        <v>2002582.7450372637</v>
      </c>
      <c r="S53" s="541">
        <v>2034875.1219136228</v>
      </c>
      <c r="T53" s="541">
        <v>2067688.8167969184</v>
      </c>
      <c r="U53" s="541">
        <v>2101032.2554423963</v>
      </c>
      <c r="V53" s="541">
        <v>2134913.9999466599</v>
      </c>
      <c r="W53" s="541">
        <v>2169342.7509565288</v>
      </c>
      <c r="X53" s="541">
        <v>2204327.3499137023</v>
      </c>
      <c r="Y53" s="541">
        <v>2239876.7813358949</v>
      </c>
      <c r="Z53" s="541">
        <v>2276000.1751348828</v>
      </c>
      <c r="AA53" s="541">
        <v>2312706.8089722348</v>
      </c>
      <c r="AB53" s="541">
        <v>2350006.1106532216</v>
      </c>
      <c r="AC53" s="541">
        <v>2387907.6605595611</v>
      </c>
      <c r="AD53" s="541">
        <v>2426421.1941216262</v>
      </c>
      <c r="AE53" s="569">
        <v>2465556.6043308009</v>
      </c>
      <c r="AF53" s="54"/>
      <c r="AG53" s="54"/>
      <c r="AH53" s="54"/>
      <c r="AI53" s="54"/>
      <c r="AJ53" s="127"/>
      <c r="AK53" s="127"/>
      <c r="AL53" s="127"/>
    </row>
    <row r="54" spans="2:38" ht="21.95" customHeight="1" x14ac:dyDescent="0.2">
      <c r="B54" s="273"/>
      <c r="C54" s="143"/>
      <c r="D54" s="274"/>
      <c r="E54" s="143"/>
      <c r="F54" s="522"/>
      <c r="G54" s="522"/>
      <c r="H54" s="522"/>
      <c r="I54" s="522"/>
      <c r="J54" s="522"/>
      <c r="K54" s="522"/>
      <c r="L54" s="522"/>
      <c r="M54" s="522"/>
      <c r="N54" s="522"/>
      <c r="O54" s="522"/>
      <c r="P54" s="522"/>
      <c r="Q54" s="522"/>
      <c r="R54" s="522"/>
      <c r="S54" s="522"/>
      <c r="T54" s="522"/>
      <c r="U54" s="522"/>
      <c r="V54" s="522"/>
      <c r="W54" s="522"/>
      <c r="X54" s="522"/>
      <c r="Y54" s="522"/>
      <c r="Z54" s="522"/>
      <c r="AA54" s="522"/>
      <c r="AB54" s="522"/>
      <c r="AC54" s="522"/>
      <c r="AD54" s="522"/>
      <c r="AE54" s="523"/>
      <c r="AF54" s="5"/>
      <c r="AG54" s="5"/>
      <c r="AH54" s="5"/>
      <c r="AI54" s="5"/>
      <c r="AJ54" s="17"/>
      <c r="AK54" s="17"/>
      <c r="AL54" s="17"/>
    </row>
    <row r="55" spans="2:38" ht="21.95" customHeight="1" x14ac:dyDescent="0.2">
      <c r="B55" s="530"/>
      <c r="C55" s="525"/>
      <c r="D55" s="531"/>
      <c r="E55" s="152"/>
      <c r="F55" s="522"/>
      <c r="G55" s="540"/>
      <c r="H55" s="540"/>
      <c r="I55" s="540"/>
      <c r="J55" s="540"/>
      <c r="K55" s="540"/>
      <c r="L55" s="540"/>
      <c r="M55" s="540"/>
      <c r="N55" s="540"/>
      <c r="O55" s="540"/>
      <c r="P55" s="540"/>
      <c r="Q55" s="540"/>
      <c r="R55" s="540"/>
      <c r="S55" s="540"/>
      <c r="T55" s="540"/>
      <c r="U55" s="540"/>
      <c r="V55" s="540"/>
      <c r="W55" s="540"/>
      <c r="X55" s="540"/>
      <c r="Y55" s="540"/>
      <c r="Z55" s="540"/>
      <c r="AA55" s="540"/>
      <c r="AB55" s="540"/>
      <c r="AC55" s="540"/>
      <c r="AD55" s="540"/>
      <c r="AE55" s="568"/>
      <c r="AF55" s="55"/>
      <c r="AG55" s="55"/>
      <c r="AH55" s="55"/>
      <c r="AI55" s="55"/>
      <c r="AJ55" s="58"/>
      <c r="AK55" s="58"/>
      <c r="AL55" s="58"/>
    </row>
    <row r="56" spans="2:38" s="1" customFormat="1" ht="21.95" customHeight="1" x14ac:dyDescent="0.2">
      <c r="B56" s="574"/>
      <c r="C56" s="567"/>
      <c r="D56" s="567"/>
      <c r="E56" s="154"/>
      <c r="F56" s="527"/>
      <c r="G56" s="541"/>
      <c r="H56" s="541"/>
      <c r="I56" s="541"/>
      <c r="J56" s="541"/>
      <c r="K56" s="541"/>
      <c r="L56" s="541"/>
      <c r="M56" s="541"/>
      <c r="N56" s="541"/>
      <c r="O56" s="541"/>
      <c r="P56" s="541"/>
      <c r="Q56" s="541"/>
      <c r="R56" s="541"/>
      <c r="S56" s="541"/>
      <c r="T56" s="541"/>
      <c r="U56" s="541"/>
      <c r="V56" s="541"/>
      <c r="W56" s="541"/>
      <c r="X56" s="541"/>
      <c r="Y56" s="541"/>
      <c r="Z56" s="541"/>
      <c r="AA56" s="541"/>
      <c r="AB56" s="541"/>
      <c r="AC56" s="541"/>
      <c r="AD56" s="541"/>
      <c r="AE56" s="569"/>
      <c r="AF56" s="54"/>
      <c r="AG56" s="54"/>
      <c r="AH56" s="54"/>
      <c r="AI56" s="54"/>
      <c r="AJ56" s="127"/>
      <c r="AK56" s="127"/>
      <c r="AL56" s="127"/>
    </row>
    <row r="57" spans="2:38" ht="21.95" customHeight="1" x14ac:dyDescent="0.2">
      <c r="B57" s="273" t="s">
        <v>330</v>
      </c>
      <c r="C57" s="143" t="s">
        <v>181</v>
      </c>
      <c r="D57" s="274" t="s">
        <v>505</v>
      </c>
      <c r="E57" s="143" t="s">
        <v>23</v>
      </c>
      <c r="F57" s="522" cm="1">
        <f t="array" ref="F57:AE57">_xlfn.ANCHORARRAY(F51) * occupancyAutos</f>
        <v>2210963.7600924135</v>
      </c>
      <c r="G57" s="522">
        <v>2246608.6618756666</v>
      </c>
      <c r="H57" s="522">
        <v>2282828.8768301485</v>
      </c>
      <c r="I57" s="522">
        <v>2319633.7013111827</v>
      </c>
      <c r="J57" s="522">
        <v>2357032.5820686049</v>
      </c>
      <c r="K57" s="522">
        <v>2395035.1186827621</v>
      </c>
      <c r="L57" s="522">
        <v>2433651.0660399655</v>
      </c>
      <c r="M57" s="522">
        <v>2472890.3368481062</v>
      </c>
      <c r="N57" s="522">
        <v>2512763.004193055</v>
      </c>
      <c r="O57" s="522">
        <v>2553279.304136564</v>
      </c>
      <c r="P57" s="522">
        <v>2594449.6383562149</v>
      </c>
      <c r="Q57" s="522">
        <v>2636284.5768282707</v>
      </c>
      <c r="R57" s="522">
        <v>2678794.8605539962</v>
      </c>
      <c r="S57" s="522">
        <v>2721991.4043301954</v>
      </c>
      <c r="T57" s="522">
        <v>2765885.2995647336</v>
      </c>
      <c r="U57" s="522">
        <v>2810487.8171376302</v>
      </c>
      <c r="V57" s="522">
        <v>2855810.4103086484</v>
      </c>
      <c r="W57" s="522">
        <v>2901864.7176720197</v>
      </c>
      <c r="X57" s="522">
        <v>2948662.5661590616</v>
      </c>
      <c r="Y57" s="522">
        <v>2996215.9740895862</v>
      </c>
      <c r="Z57" s="522">
        <v>3044537.1542726783</v>
      </c>
      <c r="AA57" s="522">
        <v>3093638.517157889</v>
      </c>
      <c r="AB57" s="522">
        <v>3143532.6740374942</v>
      </c>
      <c r="AC57" s="522">
        <v>3194232.4403007077</v>
      </c>
      <c r="AD57" s="522">
        <v>3245750.8387406757</v>
      </c>
      <c r="AE57" s="523">
        <v>3298101.1029151822</v>
      </c>
      <c r="AF57" s="5"/>
      <c r="AG57" s="5"/>
      <c r="AH57" s="5"/>
      <c r="AI57" s="5"/>
      <c r="AJ57" s="17"/>
      <c r="AK57" s="17"/>
      <c r="AL57" s="17"/>
    </row>
    <row r="58" spans="2:38" ht="21.95" customHeight="1" x14ac:dyDescent="0.2">
      <c r="B58" s="530" t="s">
        <v>220</v>
      </c>
      <c r="C58" s="525"/>
      <c r="D58" s="531"/>
      <c r="E58" s="152" t="s">
        <v>22</v>
      </c>
      <c r="F58" s="522" cm="1">
        <f t="array" ref="F58:AE58">_xlfn.ANCHORARRAY(F52) * occupancyTrucks</f>
        <v>328916.54014696472</v>
      </c>
      <c r="G58" s="540">
        <v>334219.29452948616</v>
      </c>
      <c r="H58" s="540">
        <v>339607.63603070984</v>
      </c>
      <c r="I58" s="540">
        <v>345082.94763351604</v>
      </c>
      <c r="J58" s="540">
        <v>350646.63469439588</v>
      </c>
      <c r="K58" s="540">
        <v>356300.12530584505</v>
      </c>
      <c r="L58" s="540">
        <v>362044.87066462822</v>
      </c>
      <c r="M58" s="540">
        <v>367882.34544601676</v>
      </c>
      <c r="N58" s="540">
        <v>373814.04818409478</v>
      </c>
      <c r="O58" s="540">
        <v>379841.50165823882</v>
      </c>
      <c r="P58" s="540">
        <v>385966.2532858529</v>
      </c>
      <c r="Q58" s="540">
        <v>392189.87552148581</v>
      </c>
      <c r="R58" s="540">
        <v>398513.96626241552</v>
      </c>
      <c r="S58" s="540">
        <v>404940.14926081098</v>
      </c>
      <c r="T58" s="540">
        <v>411470.07454258681</v>
      </c>
      <c r="U58" s="540">
        <v>418105.41883303691</v>
      </c>
      <c r="V58" s="540">
        <v>424847.88598938537</v>
      </c>
      <c r="W58" s="540">
        <v>431699.20744034927</v>
      </c>
      <c r="X58" s="540">
        <v>438661.14263282681</v>
      </c>
      <c r="Y58" s="540">
        <v>445735.4794858431</v>
      </c>
      <c r="Z58" s="540">
        <v>452924.03485184169</v>
      </c>
      <c r="AA58" s="540">
        <v>460228.65498547477</v>
      </c>
      <c r="AB58" s="540">
        <v>467651.21601999115</v>
      </c>
      <c r="AC58" s="540">
        <v>475193.62445135269</v>
      </c>
      <c r="AD58" s="540">
        <v>482857.81763020362</v>
      </c>
      <c r="AE58" s="568">
        <v>490645.76426182943</v>
      </c>
      <c r="AF58" s="55"/>
      <c r="AG58" s="55"/>
      <c r="AH58" s="55"/>
      <c r="AI58" s="55"/>
      <c r="AJ58" s="58"/>
      <c r="AK58" s="58"/>
      <c r="AL58" s="58"/>
    </row>
    <row r="59" spans="2:38" s="1" customFormat="1" ht="21.95" customHeight="1" x14ac:dyDescent="0.2">
      <c r="B59" s="573"/>
      <c r="C59" s="531"/>
      <c r="D59" s="567"/>
      <c r="E59" s="154" t="s">
        <v>28</v>
      </c>
      <c r="F59" s="527" cm="1">
        <f t="array" ref="F59:AE59">_xlfn.ANCHORARRAY(F57) +_xlfn.ANCHORARRAY( F58)</f>
        <v>2539880.3002393781</v>
      </c>
      <c r="G59" s="541">
        <v>2580827.9564051526</v>
      </c>
      <c r="H59" s="541">
        <v>2622436.5128608583</v>
      </c>
      <c r="I59" s="541">
        <v>2664716.6489446987</v>
      </c>
      <c r="J59" s="541">
        <v>2707679.2167630009</v>
      </c>
      <c r="K59" s="541">
        <v>2751335.2439886071</v>
      </c>
      <c r="L59" s="541">
        <v>2795695.9367045937</v>
      </c>
      <c r="M59" s="541">
        <v>2840772.6822941229</v>
      </c>
      <c r="N59" s="541">
        <v>2886577.0523771499</v>
      </c>
      <c r="O59" s="541">
        <v>2933120.805794803</v>
      </c>
      <c r="P59" s="541">
        <v>2980415.8916420676</v>
      </c>
      <c r="Q59" s="541">
        <v>3028474.4523497564</v>
      </c>
      <c r="R59" s="541">
        <v>3077308.8268164117</v>
      </c>
      <c r="S59" s="541">
        <v>3126931.5535910064</v>
      </c>
      <c r="T59" s="541">
        <v>3177355.3741073203</v>
      </c>
      <c r="U59" s="541">
        <v>3228593.2359706671</v>
      </c>
      <c r="V59" s="541">
        <v>3280658.2962980336</v>
      </c>
      <c r="W59" s="541">
        <v>3333563.925112369</v>
      </c>
      <c r="X59" s="541">
        <v>3387323.7087918883</v>
      </c>
      <c r="Y59" s="541">
        <v>3441951.4535754295</v>
      </c>
      <c r="Z59" s="541">
        <v>3497461.1891245199</v>
      </c>
      <c r="AA59" s="541">
        <v>3553867.1721433639</v>
      </c>
      <c r="AB59" s="541">
        <v>3611183.8900574856</v>
      </c>
      <c r="AC59" s="541">
        <v>3669426.0647520605</v>
      </c>
      <c r="AD59" s="541">
        <v>3728608.6563708792</v>
      </c>
      <c r="AE59" s="569">
        <v>3788746.8671770114</v>
      </c>
      <c r="AF59" s="54"/>
      <c r="AG59" s="54"/>
      <c r="AH59" s="54"/>
      <c r="AI59" s="54"/>
      <c r="AJ59" s="127"/>
      <c r="AK59" s="127"/>
      <c r="AL59" s="127"/>
    </row>
    <row r="60" spans="2:38" ht="21.95" customHeight="1" x14ac:dyDescent="0.2">
      <c r="B60" s="273"/>
      <c r="C60" s="143"/>
      <c r="D60" s="274"/>
      <c r="E60" s="143"/>
      <c r="F60" s="522"/>
      <c r="G60" s="522"/>
      <c r="H60" s="522"/>
      <c r="I60" s="522"/>
      <c r="J60" s="522"/>
      <c r="K60" s="522"/>
      <c r="L60" s="522"/>
      <c r="M60" s="522"/>
      <c r="N60" s="522"/>
      <c r="O60" s="522"/>
      <c r="P60" s="522"/>
      <c r="Q60" s="522"/>
      <c r="R60" s="522"/>
      <c r="S60" s="522"/>
      <c r="T60" s="522"/>
      <c r="U60" s="522"/>
      <c r="V60" s="522"/>
      <c r="W60" s="522"/>
      <c r="X60" s="522"/>
      <c r="Y60" s="522"/>
      <c r="Z60" s="522"/>
      <c r="AA60" s="522"/>
      <c r="AB60" s="522"/>
      <c r="AC60" s="522"/>
      <c r="AD60" s="522"/>
      <c r="AE60" s="523"/>
      <c r="AF60" s="5"/>
      <c r="AG60" s="5"/>
      <c r="AH60" s="5"/>
      <c r="AI60" s="5"/>
      <c r="AJ60" s="17"/>
      <c r="AK60" s="17"/>
      <c r="AL60" s="17"/>
    </row>
    <row r="61" spans="2:38" ht="21.95" customHeight="1" x14ac:dyDescent="0.2">
      <c r="B61" s="530"/>
      <c r="C61" s="525"/>
      <c r="D61" s="531"/>
      <c r="E61" s="152"/>
      <c r="F61" s="522"/>
      <c r="G61" s="540"/>
      <c r="H61" s="540"/>
      <c r="I61" s="540"/>
      <c r="J61" s="540"/>
      <c r="K61" s="540"/>
      <c r="L61" s="540"/>
      <c r="M61" s="540"/>
      <c r="N61" s="540"/>
      <c r="O61" s="540"/>
      <c r="P61" s="540"/>
      <c r="Q61" s="540"/>
      <c r="R61" s="540"/>
      <c r="S61" s="540"/>
      <c r="T61" s="540"/>
      <c r="U61" s="540"/>
      <c r="V61" s="540"/>
      <c r="W61" s="540"/>
      <c r="X61" s="540"/>
      <c r="Y61" s="540"/>
      <c r="Z61" s="540"/>
      <c r="AA61" s="540"/>
      <c r="AB61" s="540"/>
      <c r="AC61" s="540"/>
      <c r="AD61" s="540"/>
      <c r="AE61" s="568"/>
      <c r="AF61" s="55"/>
      <c r="AG61" s="55"/>
      <c r="AH61" s="55"/>
      <c r="AI61" s="55"/>
      <c r="AJ61" s="58"/>
      <c r="AK61" s="58"/>
      <c r="AL61" s="58"/>
    </row>
    <row r="62" spans="2:38" s="1" customFormat="1" ht="21.95" customHeight="1" x14ac:dyDescent="0.2">
      <c r="B62" s="574"/>
      <c r="C62" s="567"/>
      <c r="D62" s="567"/>
      <c r="E62" s="154"/>
      <c r="F62" s="527"/>
      <c r="G62" s="541"/>
      <c r="H62" s="541"/>
      <c r="I62" s="541"/>
      <c r="J62" s="541"/>
      <c r="K62" s="541"/>
      <c r="L62" s="541"/>
      <c r="M62" s="541"/>
      <c r="N62" s="541"/>
      <c r="O62" s="541"/>
      <c r="P62" s="541"/>
      <c r="Q62" s="541"/>
      <c r="R62" s="541"/>
      <c r="S62" s="541"/>
      <c r="T62" s="541"/>
      <c r="U62" s="541"/>
      <c r="V62" s="541"/>
      <c r="W62" s="541"/>
      <c r="X62" s="541"/>
      <c r="Y62" s="541"/>
      <c r="Z62" s="541"/>
      <c r="AA62" s="541"/>
      <c r="AB62" s="541"/>
      <c r="AC62" s="541"/>
      <c r="AD62" s="541"/>
      <c r="AE62" s="569"/>
      <c r="AF62" s="54"/>
      <c r="AG62" s="54"/>
      <c r="AH62" s="54"/>
      <c r="AI62" s="54"/>
      <c r="AJ62" s="127"/>
      <c r="AK62" s="127"/>
      <c r="AL62" s="127"/>
    </row>
    <row r="63" spans="2:38" ht="21.95" customHeight="1" x14ac:dyDescent="0.2">
      <c r="B63" s="273" t="s">
        <v>182</v>
      </c>
      <c r="C63" s="143" t="str">
        <f>baseYear &amp; "$"</f>
        <v>2022$</v>
      </c>
      <c r="D63" s="274" t="s">
        <v>505</v>
      </c>
      <c r="E63" s="143" t="s">
        <v>23</v>
      </c>
      <c r="F63" s="278" cm="1">
        <f t="array" ref="F63:AE63">_xlfn.ANCHORARRAY(F57) * VTTSAutos</f>
        <v>41566118.689737372</v>
      </c>
      <c r="G63" s="278">
        <v>42236242.843262531</v>
      </c>
      <c r="H63" s="278">
        <v>42917182.88440679</v>
      </c>
      <c r="I63" s="278">
        <v>43609113.584650233</v>
      </c>
      <c r="J63" s="278">
        <v>44312212.542889774</v>
      </c>
      <c r="K63" s="278">
        <v>45026660.231235929</v>
      </c>
      <c r="L63" s="278">
        <v>45752640.041551352</v>
      </c>
      <c r="M63" s="278">
        <v>46490338.332744397</v>
      </c>
      <c r="N63" s="278">
        <v>47239944.478829436</v>
      </c>
      <c r="O63" s="278">
        <v>48001650.917767406</v>
      </c>
      <c r="P63" s="278">
        <v>48775653.20109684</v>
      </c>
      <c r="Q63" s="278">
        <v>49562150.044371493</v>
      </c>
      <c r="R63" s="278">
        <v>50361343.37841513</v>
      </c>
      <c r="S63" s="278">
        <v>51173438.401407674</v>
      </c>
      <c r="T63" s="278">
        <v>51998643.631816991</v>
      </c>
      <c r="U63" s="278">
        <v>52837170.962187447</v>
      </c>
      <c r="V63" s="278">
        <v>53689235.713802591</v>
      </c>
      <c r="W63" s="278">
        <v>54555056.692233972</v>
      </c>
      <c r="X63" s="278">
        <v>55434856.243790358</v>
      </c>
      <c r="Y63" s="278">
        <v>56328860.312884219</v>
      </c>
      <c r="Z63" s="278">
        <v>57237298.500326358</v>
      </c>
      <c r="AA63" s="278">
        <v>58160404.122568317</v>
      </c>
      <c r="AB63" s="278">
        <v>59098414.271904893</v>
      </c>
      <c r="AC63" s="278">
        <v>60051569.877653308</v>
      </c>
      <c r="AD63" s="278">
        <v>61020115.768324703</v>
      </c>
      <c r="AE63" s="279">
        <v>62004300.734805427</v>
      </c>
      <c r="AF63" s="22"/>
      <c r="AG63" s="22"/>
      <c r="AH63" s="22"/>
      <c r="AI63" s="22"/>
      <c r="AJ63" s="22"/>
      <c r="AK63" s="22"/>
      <c r="AL63" s="22"/>
    </row>
    <row r="64" spans="2:38" ht="21.95" customHeight="1" x14ac:dyDescent="0.2">
      <c r="B64" s="530" t="s">
        <v>187</v>
      </c>
      <c r="C64" s="525"/>
      <c r="D64" s="531"/>
      <c r="E64" s="152" t="s">
        <v>22</v>
      </c>
      <c r="F64" s="278" cm="1">
        <f t="array" ref="F64:AE64">_xlfn.ANCHORARRAY(F58) * VTTSTrucks</f>
        <v>10656895.900761656</v>
      </c>
      <c r="G64" s="278">
        <v>10828705.14275535</v>
      </c>
      <c r="H64" s="278">
        <v>11003287.407394998</v>
      </c>
      <c r="I64" s="278">
        <v>11180687.503325919</v>
      </c>
      <c r="J64" s="278">
        <v>11360950.964098426</v>
      </c>
      <c r="K64" s="278">
        <v>11544124.059909379</v>
      </c>
      <c r="L64" s="278">
        <v>11730253.809533954</v>
      </c>
      <c r="M64" s="278">
        <v>11919387.992450943</v>
      </c>
      <c r="N64" s="278">
        <v>12111575.161164669</v>
      </c>
      <c r="O64" s="278">
        <v>12306864.653726937</v>
      </c>
      <c r="P64" s="278">
        <v>12505306.606461633</v>
      </c>
      <c r="Q64" s="278">
        <v>12706951.966896139</v>
      </c>
      <c r="R64" s="278">
        <v>12911852.506902263</v>
      </c>
      <c r="S64" s="278">
        <v>13120060.836050276</v>
      </c>
      <c r="T64" s="278">
        <v>13331630.415179811</v>
      </c>
      <c r="U64" s="278">
        <v>13546615.570190394</v>
      </c>
      <c r="V64" s="278">
        <v>13765071.506056085</v>
      </c>
      <c r="W64" s="278">
        <v>13987054.321067316</v>
      </c>
      <c r="X64" s="278">
        <v>14212621.021303589</v>
      </c>
      <c r="Y64" s="278">
        <v>14441829.535341315</v>
      </c>
      <c r="Z64" s="278">
        <v>14674738.72919967</v>
      </c>
      <c r="AA64" s="278">
        <v>14911408.421529382</v>
      </c>
      <c r="AB64" s="278">
        <v>15151899.399047712</v>
      </c>
      <c r="AC64" s="278">
        <v>15396273.432223827</v>
      </c>
      <c r="AD64" s="278">
        <v>15644593.291218596</v>
      </c>
      <c r="AE64" s="279">
        <v>15896922.762083273</v>
      </c>
      <c r="AF64" s="22"/>
      <c r="AG64" s="22"/>
      <c r="AH64" s="22"/>
      <c r="AI64" s="22"/>
      <c r="AJ64" s="22"/>
      <c r="AK64" s="22"/>
      <c r="AL64" s="22"/>
    </row>
    <row r="65" spans="2:38" s="1" customFormat="1" ht="21.95" customHeight="1" x14ac:dyDescent="0.2">
      <c r="B65" s="575"/>
      <c r="C65" s="576"/>
      <c r="D65" s="576"/>
      <c r="E65" s="331" t="s">
        <v>28</v>
      </c>
      <c r="F65" s="577" cm="1">
        <f t="array" ref="F65:AE65">_xlfn.ANCHORARRAY(F63) +_xlfn.ANCHORARRAY( F64)</f>
        <v>52223014.590499029</v>
      </c>
      <c r="G65" s="577">
        <v>53064947.986017883</v>
      </c>
      <c r="H65" s="577">
        <v>53920470.291801788</v>
      </c>
      <c r="I65" s="577">
        <v>54789801.08797615</v>
      </c>
      <c r="J65" s="577">
        <v>55673163.506988198</v>
      </c>
      <c r="K65" s="577">
        <v>56570784.29114531</v>
      </c>
      <c r="L65" s="577">
        <v>57482893.851085305</v>
      </c>
      <c r="M65" s="577">
        <v>58409726.325195342</v>
      </c>
      <c r="N65" s="577">
        <v>59351519.639994107</v>
      </c>
      <c r="O65" s="577">
        <v>60308515.571494341</v>
      </c>
      <c r="P65" s="577">
        <v>61280959.807558477</v>
      </c>
      <c r="Q65" s="577">
        <v>62269102.011267632</v>
      </c>
      <c r="R65" s="577">
        <v>63273195.885317393</v>
      </c>
      <c r="S65" s="577">
        <v>64293499.237457946</v>
      </c>
      <c r="T65" s="577">
        <v>65330274.046996802</v>
      </c>
      <c r="U65" s="577">
        <v>66383786.532377839</v>
      </c>
      <c r="V65" s="577">
        <v>67454307.219858676</v>
      </c>
      <c r="W65" s="577">
        <v>68542111.013301283</v>
      </c>
      <c r="X65" s="577">
        <v>69647477.265093952</v>
      </c>
      <c r="Y65" s="577">
        <v>70770689.848225534</v>
      </c>
      <c r="Z65" s="577">
        <v>71912037.229526028</v>
      </c>
      <c r="AA65" s="577">
        <v>73071812.544097692</v>
      </c>
      <c r="AB65" s="577">
        <v>74250313.670952603</v>
      </c>
      <c r="AC65" s="577">
        <v>75447843.309877127</v>
      </c>
      <c r="AD65" s="577">
        <v>76664709.059543297</v>
      </c>
      <c r="AE65" s="578">
        <v>77901223.496888697</v>
      </c>
      <c r="AF65" s="61"/>
      <c r="AG65" s="61"/>
      <c r="AH65" s="61"/>
      <c r="AI65" s="61"/>
      <c r="AJ65" s="61"/>
      <c r="AK65" s="61"/>
      <c r="AL65" s="61"/>
    </row>
    <row r="66" spans="2:38" ht="21.95" customHeight="1" x14ac:dyDescent="0.2">
      <c r="B66" s="1"/>
      <c r="D66" s="1"/>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row>
    <row r="67" spans="2:38" ht="21.95" customHeight="1" x14ac:dyDescent="0.2">
      <c r="B67" s="65"/>
      <c r="C67" s="9"/>
      <c r="D67" s="126"/>
      <c r="E67" s="50"/>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row>
    <row r="68" spans="2:38" s="1" customFormat="1" ht="21.95" customHeight="1" x14ac:dyDescent="0.2">
      <c r="B68" s="128"/>
      <c r="C68" s="129"/>
      <c r="D68" s="129"/>
      <c r="E68" s="53"/>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row>
    <row r="69" spans="2:38" ht="21.95" customHeight="1" x14ac:dyDescent="0.2">
      <c r="E69" s="1"/>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row>
    <row r="70" spans="2:38" ht="21.95" customHeight="1" x14ac:dyDescent="0.2">
      <c r="B70" s="349" t="s">
        <v>184</v>
      </c>
      <c r="E70" s="1"/>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row>
    <row r="71" spans="2:38" ht="21.95" customHeight="1" x14ac:dyDescent="0.2">
      <c r="B71" s="9" t="s">
        <v>373</v>
      </c>
      <c r="E71" s="1"/>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226">
        <f>AE74*60/2</f>
        <v>4.4762538397671969</v>
      </c>
      <c r="AF71" s="19"/>
      <c r="AG71" s="19"/>
      <c r="AH71" s="19"/>
      <c r="AI71" s="19"/>
      <c r="AJ71" s="19"/>
      <c r="AK71" s="19"/>
      <c r="AL71" s="19"/>
    </row>
    <row r="72" spans="2:38" s="7" customFormat="1" ht="21.95" customHeight="1" x14ac:dyDescent="0.2">
      <c r="B72" s="411"/>
      <c r="C72" s="410" t="s">
        <v>2</v>
      </c>
      <c r="D72" s="410" t="s">
        <v>21</v>
      </c>
      <c r="E72" s="410"/>
      <c r="F72" s="347" cm="1">
        <f t="array" ref="F72:AE72">year</f>
        <v>2022</v>
      </c>
      <c r="G72" s="347">
        <v>2023</v>
      </c>
      <c r="H72" s="347">
        <v>2024</v>
      </c>
      <c r="I72" s="347">
        <v>2025</v>
      </c>
      <c r="J72" s="347">
        <v>2026</v>
      </c>
      <c r="K72" s="347">
        <v>2027</v>
      </c>
      <c r="L72" s="347">
        <v>2028</v>
      </c>
      <c r="M72" s="347">
        <v>2029</v>
      </c>
      <c r="N72" s="347">
        <v>2030</v>
      </c>
      <c r="O72" s="347">
        <v>2031</v>
      </c>
      <c r="P72" s="347">
        <v>2032</v>
      </c>
      <c r="Q72" s="347">
        <v>2033</v>
      </c>
      <c r="R72" s="347">
        <v>2034</v>
      </c>
      <c r="S72" s="347">
        <v>2035</v>
      </c>
      <c r="T72" s="347">
        <v>2036</v>
      </c>
      <c r="U72" s="347">
        <v>2037</v>
      </c>
      <c r="V72" s="347">
        <v>2038</v>
      </c>
      <c r="W72" s="347">
        <v>2039</v>
      </c>
      <c r="X72" s="347">
        <v>2040</v>
      </c>
      <c r="Y72" s="347">
        <v>2041</v>
      </c>
      <c r="Z72" s="347">
        <v>2042</v>
      </c>
      <c r="AA72" s="347">
        <v>2043</v>
      </c>
      <c r="AB72" s="347">
        <v>2044</v>
      </c>
      <c r="AC72" s="347">
        <v>2045</v>
      </c>
      <c r="AD72" s="347">
        <v>2046</v>
      </c>
      <c r="AE72" s="348">
        <v>2047</v>
      </c>
      <c r="AF72" s="33"/>
      <c r="AG72" s="33"/>
      <c r="AH72" s="33"/>
      <c r="AI72" s="33"/>
      <c r="AJ72" s="33"/>
      <c r="AK72" s="33"/>
      <c r="AL72" s="33"/>
    </row>
    <row r="73" spans="2:38" ht="21.95" customHeight="1" x14ac:dyDescent="0.2">
      <c r="B73" s="273" t="s">
        <v>268</v>
      </c>
      <c r="C73" s="383" t="s">
        <v>115</v>
      </c>
      <c r="D73" s="529" t="s">
        <v>505</v>
      </c>
      <c r="E73" s="143" t="s">
        <v>176</v>
      </c>
      <c r="F73" s="300" cm="1">
        <f t="array" ref="F73:AE73">(GROWTH(E13:F13, $E$12:$F$12, year) / 60) * peakHoursAM</f>
        <v>7.948717948717994E-3</v>
      </c>
      <c r="G73" s="300">
        <v>8.6569687419830281E-3</v>
      </c>
      <c r="H73" s="300">
        <v>9.4283264651198774E-3</v>
      </c>
      <c r="I73" s="300">
        <v>1.0268414104556105E-2</v>
      </c>
      <c r="J73" s="300">
        <v>1.1183355668975143E-2</v>
      </c>
      <c r="K73" s="300">
        <v>1.2179820831661432E-2</v>
      </c>
      <c r="L73" s="300">
        <v>1.3265073550590971E-2</v>
      </c>
      <c r="M73" s="300">
        <v>1.4447025020694854E-2</v>
      </c>
      <c r="N73" s="300">
        <v>1.5734291344300818E-2</v>
      </c>
      <c r="O73" s="300">
        <v>1.7136256340160506E-2</v>
      </c>
      <c r="P73" s="300">
        <v>1.8663139948915188E-2</v>
      </c>
      <c r="Q73" s="300">
        <v>2.0326072733662885E-2</v>
      </c>
      <c r="R73" s="300">
        <v>2.2137177018713202E-2</v>
      </c>
      <c r="S73" s="300">
        <v>2.4109655258009753E-2</v>
      </c>
      <c r="T73" s="300">
        <v>2.6257886277401502E-2</v>
      </c>
      <c r="U73" s="300">
        <v>2.859753009234384E-2</v>
      </c>
      <c r="V73" s="300">
        <v>3.114564206511675E-2</v>
      </c>
      <c r="W73" s="300">
        <v>3.3920797233746879E-2</v>
      </c>
      <c r="X73" s="300">
        <v>3.6943225718941583E-2</v>
      </c>
      <c r="Y73" s="300">
        <v>4.0234960196126004E-2</v>
      </c>
      <c r="Z73" s="300">
        <v>4.3819996507609343E-2</v>
      </c>
      <c r="AA73" s="300">
        <v>4.7724468585699745E-2</v>
      </c>
      <c r="AB73" s="300">
        <v>5.1976838961909376E-2</v>
      </c>
      <c r="AC73" s="300">
        <v>5.6608106251011182E-2</v>
      </c>
      <c r="AD73" s="300">
        <v>6.1652031122439846E-2</v>
      </c>
      <c r="AE73" s="301">
        <v>6.7145382406329737E-2</v>
      </c>
      <c r="AF73" s="17"/>
      <c r="AG73" s="17"/>
      <c r="AH73" s="17"/>
      <c r="AI73" s="17"/>
      <c r="AJ73" s="17"/>
      <c r="AK73" s="17"/>
      <c r="AL73" s="17"/>
    </row>
    <row r="74" spans="2:38" ht="21.95" customHeight="1" x14ac:dyDescent="0.2">
      <c r="B74" s="524" t="s">
        <v>376</v>
      </c>
      <c r="C74" s="525"/>
      <c r="D74" s="525"/>
      <c r="E74" s="152" t="s">
        <v>140</v>
      </c>
      <c r="F74" s="300" cm="1">
        <f t="array" ref="F74:AE74">(GROWTH(E14:F14, $E$12:$F$12, year) / 60) * peakHoursPM</f>
        <v>2.3846153846153923E-2</v>
      </c>
      <c r="G74" s="579">
        <v>2.5660986366977577E-2</v>
      </c>
      <c r="H74" s="579">
        <v>2.7613938313678862E-2</v>
      </c>
      <c r="I74" s="579">
        <v>2.9715521386697804E-2</v>
      </c>
      <c r="J74" s="579">
        <v>3.197704728868337E-2</v>
      </c>
      <c r="K74" s="579">
        <v>3.4410688609368655E-2</v>
      </c>
      <c r="L74" s="579">
        <v>3.7029544344138035E-2</v>
      </c>
      <c r="M74" s="579">
        <v>3.9847710398948674E-2</v>
      </c>
      <c r="N74" s="579">
        <v>4.2880355461080516E-2</v>
      </c>
      <c r="O74" s="579">
        <v>4.6143802644107001E-2</v>
      </c>
      <c r="P74" s="579">
        <v>4.9655617346521443E-2</v>
      </c>
      <c r="Q74" s="579">
        <v>5.3434701796929655E-2</v>
      </c>
      <c r="R74" s="579">
        <v>5.75013967946734E-2</v>
      </c>
      <c r="S74" s="579">
        <v>6.1877591193526003E-2</v>
      </c>
      <c r="T74" s="579">
        <v>6.6586839717742596E-2</v>
      </c>
      <c r="U74" s="579">
        <v>7.1654489744588407E-2</v>
      </c>
      <c r="V74" s="579">
        <v>7.7107817735780487E-2</v>
      </c>
      <c r="W74" s="579">
        <v>8.2976176052153225E-2</v>
      </c>
      <c r="X74" s="579">
        <v>8.9291150941796668E-2</v>
      </c>
      <c r="Y74" s="579">
        <v>9.6086732551997622E-2</v>
      </c>
      <c r="Z74" s="579">
        <v>0.10339949788011259</v>
      </c>
      <c r="AA74" s="579">
        <v>0.11126880764806309</v>
      </c>
      <c r="AB74" s="579">
        <v>0.11973701816015561</v>
      </c>
      <c r="AC74" s="579">
        <v>0.12884970928449604</v>
      </c>
      <c r="AD74" s="579">
        <v>0.13865592978516145</v>
      </c>
      <c r="AE74" s="581">
        <v>0.14920846132557322</v>
      </c>
      <c r="AF74" s="58"/>
      <c r="AG74" s="58"/>
      <c r="AH74" s="58"/>
      <c r="AI74" s="58"/>
      <c r="AJ74" s="58"/>
      <c r="AK74" s="58"/>
      <c r="AL74" s="58"/>
    </row>
    <row r="75" spans="2:38" ht="21.95" customHeight="1" x14ac:dyDescent="0.2">
      <c r="B75" s="530"/>
      <c r="C75" s="143"/>
      <c r="D75" s="152"/>
      <c r="E75" s="153" t="s">
        <v>28</v>
      </c>
      <c r="F75" s="580" cm="1">
        <f t="array" ref="F75:AE75">_xlfn.ANCHORARRAY(F73) +_xlfn.ANCHORARRAY( F74)</f>
        <v>3.1794871794871921E-2</v>
      </c>
      <c r="G75" s="580">
        <v>3.4317955108960602E-2</v>
      </c>
      <c r="H75" s="580">
        <v>3.7042264778798739E-2</v>
      </c>
      <c r="I75" s="580">
        <v>3.9983935491253911E-2</v>
      </c>
      <c r="J75" s="580">
        <v>4.3160402957658515E-2</v>
      </c>
      <c r="K75" s="580">
        <v>4.659050944103009E-2</v>
      </c>
      <c r="L75" s="580">
        <v>5.0294617894729006E-2</v>
      </c>
      <c r="M75" s="580">
        <v>5.4294735419643525E-2</v>
      </c>
      <c r="N75" s="580">
        <v>5.8614646805381337E-2</v>
      </c>
      <c r="O75" s="580">
        <v>6.3280058984267501E-2</v>
      </c>
      <c r="P75" s="580">
        <v>6.8318757295436627E-2</v>
      </c>
      <c r="Q75" s="580">
        <v>7.3760774530592543E-2</v>
      </c>
      <c r="R75" s="580">
        <v>7.9638573813386598E-2</v>
      </c>
      <c r="S75" s="580">
        <v>8.5987246451535757E-2</v>
      </c>
      <c r="T75" s="580">
        <v>9.2844725995144095E-2</v>
      </c>
      <c r="U75" s="580">
        <v>0.10025201983693224</v>
      </c>
      <c r="V75" s="580">
        <v>0.10825345980089723</v>
      </c>
      <c r="W75" s="580">
        <v>0.1168969732859001</v>
      </c>
      <c r="X75" s="580">
        <v>0.12623437666073825</v>
      </c>
      <c r="Y75" s="580">
        <v>0.13632169274812361</v>
      </c>
      <c r="Z75" s="580">
        <v>0.14721949438772192</v>
      </c>
      <c r="AA75" s="580">
        <v>0.15899327623376283</v>
      </c>
      <c r="AB75" s="580">
        <v>0.17171385712206499</v>
      </c>
      <c r="AC75" s="580">
        <v>0.18545781553550722</v>
      </c>
      <c r="AD75" s="580">
        <v>0.20030796090760128</v>
      </c>
      <c r="AE75" s="582">
        <v>0.21635384373190297</v>
      </c>
      <c r="AF75" s="59"/>
      <c r="AG75" s="59"/>
      <c r="AH75" s="59"/>
      <c r="AI75" s="59"/>
      <c r="AJ75" s="59"/>
      <c r="AK75" s="59"/>
      <c r="AL75" s="59"/>
    </row>
    <row r="76" spans="2:38" ht="21.95" customHeight="1" x14ac:dyDescent="0.2">
      <c r="B76" s="530"/>
      <c r="C76" s="143"/>
      <c r="D76" s="529"/>
      <c r="E76" s="143"/>
      <c r="F76" s="300"/>
      <c r="G76" s="300"/>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1"/>
      <c r="AF76" s="17"/>
      <c r="AG76" s="17"/>
      <c r="AH76" s="17"/>
      <c r="AI76" s="17"/>
      <c r="AJ76" s="17"/>
      <c r="AK76" s="17"/>
      <c r="AL76" s="17"/>
    </row>
    <row r="77" spans="2:38" ht="21.95" customHeight="1" x14ac:dyDescent="0.2">
      <c r="B77" s="530"/>
      <c r="C77" s="143"/>
      <c r="D77" s="525"/>
      <c r="E77" s="152"/>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1"/>
      <c r="AF77" s="17"/>
      <c r="AG77" s="17"/>
      <c r="AH77" s="17"/>
      <c r="AI77" s="17"/>
      <c r="AJ77" s="17"/>
      <c r="AK77" s="17"/>
      <c r="AL77" s="17"/>
    </row>
    <row r="78" spans="2:38" ht="21.95" customHeight="1" x14ac:dyDescent="0.2">
      <c r="B78" s="572"/>
      <c r="C78" s="152"/>
      <c r="D78" s="567"/>
      <c r="E78" s="153"/>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2"/>
      <c r="AF78" s="59"/>
      <c r="AG78" s="59"/>
      <c r="AH78" s="59"/>
      <c r="AI78" s="59"/>
      <c r="AJ78" s="59"/>
      <c r="AK78" s="59"/>
      <c r="AL78" s="59"/>
    </row>
    <row r="79" spans="2:38" ht="21.95" customHeight="1" x14ac:dyDescent="0.2">
      <c r="B79" s="273" t="s">
        <v>269</v>
      </c>
      <c r="C79" s="143" t="s">
        <v>215</v>
      </c>
      <c r="D79" s="529" t="s">
        <v>505</v>
      </c>
      <c r="E79" s="143" t="s">
        <v>23</v>
      </c>
      <c r="F79" s="522" cm="1">
        <f t="array" ref="F79:AE79">_xlfn.ANCHORARRAY($F$36) *_xlfn.ANCHORARRAY( F75)</f>
        <v>160376.98567384674</v>
      </c>
      <c r="G79" s="522">
        <v>175828.88311519939</v>
      </c>
      <c r="H79" s="522">
        <v>192774.77042005633</v>
      </c>
      <c r="I79" s="522">
        <v>211359.63395962937</v>
      </c>
      <c r="J79" s="522">
        <v>231742.58549521168</v>
      </c>
      <c r="K79" s="522">
        <v>254098.24395432082</v>
      </c>
      <c r="L79" s="522">
        <v>278618.25294348068</v>
      </c>
      <c r="M79" s="522">
        <v>305512.94738902722</v>
      </c>
      <c r="N79" s="522">
        <v>335013.18402408052</v>
      </c>
      <c r="O79" s="522">
        <v>367372.35189906327</v>
      </c>
      <c r="P79" s="522">
        <v>402868.58069709461</v>
      </c>
      <c r="Q79" s="522">
        <v>441807.16639991075</v>
      </c>
      <c r="R79" s="522">
        <v>484523.23578948487</v>
      </c>
      <c r="S79" s="522">
        <v>531384.67340401176</v>
      </c>
      <c r="T79" s="522">
        <v>582795.33691262687</v>
      </c>
      <c r="U79" s="522">
        <v>639198.58945308265</v>
      </c>
      <c r="V79" s="522">
        <v>701081.18031436566</v>
      </c>
      <c r="W79" s="522">
        <v>768977.50846663292</v>
      </c>
      <c r="X79" s="522">
        <v>843474.30687343702</v>
      </c>
      <c r="Y79" s="522">
        <v>925215.78929640201</v>
      </c>
      <c r="Z79" s="522">
        <v>1014909.3054556525</v>
      </c>
      <c r="AA79" s="522">
        <v>1113331.5549769502</v>
      </c>
      <c r="AB79" s="522">
        <v>1221335.4155818897</v>
      </c>
      <c r="AC79" s="522">
        <v>1339857.4465049678</v>
      </c>
      <c r="AD79" s="522">
        <v>1469926.134203373</v>
      </c>
      <c r="AE79" s="523">
        <v>1612670.95411535</v>
      </c>
      <c r="AF79" s="5"/>
      <c r="AG79" s="5"/>
      <c r="AH79" s="5"/>
      <c r="AI79" s="5"/>
      <c r="AJ79" s="5"/>
      <c r="AK79" s="5"/>
      <c r="AL79" s="5"/>
    </row>
    <row r="80" spans="2:38" ht="21.95" customHeight="1" x14ac:dyDescent="0.2">
      <c r="B80" s="524" t="s">
        <v>332</v>
      </c>
      <c r="C80" s="525"/>
      <c r="D80" s="525"/>
      <c r="E80" s="152" t="s">
        <v>22</v>
      </c>
      <c r="F80" s="522" cm="1">
        <f t="array" ref="F80:AE80">_xlfn.ANCHORARRAY($F$37) *_xlfn.ANCHORARRAY( F75)</f>
        <v>39843.970223589895</v>
      </c>
      <c r="G80" s="522">
        <v>43682.831135985871</v>
      </c>
      <c r="H80" s="522">
        <v>47892.858069402268</v>
      </c>
      <c r="I80" s="522">
        <v>52510.071358259986</v>
      </c>
      <c r="J80" s="522">
        <v>57574.000641132494</v>
      </c>
      <c r="K80" s="522">
        <v>63128.028148451755</v>
      </c>
      <c r="L80" s="522">
        <v>69219.765712550128</v>
      </c>
      <c r="M80" s="522">
        <v>75901.468826986806</v>
      </c>
      <c r="N80" s="522">
        <v>83230.491411725379</v>
      </c>
      <c r="O80" s="522">
        <v>91269.785303262921</v>
      </c>
      <c r="P80" s="522">
        <v>100088.44888729318</v>
      </c>
      <c r="Q80" s="522">
        <v>109762.32972981554</v>
      </c>
      <c r="R80" s="522">
        <v>120374.6865444538</v>
      </c>
      <c r="S80" s="522">
        <v>132016.91636379319</v>
      </c>
      <c r="T80" s="522">
        <v>144789.3533653093</v>
      </c>
      <c r="U80" s="522">
        <v>158802.14644340007</v>
      </c>
      <c r="V80" s="522">
        <v>174176.22332404344</v>
      </c>
      <c r="W80" s="522">
        <v>191044.34979383266</v>
      </c>
      <c r="X80" s="522">
        <v>209552.29346793256</v>
      </c>
      <c r="Y80" s="522">
        <v>229860.10245940578</v>
      </c>
      <c r="Z80" s="522">
        <v>252143.51034416337</v>
      </c>
      <c r="AA80" s="522">
        <v>276595.47995057818</v>
      </c>
      <c r="AB80" s="522">
        <v>303427.89975130599</v>
      </c>
      <c r="AC80" s="522">
        <v>332873.44800810068</v>
      </c>
      <c r="AD80" s="522">
        <v>365187.64133142476</v>
      </c>
      <c r="AE80" s="523">
        <v>400651.08597871999</v>
      </c>
      <c r="AF80" s="5"/>
      <c r="AG80" s="5"/>
      <c r="AH80" s="5"/>
      <c r="AI80" s="5"/>
      <c r="AJ80" s="5"/>
      <c r="AK80" s="5"/>
      <c r="AL80" s="5"/>
    </row>
    <row r="81" spans="2:38" ht="21.95" customHeight="1" x14ac:dyDescent="0.2">
      <c r="B81" s="277"/>
      <c r="C81" s="143"/>
      <c r="D81" s="152"/>
      <c r="E81" s="153" t="s">
        <v>28</v>
      </c>
      <c r="F81" s="527" cm="1">
        <f t="array" ref="F81:AE81">_xlfn.ANCHORARRAY(F79) +_xlfn.ANCHORARRAY( F80)</f>
        <v>200220.95589743662</v>
      </c>
      <c r="G81" s="527">
        <v>219511.71425118527</v>
      </c>
      <c r="H81" s="527">
        <v>240667.62848945858</v>
      </c>
      <c r="I81" s="527">
        <v>263869.70531788934</v>
      </c>
      <c r="J81" s="527">
        <v>289316.58613634418</v>
      </c>
      <c r="K81" s="527">
        <v>317226.27210277255</v>
      </c>
      <c r="L81" s="527">
        <v>347838.01865603082</v>
      </c>
      <c r="M81" s="527">
        <v>381414.41621601401</v>
      </c>
      <c r="N81" s="527">
        <v>418243.67543580593</v>
      </c>
      <c r="O81" s="527">
        <v>458642.13720232621</v>
      </c>
      <c r="P81" s="527">
        <v>502957.02958438778</v>
      </c>
      <c r="Q81" s="527">
        <v>551569.49612972629</v>
      </c>
      <c r="R81" s="527">
        <v>604897.92233393865</v>
      </c>
      <c r="S81" s="527">
        <v>663401.58976780495</v>
      </c>
      <c r="T81" s="527">
        <v>727584.69027793617</v>
      </c>
      <c r="U81" s="527">
        <v>798000.73589648271</v>
      </c>
      <c r="V81" s="527">
        <v>875257.4036384091</v>
      </c>
      <c r="W81" s="527">
        <v>960021.85826046555</v>
      </c>
      <c r="X81" s="527">
        <v>1053026.6003413696</v>
      </c>
      <c r="Y81" s="527">
        <v>1155075.8917558077</v>
      </c>
      <c r="Z81" s="527">
        <v>1267052.8157998158</v>
      </c>
      <c r="AA81" s="527">
        <v>1389927.0349275284</v>
      </c>
      <c r="AB81" s="527">
        <v>1524763.3153331957</v>
      </c>
      <c r="AC81" s="527">
        <v>1672730.8945130685</v>
      </c>
      <c r="AD81" s="527">
        <v>1835113.7755347977</v>
      </c>
      <c r="AE81" s="528">
        <v>2013322.0400940701</v>
      </c>
      <c r="AF81" s="57"/>
      <c r="AG81" s="57"/>
      <c r="AH81" s="57"/>
      <c r="AI81" s="57"/>
      <c r="AJ81" s="57"/>
      <c r="AK81" s="57"/>
      <c r="AL81" s="57"/>
    </row>
    <row r="82" spans="2:38" ht="21.95" customHeight="1" x14ac:dyDescent="0.2">
      <c r="B82" s="277"/>
      <c r="C82" s="143"/>
      <c r="D82" s="529"/>
      <c r="E82" s="143"/>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2"/>
      <c r="AE82" s="523"/>
      <c r="AF82" s="5"/>
      <c r="AG82" s="5"/>
      <c r="AH82" s="5"/>
      <c r="AI82" s="5"/>
      <c r="AJ82" s="5"/>
      <c r="AK82" s="5"/>
      <c r="AL82" s="5"/>
    </row>
    <row r="83" spans="2:38" ht="21.95" customHeight="1" x14ac:dyDescent="0.2">
      <c r="B83" s="277"/>
      <c r="C83" s="143"/>
      <c r="D83" s="525"/>
      <c r="E83" s="15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2"/>
      <c r="AE83" s="523"/>
      <c r="AF83" s="5"/>
      <c r="AG83" s="5"/>
      <c r="AH83" s="5"/>
      <c r="AI83" s="5"/>
      <c r="AJ83" s="5"/>
      <c r="AK83" s="5"/>
      <c r="AL83" s="5"/>
    </row>
    <row r="84" spans="2:38" ht="21.95" customHeight="1" x14ac:dyDescent="0.2">
      <c r="B84" s="280"/>
      <c r="C84" s="152"/>
      <c r="D84" s="567"/>
      <c r="E84" s="153"/>
      <c r="F84" s="527"/>
      <c r="G84" s="527"/>
      <c r="H84" s="527"/>
      <c r="I84" s="527"/>
      <c r="J84" s="527"/>
      <c r="K84" s="527"/>
      <c r="L84" s="527"/>
      <c r="M84" s="527"/>
      <c r="N84" s="527"/>
      <c r="O84" s="527"/>
      <c r="P84" s="527"/>
      <c r="Q84" s="527"/>
      <c r="R84" s="527"/>
      <c r="S84" s="527"/>
      <c r="T84" s="527"/>
      <c r="U84" s="527"/>
      <c r="V84" s="527"/>
      <c r="W84" s="527"/>
      <c r="X84" s="527"/>
      <c r="Y84" s="527"/>
      <c r="Z84" s="527"/>
      <c r="AA84" s="527"/>
      <c r="AB84" s="527"/>
      <c r="AC84" s="527"/>
      <c r="AD84" s="527"/>
      <c r="AE84" s="528"/>
      <c r="AF84" s="57"/>
      <c r="AG84" s="57"/>
      <c r="AH84" s="57"/>
      <c r="AI84" s="57"/>
      <c r="AJ84" s="57"/>
      <c r="AK84" s="57"/>
      <c r="AL84" s="57"/>
    </row>
    <row r="85" spans="2:38" ht="21.95" customHeight="1" x14ac:dyDescent="0.2">
      <c r="B85" s="273" t="s">
        <v>270</v>
      </c>
      <c r="C85" s="143" t="s">
        <v>181</v>
      </c>
      <c r="D85" s="529" t="s">
        <v>505</v>
      </c>
      <c r="E85" s="143" t="s">
        <v>23</v>
      </c>
      <c r="F85" s="522" cm="1">
        <f t="array" ref="F85:AE85">_xlfn.ANCHORARRAY(F36) *_xlfn.ANCHORARRAY( F75) * occupancyAutos</f>
        <v>267829.56607532402</v>
      </c>
      <c r="G85" s="522">
        <v>293634.234802383</v>
      </c>
      <c r="H85" s="522">
        <v>321933.86660149408</v>
      </c>
      <c r="I85" s="522">
        <v>352970.58871258103</v>
      </c>
      <c r="J85" s="522">
        <v>387010.1177770035</v>
      </c>
      <c r="K85" s="522">
        <v>424344.06740371574</v>
      </c>
      <c r="L85" s="522">
        <v>465292.48241561273</v>
      </c>
      <c r="M85" s="522">
        <v>510206.62213967543</v>
      </c>
      <c r="N85" s="522">
        <v>559472.01732021442</v>
      </c>
      <c r="O85" s="522">
        <v>613511.82767143566</v>
      </c>
      <c r="P85" s="522">
        <v>672790.52976414794</v>
      </c>
      <c r="Q85" s="522">
        <v>737817.96788785094</v>
      </c>
      <c r="R85" s="522">
        <v>809153.80376843968</v>
      </c>
      <c r="S85" s="522">
        <v>887412.40458469954</v>
      </c>
      <c r="T85" s="522">
        <v>973268.2126440868</v>
      </c>
      <c r="U85" s="522">
        <v>1067461.644386648</v>
      </c>
      <c r="V85" s="522">
        <v>1170805.5711249907</v>
      </c>
      <c r="W85" s="522">
        <v>1284192.439139277</v>
      </c>
      <c r="X85" s="522">
        <v>1408602.0924786397</v>
      </c>
      <c r="Y85" s="522">
        <v>1545110.3681249912</v>
      </c>
      <c r="Z85" s="522">
        <v>1694898.5401109396</v>
      </c>
      <c r="AA85" s="522">
        <v>1859263.6968115068</v>
      </c>
      <c r="AB85" s="522">
        <v>2039630.1440217558</v>
      </c>
      <c r="AC85" s="522">
        <v>2237561.9356632959</v>
      </c>
      <c r="AD85" s="522">
        <v>2454776.6441196329</v>
      </c>
      <c r="AE85" s="523">
        <v>2693160.4933726345</v>
      </c>
      <c r="AF85" s="5"/>
      <c r="AG85" s="5"/>
      <c r="AH85" s="5"/>
      <c r="AI85" s="5"/>
      <c r="AJ85" s="5"/>
      <c r="AK85" s="5"/>
      <c r="AL85" s="5"/>
    </row>
    <row r="86" spans="2:38" ht="21.95" customHeight="1" x14ac:dyDescent="0.2">
      <c r="B86" s="524" t="s">
        <v>266</v>
      </c>
      <c r="C86" s="525"/>
      <c r="D86" s="525"/>
      <c r="E86" s="152" t="s">
        <v>22</v>
      </c>
      <c r="F86" s="522" cm="1">
        <f t="array" ref="F86:AE86">_xlfn.ANCHORARRAY(F37) *_xlfn.ANCHORARRAY( F75) * occupancyTrucks</f>
        <v>39843.970223589895</v>
      </c>
      <c r="G86" s="522">
        <v>43682.831135985871</v>
      </c>
      <c r="H86" s="522">
        <v>47892.858069402268</v>
      </c>
      <c r="I86" s="522">
        <v>52510.071358259986</v>
      </c>
      <c r="J86" s="522">
        <v>57574.000641132494</v>
      </c>
      <c r="K86" s="522">
        <v>63128.028148451755</v>
      </c>
      <c r="L86" s="522">
        <v>69219.765712550128</v>
      </c>
      <c r="M86" s="522">
        <v>75901.468826986806</v>
      </c>
      <c r="N86" s="522">
        <v>83230.491411725379</v>
      </c>
      <c r="O86" s="522">
        <v>91269.785303262921</v>
      </c>
      <c r="P86" s="522">
        <v>100088.44888729318</v>
      </c>
      <c r="Q86" s="522">
        <v>109762.32972981554</v>
      </c>
      <c r="R86" s="522">
        <v>120374.6865444538</v>
      </c>
      <c r="S86" s="522">
        <v>132016.91636379319</v>
      </c>
      <c r="T86" s="522">
        <v>144789.3533653093</v>
      </c>
      <c r="U86" s="522">
        <v>158802.14644340007</v>
      </c>
      <c r="V86" s="522">
        <v>174176.22332404344</v>
      </c>
      <c r="W86" s="522">
        <v>191044.34979383266</v>
      </c>
      <c r="X86" s="522">
        <v>209552.29346793256</v>
      </c>
      <c r="Y86" s="522">
        <v>229860.10245940578</v>
      </c>
      <c r="Z86" s="522">
        <v>252143.51034416337</v>
      </c>
      <c r="AA86" s="522">
        <v>276595.47995057818</v>
      </c>
      <c r="AB86" s="522">
        <v>303427.89975130599</v>
      </c>
      <c r="AC86" s="522">
        <v>332873.44800810068</v>
      </c>
      <c r="AD86" s="522">
        <v>365187.64133142476</v>
      </c>
      <c r="AE86" s="523">
        <v>400651.08597871999</v>
      </c>
      <c r="AF86" s="5"/>
      <c r="AG86" s="5"/>
      <c r="AH86" s="5"/>
      <c r="AI86" s="5"/>
      <c r="AJ86" s="5"/>
      <c r="AK86" s="5"/>
      <c r="AL86" s="5"/>
    </row>
    <row r="87" spans="2:38" ht="21.95" customHeight="1" x14ac:dyDescent="0.2">
      <c r="B87" s="277"/>
      <c r="C87" s="143"/>
      <c r="D87" s="152"/>
      <c r="E87" s="153" t="s">
        <v>28</v>
      </c>
      <c r="F87" s="527" cm="1">
        <f t="array" ref="F87:AE87">_xlfn.ANCHORARRAY(F85) +_xlfn.ANCHORARRAY( F86)</f>
        <v>307673.53629891394</v>
      </c>
      <c r="G87" s="527">
        <v>337317.06593836885</v>
      </c>
      <c r="H87" s="527">
        <v>369826.72467089636</v>
      </c>
      <c r="I87" s="527">
        <v>405480.66007084103</v>
      </c>
      <c r="J87" s="527">
        <v>444584.11841813597</v>
      </c>
      <c r="K87" s="527">
        <v>487472.09555216751</v>
      </c>
      <c r="L87" s="527">
        <v>534512.24812816281</v>
      </c>
      <c r="M87" s="527">
        <v>586108.09096666228</v>
      </c>
      <c r="N87" s="527">
        <v>642702.50873193983</v>
      </c>
      <c r="O87" s="527">
        <v>704781.61297469854</v>
      </c>
      <c r="P87" s="527">
        <v>772878.97865144117</v>
      </c>
      <c r="Q87" s="527">
        <v>847580.29761766642</v>
      </c>
      <c r="R87" s="527">
        <v>929528.49031289353</v>
      </c>
      <c r="S87" s="527">
        <v>1019429.3209484927</v>
      </c>
      <c r="T87" s="527">
        <v>1118057.5660093962</v>
      </c>
      <c r="U87" s="527">
        <v>1226263.790830048</v>
      </c>
      <c r="V87" s="527">
        <v>1344981.7944490341</v>
      </c>
      <c r="W87" s="527">
        <v>1475236.7889331097</v>
      </c>
      <c r="X87" s="527">
        <v>1618154.3859465723</v>
      </c>
      <c r="Y87" s="527">
        <v>1774970.470584397</v>
      </c>
      <c r="Z87" s="527">
        <v>1947042.0504551029</v>
      </c>
      <c r="AA87" s="527">
        <v>2135859.1767620849</v>
      </c>
      <c r="AB87" s="527">
        <v>2343058.0437730616</v>
      </c>
      <c r="AC87" s="527">
        <v>2570435.3836713964</v>
      </c>
      <c r="AD87" s="527">
        <v>2819964.2854510578</v>
      </c>
      <c r="AE87" s="528">
        <v>3093811.5793513544</v>
      </c>
      <c r="AF87" s="57"/>
      <c r="AG87" s="57"/>
      <c r="AH87" s="57"/>
      <c r="AI87" s="57"/>
      <c r="AJ87" s="57"/>
      <c r="AK87" s="57"/>
      <c r="AL87" s="57"/>
    </row>
    <row r="88" spans="2:38" ht="21.95" customHeight="1" x14ac:dyDescent="0.2">
      <c r="B88" s="277"/>
      <c r="C88" s="143"/>
      <c r="D88" s="529"/>
      <c r="E88" s="143"/>
      <c r="F88" s="522"/>
      <c r="G88" s="522"/>
      <c r="H88" s="522"/>
      <c r="I88" s="522"/>
      <c r="J88" s="522"/>
      <c r="K88" s="522"/>
      <c r="L88" s="522"/>
      <c r="M88" s="522"/>
      <c r="N88" s="522"/>
      <c r="O88" s="522"/>
      <c r="P88" s="522"/>
      <c r="Q88" s="522"/>
      <c r="R88" s="522"/>
      <c r="S88" s="522"/>
      <c r="T88" s="522"/>
      <c r="U88" s="522"/>
      <c r="V88" s="522"/>
      <c r="W88" s="522"/>
      <c r="X88" s="522"/>
      <c r="Y88" s="522"/>
      <c r="Z88" s="522"/>
      <c r="AA88" s="522"/>
      <c r="AB88" s="522"/>
      <c r="AC88" s="522"/>
      <c r="AD88" s="522"/>
      <c r="AE88" s="523"/>
      <c r="AF88" s="5"/>
      <c r="AG88" s="5"/>
      <c r="AH88" s="5"/>
      <c r="AI88" s="5"/>
      <c r="AJ88" s="5"/>
      <c r="AK88" s="5"/>
      <c r="AL88" s="5"/>
    </row>
    <row r="89" spans="2:38" ht="21.95" customHeight="1" x14ac:dyDescent="0.2">
      <c r="B89" s="277"/>
      <c r="C89" s="143"/>
      <c r="D89" s="525"/>
      <c r="E89" s="152"/>
      <c r="F89" s="522"/>
      <c r="G89" s="522"/>
      <c r="H89" s="522"/>
      <c r="I89" s="522"/>
      <c r="J89" s="522"/>
      <c r="K89" s="522"/>
      <c r="L89" s="522"/>
      <c r="M89" s="522"/>
      <c r="N89" s="522"/>
      <c r="O89" s="522"/>
      <c r="P89" s="522"/>
      <c r="Q89" s="522"/>
      <c r="R89" s="522"/>
      <c r="S89" s="522"/>
      <c r="T89" s="522"/>
      <c r="U89" s="522"/>
      <c r="V89" s="522"/>
      <c r="W89" s="522"/>
      <c r="X89" s="522"/>
      <c r="Y89" s="522"/>
      <c r="Z89" s="522"/>
      <c r="AA89" s="522"/>
      <c r="AB89" s="522"/>
      <c r="AC89" s="522"/>
      <c r="AD89" s="522"/>
      <c r="AE89" s="523"/>
      <c r="AF89" s="5"/>
      <c r="AG89" s="5"/>
      <c r="AH89" s="5"/>
      <c r="AI89" s="5"/>
      <c r="AJ89" s="5"/>
      <c r="AK89" s="5"/>
      <c r="AL89" s="5"/>
    </row>
    <row r="90" spans="2:38" ht="21.95" customHeight="1" x14ac:dyDescent="0.2">
      <c r="B90" s="280"/>
      <c r="C90" s="152"/>
      <c r="D90" s="567"/>
      <c r="E90" s="153"/>
      <c r="F90" s="527"/>
      <c r="G90" s="527"/>
      <c r="H90" s="527"/>
      <c r="I90" s="527"/>
      <c r="J90" s="527"/>
      <c r="K90" s="527"/>
      <c r="L90" s="527"/>
      <c r="M90" s="527"/>
      <c r="N90" s="527"/>
      <c r="O90" s="527"/>
      <c r="P90" s="527"/>
      <c r="Q90" s="527"/>
      <c r="R90" s="527"/>
      <c r="S90" s="527"/>
      <c r="T90" s="527"/>
      <c r="U90" s="527"/>
      <c r="V90" s="527"/>
      <c r="W90" s="527"/>
      <c r="X90" s="527"/>
      <c r="Y90" s="527"/>
      <c r="Z90" s="527"/>
      <c r="AA90" s="527"/>
      <c r="AB90" s="527"/>
      <c r="AC90" s="527"/>
      <c r="AD90" s="527"/>
      <c r="AE90" s="528"/>
      <c r="AF90" s="57"/>
      <c r="AG90" s="57"/>
      <c r="AH90" s="57"/>
      <c r="AI90" s="57"/>
      <c r="AJ90" s="57"/>
      <c r="AK90" s="57"/>
      <c r="AL90" s="57"/>
    </row>
    <row r="91" spans="2:38" ht="21.95" customHeight="1" x14ac:dyDescent="0.2">
      <c r="B91" s="273" t="s">
        <v>183</v>
      </c>
      <c r="C91" s="143" t="str">
        <f>baseYear &amp; "$"</f>
        <v>2022$</v>
      </c>
      <c r="D91" s="529" t="s">
        <v>505</v>
      </c>
      <c r="E91" s="143" t="s">
        <v>23</v>
      </c>
      <c r="F91" s="278" cm="1">
        <f t="array" ref="F91:AE91">_xlfn.ANCHORARRAY(F85) * VTTSAutos</f>
        <v>5035195.8422160922</v>
      </c>
      <c r="G91" s="278">
        <v>5520323.6142848004</v>
      </c>
      <c r="H91" s="278">
        <v>6052356.6921080891</v>
      </c>
      <c r="I91" s="278">
        <v>6635847.0677965237</v>
      </c>
      <c r="J91" s="278">
        <v>7275790.214207666</v>
      </c>
      <c r="K91" s="278">
        <v>7977668.4671898559</v>
      </c>
      <c r="L91" s="278">
        <v>8747498.66941352</v>
      </c>
      <c r="M91" s="278">
        <v>9591884.4962258991</v>
      </c>
      <c r="N91" s="278">
        <v>10518073.925620031</v>
      </c>
      <c r="O91" s="278">
        <v>11534022.360222992</v>
      </c>
      <c r="P91" s="278">
        <v>12648461.959565982</v>
      </c>
      <c r="Q91" s="278">
        <v>13870977.796291599</v>
      </c>
      <c r="R91" s="278">
        <v>15212091.510846667</v>
      </c>
      <c r="S91" s="278">
        <v>16683353.206192352</v>
      </c>
      <c r="T91" s="278">
        <v>18297442.397708833</v>
      </c>
      <c r="U91" s="278">
        <v>20068278.914468981</v>
      </c>
      <c r="V91" s="278">
        <v>22011144.737149827</v>
      </c>
      <c r="W91" s="278">
        <v>24142817.855818409</v>
      </c>
      <c r="X91" s="278">
        <v>26481719.338598426</v>
      </c>
      <c r="Y91" s="278">
        <v>29048074.920749836</v>
      </c>
      <c r="Z91" s="278">
        <v>31864092.554085668</v>
      </c>
      <c r="AA91" s="278">
        <v>34954157.500056326</v>
      </c>
      <c r="AB91" s="278">
        <v>38345046.707609013</v>
      </c>
      <c r="AC91" s="278">
        <v>42066164.390469968</v>
      </c>
      <c r="AD91" s="278">
        <v>46149800.9094491</v>
      </c>
      <c r="AE91" s="279">
        <v>50631417.275405534</v>
      </c>
      <c r="AF91" s="22"/>
      <c r="AG91" s="22"/>
      <c r="AH91" s="22"/>
      <c r="AI91" s="22"/>
      <c r="AJ91" s="22"/>
      <c r="AK91" s="22"/>
      <c r="AL91" s="22"/>
    </row>
    <row r="92" spans="2:38" ht="21.95" customHeight="1" x14ac:dyDescent="0.2">
      <c r="B92" s="524" t="s">
        <v>188</v>
      </c>
      <c r="C92" s="143"/>
      <c r="D92" s="525"/>
      <c r="E92" s="152" t="s">
        <v>22</v>
      </c>
      <c r="F92" s="278" cm="1">
        <f t="array" ref="F92:AE92">_xlfn.ANCHORARRAY(F86) * VTTSTrucks</f>
        <v>1290944.6352443125</v>
      </c>
      <c r="G92" s="278">
        <v>1415323.7288059422</v>
      </c>
      <c r="H92" s="278">
        <v>1551728.6014486335</v>
      </c>
      <c r="I92" s="278">
        <v>1701326.3120076235</v>
      </c>
      <c r="J92" s="278">
        <v>1865397.6207726926</v>
      </c>
      <c r="K92" s="278">
        <v>2045348.1120098368</v>
      </c>
      <c r="L92" s="278">
        <v>2242720.4090866242</v>
      </c>
      <c r="M92" s="278">
        <v>2459207.5899943723</v>
      </c>
      <c r="N92" s="278">
        <v>2696667.9217399023</v>
      </c>
      <c r="O92" s="278">
        <v>2957141.0438257186</v>
      </c>
      <c r="P92" s="278">
        <v>3242865.743948299</v>
      </c>
      <c r="Q92" s="278">
        <v>3556299.4832460233</v>
      </c>
      <c r="R92" s="278">
        <v>3900139.844040303</v>
      </c>
      <c r="S92" s="278">
        <v>4277348.0901868995</v>
      </c>
      <c r="T92" s="278">
        <v>4691175.0490360213</v>
      </c>
      <c r="U92" s="278">
        <v>5145189.5447661616</v>
      </c>
      <c r="V92" s="278">
        <v>5643309.6356990077</v>
      </c>
      <c r="W92" s="278">
        <v>6189836.9333201777</v>
      </c>
      <c r="X92" s="278">
        <v>6789494.3083610144</v>
      </c>
      <c r="Y92" s="278">
        <v>7447467.3196847467</v>
      </c>
      <c r="Z92" s="278">
        <v>8169449.7351508932</v>
      </c>
      <c r="AA92" s="278">
        <v>8961693.5503987335</v>
      </c>
      <c r="AB92" s="278">
        <v>9831063.9519423135</v>
      </c>
      <c r="AC92" s="278">
        <v>10785099.715462461</v>
      </c>
      <c r="AD92" s="278">
        <v>11832079.579138162</v>
      </c>
      <c r="AE92" s="279">
        <v>12981095.185710527</v>
      </c>
      <c r="AF92" s="22"/>
      <c r="AG92" s="22"/>
      <c r="AH92" s="22"/>
      <c r="AI92" s="22"/>
      <c r="AJ92" s="22"/>
      <c r="AK92" s="22"/>
      <c r="AL92" s="22"/>
    </row>
    <row r="93" spans="2:38" ht="21.95" customHeight="1" x14ac:dyDescent="0.2">
      <c r="B93" s="290"/>
      <c r="C93" s="291"/>
      <c r="D93" s="291"/>
      <c r="E93" s="534" t="s">
        <v>28</v>
      </c>
      <c r="F93" s="577" cm="1">
        <f t="array" ref="F93:AE93">_xlfn.ANCHORARRAY(F91) +_xlfn.ANCHORARRAY( F92)</f>
        <v>6326140.4774604049</v>
      </c>
      <c r="G93" s="577">
        <v>6935647.3430907428</v>
      </c>
      <c r="H93" s="577">
        <v>7604085.2935567228</v>
      </c>
      <c r="I93" s="577">
        <v>8337173.3798041474</v>
      </c>
      <c r="J93" s="577">
        <v>9141187.8349803593</v>
      </c>
      <c r="K93" s="577">
        <v>10023016.579199692</v>
      </c>
      <c r="L93" s="577">
        <v>10990219.078500144</v>
      </c>
      <c r="M93" s="577">
        <v>12051092.086220272</v>
      </c>
      <c r="N93" s="577">
        <v>13214741.847359933</v>
      </c>
      <c r="O93" s="577">
        <v>14491163.404048711</v>
      </c>
      <c r="P93" s="577">
        <v>15891327.703514282</v>
      </c>
      <c r="Q93" s="577">
        <v>17427277.279537622</v>
      </c>
      <c r="R93" s="577">
        <v>19112231.354886971</v>
      </c>
      <c r="S93" s="577">
        <v>20960701.296379253</v>
      </c>
      <c r="T93" s="577">
        <v>22988617.446744855</v>
      </c>
      <c r="U93" s="577">
        <v>25213468.459235143</v>
      </c>
      <c r="V93" s="577">
        <v>27654454.372848835</v>
      </c>
      <c r="W93" s="577">
        <v>30332654.789138585</v>
      </c>
      <c r="X93" s="577">
        <v>33271213.646959439</v>
      </c>
      <c r="Y93" s="577">
        <v>36495542.24043458</v>
      </c>
      <c r="Z93" s="577">
        <v>40033542.28923656</v>
      </c>
      <c r="AA93" s="577">
        <v>43915851.050455064</v>
      </c>
      <c r="AB93" s="577">
        <v>48176110.659551322</v>
      </c>
      <c r="AC93" s="577">
        <v>52851264.105932429</v>
      </c>
      <c r="AD93" s="577">
        <v>57981880.48858726</v>
      </c>
      <c r="AE93" s="578">
        <v>63612512.461116061</v>
      </c>
      <c r="AF93" s="61"/>
      <c r="AG93" s="61"/>
      <c r="AH93" s="61"/>
      <c r="AI93" s="61"/>
      <c r="AJ93" s="61"/>
      <c r="AK93" s="61"/>
      <c r="AL93" s="61"/>
    </row>
    <row r="94" spans="2:38" ht="21.95" customHeight="1" x14ac:dyDescent="0.2">
      <c r="D94" s="8"/>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row>
    <row r="95" spans="2:38" ht="21.95" customHeight="1" x14ac:dyDescent="0.2">
      <c r="D95" s="9"/>
      <c r="E95" s="50"/>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row>
    <row r="96" spans="2:38" ht="21.95" customHeight="1" x14ac:dyDescent="0.2">
      <c r="B96" s="50"/>
      <c r="C96" s="50"/>
      <c r="D96" s="129"/>
      <c r="E96" s="56"/>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row>
    <row r="97" spans="1:38" ht="21.95" customHeight="1" x14ac:dyDescent="0.2">
      <c r="E97" s="1"/>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row>
    <row r="98" spans="1:38" ht="21.95" customHeight="1" x14ac:dyDescent="0.2">
      <c r="E98" s="12"/>
      <c r="F98" s="12"/>
      <c r="G98" s="12"/>
      <c r="H98" s="12"/>
      <c r="I98" s="12"/>
      <c r="J98" s="12"/>
      <c r="K98" s="12"/>
      <c r="L98" s="12"/>
      <c r="M98" s="12"/>
      <c r="N98" s="12"/>
      <c r="O98" s="12"/>
      <c r="P98" s="12"/>
      <c r="Q98" s="12"/>
      <c r="R98" s="12"/>
      <c r="S98" s="12"/>
      <c r="T98" s="12"/>
      <c r="U98" s="12"/>
      <c r="V98" s="12"/>
      <c r="W98" s="12"/>
      <c r="X98" s="12"/>
      <c r="Y98" s="12"/>
      <c r="Z98" s="12"/>
      <c r="AA98" s="12"/>
    </row>
    <row r="99" spans="1:38" ht="21.95" customHeight="1" x14ac:dyDescent="0.2">
      <c r="A99" s="505"/>
      <c r="B99" s="506" t="s">
        <v>10</v>
      </c>
      <c r="E99" s="12"/>
      <c r="F99" s="12"/>
      <c r="G99" s="12"/>
      <c r="H99" s="12"/>
      <c r="I99" s="12"/>
      <c r="J99" s="12"/>
      <c r="K99" s="12"/>
      <c r="L99" s="12"/>
      <c r="M99" s="12"/>
      <c r="N99" s="12"/>
      <c r="O99" s="12"/>
      <c r="P99" s="12"/>
      <c r="Q99" s="12"/>
      <c r="R99" s="12"/>
      <c r="S99" s="12"/>
      <c r="T99" s="12"/>
      <c r="U99" s="12"/>
      <c r="V99" s="12"/>
      <c r="W99" s="12"/>
      <c r="X99" s="12"/>
      <c r="Y99" s="12"/>
      <c r="Z99" s="12"/>
      <c r="AA99" s="12"/>
    </row>
    <row r="100" spans="1:38" ht="21.95" customHeight="1" x14ac:dyDescent="0.2">
      <c r="B100" s="60"/>
      <c r="E100" s="12"/>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row>
    <row r="101" spans="1:38" ht="21.95" customHeight="1" x14ac:dyDescent="0.2">
      <c r="B101" s="349" t="s">
        <v>15</v>
      </c>
      <c r="C101" s="1"/>
      <c r="D101" s="1"/>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38" ht="21.95" customHeight="1" x14ac:dyDescent="0.2">
      <c r="B102" s="9" t="s">
        <v>442</v>
      </c>
      <c r="C102" s="1"/>
      <c r="D102" s="1"/>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38" s="7" customFormat="1" ht="21.95" customHeight="1" x14ac:dyDescent="0.2">
      <c r="B103" s="411"/>
      <c r="C103" s="410" t="s">
        <v>2</v>
      </c>
      <c r="D103" s="410" t="s">
        <v>21</v>
      </c>
      <c r="E103" s="410" t="s">
        <v>27</v>
      </c>
      <c r="F103" s="347" cm="1">
        <f t="array" ref="F103:AE103">year</f>
        <v>2022</v>
      </c>
      <c r="G103" s="347">
        <v>2023</v>
      </c>
      <c r="H103" s="347">
        <v>2024</v>
      </c>
      <c r="I103" s="347">
        <v>2025</v>
      </c>
      <c r="J103" s="347">
        <v>2026</v>
      </c>
      <c r="K103" s="347">
        <v>2027</v>
      </c>
      <c r="L103" s="347">
        <v>2028</v>
      </c>
      <c r="M103" s="347">
        <v>2029</v>
      </c>
      <c r="N103" s="347">
        <v>2030</v>
      </c>
      <c r="O103" s="347">
        <v>2031</v>
      </c>
      <c r="P103" s="347">
        <v>2032</v>
      </c>
      <c r="Q103" s="347">
        <v>2033</v>
      </c>
      <c r="R103" s="347">
        <v>2034</v>
      </c>
      <c r="S103" s="347">
        <v>2035</v>
      </c>
      <c r="T103" s="347">
        <v>2036</v>
      </c>
      <c r="U103" s="347">
        <v>2037</v>
      </c>
      <c r="V103" s="347">
        <v>2038</v>
      </c>
      <c r="W103" s="347">
        <v>2039</v>
      </c>
      <c r="X103" s="347">
        <v>2040</v>
      </c>
      <c r="Y103" s="347">
        <v>2041</v>
      </c>
      <c r="Z103" s="347">
        <v>2042</v>
      </c>
      <c r="AA103" s="347">
        <v>2043</v>
      </c>
      <c r="AB103" s="347">
        <v>2044</v>
      </c>
      <c r="AC103" s="347">
        <v>2045</v>
      </c>
      <c r="AD103" s="347">
        <v>2046</v>
      </c>
      <c r="AE103" s="348">
        <v>2047</v>
      </c>
      <c r="AF103" s="33"/>
      <c r="AG103" s="33"/>
      <c r="AH103" s="33"/>
      <c r="AI103" s="33"/>
      <c r="AJ103" s="33"/>
      <c r="AK103" s="33"/>
      <c r="AL103" s="33"/>
    </row>
    <row r="104" spans="1:38" ht="21.95" customHeight="1" x14ac:dyDescent="0.2">
      <c r="B104" s="273" t="s">
        <v>325</v>
      </c>
      <c r="C104" s="383" t="s">
        <v>215</v>
      </c>
      <c r="D104" s="274" t="s">
        <v>505</v>
      </c>
      <c r="E104" s="143" t="s">
        <v>26</v>
      </c>
      <c r="F104" s="522" cm="1">
        <f t="array" ref="F104:AE104">_xlfn.ANCHORARRAY('Volume and Speed'!F84)</f>
        <v>1587117.3764667823</v>
      </c>
      <c r="G104" s="522">
        <v>1612103.3975185726</v>
      </c>
      <c r="H104" s="522">
        <v>1637482.7740066082</v>
      </c>
      <c r="I104" s="522">
        <v>1663261.6985335113</v>
      </c>
      <c r="J104" s="522">
        <v>1689446.4611921571</v>
      </c>
      <c r="K104" s="522">
        <v>1716043.4511004859</v>
      </c>
      <c r="L104" s="522">
        <v>1743059.1579604517</v>
      </c>
      <c r="M104" s="522">
        <v>1770500.1736415173</v>
      </c>
      <c r="N104" s="522">
        <v>1798373.1937890737</v>
      </c>
      <c r="O104" s="522">
        <v>1826685.0194582136</v>
      </c>
      <c r="P104" s="522">
        <v>1855442.5587731572</v>
      </c>
      <c r="Q104" s="522">
        <v>1884652.8286128717</v>
      </c>
      <c r="R104" s="522">
        <v>1914322.9563231922</v>
      </c>
      <c r="S104" s="522">
        <v>1944460.1814558965</v>
      </c>
      <c r="T104" s="522">
        <v>1975071.8575351941</v>
      </c>
      <c r="U104" s="522">
        <v>2006165.4538519545</v>
      </c>
      <c r="V104" s="522">
        <v>2037748.5572862511</v>
      </c>
      <c r="W104" s="522">
        <v>2069828.8741585657</v>
      </c>
      <c r="X104" s="522">
        <v>2102414.2321101301</v>
      </c>
      <c r="Y104" s="522">
        <v>2135512.5820129151</v>
      </c>
      <c r="Z104" s="522">
        <v>2169131.9999096072</v>
      </c>
      <c r="AA104" s="522">
        <v>2203280.6889842045</v>
      </c>
      <c r="AB104" s="522">
        <v>2237966.9815635965</v>
      </c>
      <c r="AC104" s="522">
        <v>2273199.3411506638</v>
      </c>
      <c r="AD104" s="522">
        <v>2308986.364489377</v>
      </c>
      <c r="AE104" s="523">
        <v>2345336.7836624463</v>
      </c>
      <c r="AF104" s="5"/>
      <c r="AG104" s="5"/>
      <c r="AH104" s="5"/>
      <c r="AI104" s="5"/>
      <c r="AJ104" s="5"/>
      <c r="AK104" s="5"/>
      <c r="AL104" s="5"/>
    </row>
    <row r="105" spans="1:38" ht="21.95" customHeight="1" x14ac:dyDescent="0.2">
      <c r="B105" s="583" t="s">
        <v>272</v>
      </c>
      <c r="C105" s="357"/>
      <c r="D105" s="154"/>
      <c r="E105" s="152"/>
      <c r="F105" s="540"/>
      <c r="G105" s="540"/>
      <c r="H105" s="540"/>
      <c r="I105" s="540"/>
      <c r="J105" s="540"/>
      <c r="K105" s="540"/>
      <c r="L105" s="540"/>
      <c r="M105" s="540"/>
      <c r="N105" s="540"/>
      <c r="O105" s="540"/>
      <c r="P105" s="540"/>
      <c r="Q105" s="540"/>
      <c r="R105" s="540"/>
      <c r="S105" s="540"/>
      <c r="T105" s="540"/>
      <c r="U105" s="540"/>
      <c r="V105" s="540"/>
      <c r="W105" s="540"/>
      <c r="X105" s="540"/>
      <c r="Y105" s="540"/>
      <c r="Z105" s="540"/>
      <c r="AA105" s="540"/>
      <c r="AB105" s="540"/>
      <c r="AC105" s="540"/>
      <c r="AD105" s="540"/>
      <c r="AE105" s="568"/>
      <c r="AF105" s="55"/>
      <c r="AG105" s="55"/>
      <c r="AH105" s="55"/>
      <c r="AI105" s="55"/>
      <c r="AJ105" s="55"/>
      <c r="AK105" s="55"/>
      <c r="AL105" s="55"/>
    </row>
    <row r="106" spans="1:38" ht="21.95" customHeight="1" x14ac:dyDescent="0.2">
      <c r="B106" s="273" t="s">
        <v>325</v>
      </c>
      <c r="C106" s="143" t="s">
        <v>219</v>
      </c>
      <c r="D106" s="274" t="s">
        <v>505</v>
      </c>
      <c r="E106" s="143" t="s">
        <v>23</v>
      </c>
      <c r="F106" s="522" cm="1">
        <f t="array" ref="F106:AE106">_xlfn.ANCHORARRAY(F104) * $C$24</f>
        <v>1271281.0185498926</v>
      </c>
      <c r="G106" s="522">
        <v>1291294.8214123766</v>
      </c>
      <c r="H106" s="522">
        <v>1311623.701979293</v>
      </c>
      <c r="I106" s="522">
        <v>1332272.6205253424</v>
      </c>
      <c r="J106" s="522">
        <v>1353246.6154149177</v>
      </c>
      <c r="K106" s="522">
        <v>1374550.8043314891</v>
      </c>
      <c r="L106" s="522">
        <v>1396190.3855263216</v>
      </c>
      <c r="M106" s="522">
        <v>1418170.6390868553</v>
      </c>
      <c r="N106" s="522">
        <v>1440496.9282250479</v>
      </c>
      <c r="O106" s="522">
        <v>1463174.7005860289</v>
      </c>
      <c r="P106" s="522">
        <v>1486209.4895772988</v>
      </c>
      <c r="Q106" s="522">
        <v>1509606.9157189101</v>
      </c>
      <c r="R106" s="522">
        <v>1533372.6880148768</v>
      </c>
      <c r="S106" s="522">
        <v>1557512.605346173</v>
      </c>
      <c r="T106" s="522">
        <v>1582032.5578856904</v>
      </c>
      <c r="U106" s="522">
        <v>1606938.5285354154</v>
      </c>
      <c r="V106" s="522">
        <v>1632236.594386287</v>
      </c>
      <c r="W106" s="522">
        <v>1657932.9282010109</v>
      </c>
      <c r="X106" s="522">
        <v>1684033.7999202141</v>
      </c>
      <c r="Y106" s="522">
        <v>1710545.5781923449</v>
      </c>
      <c r="Z106" s="522">
        <v>1737474.7319275953</v>
      </c>
      <c r="AA106" s="522">
        <v>1764827.8318763478</v>
      </c>
      <c r="AB106" s="522">
        <v>1792611.5522324406</v>
      </c>
      <c r="AC106" s="522">
        <v>1820832.6722616816</v>
      </c>
      <c r="AD106" s="522">
        <v>1849498.0779559908</v>
      </c>
      <c r="AE106" s="523">
        <v>1878614.7637136194</v>
      </c>
      <c r="AF106" s="5"/>
      <c r="AG106" s="5"/>
      <c r="AH106" s="5"/>
      <c r="AI106" s="5"/>
      <c r="AJ106" s="17"/>
      <c r="AK106" s="17"/>
      <c r="AL106" s="17"/>
    </row>
    <row r="107" spans="1:38" ht="21.95" customHeight="1" x14ac:dyDescent="0.2">
      <c r="B107" s="530" t="s">
        <v>271</v>
      </c>
      <c r="C107" s="525"/>
      <c r="D107" s="531"/>
      <c r="E107" s="152" t="s">
        <v>22</v>
      </c>
      <c r="F107" s="522" cm="1">
        <f t="array" ref="F107:AE107">_xlfn.ANCHORARRAY(F104) * $C$25</f>
        <v>315836.35791688971</v>
      </c>
      <c r="G107" s="540">
        <v>320808.57610619598</v>
      </c>
      <c r="H107" s="540">
        <v>325859.07202731504</v>
      </c>
      <c r="I107" s="540">
        <v>330989.07800816878</v>
      </c>
      <c r="J107" s="540">
        <v>336199.8457772393</v>
      </c>
      <c r="K107" s="540">
        <v>341492.64676899672</v>
      </c>
      <c r="L107" s="540">
        <v>346868.7724341299</v>
      </c>
      <c r="M107" s="540">
        <v>352329.53455466195</v>
      </c>
      <c r="N107" s="540">
        <v>357876.26556402567</v>
      </c>
      <c r="O107" s="540">
        <v>363510.31887218455</v>
      </c>
      <c r="P107" s="540">
        <v>369233.06919585832</v>
      </c>
      <c r="Q107" s="540">
        <v>375045.91289396147</v>
      </c>
      <c r="R107" s="540">
        <v>380950.26830831525</v>
      </c>
      <c r="S107" s="540">
        <v>386947.57610972342</v>
      </c>
      <c r="T107" s="540">
        <v>393039.29964950366</v>
      </c>
      <c r="U107" s="540">
        <v>399226.92531653895</v>
      </c>
      <c r="V107" s="540">
        <v>405511.96289996401</v>
      </c>
      <c r="W107" s="540">
        <v>411895.94595755456</v>
      </c>
      <c r="X107" s="540">
        <v>418380.43218991591</v>
      </c>
      <c r="Y107" s="540">
        <v>424967.00382057013</v>
      </c>
      <c r="Z107" s="540">
        <v>431657.26798201184</v>
      </c>
      <c r="AA107" s="540">
        <v>438452.85710785672</v>
      </c>
      <c r="AB107" s="540">
        <v>445355.42933115573</v>
      </c>
      <c r="AC107" s="540">
        <v>452366.66888898209</v>
      </c>
      <c r="AD107" s="540">
        <v>459488.28653338604</v>
      </c>
      <c r="AE107" s="568">
        <v>466722.01994882681</v>
      </c>
      <c r="AF107" s="55"/>
      <c r="AG107" s="55"/>
      <c r="AH107" s="55"/>
      <c r="AI107" s="55"/>
      <c r="AJ107" s="58"/>
      <c r="AK107" s="58"/>
      <c r="AL107" s="58"/>
    </row>
    <row r="108" spans="1:38" s="1" customFormat="1" ht="21.95" customHeight="1" x14ac:dyDescent="0.2">
      <c r="B108" s="573"/>
      <c r="C108" s="531"/>
      <c r="D108" s="567"/>
      <c r="E108" s="154" t="s">
        <v>28</v>
      </c>
      <c r="F108" s="527" cm="1">
        <f t="array" ref="F108:AE108">_xlfn.ANCHORARRAY(F106) +_xlfn.ANCHORARRAY( F107)</f>
        <v>1587117.3764667823</v>
      </c>
      <c r="G108" s="541">
        <v>1612103.3975185726</v>
      </c>
      <c r="H108" s="541">
        <v>1637482.7740066079</v>
      </c>
      <c r="I108" s="541">
        <v>1663261.6985335113</v>
      </c>
      <c r="J108" s="541">
        <v>1689446.4611921571</v>
      </c>
      <c r="K108" s="541">
        <v>1716043.4511004859</v>
      </c>
      <c r="L108" s="541">
        <v>1743059.1579604514</v>
      </c>
      <c r="M108" s="541">
        <v>1770500.1736415173</v>
      </c>
      <c r="N108" s="541">
        <v>1798373.1937890735</v>
      </c>
      <c r="O108" s="541">
        <v>1826685.0194582134</v>
      </c>
      <c r="P108" s="541">
        <v>1855442.5587731572</v>
      </c>
      <c r="Q108" s="541">
        <v>1884652.8286128715</v>
      </c>
      <c r="R108" s="541">
        <v>1914322.956323192</v>
      </c>
      <c r="S108" s="541">
        <v>1944460.1814558965</v>
      </c>
      <c r="T108" s="541">
        <v>1975071.8575351941</v>
      </c>
      <c r="U108" s="541">
        <v>2006165.4538519543</v>
      </c>
      <c r="V108" s="541">
        <v>2037748.5572862511</v>
      </c>
      <c r="W108" s="541">
        <v>2069828.8741585654</v>
      </c>
      <c r="X108" s="541">
        <v>2102414.2321101301</v>
      </c>
      <c r="Y108" s="541">
        <v>2135512.5820129151</v>
      </c>
      <c r="Z108" s="541">
        <v>2169131.9999096072</v>
      </c>
      <c r="AA108" s="541">
        <v>2203280.6889842045</v>
      </c>
      <c r="AB108" s="541">
        <v>2237966.9815635961</v>
      </c>
      <c r="AC108" s="541">
        <v>2273199.3411506638</v>
      </c>
      <c r="AD108" s="541">
        <v>2308986.364489377</v>
      </c>
      <c r="AE108" s="569">
        <v>2345336.7836624463</v>
      </c>
      <c r="AF108" s="54"/>
      <c r="AG108" s="54"/>
      <c r="AH108" s="54"/>
      <c r="AI108" s="54"/>
      <c r="AJ108" s="127"/>
      <c r="AK108" s="127"/>
      <c r="AL108" s="127"/>
    </row>
    <row r="109" spans="1:38" ht="21.95" customHeight="1" x14ac:dyDescent="0.2">
      <c r="B109" s="273"/>
      <c r="C109" s="143"/>
      <c r="D109" s="274"/>
      <c r="E109" s="143"/>
      <c r="F109" s="522"/>
      <c r="G109" s="522"/>
      <c r="H109" s="522"/>
      <c r="I109" s="522"/>
      <c r="J109" s="522"/>
      <c r="K109" s="522"/>
      <c r="L109" s="522"/>
      <c r="M109" s="522"/>
      <c r="N109" s="522"/>
      <c r="O109" s="522"/>
      <c r="P109" s="522"/>
      <c r="Q109" s="522"/>
      <c r="R109" s="522"/>
      <c r="S109" s="522"/>
      <c r="T109" s="522"/>
      <c r="U109" s="522"/>
      <c r="V109" s="522"/>
      <c r="W109" s="522"/>
      <c r="X109" s="522"/>
      <c r="Y109" s="522"/>
      <c r="Z109" s="522"/>
      <c r="AA109" s="522"/>
      <c r="AB109" s="522"/>
      <c r="AC109" s="522"/>
      <c r="AD109" s="522"/>
      <c r="AE109" s="523"/>
      <c r="AF109" s="5"/>
      <c r="AG109" s="5"/>
      <c r="AH109" s="5"/>
      <c r="AI109" s="5"/>
      <c r="AJ109" s="17"/>
      <c r="AK109" s="17"/>
      <c r="AL109" s="17"/>
    </row>
    <row r="110" spans="1:38" ht="21.95" customHeight="1" x14ac:dyDescent="0.2">
      <c r="B110" s="530"/>
      <c r="C110" s="525"/>
      <c r="D110" s="531"/>
      <c r="E110" s="152"/>
      <c r="F110" s="522"/>
      <c r="G110" s="540"/>
      <c r="H110" s="540"/>
      <c r="I110" s="540"/>
      <c r="J110" s="540"/>
      <c r="K110" s="540"/>
      <c r="L110" s="540"/>
      <c r="M110" s="540"/>
      <c r="N110" s="540"/>
      <c r="O110" s="540"/>
      <c r="P110" s="540"/>
      <c r="Q110" s="540"/>
      <c r="R110" s="540"/>
      <c r="S110" s="540"/>
      <c r="T110" s="540"/>
      <c r="U110" s="540"/>
      <c r="V110" s="540"/>
      <c r="W110" s="540"/>
      <c r="X110" s="540"/>
      <c r="Y110" s="540"/>
      <c r="Z110" s="540"/>
      <c r="AA110" s="540"/>
      <c r="AB110" s="540"/>
      <c r="AC110" s="540"/>
      <c r="AD110" s="540"/>
      <c r="AE110" s="568"/>
      <c r="AF110" s="55"/>
      <c r="AG110" s="55"/>
      <c r="AH110" s="55"/>
      <c r="AI110" s="55"/>
      <c r="AJ110" s="58"/>
      <c r="AK110" s="58"/>
      <c r="AL110" s="58"/>
    </row>
    <row r="111" spans="1:38" s="1" customFormat="1" ht="21.95" customHeight="1" x14ac:dyDescent="0.2">
      <c r="B111" s="574"/>
      <c r="C111" s="567"/>
      <c r="D111" s="567"/>
      <c r="E111" s="154"/>
      <c r="F111" s="527"/>
      <c r="G111" s="541"/>
      <c r="H111" s="541"/>
      <c r="I111" s="541"/>
      <c r="J111" s="541"/>
      <c r="K111" s="541"/>
      <c r="L111" s="541"/>
      <c r="M111" s="541"/>
      <c r="N111" s="541"/>
      <c r="O111" s="541"/>
      <c r="P111" s="541"/>
      <c r="Q111" s="541"/>
      <c r="R111" s="541"/>
      <c r="S111" s="541"/>
      <c r="T111" s="541"/>
      <c r="U111" s="541"/>
      <c r="V111" s="541"/>
      <c r="W111" s="541"/>
      <c r="X111" s="541"/>
      <c r="Y111" s="541"/>
      <c r="Z111" s="541"/>
      <c r="AA111" s="541"/>
      <c r="AB111" s="541"/>
      <c r="AC111" s="541"/>
      <c r="AD111" s="541"/>
      <c r="AE111" s="569"/>
      <c r="AF111" s="54"/>
      <c r="AG111" s="54"/>
      <c r="AH111" s="54"/>
      <c r="AI111" s="54"/>
      <c r="AJ111" s="127"/>
      <c r="AK111" s="127"/>
      <c r="AL111" s="127"/>
    </row>
    <row r="112" spans="1:38" ht="21.95" customHeight="1" x14ac:dyDescent="0.2">
      <c r="B112" s="273" t="s">
        <v>330</v>
      </c>
      <c r="C112" s="143" t="s">
        <v>181</v>
      </c>
      <c r="D112" s="274" t="s">
        <v>505</v>
      </c>
      <c r="E112" s="143" t="s">
        <v>23</v>
      </c>
      <c r="F112" s="522" cm="1">
        <f t="array" ref="F112:AE112">_xlfn.ANCHORARRAY(F106) * occupancyAutos</f>
        <v>2123039.3009783207</v>
      </c>
      <c r="G112" s="522">
        <v>2156462.3517586687</v>
      </c>
      <c r="H112" s="522">
        <v>2190411.5823054193</v>
      </c>
      <c r="I112" s="522">
        <v>2224895.2762773219</v>
      </c>
      <c r="J112" s="522">
        <v>2259921.8477429124</v>
      </c>
      <c r="K112" s="522">
        <v>2295499.8432335868</v>
      </c>
      <c r="L112" s="522">
        <v>2331637.9438289572</v>
      </c>
      <c r="M112" s="522">
        <v>2368344.9672750481</v>
      </c>
      <c r="N112" s="522">
        <v>2405629.8701358298</v>
      </c>
      <c r="O112" s="522">
        <v>2443501.7499786681</v>
      </c>
      <c r="P112" s="522">
        <v>2481969.8475940889</v>
      </c>
      <c r="Q112" s="522">
        <v>2521043.5492505799</v>
      </c>
      <c r="R112" s="522">
        <v>2560732.3889848441</v>
      </c>
      <c r="S112" s="522">
        <v>2601046.0509281089</v>
      </c>
      <c r="T112" s="522">
        <v>2641994.3716691029</v>
      </c>
      <c r="U112" s="522">
        <v>2683587.3426541435</v>
      </c>
      <c r="V112" s="522">
        <v>2725835.1126250993</v>
      </c>
      <c r="W112" s="522">
        <v>2768747.990095688</v>
      </c>
      <c r="X112" s="522">
        <v>2812336.4458667575</v>
      </c>
      <c r="Y112" s="522">
        <v>2856611.1155812158</v>
      </c>
      <c r="Z112" s="522">
        <v>2901582.8023190843</v>
      </c>
      <c r="AA112" s="522">
        <v>2947262.4792335005</v>
      </c>
      <c r="AB112" s="522">
        <v>2993661.2922281758</v>
      </c>
      <c r="AC112" s="522">
        <v>3040790.5626770081</v>
      </c>
      <c r="AD112" s="522">
        <v>3088661.7901865044</v>
      </c>
      <c r="AE112" s="523">
        <v>3137286.6554017444</v>
      </c>
      <c r="AF112" s="5"/>
      <c r="AG112" s="5"/>
      <c r="AH112" s="5"/>
      <c r="AI112" s="5"/>
      <c r="AJ112" s="17"/>
      <c r="AK112" s="17"/>
      <c r="AL112" s="17"/>
    </row>
    <row r="113" spans="2:38" ht="21.95" customHeight="1" x14ac:dyDescent="0.2">
      <c r="B113" s="530" t="s">
        <v>220</v>
      </c>
      <c r="C113" s="525"/>
      <c r="D113" s="531"/>
      <c r="E113" s="152" t="s">
        <v>22</v>
      </c>
      <c r="F113" s="522" cm="1">
        <f t="array" ref="F113:AE113">_xlfn.ANCHORARRAY(F107) * occupancyTrucks</f>
        <v>315836.35791688971</v>
      </c>
      <c r="G113" s="540">
        <v>320808.57610619598</v>
      </c>
      <c r="H113" s="540">
        <v>325859.07202731504</v>
      </c>
      <c r="I113" s="540">
        <v>330989.07800816878</v>
      </c>
      <c r="J113" s="540">
        <v>336199.8457772393</v>
      </c>
      <c r="K113" s="540">
        <v>341492.64676899672</v>
      </c>
      <c r="L113" s="540">
        <v>346868.7724341299</v>
      </c>
      <c r="M113" s="540">
        <v>352329.53455466195</v>
      </c>
      <c r="N113" s="540">
        <v>357876.26556402567</v>
      </c>
      <c r="O113" s="540">
        <v>363510.31887218455</v>
      </c>
      <c r="P113" s="540">
        <v>369233.06919585832</v>
      </c>
      <c r="Q113" s="540">
        <v>375045.91289396147</v>
      </c>
      <c r="R113" s="540">
        <v>380950.26830831525</v>
      </c>
      <c r="S113" s="540">
        <v>386947.57610972342</v>
      </c>
      <c r="T113" s="540">
        <v>393039.29964950366</v>
      </c>
      <c r="U113" s="540">
        <v>399226.92531653895</v>
      </c>
      <c r="V113" s="540">
        <v>405511.96289996401</v>
      </c>
      <c r="W113" s="540">
        <v>411895.94595755456</v>
      </c>
      <c r="X113" s="540">
        <v>418380.43218991591</v>
      </c>
      <c r="Y113" s="540">
        <v>424967.00382057013</v>
      </c>
      <c r="Z113" s="540">
        <v>431657.26798201184</v>
      </c>
      <c r="AA113" s="540">
        <v>438452.85710785672</v>
      </c>
      <c r="AB113" s="540">
        <v>445355.42933115573</v>
      </c>
      <c r="AC113" s="540">
        <v>452366.66888898209</v>
      </c>
      <c r="AD113" s="540">
        <v>459488.28653338604</v>
      </c>
      <c r="AE113" s="568">
        <v>466722.01994882681</v>
      </c>
      <c r="AF113" s="55"/>
      <c r="AG113" s="55"/>
      <c r="AH113" s="55"/>
      <c r="AI113" s="55"/>
      <c r="AJ113" s="58"/>
      <c r="AK113" s="58"/>
      <c r="AL113" s="58"/>
    </row>
    <row r="114" spans="2:38" s="1" customFormat="1" ht="21.95" customHeight="1" x14ac:dyDescent="0.2">
      <c r="B114" s="573"/>
      <c r="C114" s="531"/>
      <c r="D114" s="567"/>
      <c r="E114" s="154" t="s">
        <v>28</v>
      </c>
      <c r="F114" s="527" cm="1">
        <f t="array" ref="F114:AE114">_xlfn.ANCHORARRAY(F112) +_xlfn.ANCHORARRAY( F113)</f>
        <v>2438875.6588952104</v>
      </c>
      <c r="G114" s="541">
        <v>2477270.9278648645</v>
      </c>
      <c r="H114" s="541">
        <v>2516270.6543327342</v>
      </c>
      <c r="I114" s="541">
        <v>2555884.3542854907</v>
      </c>
      <c r="J114" s="541">
        <v>2596121.6935201515</v>
      </c>
      <c r="K114" s="541">
        <v>2636992.4900025837</v>
      </c>
      <c r="L114" s="541">
        <v>2678506.716263087</v>
      </c>
      <c r="M114" s="541">
        <v>2720674.5018297099</v>
      </c>
      <c r="N114" s="541">
        <v>2763506.1356998556</v>
      </c>
      <c r="O114" s="541">
        <v>2807012.0688508525</v>
      </c>
      <c r="P114" s="541">
        <v>2851202.9167899471</v>
      </c>
      <c r="Q114" s="541">
        <v>2896089.4621445416</v>
      </c>
      <c r="R114" s="541">
        <v>2941682.6572931595</v>
      </c>
      <c r="S114" s="541">
        <v>2987993.6270378325</v>
      </c>
      <c r="T114" s="541">
        <v>3035033.6713186065</v>
      </c>
      <c r="U114" s="541">
        <v>3082814.2679706826</v>
      </c>
      <c r="V114" s="541">
        <v>3131347.0755250631</v>
      </c>
      <c r="W114" s="541">
        <v>3180643.9360532425</v>
      </c>
      <c r="X114" s="541">
        <v>3230716.8780566733</v>
      </c>
      <c r="Y114" s="541">
        <v>3281578.119401786</v>
      </c>
      <c r="Z114" s="541">
        <v>3333240.070301096</v>
      </c>
      <c r="AA114" s="541">
        <v>3385715.3363413573</v>
      </c>
      <c r="AB114" s="541">
        <v>3439016.7215593318</v>
      </c>
      <c r="AC114" s="541">
        <v>3493157.23156599</v>
      </c>
      <c r="AD114" s="541">
        <v>3548150.0767198903</v>
      </c>
      <c r="AE114" s="569">
        <v>3604008.6753505711</v>
      </c>
      <c r="AF114" s="54"/>
      <c r="AG114" s="54"/>
      <c r="AH114" s="54"/>
      <c r="AI114" s="54"/>
      <c r="AJ114" s="127"/>
      <c r="AK114" s="127"/>
      <c r="AL114" s="127"/>
    </row>
    <row r="115" spans="2:38" ht="21.95" customHeight="1" x14ac:dyDescent="0.2">
      <c r="B115" s="273"/>
      <c r="C115" s="143"/>
      <c r="D115" s="274"/>
      <c r="E115" s="143"/>
      <c r="F115" s="522"/>
      <c r="G115" s="522"/>
      <c r="H115" s="522"/>
      <c r="I115" s="522"/>
      <c r="J115" s="522"/>
      <c r="K115" s="522"/>
      <c r="L115" s="522"/>
      <c r="M115" s="522"/>
      <c r="N115" s="522"/>
      <c r="O115" s="522"/>
      <c r="P115" s="522"/>
      <c r="Q115" s="522"/>
      <c r="R115" s="522"/>
      <c r="S115" s="522"/>
      <c r="T115" s="522"/>
      <c r="U115" s="522"/>
      <c r="V115" s="522"/>
      <c r="W115" s="522"/>
      <c r="X115" s="522"/>
      <c r="Y115" s="522"/>
      <c r="Z115" s="522"/>
      <c r="AA115" s="522"/>
      <c r="AB115" s="522"/>
      <c r="AC115" s="522"/>
      <c r="AD115" s="522"/>
      <c r="AE115" s="523"/>
      <c r="AF115" s="5"/>
      <c r="AG115" s="5"/>
      <c r="AH115" s="5"/>
      <c r="AI115" s="5"/>
      <c r="AJ115" s="17"/>
      <c r="AK115" s="17"/>
      <c r="AL115" s="17"/>
    </row>
    <row r="116" spans="2:38" ht="21.95" customHeight="1" x14ac:dyDescent="0.2">
      <c r="B116" s="530"/>
      <c r="C116" s="525"/>
      <c r="D116" s="531"/>
      <c r="E116" s="152"/>
      <c r="F116" s="522"/>
      <c r="G116" s="540"/>
      <c r="H116" s="540"/>
      <c r="I116" s="540"/>
      <c r="J116" s="540"/>
      <c r="K116" s="540"/>
      <c r="L116" s="540"/>
      <c r="M116" s="540"/>
      <c r="N116" s="540"/>
      <c r="O116" s="540"/>
      <c r="P116" s="540"/>
      <c r="Q116" s="540"/>
      <c r="R116" s="540"/>
      <c r="S116" s="540"/>
      <c r="T116" s="540"/>
      <c r="U116" s="540"/>
      <c r="V116" s="540"/>
      <c r="W116" s="540"/>
      <c r="X116" s="540"/>
      <c r="Y116" s="540"/>
      <c r="Z116" s="540"/>
      <c r="AA116" s="540"/>
      <c r="AB116" s="540"/>
      <c r="AC116" s="540"/>
      <c r="AD116" s="540"/>
      <c r="AE116" s="568"/>
      <c r="AF116" s="55"/>
      <c r="AG116" s="55"/>
      <c r="AH116" s="55"/>
      <c r="AI116" s="55"/>
      <c r="AJ116" s="58"/>
      <c r="AK116" s="58"/>
      <c r="AL116" s="58"/>
    </row>
    <row r="117" spans="2:38" s="1" customFormat="1" ht="21.95" customHeight="1" x14ac:dyDescent="0.2">
      <c r="B117" s="574"/>
      <c r="C117" s="567"/>
      <c r="D117" s="567"/>
      <c r="E117" s="154"/>
      <c r="F117" s="527"/>
      <c r="G117" s="541"/>
      <c r="H117" s="541"/>
      <c r="I117" s="541"/>
      <c r="J117" s="541"/>
      <c r="K117" s="541"/>
      <c r="L117" s="541"/>
      <c r="M117" s="541"/>
      <c r="N117" s="541"/>
      <c r="O117" s="541"/>
      <c r="P117" s="541"/>
      <c r="Q117" s="541"/>
      <c r="R117" s="541"/>
      <c r="S117" s="541"/>
      <c r="T117" s="541"/>
      <c r="U117" s="541"/>
      <c r="V117" s="541"/>
      <c r="W117" s="541"/>
      <c r="X117" s="541"/>
      <c r="Y117" s="541"/>
      <c r="Z117" s="541"/>
      <c r="AA117" s="541"/>
      <c r="AB117" s="541"/>
      <c r="AC117" s="541"/>
      <c r="AD117" s="541"/>
      <c r="AE117" s="569"/>
      <c r="AF117" s="54"/>
      <c r="AG117" s="54"/>
      <c r="AH117" s="54"/>
      <c r="AI117" s="54"/>
      <c r="AJ117" s="127"/>
      <c r="AK117" s="127"/>
      <c r="AL117" s="127"/>
    </row>
    <row r="118" spans="2:38" ht="21.95" customHeight="1" x14ac:dyDescent="0.2">
      <c r="B118" s="273" t="s">
        <v>182</v>
      </c>
      <c r="C118" s="143" t="str">
        <f>baseYear &amp; "$"</f>
        <v>2022$</v>
      </c>
      <c r="D118" s="274" t="s">
        <v>505</v>
      </c>
      <c r="E118" s="143" t="s">
        <v>23</v>
      </c>
      <c r="F118" s="278" cm="1">
        <f t="array" ref="F118:AE118">_xlfn.ANCHORARRAY(F112) * VTTSAutos</f>
        <v>39913138.858392432</v>
      </c>
      <c r="G118" s="278">
        <v>40541492.213062972</v>
      </c>
      <c r="H118" s="278">
        <v>41179737.747341886</v>
      </c>
      <c r="I118" s="278">
        <v>41828031.194013655</v>
      </c>
      <c r="J118" s="278">
        <v>42486530.737566754</v>
      </c>
      <c r="K118" s="278">
        <v>43155397.052791432</v>
      </c>
      <c r="L118" s="278">
        <v>43834793.343984395</v>
      </c>
      <c r="M118" s="278">
        <v>44524885.384770907</v>
      </c>
      <c r="N118" s="278">
        <v>45225841.558553599</v>
      </c>
      <c r="O118" s="278">
        <v>45937832.899598964</v>
      </c>
      <c r="P118" s="278">
        <v>46661033.134768873</v>
      </c>
      <c r="Q118" s="278">
        <v>47395618.725910902</v>
      </c>
      <c r="R118" s="278">
        <v>48141768.912915073</v>
      </c>
      <c r="S118" s="278">
        <v>48899665.75744845</v>
      </c>
      <c r="T118" s="278">
        <v>49669494.187379137</v>
      </c>
      <c r="U118" s="278">
        <v>50451442.0418979</v>
      </c>
      <c r="V118" s="278">
        <v>51245700.117351867</v>
      </c>
      <c r="W118" s="278">
        <v>52052462.21379894</v>
      </c>
      <c r="X118" s="278">
        <v>52871925.182295047</v>
      </c>
      <c r="Y118" s="278">
        <v>53704288.972926863</v>
      </c>
      <c r="Z118" s="278">
        <v>54549756.683598787</v>
      </c>
      <c r="AA118" s="278">
        <v>55408534.609589815</v>
      </c>
      <c r="AB118" s="278">
        <v>56280832.293889709</v>
      </c>
      <c r="AC118" s="278">
        <v>57166862.578327753</v>
      </c>
      <c r="AD118" s="278">
        <v>58066841.655506283</v>
      </c>
      <c r="AE118" s="279">
        <v>58980989.121552795</v>
      </c>
      <c r="AF118" s="22"/>
      <c r="AG118" s="22"/>
      <c r="AH118" s="22"/>
      <c r="AI118" s="22"/>
      <c r="AJ118" s="22"/>
      <c r="AK118" s="22"/>
      <c r="AL118" s="22"/>
    </row>
    <row r="119" spans="2:38" ht="21.95" customHeight="1" x14ac:dyDescent="0.2">
      <c r="B119" s="530" t="s">
        <v>187</v>
      </c>
      <c r="C119" s="525"/>
      <c r="D119" s="531"/>
      <c r="E119" s="152" t="s">
        <v>22</v>
      </c>
      <c r="F119" s="278" cm="1">
        <f t="array" ref="F119:AE119">_xlfn.ANCHORARRAY(F113) * VTTSTrucks</f>
        <v>10233097.996507226</v>
      </c>
      <c r="G119" s="278">
        <v>10394197.86584075</v>
      </c>
      <c r="H119" s="278">
        <v>10557833.933685007</v>
      </c>
      <c r="I119" s="278">
        <v>10724046.127464669</v>
      </c>
      <c r="J119" s="278">
        <v>10892875.003182553</v>
      </c>
      <c r="K119" s="278">
        <v>11064361.755315494</v>
      </c>
      <c r="L119" s="278">
        <v>11238548.226865808</v>
      </c>
      <c r="M119" s="278">
        <v>11415476.919571046</v>
      </c>
      <c r="N119" s="278">
        <v>11595191.004274432</v>
      </c>
      <c r="O119" s="278">
        <v>11777734.331458779</v>
      </c>
      <c r="P119" s="278">
        <v>11963151.44194581</v>
      </c>
      <c r="Q119" s="278">
        <v>12151487.577764351</v>
      </c>
      <c r="R119" s="278">
        <v>12342788.693189414</v>
      </c>
      <c r="S119" s="278">
        <v>12537101.465955038</v>
      </c>
      <c r="T119" s="278">
        <v>12734473.308643918</v>
      </c>
      <c r="U119" s="278">
        <v>12934952.380255861</v>
      </c>
      <c r="V119" s="278">
        <v>13138587.597958833</v>
      </c>
      <c r="W119" s="278">
        <v>13345428.649024768</v>
      </c>
      <c r="X119" s="278">
        <v>13555526.002953274</v>
      </c>
      <c r="Y119" s="278">
        <v>13768930.923786471</v>
      </c>
      <c r="Z119" s="278">
        <v>13985695.482617183</v>
      </c>
      <c r="AA119" s="278">
        <v>14205872.570294557</v>
      </c>
      <c r="AB119" s="278">
        <v>14429515.910329444</v>
      </c>
      <c r="AC119" s="278">
        <v>14656680.07200302</v>
      </c>
      <c r="AD119" s="278">
        <v>14887420.483681707</v>
      </c>
      <c r="AE119" s="279">
        <v>15121793.446341988</v>
      </c>
      <c r="AF119" s="22"/>
      <c r="AG119" s="22"/>
      <c r="AH119" s="22"/>
      <c r="AI119" s="22"/>
      <c r="AJ119" s="22"/>
      <c r="AK119" s="22"/>
      <c r="AL119" s="22"/>
    </row>
    <row r="120" spans="2:38" s="1" customFormat="1" ht="21.95" customHeight="1" x14ac:dyDescent="0.2">
      <c r="B120" s="575"/>
      <c r="C120" s="576"/>
      <c r="D120" s="576"/>
      <c r="E120" s="331" t="s">
        <v>28</v>
      </c>
      <c r="F120" s="577" cm="1">
        <f t="array" ref="F120:AE120">_xlfn.ANCHORARRAY(F118) +_xlfn.ANCHORARRAY( F119)</f>
        <v>50146236.85489966</v>
      </c>
      <c r="G120" s="577">
        <v>50935690.07890372</v>
      </c>
      <c r="H120" s="577">
        <v>51737571.681026891</v>
      </c>
      <c r="I120" s="577">
        <v>52552077.321478322</v>
      </c>
      <c r="J120" s="577">
        <v>53379405.740749307</v>
      </c>
      <c r="K120" s="577">
        <v>54219758.808106929</v>
      </c>
      <c r="L120" s="577">
        <v>55073341.570850201</v>
      </c>
      <c r="M120" s="577">
        <v>55940362.304341957</v>
      </c>
      <c r="N120" s="577">
        <v>56821032.562828034</v>
      </c>
      <c r="O120" s="577">
        <v>57715567.231057741</v>
      </c>
      <c r="P120" s="577">
        <v>58624184.57671468</v>
      </c>
      <c r="Q120" s="577">
        <v>59547106.303675249</v>
      </c>
      <c r="R120" s="577">
        <v>60484557.606104486</v>
      </c>
      <c r="S120" s="577">
        <v>61436767.223403484</v>
      </c>
      <c r="T120" s="577">
        <v>62403967.496023059</v>
      </c>
      <c r="U120" s="577">
        <v>63386394.422153763</v>
      </c>
      <c r="V120" s="577">
        <v>64384287.7153107</v>
      </c>
      <c r="W120" s="577">
        <v>65397890.86282371</v>
      </c>
      <c r="X120" s="577">
        <v>66427451.185248323</v>
      </c>
      <c r="Y120" s="577">
        <v>67473219.896713331</v>
      </c>
      <c r="Z120" s="577">
        <v>68535452.166215971</v>
      </c>
      <c r="AA120" s="577">
        <v>69614407.179884374</v>
      </c>
      <c r="AB120" s="577">
        <v>70710348.204219148</v>
      </c>
      <c r="AC120" s="577">
        <v>71823542.650330767</v>
      </c>
      <c r="AD120" s="577">
        <v>72954262.139187992</v>
      </c>
      <c r="AE120" s="578">
        <v>74102782.567894787</v>
      </c>
      <c r="AF120" s="61"/>
      <c r="AG120" s="61"/>
      <c r="AH120" s="61"/>
      <c r="AI120" s="61"/>
      <c r="AJ120" s="61"/>
      <c r="AK120" s="61"/>
      <c r="AL120" s="61"/>
    </row>
    <row r="121" spans="2:38" ht="21.95" customHeight="1" x14ac:dyDescent="0.2">
      <c r="B121" s="1"/>
      <c r="D121" s="1"/>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row>
    <row r="122" spans="2:38" ht="21.95" customHeight="1" x14ac:dyDescent="0.2">
      <c r="B122" s="65"/>
      <c r="C122" s="9"/>
      <c r="D122" s="126"/>
      <c r="E122" s="50"/>
      <c r="F122" s="22"/>
      <c r="G122" s="22"/>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row>
    <row r="123" spans="2:38" s="1" customFormat="1" ht="21.95" customHeight="1" x14ac:dyDescent="0.2">
      <c r="B123" s="128"/>
      <c r="C123" s="129"/>
      <c r="D123" s="129"/>
      <c r="E123" s="53"/>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row>
    <row r="124" spans="2:38" ht="21.95" customHeight="1" x14ac:dyDescent="0.2">
      <c r="E124" s="1"/>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row>
    <row r="125" spans="2:38" ht="21.95" customHeight="1" x14ac:dyDescent="0.2">
      <c r="B125" s="349" t="s">
        <v>184</v>
      </c>
      <c r="E125" s="1"/>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row>
    <row r="126" spans="2:38" ht="21.95" customHeight="1" x14ac:dyDescent="0.2">
      <c r="B126" s="9" t="s">
        <v>373</v>
      </c>
      <c r="E126" s="1"/>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row>
    <row r="127" spans="2:38" s="7" customFormat="1" ht="21.95" customHeight="1" x14ac:dyDescent="0.2">
      <c r="B127" s="411"/>
      <c r="C127" s="410" t="s">
        <v>2</v>
      </c>
      <c r="D127" s="410" t="s">
        <v>21</v>
      </c>
      <c r="E127" s="410"/>
      <c r="F127" s="347" cm="1">
        <f t="array" ref="F127:AE127">year</f>
        <v>2022</v>
      </c>
      <c r="G127" s="347">
        <v>2023</v>
      </c>
      <c r="H127" s="347">
        <v>2024</v>
      </c>
      <c r="I127" s="347">
        <v>2025</v>
      </c>
      <c r="J127" s="347">
        <v>2026</v>
      </c>
      <c r="K127" s="347">
        <v>2027</v>
      </c>
      <c r="L127" s="347">
        <v>2028</v>
      </c>
      <c r="M127" s="347">
        <v>2029</v>
      </c>
      <c r="N127" s="347">
        <v>2030</v>
      </c>
      <c r="O127" s="347">
        <v>2031</v>
      </c>
      <c r="P127" s="347">
        <v>2032</v>
      </c>
      <c r="Q127" s="347">
        <v>2033</v>
      </c>
      <c r="R127" s="347">
        <v>2034</v>
      </c>
      <c r="S127" s="347">
        <v>2035</v>
      </c>
      <c r="T127" s="347">
        <v>2036</v>
      </c>
      <c r="U127" s="347">
        <v>2037</v>
      </c>
      <c r="V127" s="347">
        <v>2038</v>
      </c>
      <c r="W127" s="347">
        <v>2039</v>
      </c>
      <c r="X127" s="347">
        <v>2040</v>
      </c>
      <c r="Y127" s="347">
        <v>2041</v>
      </c>
      <c r="Z127" s="347">
        <v>2042</v>
      </c>
      <c r="AA127" s="347">
        <v>2043</v>
      </c>
      <c r="AB127" s="347">
        <v>2044</v>
      </c>
      <c r="AC127" s="347">
        <v>2045</v>
      </c>
      <c r="AD127" s="347">
        <v>2046</v>
      </c>
      <c r="AE127" s="348">
        <v>2047</v>
      </c>
      <c r="AF127" s="33"/>
      <c r="AG127" s="33"/>
      <c r="AH127" s="33"/>
      <c r="AI127" s="33"/>
      <c r="AJ127" s="33"/>
      <c r="AK127" s="33"/>
      <c r="AL127" s="33"/>
    </row>
    <row r="128" spans="2:38" ht="21.95" customHeight="1" x14ac:dyDescent="0.2">
      <c r="B128" s="273" t="s">
        <v>268</v>
      </c>
      <c r="C128" s="383" t="s">
        <v>115</v>
      </c>
      <c r="D128" s="529" t="s">
        <v>505</v>
      </c>
      <c r="E128" s="143" t="s">
        <v>176</v>
      </c>
      <c r="F128" s="300" cm="1">
        <f t="array" ref="F128:AE128">(GROWTH(E17:F17, $E$12:$F$12, year) / 60) * peakHoursAM</f>
        <v>6.3589743589744906E-3</v>
      </c>
      <c r="G128" s="300">
        <v>6.9122295572450069E-3</v>
      </c>
      <c r="H128" s="300">
        <v>7.5136200831855777E-3</v>
      </c>
      <c r="I128" s="300">
        <v>8.1673338952230317E-3</v>
      </c>
      <c r="J128" s="300">
        <v>8.8779233202560103E-3</v>
      </c>
      <c r="K128" s="300">
        <v>9.6503367551125947E-3</v>
      </c>
      <c r="L128" s="300">
        <v>1.0489953126154227E-2</v>
      </c>
      <c r="M128" s="300">
        <v>1.140261934699976E-2</v>
      </c>
      <c r="N128" s="300">
        <v>1.239469103521572E-2</v>
      </c>
      <c r="O128" s="300">
        <v>1.3473076771512098E-2</v>
      </c>
      <c r="P128" s="300">
        <v>1.4645286209661011E-2</v>
      </c>
      <c r="Q128" s="300">
        <v>1.5919482372163549E-2</v>
      </c>
      <c r="R128" s="300">
        <v>1.7304538495836744E-2</v>
      </c>
      <c r="S128" s="300">
        <v>1.8810099823188587E-2</v>
      </c>
      <c r="T128" s="300">
        <v>2.0446650769880625E-2</v>
      </c>
      <c r="U128" s="300">
        <v>2.2225587936012974E-2</v>
      </c>
      <c r="V128" s="300">
        <v>2.4159299469676196E-2</v>
      </c>
      <c r="W128" s="300">
        <v>2.6261251335437892E-2</v>
      </c>
      <c r="X128" s="300">
        <v>2.8546081088512698E-2</v>
      </c>
      <c r="Y128" s="300">
        <v>3.1029699807651287E-2</v>
      </c>
      <c r="Z128" s="300">
        <v>3.3729402896583292E-2</v>
      </c>
      <c r="AA128" s="300">
        <v>3.6663990525603291E-2</v>
      </c>
      <c r="AB128" s="300">
        <v>3.9853898552045193E-2</v>
      </c>
      <c r="AC128" s="300">
        <v>4.332134083134203E-2</v>
      </c>
      <c r="AD128" s="300">
        <v>4.7090463909684271E-2</v>
      </c>
      <c r="AE128" s="301">
        <v>5.118751517554352E-2</v>
      </c>
      <c r="AF128" s="17"/>
      <c r="AG128" s="17"/>
      <c r="AH128" s="17"/>
      <c r="AI128" s="17"/>
      <c r="AJ128" s="17"/>
      <c r="AK128" s="17"/>
      <c r="AL128" s="17"/>
    </row>
    <row r="129" spans="2:38" ht="21.95" customHeight="1" x14ac:dyDescent="0.2">
      <c r="B129" s="524" t="s">
        <v>376</v>
      </c>
      <c r="C129" s="525"/>
      <c r="D129" s="525"/>
      <c r="E129" s="152" t="s">
        <v>140</v>
      </c>
      <c r="F129" s="300" cm="1">
        <f t="array" ref="F129:AE129">(GROWTH(E18:F18, $E$12:$F$12, year) / 60) * peakHoursAM</f>
        <v>6.3589743589743588E-3</v>
      </c>
      <c r="G129" s="579">
        <v>6.3589743589743588E-3</v>
      </c>
      <c r="H129" s="579">
        <v>6.3589743589743588E-3</v>
      </c>
      <c r="I129" s="579">
        <v>6.3589743589743588E-3</v>
      </c>
      <c r="J129" s="579">
        <v>6.3589743589743588E-3</v>
      </c>
      <c r="K129" s="579">
        <v>6.3589743589743588E-3</v>
      </c>
      <c r="L129" s="579">
        <v>6.3589743589743588E-3</v>
      </c>
      <c r="M129" s="579">
        <v>6.3589743589743588E-3</v>
      </c>
      <c r="N129" s="579">
        <v>6.3589743589743588E-3</v>
      </c>
      <c r="O129" s="579">
        <v>6.3589743589743588E-3</v>
      </c>
      <c r="P129" s="579">
        <v>6.3589743589743588E-3</v>
      </c>
      <c r="Q129" s="579">
        <v>6.3589743589743588E-3</v>
      </c>
      <c r="R129" s="579">
        <v>6.3589743589743588E-3</v>
      </c>
      <c r="S129" s="579">
        <v>6.3589743589743588E-3</v>
      </c>
      <c r="T129" s="579">
        <v>6.3589743589743588E-3</v>
      </c>
      <c r="U129" s="579">
        <v>6.3589743589743588E-3</v>
      </c>
      <c r="V129" s="579">
        <v>6.3589743589743588E-3</v>
      </c>
      <c r="W129" s="579">
        <v>6.3589743589743588E-3</v>
      </c>
      <c r="X129" s="579">
        <v>6.3589743589743588E-3</v>
      </c>
      <c r="Y129" s="579">
        <v>6.3589743589743588E-3</v>
      </c>
      <c r="Z129" s="579">
        <v>6.3589743589743588E-3</v>
      </c>
      <c r="AA129" s="579">
        <v>6.3589743589743588E-3</v>
      </c>
      <c r="AB129" s="579">
        <v>6.3589743589743588E-3</v>
      </c>
      <c r="AC129" s="579">
        <v>6.3589743589743588E-3</v>
      </c>
      <c r="AD129" s="579">
        <v>6.3589743589743588E-3</v>
      </c>
      <c r="AE129" s="581">
        <v>6.3589743589743588E-3</v>
      </c>
      <c r="AF129" s="58"/>
      <c r="AG129" s="58"/>
      <c r="AH129" s="58"/>
      <c r="AI129" s="58"/>
      <c r="AJ129" s="58"/>
      <c r="AK129" s="58"/>
      <c r="AL129" s="58"/>
    </row>
    <row r="130" spans="2:38" ht="21.95" customHeight="1" x14ac:dyDescent="0.2">
      <c r="B130" s="530"/>
      <c r="C130" s="143"/>
      <c r="D130" s="152"/>
      <c r="E130" s="153" t="s">
        <v>28</v>
      </c>
      <c r="F130" s="580" cm="1">
        <f t="array" ref="F130:AE130">_xlfn.ANCHORARRAY(F128) +_xlfn.ANCHORARRAY( F129)</f>
        <v>1.2717948717948849E-2</v>
      </c>
      <c r="G130" s="580">
        <v>1.3271203916219367E-2</v>
      </c>
      <c r="H130" s="580">
        <v>1.3872594442159936E-2</v>
      </c>
      <c r="I130" s="580">
        <v>1.452630825419739E-2</v>
      </c>
      <c r="J130" s="580">
        <v>1.5236897679230369E-2</v>
      </c>
      <c r="K130" s="580">
        <v>1.6009311114086953E-2</v>
      </c>
      <c r="L130" s="580">
        <v>1.6848927485128586E-2</v>
      </c>
      <c r="M130" s="580">
        <v>1.7761593705974119E-2</v>
      </c>
      <c r="N130" s="580">
        <v>1.8753665394190079E-2</v>
      </c>
      <c r="O130" s="580">
        <v>1.9832051130486458E-2</v>
      </c>
      <c r="P130" s="580">
        <v>2.1004260568635372E-2</v>
      </c>
      <c r="Q130" s="580">
        <v>2.2278456731137909E-2</v>
      </c>
      <c r="R130" s="580">
        <v>2.3663512854811102E-2</v>
      </c>
      <c r="S130" s="580">
        <v>2.5169074182162944E-2</v>
      </c>
      <c r="T130" s="580">
        <v>2.6805625128854982E-2</v>
      </c>
      <c r="U130" s="580">
        <v>2.8584562294987334E-2</v>
      </c>
      <c r="V130" s="580">
        <v>3.0518273828650556E-2</v>
      </c>
      <c r="W130" s="580">
        <v>3.2620225694412253E-2</v>
      </c>
      <c r="X130" s="580">
        <v>3.4905055447487059E-2</v>
      </c>
      <c r="Y130" s="580">
        <v>3.7388674166625648E-2</v>
      </c>
      <c r="Z130" s="580">
        <v>4.0088377255557653E-2</v>
      </c>
      <c r="AA130" s="580">
        <v>4.3022964884577651E-2</v>
      </c>
      <c r="AB130" s="580">
        <v>4.6212872911019554E-2</v>
      </c>
      <c r="AC130" s="580">
        <v>4.968031519031639E-2</v>
      </c>
      <c r="AD130" s="580">
        <v>5.3449438268658632E-2</v>
      </c>
      <c r="AE130" s="582">
        <v>5.7546489534517881E-2</v>
      </c>
      <c r="AF130" s="59"/>
      <c r="AG130" s="59"/>
      <c r="AH130" s="59"/>
      <c r="AI130" s="59"/>
      <c r="AJ130" s="59"/>
      <c r="AK130" s="59"/>
      <c r="AL130" s="59"/>
    </row>
    <row r="131" spans="2:38" ht="21.95" customHeight="1" x14ac:dyDescent="0.2">
      <c r="B131" s="530"/>
      <c r="C131" s="143"/>
      <c r="D131" s="529"/>
      <c r="E131" s="143"/>
      <c r="F131" s="300"/>
      <c r="G131" s="300"/>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1"/>
      <c r="AF131" s="17"/>
      <c r="AG131" s="17"/>
      <c r="AH131" s="17"/>
      <c r="AI131" s="17"/>
      <c r="AJ131" s="17"/>
      <c r="AK131" s="17"/>
      <c r="AL131" s="17"/>
    </row>
    <row r="132" spans="2:38" ht="21.95" customHeight="1" x14ac:dyDescent="0.2">
      <c r="B132" s="530"/>
      <c r="C132" s="143"/>
      <c r="D132" s="525"/>
      <c r="E132" s="152"/>
      <c r="F132" s="300"/>
      <c r="G132" s="300"/>
      <c r="H132" s="300"/>
      <c r="I132" s="300"/>
      <c r="J132" s="300"/>
      <c r="K132" s="300"/>
      <c r="L132" s="300"/>
      <c r="M132" s="300"/>
      <c r="N132" s="300"/>
      <c r="O132" s="300"/>
      <c r="P132" s="300"/>
      <c r="Q132" s="300"/>
      <c r="R132" s="300"/>
      <c r="S132" s="300"/>
      <c r="T132" s="300"/>
      <c r="U132" s="300"/>
      <c r="V132" s="300"/>
      <c r="W132" s="300"/>
      <c r="X132" s="300"/>
      <c r="Y132" s="300"/>
      <c r="Z132" s="300"/>
      <c r="AA132" s="300"/>
      <c r="AB132" s="300"/>
      <c r="AC132" s="300"/>
      <c r="AD132" s="300"/>
      <c r="AE132" s="301"/>
      <c r="AF132" s="17"/>
      <c r="AG132" s="17"/>
      <c r="AH132" s="17"/>
      <c r="AI132" s="17"/>
      <c r="AJ132" s="17"/>
      <c r="AK132" s="17"/>
      <c r="AL132" s="17"/>
    </row>
    <row r="133" spans="2:38" ht="21.95" customHeight="1" x14ac:dyDescent="0.2">
      <c r="B133" s="572"/>
      <c r="C133" s="152"/>
      <c r="D133" s="567"/>
      <c r="E133" s="153"/>
      <c r="F133" s="580"/>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2"/>
      <c r="AF133" s="59"/>
      <c r="AG133" s="59"/>
      <c r="AH133" s="59"/>
      <c r="AI133" s="59"/>
      <c r="AJ133" s="59"/>
      <c r="AK133" s="59"/>
      <c r="AL133" s="59"/>
    </row>
    <row r="134" spans="2:38" ht="21.95" customHeight="1" x14ac:dyDescent="0.2">
      <c r="B134" s="273" t="s">
        <v>269</v>
      </c>
      <c r="C134" s="143" t="s">
        <v>215</v>
      </c>
      <c r="D134" s="529" t="s">
        <v>505</v>
      </c>
      <c r="E134" s="143" t="s">
        <v>23</v>
      </c>
      <c r="F134" s="522" cm="1">
        <f t="array" ref="F134:AE134">_xlfn.ANCHORARRAY($F$36) *_xlfn.ANCHORARRAY( F130)</f>
        <v>64150.79426953911</v>
      </c>
      <c r="G134" s="522">
        <v>67995.338148036462</v>
      </c>
      <c r="H134" s="522">
        <v>72195.537305498874</v>
      </c>
      <c r="I134" s="522">
        <v>76787.718809307684</v>
      </c>
      <c r="J134" s="522">
        <v>81811.980916278204</v>
      </c>
      <c r="K134" s="522">
        <v>87312.585541840919</v>
      </c>
      <c r="L134" s="522">
        <v>93338.391589011473</v>
      </c>
      <c r="M134" s="522">
        <v>99943.333391312714</v>
      </c>
      <c r="N134" s="522">
        <v>107186.94896670472</v>
      </c>
      <c r="O134" s="522">
        <v>115134.96326861274</v>
      </c>
      <c r="P134" s="522">
        <v>123859.93216014339</v>
      </c>
      <c r="Q134" s="522">
        <v>133441.95343372825</v>
      </c>
      <c r="R134" s="522">
        <v>143969.45185665647</v>
      </c>
      <c r="S134" s="522">
        <v>155540.04594981571</v>
      </c>
      <c r="T134" s="522">
        <v>168261.50500936023</v>
      </c>
      <c r="U134" s="522">
        <v>182252.8057669983</v>
      </c>
      <c r="V134" s="522">
        <v>197645.29906294981</v>
      </c>
      <c r="W134" s="522">
        <v>214583.99798563466</v>
      </c>
      <c r="X134" s="522">
        <v>233229.00012469431</v>
      </c>
      <c r="Y134" s="522">
        <v>253757.05790079909</v>
      </c>
      <c r="Z134" s="522">
        <v>276363.31238939107</v>
      </c>
      <c r="AA134" s="522">
        <v>301263.20766069012</v>
      </c>
      <c r="AB134" s="522">
        <v>328694.60443073628</v>
      </c>
      <c r="AC134" s="522">
        <v>358920.11377495719</v>
      </c>
      <c r="AD134" s="522">
        <v>392229.67381627299</v>
      </c>
      <c r="AE134" s="523">
        <v>428943.39468550606</v>
      </c>
      <c r="AF134" s="5"/>
      <c r="AG134" s="5"/>
      <c r="AH134" s="5"/>
      <c r="AI134" s="5"/>
      <c r="AJ134" s="5"/>
      <c r="AK134" s="5"/>
      <c r="AL134" s="5"/>
    </row>
    <row r="135" spans="2:38" ht="21.95" customHeight="1" x14ac:dyDescent="0.2">
      <c r="B135" s="524" t="s">
        <v>332</v>
      </c>
      <c r="C135" s="525"/>
      <c r="D135" s="525"/>
      <c r="E135" s="152" t="s">
        <v>22</v>
      </c>
      <c r="F135" s="522" cm="1">
        <f t="array" ref="F135:AE135">_xlfn.ANCHORARRAY($F$37) *_xlfn.ANCHORARRAY( F130)</f>
        <v>15937.58808943606</v>
      </c>
      <c r="G135" s="522">
        <v>16892.724458750632</v>
      </c>
      <c r="H135" s="522">
        <v>17936.219630205091</v>
      </c>
      <c r="I135" s="522">
        <v>19077.098680464707</v>
      </c>
      <c r="J135" s="522">
        <v>20325.323598426174</v>
      </c>
      <c r="K135" s="522">
        <v>21691.890790045374</v>
      </c>
      <c r="L135" s="522">
        <v>23188.938734348671</v>
      </c>
      <c r="M135" s="522">
        <v>24829.866847529633</v>
      </c>
      <c r="N135" s="522">
        <v>26629.466722065219</v>
      </c>
      <c r="O135" s="522">
        <v>28604.067029280824</v>
      </c>
      <c r="P135" s="522">
        <v>30771.693507950735</v>
      </c>
      <c r="Q135" s="522">
        <v>33152.245609627869</v>
      </c>
      <c r="R135" s="522">
        <v>35767.691534924641</v>
      </c>
      <c r="S135" s="522">
        <v>38642.283575547233</v>
      </c>
      <c r="T135" s="522">
        <v>41802.795876233067</v>
      </c>
      <c r="U135" s="522">
        <v>45278.786950852264</v>
      </c>
      <c r="V135" s="522">
        <v>49102.889529996275</v>
      </c>
      <c r="W135" s="522">
        <v>53311.130585694511</v>
      </c>
      <c r="X135" s="522">
        <v>57943.28467517376</v>
      </c>
      <c r="Y135" s="522">
        <v>63043.264072732862</v>
      </c>
      <c r="Z135" s="522">
        <v>68659.549519961074</v>
      </c>
      <c r="AA135" s="522">
        <v>74845.66582331754</v>
      </c>
      <c r="AB135" s="522">
        <v>81660.706968435115</v>
      </c>
      <c r="AC135" s="522">
        <v>89169.915906637325</v>
      </c>
      <c r="AD135" s="522">
        <v>97445.324705915511</v>
      </c>
      <c r="AE135" s="523">
        <v>106566.46135133048</v>
      </c>
      <c r="AF135" s="5"/>
      <c r="AG135" s="5"/>
      <c r="AH135" s="5"/>
      <c r="AI135" s="5"/>
      <c r="AJ135" s="5"/>
      <c r="AK135" s="5"/>
      <c r="AL135" s="5"/>
    </row>
    <row r="136" spans="2:38" ht="21.95" customHeight="1" x14ac:dyDescent="0.2">
      <c r="B136" s="277"/>
      <c r="C136" s="143"/>
      <c r="D136" s="152"/>
      <c r="E136" s="153" t="s">
        <v>28</v>
      </c>
      <c r="F136" s="527" cm="1">
        <f t="array" ref="F136:AE136">_xlfn.ANCHORARRAY(F134) +_xlfn.ANCHORARRAY( F135)</f>
        <v>80088.38235897517</v>
      </c>
      <c r="G136" s="527">
        <v>84888.062606787091</v>
      </c>
      <c r="H136" s="527">
        <v>90131.756935703961</v>
      </c>
      <c r="I136" s="527">
        <v>95864.817489772395</v>
      </c>
      <c r="J136" s="527">
        <v>102137.30451470437</v>
      </c>
      <c r="K136" s="527">
        <v>109004.4763318863</v>
      </c>
      <c r="L136" s="527">
        <v>116527.33032336015</v>
      </c>
      <c r="M136" s="527">
        <v>124773.20023884234</v>
      </c>
      <c r="N136" s="527">
        <v>133816.41568876995</v>
      </c>
      <c r="O136" s="527">
        <v>143739.03029789357</v>
      </c>
      <c r="P136" s="527">
        <v>154631.62566809412</v>
      </c>
      <c r="Q136" s="527">
        <v>166594.19904335611</v>
      </c>
      <c r="R136" s="527">
        <v>179737.14339158111</v>
      </c>
      <c r="S136" s="527">
        <v>194182.32952536293</v>
      </c>
      <c r="T136" s="527">
        <v>210064.30088559329</v>
      </c>
      <c r="U136" s="527">
        <v>227531.59271785055</v>
      </c>
      <c r="V136" s="527">
        <v>246748.1885929461</v>
      </c>
      <c r="W136" s="527">
        <v>267895.12857132917</v>
      </c>
      <c r="X136" s="527">
        <v>291172.28479986807</v>
      </c>
      <c r="Y136" s="527">
        <v>316800.32197353197</v>
      </c>
      <c r="Z136" s="527">
        <v>345022.86190935213</v>
      </c>
      <c r="AA136" s="527">
        <v>376108.87348400766</v>
      </c>
      <c r="AB136" s="527">
        <v>410355.31139917136</v>
      </c>
      <c r="AC136" s="527">
        <v>448090.02968159452</v>
      </c>
      <c r="AD136" s="527">
        <v>489674.99852218851</v>
      </c>
      <c r="AE136" s="528">
        <v>535509.85603683651</v>
      </c>
      <c r="AF136" s="57"/>
      <c r="AG136" s="57"/>
      <c r="AH136" s="57"/>
      <c r="AI136" s="57"/>
      <c r="AJ136" s="57"/>
      <c r="AK136" s="57"/>
      <c r="AL136" s="57"/>
    </row>
    <row r="137" spans="2:38" ht="21.95" customHeight="1" x14ac:dyDescent="0.2">
      <c r="B137" s="277"/>
      <c r="C137" s="143"/>
      <c r="D137" s="529"/>
      <c r="E137" s="143"/>
      <c r="F137" s="522"/>
      <c r="G137" s="522"/>
      <c r="H137" s="522"/>
      <c r="I137" s="522"/>
      <c r="J137" s="522"/>
      <c r="K137" s="522"/>
      <c r="L137" s="522"/>
      <c r="M137" s="522"/>
      <c r="N137" s="522"/>
      <c r="O137" s="522"/>
      <c r="P137" s="522"/>
      <c r="Q137" s="522"/>
      <c r="R137" s="522"/>
      <c r="S137" s="522"/>
      <c r="T137" s="522"/>
      <c r="U137" s="522"/>
      <c r="V137" s="522"/>
      <c r="W137" s="522"/>
      <c r="X137" s="522"/>
      <c r="Y137" s="522"/>
      <c r="Z137" s="522"/>
      <c r="AA137" s="522"/>
      <c r="AB137" s="522"/>
      <c r="AC137" s="522"/>
      <c r="AD137" s="522"/>
      <c r="AE137" s="523"/>
      <c r="AF137" s="5"/>
      <c r="AG137" s="5"/>
      <c r="AH137" s="5"/>
      <c r="AI137" s="5"/>
      <c r="AJ137" s="5"/>
      <c r="AK137" s="5"/>
      <c r="AL137" s="5"/>
    </row>
    <row r="138" spans="2:38" ht="21.95" customHeight="1" x14ac:dyDescent="0.2">
      <c r="B138" s="277"/>
      <c r="C138" s="143"/>
      <c r="D138" s="525"/>
      <c r="E138" s="152"/>
      <c r="F138" s="522"/>
      <c r="G138" s="522"/>
      <c r="H138" s="522"/>
      <c r="I138" s="522"/>
      <c r="J138" s="522"/>
      <c r="K138" s="522"/>
      <c r="L138" s="522"/>
      <c r="M138" s="522"/>
      <c r="N138" s="522"/>
      <c r="O138" s="522"/>
      <c r="P138" s="522"/>
      <c r="Q138" s="522"/>
      <c r="R138" s="522"/>
      <c r="S138" s="522"/>
      <c r="T138" s="522"/>
      <c r="U138" s="522"/>
      <c r="V138" s="522"/>
      <c r="W138" s="522"/>
      <c r="X138" s="522"/>
      <c r="Y138" s="522"/>
      <c r="Z138" s="522"/>
      <c r="AA138" s="522"/>
      <c r="AB138" s="522"/>
      <c r="AC138" s="522"/>
      <c r="AD138" s="522"/>
      <c r="AE138" s="523"/>
      <c r="AF138" s="5"/>
      <c r="AG138" s="5"/>
      <c r="AH138" s="5"/>
      <c r="AI138" s="5"/>
      <c r="AJ138" s="5"/>
      <c r="AK138" s="5"/>
      <c r="AL138" s="5"/>
    </row>
    <row r="139" spans="2:38" ht="21.95" customHeight="1" x14ac:dyDescent="0.2">
      <c r="B139" s="280"/>
      <c r="C139" s="152"/>
      <c r="D139" s="567"/>
      <c r="E139" s="153"/>
      <c r="F139" s="527"/>
      <c r="G139" s="527"/>
      <c r="H139" s="527"/>
      <c r="I139" s="527"/>
      <c r="J139" s="527"/>
      <c r="K139" s="527"/>
      <c r="L139" s="527"/>
      <c r="M139" s="527"/>
      <c r="N139" s="527"/>
      <c r="O139" s="527"/>
      <c r="P139" s="527"/>
      <c r="Q139" s="527"/>
      <c r="R139" s="527"/>
      <c r="S139" s="527"/>
      <c r="T139" s="527"/>
      <c r="U139" s="527"/>
      <c r="V139" s="527"/>
      <c r="W139" s="527"/>
      <c r="X139" s="527"/>
      <c r="Y139" s="527"/>
      <c r="Z139" s="527"/>
      <c r="AA139" s="527"/>
      <c r="AB139" s="527"/>
      <c r="AC139" s="527"/>
      <c r="AD139" s="527"/>
      <c r="AE139" s="528"/>
      <c r="AF139" s="57"/>
      <c r="AG139" s="57"/>
      <c r="AH139" s="57"/>
      <c r="AI139" s="57"/>
      <c r="AJ139" s="57"/>
      <c r="AK139" s="57"/>
      <c r="AL139" s="57"/>
    </row>
    <row r="140" spans="2:38" ht="21.95" customHeight="1" x14ac:dyDescent="0.2">
      <c r="B140" s="273" t="s">
        <v>270</v>
      </c>
      <c r="C140" s="143" t="s">
        <v>181</v>
      </c>
      <c r="D140" s="529" t="s">
        <v>505</v>
      </c>
      <c r="E140" s="143" t="s">
        <v>23</v>
      </c>
      <c r="F140" s="522" cm="1">
        <f t="array" ref="F140:AE140">_xlfn.ANCHORARRAY(F134) * occupancyAutos</f>
        <v>107131.82643013031</v>
      </c>
      <c r="G140" s="522">
        <v>113552.21470722089</v>
      </c>
      <c r="H140" s="522">
        <v>120566.54730018311</v>
      </c>
      <c r="I140" s="522">
        <v>128235.49041154383</v>
      </c>
      <c r="J140" s="522">
        <v>136626.00813018461</v>
      </c>
      <c r="K140" s="522">
        <v>145812.01785487434</v>
      </c>
      <c r="L140" s="522">
        <v>155875.11395364915</v>
      </c>
      <c r="M140" s="522">
        <v>166905.36676349223</v>
      </c>
      <c r="N140" s="522">
        <v>179002.20477439687</v>
      </c>
      <c r="O140" s="522">
        <v>192275.38865858328</v>
      </c>
      <c r="P140" s="522">
        <v>206846.08670743945</v>
      </c>
      <c r="Q140" s="522">
        <v>222848.06223432618</v>
      </c>
      <c r="R140" s="522">
        <v>240428.9846006163</v>
      </c>
      <c r="S140" s="522">
        <v>259751.87673619224</v>
      </c>
      <c r="T140" s="522">
        <v>280996.71336563159</v>
      </c>
      <c r="U140" s="522">
        <v>304362.18563088716</v>
      </c>
      <c r="V140" s="522">
        <v>330067.64943512616</v>
      </c>
      <c r="W140" s="522">
        <v>358355.27663600986</v>
      </c>
      <c r="X140" s="522">
        <v>389492.43020823947</v>
      </c>
      <c r="Y140" s="522">
        <v>423774.28669433447</v>
      </c>
      <c r="Z140" s="522">
        <v>461526.73169028305</v>
      </c>
      <c r="AA140" s="522">
        <v>503109.55679335247</v>
      </c>
      <c r="AB140" s="522">
        <v>548919.98939932953</v>
      </c>
      <c r="AC140" s="522">
        <v>599396.59000417846</v>
      </c>
      <c r="AD140" s="522">
        <v>655023.55527317582</v>
      </c>
      <c r="AE140" s="523">
        <v>716335.46912479505</v>
      </c>
      <c r="AF140" s="5"/>
      <c r="AG140" s="5"/>
      <c r="AH140" s="5"/>
      <c r="AI140" s="5"/>
      <c r="AJ140" s="5"/>
      <c r="AK140" s="5"/>
      <c r="AL140" s="5"/>
    </row>
    <row r="141" spans="2:38" ht="21.95" customHeight="1" x14ac:dyDescent="0.2">
      <c r="B141" s="524" t="s">
        <v>266</v>
      </c>
      <c r="C141" s="525"/>
      <c r="D141" s="525"/>
      <c r="E141" s="152" t="s">
        <v>22</v>
      </c>
      <c r="F141" s="522" cm="1">
        <f t="array" ref="F141:AE141">_xlfn.ANCHORARRAY(F135) * occupancyTrucks</f>
        <v>15937.58808943606</v>
      </c>
      <c r="G141" s="522">
        <v>16892.724458750632</v>
      </c>
      <c r="H141" s="522">
        <v>17936.219630205091</v>
      </c>
      <c r="I141" s="522">
        <v>19077.098680464707</v>
      </c>
      <c r="J141" s="522">
        <v>20325.323598426174</v>
      </c>
      <c r="K141" s="522">
        <v>21691.890790045374</v>
      </c>
      <c r="L141" s="522">
        <v>23188.938734348671</v>
      </c>
      <c r="M141" s="522">
        <v>24829.866847529633</v>
      </c>
      <c r="N141" s="522">
        <v>26629.466722065219</v>
      </c>
      <c r="O141" s="522">
        <v>28604.067029280824</v>
      </c>
      <c r="P141" s="522">
        <v>30771.693507950735</v>
      </c>
      <c r="Q141" s="522">
        <v>33152.245609627869</v>
      </c>
      <c r="R141" s="522">
        <v>35767.691534924641</v>
      </c>
      <c r="S141" s="522">
        <v>38642.283575547233</v>
      </c>
      <c r="T141" s="522">
        <v>41802.795876233067</v>
      </c>
      <c r="U141" s="522">
        <v>45278.786950852264</v>
      </c>
      <c r="V141" s="522">
        <v>49102.889529996275</v>
      </c>
      <c r="W141" s="522">
        <v>53311.130585694511</v>
      </c>
      <c r="X141" s="522">
        <v>57943.28467517376</v>
      </c>
      <c r="Y141" s="522">
        <v>63043.264072732862</v>
      </c>
      <c r="Z141" s="522">
        <v>68659.549519961074</v>
      </c>
      <c r="AA141" s="522">
        <v>74845.66582331754</v>
      </c>
      <c r="AB141" s="522">
        <v>81660.706968435115</v>
      </c>
      <c r="AC141" s="522">
        <v>89169.915906637325</v>
      </c>
      <c r="AD141" s="522">
        <v>97445.324705915511</v>
      </c>
      <c r="AE141" s="523">
        <v>106566.46135133048</v>
      </c>
      <c r="AF141" s="5"/>
      <c r="AG141" s="5"/>
      <c r="AH141" s="5"/>
      <c r="AI141" s="5"/>
      <c r="AJ141" s="5"/>
      <c r="AK141" s="5"/>
      <c r="AL141" s="5"/>
    </row>
    <row r="142" spans="2:38" ht="21.95" customHeight="1" x14ac:dyDescent="0.2">
      <c r="B142" s="277"/>
      <c r="C142" s="143"/>
      <c r="D142" s="152"/>
      <c r="E142" s="153" t="s">
        <v>28</v>
      </c>
      <c r="F142" s="527" cm="1">
        <f t="array" ref="F142:AE142">_xlfn.ANCHORARRAY(F140) +_xlfn.ANCHORARRAY( F141)</f>
        <v>123069.41451956637</v>
      </c>
      <c r="G142" s="527">
        <v>130444.93916597152</v>
      </c>
      <c r="H142" s="527">
        <v>138502.7669303882</v>
      </c>
      <c r="I142" s="527">
        <v>147312.58909200854</v>
      </c>
      <c r="J142" s="527">
        <v>156951.33172861079</v>
      </c>
      <c r="K142" s="527">
        <v>167503.90864491972</v>
      </c>
      <c r="L142" s="527">
        <v>179064.05268799781</v>
      </c>
      <c r="M142" s="527">
        <v>191735.23361102186</v>
      </c>
      <c r="N142" s="527">
        <v>205631.67149646208</v>
      </c>
      <c r="O142" s="527">
        <v>220879.4556878641</v>
      </c>
      <c r="P142" s="527">
        <v>237617.78021539017</v>
      </c>
      <c r="Q142" s="527">
        <v>256000.30784395404</v>
      </c>
      <c r="R142" s="527">
        <v>276196.67613554094</v>
      </c>
      <c r="S142" s="527">
        <v>298394.16031173948</v>
      </c>
      <c r="T142" s="527">
        <v>322799.50924186467</v>
      </c>
      <c r="U142" s="527">
        <v>349640.97258173942</v>
      </c>
      <c r="V142" s="527">
        <v>379170.53896512242</v>
      </c>
      <c r="W142" s="527">
        <v>411666.40722170437</v>
      </c>
      <c r="X142" s="527">
        <v>447435.71488341322</v>
      </c>
      <c r="Y142" s="527">
        <v>486817.55076706735</v>
      </c>
      <c r="Z142" s="527">
        <v>530186.28121024417</v>
      </c>
      <c r="AA142" s="527">
        <v>577955.22261666995</v>
      </c>
      <c r="AB142" s="527">
        <v>630580.69636776461</v>
      </c>
      <c r="AC142" s="527">
        <v>688566.50591081579</v>
      </c>
      <c r="AD142" s="527">
        <v>752468.87997909135</v>
      </c>
      <c r="AE142" s="528">
        <v>822901.93047612556</v>
      </c>
      <c r="AF142" s="57"/>
      <c r="AG142" s="57"/>
      <c r="AH142" s="57"/>
      <c r="AI142" s="57"/>
      <c r="AJ142" s="57"/>
      <c r="AK142" s="57"/>
      <c r="AL142" s="57"/>
    </row>
    <row r="143" spans="2:38" ht="21.95" customHeight="1" x14ac:dyDescent="0.2">
      <c r="B143" s="277"/>
      <c r="C143" s="143"/>
      <c r="D143" s="529"/>
      <c r="E143" s="143"/>
      <c r="F143" s="522"/>
      <c r="G143" s="522"/>
      <c r="H143" s="522"/>
      <c r="I143" s="522"/>
      <c r="J143" s="522"/>
      <c r="K143" s="522"/>
      <c r="L143" s="522"/>
      <c r="M143" s="522"/>
      <c r="N143" s="522"/>
      <c r="O143" s="522"/>
      <c r="P143" s="522"/>
      <c r="Q143" s="522"/>
      <c r="R143" s="522"/>
      <c r="S143" s="522"/>
      <c r="T143" s="522"/>
      <c r="U143" s="522"/>
      <c r="V143" s="522"/>
      <c r="W143" s="522"/>
      <c r="X143" s="522"/>
      <c r="Y143" s="522"/>
      <c r="Z143" s="522"/>
      <c r="AA143" s="522"/>
      <c r="AB143" s="522"/>
      <c r="AC143" s="522"/>
      <c r="AD143" s="522"/>
      <c r="AE143" s="523"/>
      <c r="AF143" s="5"/>
      <c r="AG143" s="5"/>
      <c r="AH143" s="5"/>
      <c r="AI143" s="5"/>
      <c r="AJ143" s="5"/>
      <c r="AK143" s="5"/>
      <c r="AL143" s="5"/>
    </row>
    <row r="144" spans="2:38" ht="21.95" customHeight="1" x14ac:dyDescent="0.2">
      <c r="B144" s="277"/>
      <c r="C144" s="143"/>
      <c r="D144" s="525"/>
      <c r="E144" s="152"/>
      <c r="F144" s="522"/>
      <c r="G144" s="522"/>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3"/>
      <c r="AF144" s="5"/>
      <c r="AG144" s="5"/>
      <c r="AH144" s="5"/>
      <c r="AI144" s="5"/>
      <c r="AJ144" s="5"/>
      <c r="AK144" s="5"/>
      <c r="AL144" s="5"/>
    </row>
    <row r="145" spans="1:38" ht="21.95" customHeight="1" x14ac:dyDescent="0.2">
      <c r="B145" s="280"/>
      <c r="C145" s="152"/>
      <c r="D145" s="567"/>
      <c r="E145" s="153"/>
      <c r="F145" s="527"/>
      <c r="G145" s="527"/>
      <c r="H145" s="527"/>
      <c r="I145" s="527"/>
      <c r="J145" s="527"/>
      <c r="K145" s="527"/>
      <c r="L145" s="527"/>
      <c r="M145" s="527"/>
      <c r="N145" s="527"/>
      <c r="O145" s="527"/>
      <c r="P145" s="527"/>
      <c r="Q145" s="527"/>
      <c r="R145" s="527"/>
      <c r="S145" s="527"/>
      <c r="T145" s="527"/>
      <c r="U145" s="527"/>
      <c r="V145" s="527"/>
      <c r="W145" s="527"/>
      <c r="X145" s="527"/>
      <c r="Y145" s="527"/>
      <c r="Z145" s="527"/>
      <c r="AA145" s="527"/>
      <c r="AB145" s="527"/>
      <c r="AC145" s="527"/>
      <c r="AD145" s="527"/>
      <c r="AE145" s="528"/>
      <c r="AF145" s="57"/>
      <c r="AG145" s="57"/>
      <c r="AH145" s="57"/>
      <c r="AI145" s="57"/>
      <c r="AJ145" s="57"/>
      <c r="AK145" s="57"/>
      <c r="AL145" s="57"/>
    </row>
    <row r="146" spans="1:38" ht="21.95" customHeight="1" x14ac:dyDescent="0.2">
      <c r="B146" s="273" t="s">
        <v>183</v>
      </c>
      <c r="C146" s="143" t="str">
        <f>baseYear &amp; "$"</f>
        <v>2022$</v>
      </c>
      <c r="D146" s="529" t="s">
        <v>505</v>
      </c>
      <c r="E146" s="143" t="s">
        <v>23</v>
      </c>
      <c r="F146" s="278" cm="1">
        <f t="array" ref="F146:AE146">_xlfn.ANCHORARRAY(F140) * VTTSAutos</f>
        <v>2014078.3368864499</v>
      </c>
      <c r="G146" s="278">
        <v>2134781.6364957527</v>
      </c>
      <c r="H146" s="278">
        <v>2266651.0892434428</v>
      </c>
      <c r="I146" s="278">
        <v>2410827.219737024</v>
      </c>
      <c r="J146" s="278">
        <v>2568568.9528474705</v>
      </c>
      <c r="K146" s="278">
        <v>2741265.9356716378</v>
      </c>
      <c r="L146" s="278">
        <v>2930452.1423286041</v>
      </c>
      <c r="M146" s="278">
        <v>3137820.8951536543</v>
      </c>
      <c r="N146" s="278">
        <v>3365241.4497586614</v>
      </c>
      <c r="O146" s="278">
        <v>3614777.306781366</v>
      </c>
      <c r="P146" s="278">
        <v>3888706.4300998617</v>
      </c>
      <c r="Q146" s="278">
        <v>4189543.5700053321</v>
      </c>
      <c r="R146" s="278">
        <v>4520064.9104915867</v>
      </c>
      <c r="S146" s="278">
        <v>4883335.2826404143</v>
      </c>
      <c r="T146" s="278">
        <v>5282738.2112738742</v>
      </c>
      <c r="U146" s="278">
        <v>5722009.0898606787</v>
      </c>
      <c r="V146" s="278">
        <v>6205271.8093803721</v>
      </c>
      <c r="W146" s="278">
        <v>6737079.2007569857</v>
      </c>
      <c r="X146" s="278">
        <v>7322457.6879149023</v>
      </c>
      <c r="Y146" s="278">
        <v>7966956.5898534879</v>
      </c>
      <c r="Z146" s="278">
        <v>8676702.5557773225</v>
      </c>
      <c r="AA146" s="278">
        <v>9458459.6677150261</v>
      </c>
      <c r="AB146" s="278">
        <v>10319695.800707396</v>
      </c>
      <c r="AC146" s="278">
        <v>11268655.892078556</v>
      </c>
      <c r="AD146" s="278">
        <v>12314442.839135706</v>
      </c>
      <c r="AE146" s="279">
        <v>13467106.819546148</v>
      </c>
      <c r="AF146" s="22"/>
      <c r="AG146" s="22"/>
      <c r="AH146" s="22"/>
      <c r="AI146" s="22"/>
      <c r="AJ146" s="22"/>
      <c r="AK146" s="22"/>
      <c r="AL146" s="22"/>
    </row>
    <row r="147" spans="1:38" ht="21.95" customHeight="1" x14ac:dyDescent="0.2">
      <c r="B147" s="524" t="s">
        <v>188</v>
      </c>
      <c r="C147" s="143"/>
      <c r="D147" s="525"/>
      <c r="E147" s="152" t="s">
        <v>22</v>
      </c>
      <c r="F147" s="278" cm="1">
        <f t="array" ref="F147:AE147">_xlfn.ANCHORARRAY(F141) * VTTSTrucks</f>
        <v>516377.85409772833</v>
      </c>
      <c r="G147" s="278">
        <v>547324.27246352041</v>
      </c>
      <c r="H147" s="278">
        <v>581133.51601864491</v>
      </c>
      <c r="I147" s="278">
        <v>618097.99724705645</v>
      </c>
      <c r="J147" s="278">
        <v>658540.48458900803</v>
      </c>
      <c r="K147" s="278">
        <v>702817.26159747015</v>
      </c>
      <c r="L147" s="278">
        <v>751321.61499289691</v>
      </c>
      <c r="M147" s="278">
        <v>804487.68585996004</v>
      </c>
      <c r="N147" s="278">
        <v>862794.72179491306</v>
      </c>
      <c r="O147" s="278">
        <v>926771.77174869867</v>
      </c>
      <c r="P147" s="278">
        <v>997002.86965760379</v>
      </c>
      <c r="Q147" s="278">
        <v>1074132.7577519428</v>
      </c>
      <c r="R147" s="278">
        <v>1158873.2057315584</v>
      </c>
      <c r="S147" s="278">
        <v>1252009.9878477303</v>
      </c>
      <c r="T147" s="278">
        <v>1354410.5863899514</v>
      </c>
      <c r="U147" s="278">
        <v>1467032.6972076134</v>
      </c>
      <c r="V147" s="278">
        <v>1590933.6207718793</v>
      </c>
      <c r="W147" s="278">
        <v>1727280.6309765021</v>
      </c>
      <c r="X147" s="278">
        <v>1877362.4234756297</v>
      </c>
      <c r="Y147" s="278">
        <v>2042601.7559565445</v>
      </c>
      <c r="Z147" s="278">
        <v>2224569.4044467388</v>
      </c>
      <c r="AA147" s="278">
        <v>2424999.5726754884</v>
      </c>
      <c r="AB147" s="278">
        <v>2645806.9057772974</v>
      </c>
      <c r="AC147" s="278">
        <v>2889105.2753750491</v>
      </c>
      <c r="AD147" s="278">
        <v>3157228.5204716623</v>
      </c>
      <c r="AE147" s="279">
        <v>3452753.3477831073</v>
      </c>
      <c r="AF147" s="22"/>
      <c r="AG147" s="22"/>
      <c r="AH147" s="22"/>
      <c r="AI147" s="22"/>
      <c r="AJ147" s="22"/>
      <c r="AK147" s="22"/>
      <c r="AL147" s="22"/>
    </row>
    <row r="148" spans="1:38" ht="21.95" customHeight="1" x14ac:dyDescent="0.2">
      <c r="B148" s="290"/>
      <c r="C148" s="291"/>
      <c r="D148" s="291"/>
      <c r="E148" s="534" t="s">
        <v>28</v>
      </c>
      <c r="F148" s="577" cm="1">
        <f t="array" ref="F148:AE148">_xlfn.ANCHORARRAY(F146) +_xlfn.ANCHORARRAY( F147)</f>
        <v>2530456.1909841783</v>
      </c>
      <c r="G148" s="577">
        <v>2682105.9089592732</v>
      </c>
      <c r="H148" s="577">
        <v>2847784.6052620877</v>
      </c>
      <c r="I148" s="577">
        <v>3028925.2169840806</v>
      </c>
      <c r="J148" s="577">
        <v>3227109.4374364787</v>
      </c>
      <c r="K148" s="577">
        <v>3444083.1972691081</v>
      </c>
      <c r="L148" s="577">
        <v>3681773.7573215012</v>
      </c>
      <c r="M148" s="577">
        <v>3942308.5810136143</v>
      </c>
      <c r="N148" s="577">
        <v>4228036.1715535745</v>
      </c>
      <c r="O148" s="577">
        <v>4541549.0785300648</v>
      </c>
      <c r="P148" s="577">
        <v>4885709.2997574657</v>
      </c>
      <c r="Q148" s="577">
        <v>5263676.3277572747</v>
      </c>
      <c r="R148" s="577">
        <v>5678938.1162231453</v>
      </c>
      <c r="S148" s="577">
        <v>6135345.2704881448</v>
      </c>
      <c r="T148" s="577">
        <v>6637148.7976638256</v>
      </c>
      <c r="U148" s="577">
        <v>7189041.7870682925</v>
      </c>
      <c r="V148" s="577">
        <v>7796205.4301522514</v>
      </c>
      <c r="W148" s="577">
        <v>8464359.8317334875</v>
      </c>
      <c r="X148" s="577">
        <v>9199820.1113905311</v>
      </c>
      <c r="Y148" s="577">
        <v>10009558.345810033</v>
      </c>
      <c r="Z148" s="577">
        <v>10901271.960224062</v>
      </c>
      <c r="AA148" s="577">
        <v>11883459.240390515</v>
      </c>
      <c r="AB148" s="577">
        <v>12965502.706484694</v>
      </c>
      <c r="AC148" s="577">
        <v>14157761.167453606</v>
      </c>
      <c r="AD148" s="577">
        <v>15471671.359607369</v>
      </c>
      <c r="AE148" s="578">
        <v>16919860.167329255</v>
      </c>
      <c r="AF148" s="61"/>
      <c r="AG148" s="61"/>
      <c r="AH148" s="61"/>
      <c r="AI148" s="61"/>
      <c r="AJ148" s="61"/>
      <c r="AK148" s="61"/>
      <c r="AL148" s="61"/>
    </row>
    <row r="149" spans="1:38" ht="21.95" customHeight="1" x14ac:dyDescent="0.2">
      <c r="D149" s="8"/>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row>
    <row r="150" spans="1:38" ht="21.95" customHeight="1" x14ac:dyDescent="0.2">
      <c r="D150" s="9"/>
      <c r="E150" s="50"/>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row>
    <row r="151" spans="1:38" ht="21.95" customHeight="1" x14ac:dyDescent="0.2">
      <c r="B151" s="50"/>
      <c r="C151" s="50"/>
      <c r="D151" s="129"/>
      <c r="E151" s="56"/>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row>
    <row r="152" spans="1:38" ht="21.95" customHeight="1" x14ac:dyDescent="0.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38" ht="21.95" customHeight="1" x14ac:dyDescent="0.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38" ht="21.95" customHeight="1" x14ac:dyDescent="0.2">
      <c r="A154" s="244"/>
      <c r="B154" s="245" t="s">
        <v>45</v>
      </c>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38" ht="21.95" customHeight="1" x14ac:dyDescent="0.2">
      <c r="E155" s="12"/>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c r="AD155" s="138"/>
      <c r="AE155" s="138"/>
    </row>
    <row r="156" spans="1:38" s="7" customFormat="1" ht="21.95" customHeight="1" x14ac:dyDescent="0.2">
      <c r="B156" s="411"/>
      <c r="C156" s="410" t="s">
        <v>21</v>
      </c>
      <c r="D156" s="410" t="s">
        <v>273</v>
      </c>
      <c r="E156" s="410" t="s">
        <v>28</v>
      </c>
      <c r="F156" s="347" cm="1">
        <f t="array" ref="F156:AE156">year</f>
        <v>2022</v>
      </c>
      <c r="G156" s="347">
        <v>2023</v>
      </c>
      <c r="H156" s="347">
        <v>2024</v>
      </c>
      <c r="I156" s="347">
        <v>2025</v>
      </c>
      <c r="J156" s="347">
        <v>2026</v>
      </c>
      <c r="K156" s="347">
        <v>2027</v>
      </c>
      <c r="L156" s="347">
        <v>2028</v>
      </c>
      <c r="M156" s="347">
        <v>2029</v>
      </c>
      <c r="N156" s="347">
        <v>2030</v>
      </c>
      <c r="O156" s="347">
        <v>2031</v>
      </c>
      <c r="P156" s="347">
        <v>2032</v>
      </c>
      <c r="Q156" s="347">
        <v>2033</v>
      </c>
      <c r="R156" s="347">
        <v>2034</v>
      </c>
      <c r="S156" s="347">
        <v>2035</v>
      </c>
      <c r="T156" s="347">
        <v>2036</v>
      </c>
      <c r="U156" s="347">
        <v>2037</v>
      </c>
      <c r="V156" s="347">
        <v>2038</v>
      </c>
      <c r="W156" s="347">
        <v>2039</v>
      </c>
      <c r="X156" s="347">
        <v>2040</v>
      </c>
      <c r="Y156" s="347">
        <v>2041</v>
      </c>
      <c r="Z156" s="347">
        <v>2042</v>
      </c>
      <c r="AA156" s="347">
        <v>2043</v>
      </c>
      <c r="AB156" s="347">
        <v>2044</v>
      </c>
      <c r="AC156" s="347">
        <v>2045</v>
      </c>
      <c r="AD156" s="347">
        <v>2046</v>
      </c>
      <c r="AE156" s="348">
        <v>2047</v>
      </c>
      <c r="AF156" s="33"/>
      <c r="AG156" s="33"/>
      <c r="AH156" s="33"/>
      <c r="AI156" s="33"/>
      <c r="AJ156" s="33"/>
      <c r="AK156" s="33"/>
      <c r="AL156" s="33"/>
    </row>
    <row r="157" spans="1:38" ht="21.95" customHeight="1" x14ac:dyDescent="0.2">
      <c r="B157" s="521" t="s">
        <v>29</v>
      </c>
      <c r="C157" s="529" t="s">
        <v>505</v>
      </c>
      <c r="D157" s="143" t="s">
        <v>19</v>
      </c>
      <c r="E157" s="522">
        <f>SUM(_xlfn.ANCHORARRAY(F157))</f>
        <v>2975946.8889776636</v>
      </c>
      <c r="F157" s="522" cm="1">
        <f t="array" ref="F157:AE157">IF(year &gt; endYear,_xlfn.ANCHORARRAY( F59) -_xlfn.ANCHORARRAY( F114), 0)</f>
        <v>0</v>
      </c>
      <c r="G157" s="522">
        <v>0</v>
      </c>
      <c r="H157" s="522">
        <v>0</v>
      </c>
      <c r="I157" s="522">
        <v>0</v>
      </c>
      <c r="J157" s="522">
        <v>0</v>
      </c>
      <c r="K157" s="522">
        <v>0</v>
      </c>
      <c r="L157" s="522">
        <v>117189.22044150671</v>
      </c>
      <c r="M157" s="522">
        <v>120098.18046441302</v>
      </c>
      <c r="N157" s="522">
        <v>123070.9166772943</v>
      </c>
      <c r="O157" s="522">
        <v>126108.73694395041</v>
      </c>
      <c r="P157" s="522">
        <v>129212.9748521205</v>
      </c>
      <c r="Q157" s="522">
        <v>132384.99020521482</v>
      </c>
      <c r="R157" s="522">
        <v>135626.16952325217</v>
      </c>
      <c r="S157" s="522">
        <v>138937.92655317392</v>
      </c>
      <c r="T157" s="522">
        <v>142321.70278871385</v>
      </c>
      <c r="U157" s="522">
        <v>145778.96799998451</v>
      </c>
      <c r="V157" s="522">
        <v>149311.22077297047</v>
      </c>
      <c r="W157" s="522">
        <v>152919.98905912647</v>
      </c>
      <c r="X157" s="522">
        <v>156606.83073521499</v>
      </c>
      <c r="Y157" s="522">
        <v>160373.3341736435</v>
      </c>
      <c r="Z157" s="522">
        <v>164221.11882342398</v>
      </c>
      <c r="AA157" s="522">
        <v>168151.83580200654</v>
      </c>
      <c r="AB157" s="522">
        <v>172167.1684981538</v>
      </c>
      <c r="AC157" s="522">
        <v>176268.83318607043</v>
      </c>
      <c r="AD157" s="522">
        <v>180458.5796509888</v>
      </c>
      <c r="AE157" s="523">
        <v>184738.19182644039</v>
      </c>
      <c r="AF157" s="5"/>
      <c r="AG157" s="5"/>
      <c r="AH157" s="5"/>
      <c r="AI157" s="5"/>
      <c r="AJ157" s="5"/>
      <c r="AK157" s="5"/>
      <c r="AL157" s="5"/>
    </row>
    <row r="158" spans="1:38" ht="21.95" customHeight="1" x14ac:dyDescent="0.2">
      <c r="B158" s="524"/>
      <c r="C158" s="525"/>
      <c r="D158" s="152" t="s">
        <v>636</v>
      </c>
      <c r="E158" s="522">
        <f t="shared" ref="E158:E163" si="0">SUM(_xlfn.ANCHORARRAY(F158))</f>
        <v>21239647.316336978</v>
      </c>
      <c r="F158" s="522" cm="1">
        <f t="array" ref="F158:AE158">IF(year &gt; endYear,_xlfn.ANCHORARRAY( F87) -_xlfn.ANCHORARRAY( F142), 0)</f>
        <v>0</v>
      </c>
      <c r="G158" s="540">
        <v>0</v>
      </c>
      <c r="H158" s="540">
        <v>0</v>
      </c>
      <c r="I158" s="540">
        <v>0</v>
      </c>
      <c r="J158" s="540">
        <v>0</v>
      </c>
      <c r="K158" s="540">
        <v>0</v>
      </c>
      <c r="L158" s="540">
        <v>355448.195440165</v>
      </c>
      <c r="M158" s="540">
        <v>394372.85735564039</v>
      </c>
      <c r="N158" s="540">
        <v>437070.83723547775</v>
      </c>
      <c r="O158" s="540">
        <v>483902.15728683444</v>
      </c>
      <c r="P158" s="540">
        <v>535261.19843605103</v>
      </c>
      <c r="Q158" s="540">
        <v>591579.98977371235</v>
      </c>
      <c r="R158" s="540">
        <v>653331.81417735259</v>
      </c>
      <c r="S158" s="540">
        <v>721035.16063675331</v>
      </c>
      <c r="T158" s="540">
        <v>795258.05676753155</v>
      </c>
      <c r="U158" s="540">
        <v>876622.81824830861</v>
      </c>
      <c r="V158" s="540">
        <v>965811.25548391172</v>
      </c>
      <c r="W158" s="540">
        <v>1063570.3817114052</v>
      </c>
      <c r="X158" s="540">
        <v>1170718.6710631591</v>
      </c>
      <c r="Y158" s="540">
        <v>1288152.9198173296</v>
      </c>
      <c r="Z158" s="540">
        <v>1416855.7692448588</v>
      </c>
      <c r="AA158" s="540">
        <v>1557903.954145415</v>
      </c>
      <c r="AB158" s="540">
        <v>1712477.347405297</v>
      </c>
      <c r="AC158" s="540">
        <v>1881868.8777605807</v>
      </c>
      <c r="AD158" s="540">
        <v>2067495.4054719666</v>
      </c>
      <c r="AE158" s="568">
        <v>2270909.6488752291</v>
      </c>
      <c r="AF158" s="55"/>
      <c r="AG158" s="55"/>
      <c r="AH158" s="55"/>
      <c r="AI158" s="55"/>
      <c r="AJ158" s="55"/>
      <c r="AK158" s="55"/>
      <c r="AL158" s="55"/>
    </row>
    <row r="159" spans="1:38" ht="21.95" customHeight="1" x14ac:dyDescent="0.2">
      <c r="B159" s="277"/>
      <c r="C159" s="152"/>
      <c r="D159" s="154" t="s">
        <v>28</v>
      </c>
      <c r="E159" s="527">
        <f t="shared" si="0"/>
        <v>24215594.205314644</v>
      </c>
      <c r="F159" s="527" cm="1">
        <f t="array" ref="F159:AE159">_xlfn.ANCHORARRAY(F157) +_xlfn.ANCHORARRAY( F158)</f>
        <v>0</v>
      </c>
      <c r="G159" s="541">
        <v>0</v>
      </c>
      <c r="H159" s="541">
        <v>0</v>
      </c>
      <c r="I159" s="541">
        <v>0</v>
      </c>
      <c r="J159" s="541">
        <v>0</v>
      </c>
      <c r="K159" s="541">
        <v>0</v>
      </c>
      <c r="L159" s="541">
        <v>472637.41588167171</v>
      </c>
      <c r="M159" s="541">
        <v>514471.0378200534</v>
      </c>
      <c r="N159" s="541">
        <v>560141.75391277205</v>
      </c>
      <c r="O159" s="541">
        <v>610010.89423078485</v>
      </c>
      <c r="P159" s="541">
        <v>664474.17328817153</v>
      </c>
      <c r="Q159" s="541">
        <v>723964.97997892718</v>
      </c>
      <c r="R159" s="541">
        <v>788957.98370060476</v>
      </c>
      <c r="S159" s="541">
        <v>859973.08718992723</v>
      </c>
      <c r="T159" s="541">
        <v>937579.75955624541</v>
      </c>
      <c r="U159" s="541">
        <v>1022401.7862482931</v>
      </c>
      <c r="V159" s="541">
        <v>1115122.4762568823</v>
      </c>
      <c r="W159" s="541">
        <v>1216490.3707705317</v>
      </c>
      <c r="X159" s="541">
        <v>1327325.5017983741</v>
      </c>
      <c r="Y159" s="541">
        <v>1448526.2539909731</v>
      </c>
      <c r="Z159" s="541">
        <v>1581076.8880682827</v>
      </c>
      <c r="AA159" s="541">
        <v>1726055.7899474215</v>
      </c>
      <c r="AB159" s="541">
        <v>1884644.5159034508</v>
      </c>
      <c r="AC159" s="541">
        <v>2058137.7109466512</v>
      </c>
      <c r="AD159" s="541">
        <v>2247953.9851229554</v>
      </c>
      <c r="AE159" s="569">
        <v>2455647.8407016695</v>
      </c>
      <c r="AF159" s="54"/>
      <c r="AG159" s="54"/>
      <c r="AH159" s="54"/>
      <c r="AI159" s="54"/>
      <c r="AJ159" s="54"/>
      <c r="AK159" s="54"/>
      <c r="AL159" s="54"/>
    </row>
    <row r="160" spans="1:38" ht="21.95" customHeight="1" x14ac:dyDescent="0.2">
      <c r="B160" s="277"/>
      <c r="C160" s="529"/>
      <c r="D160" s="143"/>
      <c r="E160" s="522"/>
      <c r="F160" s="522"/>
      <c r="G160" s="522"/>
      <c r="H160" s="522"/>
      <c r="I160" s="522"/>
      <c r="J160" s="522"/>
      <c r="K160" s="522"/>
      <c r="L160" s="522"/>
      <c r="M160" s="522"/>
      <c r="N160" s="522"/>
      <c r="O160" s="522"/>
      <c r="P160" s="522"/>
      <c r="Q160" s="522"/>
      <c r="R160" s="522"/>
      <c r="S160" s="522"/>
      <c r="T160" s="522"/>
      <c r="U160" s="522"/>
      <c r="V160" s="522"/>
      <c r="W160" s="522"/>
      <c r="X160" s="522"/>
      <c r="Y160" s="522"/>
      <c r="Z160" s="522"/>
      <c r="AA160" s="522"/>
      <c r="AB160" s="522"/>
      <c r="AC160" s="522"/>
      <c r="AD160" s="522"/>
      <c r="AE160" s="523"/>
      <c r="AF160" s="5"/>
      <c r="AG160" s="5"/>
      <c r="AH160" s="5"/>
      <c r="AI160" s="5"/>
      <c r="AJ160" s="5"/>
      <c r="AK160" s="5"/>
      <c r="AL160" s="5"/>
    </row>
    <row r="161" spans="2:38" ht="21.95" customHeight="1" x14ac:dyDescent="0.2">
      <c r="B161" s="524"/>
      <c r="C161" s="525"/>
      <c r="D161" s="152"/>
      <c r="E161" s="522"/>
      <c r="F161" s="522"/>
      <c r="G161" s="540"/>
      <c r="H161" s="540"/>
      <c r="I161" s="540"/>
      <c r="J161" s="540"/>
      <c r="K161" s="540"/>
      <c r="L161" s="540"/>
      <c r="M161" s="540"/>
      <c r="N161" s="540"/>
      <c r="O161" s="540"/>
      <c r="P161" s="540"/>
      <c r="Q161" s="540"/>
      <c r="R161" s="540"/>
      <c r="S161" s="540"/>
      <c r="T161" s="540"/>
      <c r="U161" s="540"/>
      <c r="V161" s="540"/>
      <c r="W161" s="540"/>
      <c r="X161" s="540"/>
      <c r="Y161" s="540"/>
      <c r="Z161" s="540"/>
      <c r="AA161" s="540"/>
      <c r="AB161" s="540"/>
      <c r="AC161" s="540"/>
      <c r="AD161" s="540"/>
      <c r="AE161" s="568"/>
      <c r="AF161" s="55"/>
      <c r="AG161" s="55"/>
      <c r="AH161" s="55"/>
      <c r="AI161" s="55"/>
      <c r="AJ161" s="55"/>
      <c r="AK161" s="55"/>
      <c r="AL161" s="55"/>
    </row>
    <row r="162" spans="2:38" ht="21.95" customHeight="1" x14ac:dyDescent="0.2">
      <c r="B162" s="277"/>
      <c r="C162" s="567"/>
      <c r="D162" s="154"/>
      <c r="E162" s="527"/>
      <c r="F162" s="527"/>
      <c r="G162" s="541"/>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69"/>
      <c r="AF162" s="54"/>
      <c r="AG162" s="54"/>
      <c r="AH162" s="54"/>
      <c r="AI162" s="54"/>
      <c r="AJ162" s="54"/>
      <c r="AK162" s="54"/>
      <c r="AL162" s="54"/>
    </row>
    <row r="163" spans="2:38" ht="21.95" customHeight="1" x14ac:dyDescent="0.2">
      <c r="B163" s="290"/>
      <c r="C163" s="331" t="s">
        <v>257</v>
      </c>
      <c r="D163" s="331"/>
      <c r="E163" s="535">
        <f t="shared" si="0"/>
        <v>24215594.205314644</v>
      </c>
      <c r="F163" s="535" cm="1">
        <f t="array" ref="F163:AE163">_xlfn.ANCHORARRAY(F159)</f>
        <v>0</v>
      </c>
      <c r="G163" s="542">
        <v>0</v>
      </c>
      <c r="H163" s="542">
        <v>0</v>
      </c>
      <c r="I163" s="542">
        <v>0</v>
      </c>
      <c r="J163" s="542">
        <v>0</v>
      </c>
      <c r="K163" s="542">
        <v>0</v>
      </c>
      <c r="L163" s="542">
        <v>472637.41588167171</v>
      </c>
      <c r="M163" s="542">
        <v>514471.0378200534</v>
      </c>
      <c r="N163" s="542">
        <v>560141.75391277205</v>
      </c>
      <c r="O163" s="542">
        <v>610010.89423078485</v>
      </c>
      <c r="P163" s="542">
        <v>664474.17328817153</v>
      </c>
      <c r="Q163" s="542">
        <v>723964.97997892718</v>
      </c>
      <c r="R163" s="542">
        <v>788957.98370060476</v>
      </c>
      <c r="S163" s="542">
        <v>859973.08718992723</v>
      </c>
      <c r="T163" s="542">
        <v>937579.75955624541</v>
      </c>
      <c r="U163" s="542">
        <v>1022401.7862482931</v>
      </c>
      <c r="V163" s="542">
        <v>1115122.4762568823</v>
      </c>
      <c r="W163" s="542">
        <v>1216490.3707705317</v>
      </c>
      <c r="X163" s="542">
        <v>1327325.5017983741</v>
      </c>
      <c r="Y163" s="542">
        <v>1448526.2539909731</v>
      </c>
      <c r="Z163" s="542">
        <v>1581076.8880682827</v>
      </c>
      <c r="AA163" s="542">
        <v>1726055.7899474215</v>
      </c>
      <c r="AB163" s="542">
        <v>1884644.5159034508</v>
      </c>
      <c r="AC163" s="542">
        <v>2058137.7109466512</v>
      </c>
      <c r="AD163" s="542">
        <v>2247953.9851229554</v>
      </c>
      <c r="AE163" s="536">
        <v>2455647.8407016695</v>
      </c>
      <c r="AF163" s="19"/>
      <c r="AG163" s="54"/>
      <c r="AH163" s="54"/>
      <c r="AI163" s="54"/>
      <c r="AJ163" s="54"/>
      <c r="AK163" s="54"/>
      <c r="AL163" s="54"/>
    </row>
    <row r="164" spans="2:38" ht="21.95" customHeight="1" x14ac:dyDescent="0.2">
      <c r="B164" s="143"/>
      <c r="C164" s="274"/>
      <c r="D164" s="27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19"/>
      <c r="AG164" s="19"/>
      <c r="AH164" s="19"/>
      <c r="AI164" s="19"/>
      <c r="AJ164" s="19"/>
      <c r="AK164" s="19"/>
      <c r="AL164" s="19"/>
    </row>
    <row r="165" spans="2:38" ht="21.95" customHeight="1" x14ac:dyDescent="0.2">
      <c r="B165" s="143"/>
      <c r="C165" s="274"/>
      <c r="D165" s="27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42"/>
      <c r="AF165" s="19"/>
      <c r="AG165" s="19"/>
      <c r="AH165" s="19"/>
      <c r="AI165" s="19"/>
      <c r="AJ165" s="19"/>
      <c r="AK165" s="19"/>
      <c r="AL165" s="19"/>
    </row>
    <row r="166" spans="2:38" s="7" customFormat="1" ht="21.95" customHeight="1" x14ac:dyDescent="0.2">
      <c r="B166" s="411"/>
      <c r="C166" s="410" t="s">
        <v>21</v>
      </c>
      <c r="D166" s="410" t="s">
        <v>273</v>
      </c>
      <c r="E166" s="410" t="s">
        <v>186</v>
      </c>
      <c r="F166" s="347" cm="1">
        <f t="array" ref="F166:AE166">year</f>
        <v>2022</v>
      </c>
      <c r="G166" s="347">
        <v>2023</v>
      </c>
      <c r="H166" s="347">
        <v>2024</v>
      </c>
      <c r="I166" s="347">
        <v>2025</v>
      </c>
      <c r="J166" s="347">
        <v>2026</v>
      </c>
      <c r="K166" s="347">
        <v>2027</v>
      </c>
      <c r="L166" s="347">
        <v>2028</v>
      </c>
      <c r="M166" s="347">
        <v>2029</v>
      </c>
      <c r="N166" s="347">
        <v>2030</v>
      </c>
      <c r="O166" s="347">
        <v>2031</v>
      </c>
      <c r="P166" s="347">
        <v>2032</v>
      </c>
      <c r="Q166" s="347">
        <v>2033</v>
      </c>
      <c r="R166" s="347">
        <v>2034</v>
      </c>
      <c r="S166" s="347">
        <v>2035</v>
      </c>
      <c r="T166" s="347">
        <v>2036</v>
      </c>
      <c r="U166" s="347">
        <v>2037</v>
      </c>
      <c r="V166" s="347">
        <v>2038</v>
      </c>
      <c r="W166" s="347">
        <v>2039</v>
      </c>
      <c r="X166" s="347">
        <v>2040</v>
      </c>
      <c r="Y166" s="347">
        <v>2041</v>
      </c>
      <c r="Z166" s="347">
        <v>2042</v>
      </c>
      <c r="AA166" s="347">
        <v>2043</v>
      </c>
      <c r="AB166" s="347">
        <v>2044</v>
      </c>
      <c r="AC166" s="347">
        <v>2045</v>
      </c>
      <c r="AD166" s="347">
        <v>2046</v>
      </c>
      <c r="AE166" s="546">
        <v>2047</v>
      </c>
      <c r="AF166" s="33"/>
      <c r="AG166" s="33"/>
      <c r="AH166" s="33"/>
      <c r="AI166" s="33"/>
      <c r="AJ166" s="33"/>
      <c r="AK166" s="33"/>
      <c r="AL166" s="33"/>
    </row>
    <row r="167" spans="2:38" ht="21.95" customHeight="1" x14ac:dyDescent="0.2">
      <c r="B167" s="521" t="s">
        <v>185</v>
      </c>
      <c r="C167" s="529" t="s">
        <v>505</v>
      </c>
      <c r="D167" s="143" t="s">
        <v>19</v>
      </c>
      <c r="E167" s="278" cm="1">
        <f t="array" ref="E167">SUM(_xlfn.ANCHORARRAY(F167) * discountAnnual)</f>
        <v>21917471.803320166</v>
      </c>
      <c r="F167" s="278" cm="1">
        <f t="array" ref="F167:AE167">IF(year &gt; endYear,_xlfn.ANCHORARRAY( F65) -_xlfn.ANCHORARRAY( F120), 0)</f>
        <v>0</v>
      </c>
      <c r="G167" s="278">
        <v>0</v>
      </c>
      <c r="H167" s="278">
        <v>0</v>
      </c>
      <c r="I167" s="278">
        <v>0</v>
      </c>
      <c r="J167" s="278">
        <v>0</v>
      </c>
      <c r="K167" s="278">
        <v>0</v>
      </c>
      <c r="L167" s="278">
        <v>2409552.2802351043</v>
      </c>
      <c r="M167" s="278">
        <v>2469364.0208533853</v>
      </c>
      <c r="N167" s="278">
        <v>2530487.077166073</v>
      </c>
      <c r="O167" s="278">
        <v>2592948.3404366001</v>
      </c>
      <c r="P167" s="278">
        <v>2656775.2308437973</v>
      </c>
      <c r="Q167" s="278">
        <v>2721995.707592383</v>
      </c>
      <c r="R167" s="278">
        <v>2788638.279212907</v>
      </c>
      <c r="S167" s="278">
        <v>2856732.0140544623</v>
      </c>
      <c r="T167" s="278">
        <v>2926306.5509737432</v>
      </c>
      <c r="U167" s="278">
        <v>2997392.1102240756</v>
      </c>
      <c r="V167" s="278">
        <v>3070019.504547976</v>
      </c>
      <c r="W167" s="278">
        <v>3144220.1504775733</v>
      </c>
      <c r="X167" s="278">
        <v>3220026.0798456296</v>
      </c>
      <c r="Y167" s="278">
        <v>3297469.9515122026</v>
      </c>
      <c r="Z167" s="278">
        <v>3376585.0633100569</v>
      </c>
      <c r="AA167" s="278">
        <v>3457405.3642133176</v>
      </c>
      <c r="AB167" s="278">
        <v>3539965.4667334557</v>
      </c>
      <c r="AC167" s="278">
        <v>3624300.6595463604</v>
      </c>
      <c r="AD167" s="278">
        <v>3710446.9203553051</v>
      </c>
      <c r="AE167" s="279">
        <v>3798440.9289939106</v>
      </c>
      <c r="AF167" s="22"/>
      <c r="AG167" s="22"/>
      <c r="AH167" s="22"/>
      <c r="AI167" s="22"/>
      <c r="AJ167" s="22"/>
      <c r="AK167" s="22"/>
      <c r="AL167" s="22"/>
    </row>
    <row r="168" spans="2:38" ht="21.95" customHeight="1" x14ac:dyDescent="0.2">
      <c r="B168" s="524" t="str">
        <f>C146</f>
        <v>2022$</v>
      </c>
      <c r="C168" s="525"/>
      <c r="D168" s="152" t="s">
        <v>635</v>
      </c>
      <c r="E168" s="278" cm="1">
        <f t="array" ref="E168">SUM(_xlfn.ANCHORARRAY(F168) * discountAnnual)</f>
        <v>133379525.87543641</v>
      </c>
      <c r="F168" s="278" cm="1">
        <f t="array" ref="F168:AE168">IF(year &gt; endYear,_xlfn.ANCHORARRAY( F93) -_xlfn.ANCHORARRAY( F148), 0)</f>
        <v>0</v>
      </c>
      <c r="G168" s="278">
        <v>0</v>
      </c>
      <c r="H168" s="278">
        <v>0</v>
      </c>
      <c r="I168" s="278">
        <v>0</v>
      </c>
      <c r="J168" s="278">
        <v>0</v>
      </c>
      <c r="K168" s="278">
        <v>0</v>
      </c>
      <c r="L168" s="278">
        <v>7308445.321178643</v>
      </c>
      <c r="M168" s="278">
        <v>8108783.5052066576</v>
      </c>
      <c r="N168" s="278">
        <v>8986705.6758063585</v>
      </c>
      <c r="O168" s="278">
        <v>9949614.3255186453</v>
      </c>
      <c r="P168" s="278">
        <v>11005618.403756816</v>
      </c>
      <c r="Q168" s="278">
        <v>12163600.951780347</v>
      </c>
      <c r="R168" s="278">
        <v>13433293.238663826</v>
      </c>
      <c r="S168" s="278">
        <v>14825356.025891108</v>
      </c>
      <c r="T168" s="278">
        <v>16351468.649081029</v>
      </c>
      <c r="U168" s="278">
        <v>18024426.67216685</v>
      </c>
      <c r="V168" s="278">
        <v>19858248.942696583</v>
      </c>
      <c r="W168" s="278">
        <v>21868294.957405098</v>
      </c>
      <c r="X168" s="278">
        <v>24071393.535568908</v>
      </c>
      <c r="Y168" s="278">
        <v>26485983.894624546</v>
      </c>
      <c r="Z168" s="278">
        <v>29132270.329012498</v>
      </c>
      <c r="AA168" s="278">
        <v>32032391.810064547</v>
      </c>
      <c r="AB168" s="278">
        <v>35210607.953066632</v>
      </c>
      <c r="AC168" s="278">
        <v>38693502.938478827</v>
      </c>
      <c r="AD168" s="278">
        <v>42510209.128979892</v>
      </c>
      <c r="AE168" s="279">
        <v>46692652.293786809</v>
      </c>
      <c r="AF168" s="22"/>
      <c r="AG168" s="22"/>
      <c r="AH168" s="22"/>
      <c r="AI168" s="22"/>
      <c r="AJ168" s="22"/>
      <c r="AK168" s="22"/>
      <c r="AL168" s="22"/>
    </row>
    <row r="169" spans="2:38" ht="21.95" customHeight="1" x14ac:dyDescent="0.2">
      <c r="B169" s="277"/>
      <c r="C169" s="152"/>
      <c r="D169" s="153" t="s">
        <v>28</v>
      </c>
      <c r="E169" s="571" cm="1">
        <f t="array" ref="E169">SUM(_xlfn.ANCHORARRAY(F169) *_xlfn.ANCHORARRAY( 'Results Summary'!F126))</f>
        <v>155296997.67875656</v>
      </c>
      <c r="F169" s="571" cm="1">
        <f t="array" ref="F169:AE169">_xlfn.ANCHORARRAY(F167) +_xlfn.ANCHORARRAY( F168)</f>
        <v>0</v>
      </c>
      <c r="G169" s="571">
        <v>0</v>
      </c>
      <c r="H169" s="571">
        <v>0</v>
      </c>
      <c r="I169" s="571">
        <v>0</v>
      </c>
      <c r="J169" s="571">
        <v>0</v>
      </c>
      <c r="K169" s="571">
        <v>0</v>
      </c>
      <c r="L169" s="571">
        <v>9717997.6014137473</v>
      </c>
      <c r="M169" s="571">
        <v>10578147.526060043</v>
      </c>
      <c r="N169" s="571">
        <v>11517192.752972431</v>
      </c>
      <c r="O169" s="571">
        <v>12542562.665955245</v>
      </c>
      <c r="P169" s="571">
        <v>13662393.634600613</v>
      </c>
      <c r="Q169" s="571">
        <v>14885596.65937273</v>
      </c>
      <c r="R169" s="571">
        <v>16221931.517876733</v>
      </c>
      <c r="S169" s="571">
        <v>17682088.039945573</v>
      </c>
      <c r="T169" s="571">
        <v>19277775.200054772</v>
      </c>
      <c r="U169" s="571">
        <v>21021818.782390926</v>
      </c>
      <c r="V169" s="571">
        <v>22928268.447244558</v>
      </c>
      <c r="W169" s="571">
        <v>25012515.107882671</v>
      </c>
      <c r="X169" s="571">
        <v>27291419.615414537</v>
      </c>
      <c r="Y169" s="571">
        <v>29783453.846136749</v>
      </c>
      <c r="Z169" s="571">
        <v>32508855.392322555</v>
      </c>
      <c r="AA169" s="571">
        <v>35489797.174277864</v>
      </c>
      <c r="AB169" s="571">
        <v>38750573.419800088</v>
      </c>
      <c r="AC169" s="571">
        <v>42317803.598025188</v>
      </c>
      <c r="AD169" s="571">
        <v>46220656.049335197</v>
      </c>
      <c r="AE169" s="585">
        <v>50491093.222780719</v>
      </c>
      <c r="AF169" s="61"/>
      <c r="AG169" s="61"/>
      <c r="AH169" s="61"/>
      <c r="AI169" s="61"/>
      <c r="AJ169" s="61"/>
      <c r="AK169" s="61"/>
      <c r="AL169" s="61"/>
    </row>
    <row r="170" spans="2:38" ht="21.95" customHeight="1" x14ac:dyDescent="0.2">
      <c r="B170" s="521"/>
      <c r="C170" s="529"/>
      <c r="D170" s="143"/>
      <c r="E170" s="278"/>
      <c r="F170" s="278"/>
      <c r="G170" s="278"/>
      <c r="H170" s="278"/>
      <c r="I170" s="278"/>
      <c r="J170" s="278"/>
      <c r="K170" s="278"/>
      <c r="L170" s="278"/>
      <c r="M170" s="278"/>
      <c r="N170" s="278"/>
      <c r="O170" s="278"/>
      <c r="P170" s="278"/>
      <c r="Q170" s="278"/>
      <c r="R170" s="278"/>
      <c r="S170" s="278"/>
      <c r="T170" s="278"/>
      <c r="U170" s="278"/>
      <c r="V170" s="278"/>
      <c r="W170" s="278"/>
      <c r="X170" s="278"/>
      <c r="Y170" s="278"/>
      <c r="Z170" s="278"/>
      <c r="AA170" s="278"/>
      <c r="AB170" s="278"/>
      <c r="AC170" s="278"/>
      <c r="AD170" s="278"/>
      <c r="AE170" s="279"/>
      <c r="AF170" s="22"/>
      <c r="AG170" s="22"/>
      <c r="AH170" s="22"/>
      <c r="AI170" s="22"/>
      <c r="AJ170" s="22"/>
      <c r="AK170" s="22"/>
      <c r="AL170" s="22"/>
    </row>
    <row r="171" spans="2:38" ht="21.95" customHeight="1" x14ac:dyDescent="0.2">
      <c r="B171" s="524"/>
      <c r="C171" s="525"/>
      <c r="D171" s="152"/>
      <c r="E171" s="278"/>
      <c r="F171" s="278"/>
      <c r="G171" s="278"/>
      <c r="H171" s="278"/>
      <c r="I171" s="278"/>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9"/>
      <c r="AF171" s="22"/>
      <c r="AG171" s="22"/>
      <c r="AH171" s="22"/>
      <c r="AI171" s="22"/>
      <c r="AJ171" s="22"/>
      <c r="AK171" s="22"/>
      <c r="AL171" s="22"/>
    </row>
    <row r="172" spans="2:38" ht="21.95" customHeight="1" x14ac:dyDescent="0.2">
      <c r="B172" s="277"/>
      <c r="C172" s="152"/>
      <c r="D172" s="153"/>
      <c r="E172" s="571"/>
      <c r="F172" s="571"/>
      <c r="G172" s="571"/>
      <c r="H172" s="571"/>
      <c r="I172" s="571"/>
      <c r="J172" s="571"/>
      <c r="K172" s="571"/>
      <c r="L172" s="571"/>
      <c r="M172" s="571"/>
      <c r="N172" s="571"/>
      <c r="O172" s="571"/>
      <c r="P172" s="571"/>
      <c r="Q172" s="571"/>
      <c r="R172" s="571"/>
      <c r="S172" s="571"/>
      <c r="T172" s="571"/>
      <c r="U172" s="571"/>
      <c r="V172" s="571"/>
      <c r="W172" s="571"/>
      <c r="X172" s="571"/>
      <c r="Y172" s="571"/>
      <c r="Z172" s="571"/>
      <c r="AA172" s="571"/>
      <c r="AB172" s="571"/>
      <c r="AC172" s="571"/>
      <c r="AD172" s="571"/>
      <c r="AE172" s="585"/>
      <c r="AF172" s="61"/>
      <c r="AG172" s="61"/>
      <c r="AH172" s="61"/>
      <c r="AI172" s="61"/>
      <c r="AJ172" s="61"/>
      <c r="AK172" s="61"/>
      <c r="AL172" s="61"/>
    </row>
    <row r="173" spans="2:38" ht="21.95" customHeight="1" x14ac:dyDescent="0.2">
      <c r="B173" s="290"/>
      <c r="C173" s="331" t="s">
        <v>257</v>
      </c>
      <c r="D173" s="534"/>
      <c r="E173" s="577" cm="1">
        <f t="array" ref="E173">SUM(_xlfn.ANCHORARRAY(F173) * discountAnnual)</f>
        <v>155296997.67875656</v>
      </c>
      <c r="F173" s="577" cm="1">
        <f t="array" ref="F173:AE173">_xlfn.ANCHORARRAY(F169)</f>
        <v>0</v>
      </c>
      <c r="G173" s="577">
        <v>0</v>
      </c>
      <c r="H173" s="577">
        <v>0</v>
      </c>
      <c r="I173" s="577">
        <v>0</v>
      </c>
      <c r="J173" s="577">
        <v>0</v>
      </c>
      <c r="K173" s="577">
        <v>0</v>
      </c>
      <c r="L173" s="577">
        <v>9717997.6014137473</v>
      </c>
      <c r="M173" s="577">
        <v>10578147.526060043</v>
      </c>
      <c r="N173" s="577">
        <v>11517192.752972431</v>
      </c>
      <c r="O173" s="577">
        <v>12542562.665955245</v>
      </c>
      <c r="P173" s="577">
        <v>13662393.634600613</v>
      </c>
      <c r="Q173" s="577">
        <v>14885596.65937273</v>
      </c>
      <c r="R173" s="577">
        <v>16221931.517876733</v>
      </c>
      <c r="S173" s="577">
        <v>17682088.039945573</v>
      </c>
      <c r="T173" s="577">
        <v>19277775.200054772</v>
      </c>
      <c r="U173" s="577">
        <v>21021818.782390926</v>
      </c>
      <c r="V173" s="577">
        <v>22928268.447244558</v>
      </c>
      <c r="W173" s="577">
        <v>25012515.107882671</v>
      </c>
      <c r="X173" s="577">
        <v>27291419.615414537</v>
      </c>
      <c r="Y173" s="577">
        <v>29783453.846136749</v>
      </c>
      <c r="Z173" s="577">
        <v>32508855.392322555</v>
      </c>
      <c r="AA173" s="577">
        <v>35489797.174277864</v>
      </c>
      <c r="AB173" s="577">
        <v>38750573.419800088</v>
      </c>
      <c r="AC173" s="577">
        <v>42317803.598025188</v>
      </c>
      <c r="AD173" s="577">
        <v>46220656.049335197</v>
      </c>
      <c r="AE173" s="578">
        <v>50491093.222780719</v>
      </c>
      <c r="AF173" s="61"/>
      <c r="AG173" s="61"/>
      <c r="AH173" s="61"/>
      <c r="AI173" s="61"/>
      <c r="AJ173" s="61"/>
      <c r="AK173" s="61"/>
      <c r="AL173" s="61"/>
    </row>
  </sheetData>
  <mergeCells count="4">
    <mergeCell ref="B11:B12"/>
    <mergeCell ref="C11:C12"/>
    <mergeCell ref="D11:D12"/>
    <mergeCell ref="E11:F1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E0DF3-0CDB-4AFC-AD9C-DD6151571F08}">
  <sheetPr codeName="Sheet5">
    <tabColor theme="9"/>
  </sheetPr>
  <dimension ref="A2:AM280"/>
  <sheetViews>
    <sheetView showGridLines="0" topLeftCell="B173" zoomScale="80" zoomScaleNormal="80" workbookViewId="0">
      <selection activeCell="E270" sqref="E270"/>
    </sheetView>
  </sheetViews>
  <sheetFormatPr defaultColWidth="11.625" defaultRowHeight="21.95" customHeight="1" x14ac:dyDescent="0.2"/>
  <cols>
    <col min="1" max="1" width="3.375" customWidth="1"/>
    <col min="2" max="2" width="45.375" customWidth="1"/>
    <col min="3" max="3" width="16.75" customWidth="1"/>
    <col min="4" max="4" width="13.875" customWidth="1"/>
    <col min="5" max="5" width="18" style="2" bestFit="1" customWidth="1"/>
    <col min="6" max="6" width="12.375" style="2" bestFit="1" customWidth="1"/>
    <col min="7" max="7" width="12" style="2" customWidth="1"/>
    <col min="8" max="9" width="12.375" style="2" bestFit="1" customWidth="1"/>
    <col min="10" max="10" width="12.375" bestFit="1" customWidth="1"/>
    <col min="11" max="15" width="13.125" bestFit="1" customWidth="1"/>
    <col min="16" max="16" width="12.375" bestFit="1" customWidth="1"/>
    <col min="17" max="17" width="13.625" bestFit="1" customWidth="1"/>
    <col min="18" max="30" width="11.875" bestFit="1" customWidth="1"/>
  </cols>
  <sheetData>
    <row r="2" spans="1:38" ht="23.25" x14ac:dyDescent="0.2">
      <c r="B2" s="10" t="s">
        <v>47</v>
      </c>
    </row>
    <row r="4" spans="1:38" ht="21.95" customHeight="1" x14ac:dyDescent="0.2">
      <c r="B4" s="172" t="s">
        <v>338</v>
      </c>
    </row>
    <row r="5" spans="1:38" ht="21.95" customHeight="1" x14ac:dyDescent="0.2">
      <c r="B5" s="173" t="s">
        <v>340</v>
      </c>
    </row>
    <row r="6" spans="1:38" ht="21.95" customHeight="1" x14ac:dyDescent="0.2">
      <c r="B6" s="173" t="s">
        <v>342</v>
      </c>
    </row>
    <row r="8" spans="1:38" ht="21.95" customHeight="1" x14ac:dyDescent="0.2">
      <c r="A8" s="244" t="s">
        <v>112</v>
      </c>
      <c r="B8" s="245" t="s">
        <v>0</v>
      </c>
    </row>
    <row r="10" spans="1:38" ht="21.95" customHeight="1" x14ac:dyDescent="0.2">
      <c r="B10" s="349" t="s">
        <v>254</v>
      </c>
      <c r="C10" s="12"/>
      <c r="D10" s="2"/>
      <c r="E10" s="12"/>
    </row>
    <row r="11" spans="1:38" ht="21.95" customHeight="1" x14ac:dyDescent="0.2">
      <c r="B11" s="380" t="s">
        <v>1</v>
      </c>
      <c r="C11" s="564" t="s">
        <v>503</v>
      </c>
      <c r="D11" s="2"/>
      <c r="E11" s="12"/>
    </row>
    <row r="12" spans="1:38" ht="21.95" customHeight="1" x14ac:dyDescent="0.2">
      <c r="B12" s="277" t="str">
        <f>Inputs!$C$37</f>
        <v>Percentage of Automobiles</v>
      </c>
      <c r="C12" s="565">
        <f>percentAutos</f>
        <v>0.80099999999999993</v>
      </c>
      <c r="D12" s="2"/>
      <c r="E12" s="12"/>
    </row>
    <row r="13" spans="1:38" ht="21.95" customHeight="1" x14ac:dyDescent="0.2">
      <c r="B13" s="290" t="str">
        <f>Inputs!$C$38</f>
        <v>Percentage of Trucks</v>
      </c>
      <c r="C13" s="566">
        <f>percentTrucks</f>
        <v>0.19900000000000001</v>
      </c>
      <c r="D13" s="2"/>
      <c r="E13" s="12"/>
    </row>
    <row r="14" spans="1:38" ht="21.95" customHeight="1" x14ac:dyDescent="0.2">
      <c r="D14" s="2"/>
      <c r="E14" s="12"/>
    </row>
    <row r="15" spans="1:38" ht="21.95" customHeight="1" x14ac:dyDescent="0.2">
      <c r="B15" s="349" t="s">
        <v>339</v>
      </c>
    </row>
    <row r="16" spans="1:38" ht="21.95" customHeight="1" x14ac:dyDescent="0.2">
      <c r="B16" s="411"/>
      <c r="C16" s="410" t="s">
        <v>30</v>
      </c>
      <c r="D16" s="410" t="s">
        <v>377</v>
      </c>
      <c r="E16" s="410"/>
      <c r="F16" s="410" cm="1">
        <f t="array" ref="F16:AE16">year</f>
        <v>2022</v>
      </c>
      <c r="G16" s="410">
        <v>2023</v>
      </c>
      <c r="H16" s="410">
        <v>2024</v>
      </c>
      <c r="I16" s="410">
        <v>2025</v>
      </c>
      <c r="J16" s="410">
        <v>2026</v>
      </c>
      <c r="K16" s="410">
        <v>2027</v>
      </c>
      <c r="L16" s="410">
        <v>2028</v>
      </c>
      <c r="M16" s="410">
        <v>2029</v>
      </c>
      <c r="N16" s="410">
        <v>2030</v>
      </c>
      <c r="O16" s="410">
        <v>2031</v>
      </c>
      <c r="P16" s="410">
        <v>2032</v>
      </c>
      <c r="Q16" s="410">
        <v>2033</v>
      </c>
      <c r="R16" s="410">
        <v>2034</v>
      </c>
      <c r="S16" s="410">
        <v>2035</v>
      </c>
      <c r="T16" s="410">
        <v>2036</v>
      </c>
      <c r="U16" s="410">
        <v>2037</v>
      </c>
      <c r="V16" s="410">
        <v>2038</v>
      </c>
      <c r="W16" s="410">
        <v>2039</v>
      </c>
      <c r="X16" s="410">
        <v>2040</v>
      </c>
      <c r="Y16" s="410">
        <v>2041</v>
      </c>
      <c r="Z16" s="410">
        <v>2042</v>
      </c>
      <c r="AA16" s="410">
        <v>2043</v>
      </c>
      <c r="AB16" s="410">
        <v>2044</v>
      </c>
      <c r="AC16" s="410">
        <v>2045</v>
      </c>
      <c r="AD16" s="410">
        <v>2046</v>
      </c>
      <c r="AE16" s="547">
        <v>2047</v>
      </c>
      <c r="AF16" s="35"/>
      <c r="AG16" s="35"/>
      <c r="AH16" s="35"/>
      <c r="AI16" s="35"/>
      <c r="AJ16" s="35"/>
      <c r="AK16" s="35"/>
      <c r="AL16" s="35"/>
    </row>
    <row r="17" spans="2:38" ht="21.95" customHeight="1" x14ac:dyDescent="0.2">
      <c r="B17" s="273" t="s">
        <v>265</v>
      </c>
      <c r="C17" s="143" t="s">
        <v>175</v>
      </c>
      <c r="D17" s="143" t="s">
        <v>606</v>
      </c>
      <c r="E17" s="143"/>
      <c r="F17" s="216" cm="1">
        <f t="array" ref="F17:AE17">ROUND(_xlfn.ANCHORARRAY('Volume and Speed'!F56) / 5, 0) * 5</f>
        <v>70</v>
      </c>
      <c r="G17" s="216">
        <v>70</v>
      </c>
      <c r="H17" s="216">
        <v>70</v>
      </c>
      <c r="I17" s="216">
        <v>70</v>
      </c>
      <c r="J17" s="351">
        <v>70</v>
      </c>
      <c r="K17" s="351">
        <v>70</v>
      </c>
      <c r="L17" s="351">
        <v>70</v>
      </c>
      <c r="M17" s="351">
        <v>70</v>
      </c>
      <c r="N17" s="351">
        <v>70</v>
      </c>
      <c r="O17" s="351">
        <v>70</v>
      </c>
      <c r="P17" s="351">
        <v>70</v>
      </c>
      <c r="Q17" s="351">
        <v>70</v>
      </c>
      <c r="R17" s="351">
        <v>70</v>
      </c>
      <c r="S17" s="351">
        <v>70</v>
      </c>
      <c r="T17" s="351">
        <v>70</v>
      </c>
      <c r="U17" s="351">
        <v>70</v>
      </c>
      <c r="V17" s="351">
        <v>70</v>
      </c>
      <c r="W17" s="351">
        <v>70</v>
      </c>
      <c r="X17" s="351">
        <v>70</v>
      </c>
      <c r="Y17" s="351">
        <v>70</v>
      </c>
      <c r="Z17" s="351">
        <v>70</v>
      </c>
      <c r="AA17" s="351">
        <v>70</v>
      </c>
      <c r="AB17" s="351">
        <v>70</v>
      </c>
      <c r="AC17" s="351">
        <v>70</v>
      </c>
      <c r="AD17" s="351">
        <v>70</v>
      </c>
      <c r="AE17" s="523">
        <v>70</v>
      </c>
      <c r="AF17" s="121"/>
      <c r="AG17" s="121"/>
      <c r="AH17" s="121"/>
      <c r="AI17" s="121"/>
      <c r="AJ17" s="121"/>
      <c r="AK17" s="121"/>
      <c r="AL17" s="121"/>
    </row>
    <row r="18" spans="2:38" ht="21.95" customHeight="1" x14ac:dyDescent="0.2">
      <c r="B18" s="524" t="s">
        <v>278</v>
      </c>
      <c r="C18" s="143"/>
      <c r="D18" s="143" t="s">
        <v>607</v>
      </c>
      <c r="E18" s="143"/>
      <c r="F18" s="216" cm="1">
        <f t="array" ref="F18:AE18">ROUND(_xlfn.ANCHORARRAY('Volume and Speed'!F58) / 5, 0) * 5</f>
        <v>70</v>
      </c>
      <c r="G18" s="216">
        <v>70</v>
      </c>
      <c r="H18" s="216">
        <v>70</v>
      </c>
      <c r="I18" s="216">
        <v>70</v>
      </c>
      <c r="J18" s="351">
        <v>70</v>
      </c>
      <c r="K18" s="351">
        <v>70</v>
      </c>
      <c r="L18" s="351">
        <v>70</v>
      </c>
      <c r="M18" s="351">
        <v>70</v>
      </c>
      <c r="N18" s="351">
        <v>70</v>
      </c>
      <c r="O18" s="351">
        <v>70</v>
      </c>
      <c r="P18" s="351">
        <v>70</v>
      </c>
      <c r="Q18" s="351">
        <v>70</v>
      </c>
      <c r="R18" s="351">
        <v>70</v>
      </c>
      <c r="S18" s="351">
        <v>70</v>
      </c>
      <c r="T18" s="351">
        <v>70</v>
      </c>
      <c r="U18" s="351">
        <v>70</v>
      </c>
      <c r="V18" s="351">
        <v>70</v>
      </c>
      <c r="W18" s="351">
        <v>70</v>
      </c>
      <c r="X18" s="351">
        <v>70</v>
      </c>
      <c r="Y18" s="351">
        <v>70</v>
      </c>
      <c r="Z18" s="351">
        <v>70</v>
      </c>
      <c r="AA18" s="351">
        <v>70</v>
      </c>
      <c r="AB18" s="351">
        <v>70</v>
      </c>
      <c r="AC18" s="351">
        <v>70</v>
      </c>
      <c r="AD18" s="351">
        <v>70</v>
      </c>
      <c r="AE18" s="523">
        <v>70</v>
      </c>
      <c r="AF18" s="121"/>
      <c r="AG18" s="121"/>
      <c r="AH18" s="121"/>
      <c r="AI18" s="121"/>
      <c r="AJ18" s="121"/>
      <c r="AK18" s="121"/>
      <c r="AL18" s="121"/>
    </row>
    <row r="19" spans="2:38" ht="21.95" customHeight="1" x14ac:dyDescent="0.2">
      <c r="B19" s="524" t="s">
        <v>279</v>
      </c>
      <c r="C19" s="143"/>
      <c r="D19" s="143"/>
      <c r="E19" s="143"/>
      <c r="F19" s="550"/>
      <c r="G19" s="550"/>
      <c r="H19" s="550"/>
      <c r="I19" s="550"/>
      <c r="J19" s="588"/>
      <c r="K19" s="588"/>
      <c r="L19" s="588"/>
      <c r="M19" s="588"/>
      <c r="N19" s="588"/>
      <c r="O19" s="588"/>
      <c r="P19" s="588"/>
      <c r="Q19" s="588"/>
      <c r="R19" s="588"/>
      <c r="S19" s="588"/>
      <c r="T19" s="588"/>
      <c r="U19" s="588"/>
      <c r="V19" s="588"/>
      <c r="W19" s="588"/>
      <c r="X19" s="588"/>
      <c r="Y19" s="588"/>
      <c r="Z19" s="588"/>
      <c r="AA19" s="588"/>
      <c r="AB19" s="588"/>
      <c r="AC19" s="588"/>
      <c r="AD19" s="588"/>
      <c r="AE19" s="289"/>
      <c r="AF19" s="141"/>
      <c r="AG19" s="141"/>
      <c r="AH19" s="141"/>
      <c r="AI19" s="141"/>
      <c r="AJ19" s="141"/>
      <c r="AK19" s="141"/>
      <c r="AL19" s="141"/>
    </row>
    <row r="20" spans="2:38" ht="21.95" customHeight="1" x14ac:dyDescent="0.2">
      <c r="B20" s="277"/>
      <c r="C20" s="143"/>
      <c r="D20" s="143"/>
      <c r="E20" s="143"/>
      <c r="F20" s="216"/>
      <c r="G20" s="216"/>
      <c r="H20" s="216"/>
      <c r="I20" s="216"/>
      <c r="J20" s="351"/>
      <c r="K20" s="351"/>
      <c r="L20" s="351"/>
      <c r="M20" s="351"/>
      <c r="N20" s="351"/>
      <c r="O20" s="351"/>
      <c r="P20" s="351"/>
      <c r="Q20" s="351"/>
      <c r="R20" s="351"/>
      <c r="S20" s="351"/>
      <c r="T20" s="351"/>
      <c r="U20" s="351"/>
      <c r="V20" s="351"/>
      <c r="W20" s="351"/>
      <c r="X20" s="351"/>
      <c r="Y20" s="351"/>
      <c r="Z20" s="351"/>
      <c r="AA20" s="351"/>
      <c r="AB20" s="351"/>
      <c r="AC20" s="351"/>
      <c r="AD20" s="351"/>
      <c r="AE20" s="523"/>
      <c r="AF20" s="121"/>
      <c r="AG20" s="121"/>
      <c r="AH20" s="121"/>
      <c r="AI20" s="121"/>
      <c r="AJ20" s="121"/>
      <c r="AK20" s="121"/>
      <c r="AL20" s="121"/>
    </row>
    <row r="21" spans="2:38" ht="21.95" customHeight="1" x14ac:dyDescent="0.2">
      <c r="B21" s="524"/>
      <c r="C21" s="143"/>
      <c r="D21" s="143"/>
      <c r="E21" s="143"/>
      <c r="F21" s="216"/>
      <c r="G21" s="216"/>
      <c r="H21" s="216"/>
      <c r="I21" s="216"/>
      <c r="J21" s="351"/>
      <c r="K21" s="351"/>
      <c r="L21" s="351"/>
      <c r="M21" s="351"/>
      <c r="N21" s="351"/>
      <c r="O21" s="351"/>
      <c r="P21" s="351"/>
      <c r="Q21" s="351"/>
      <c r="R21" s="351"/>
      <c r="S21" s="351"/>
      <c r="T21" s="351"/>
      <c r="U21" s="351"/>
      <c r="V21" s="351"/>
      <c r="W21" s="351"/>
      <c r="X21" s="351"/>
      <c r="Y21" s="351"/>
      <c r="Z21" s="351"/>
      <c r="AA21" s="351"/>
      <c r="AB21" s="351"/>
      <c r="AC21" s="351"/>
      <c r="AD21" s="351"/>
      <c r="AE21" s="523"/>
      <c r="AF21" s="121"/>
      <c r="AG21" s="121"/>
      <c r="AH21" s="121"/>
      <c r="AI21" s="121"/>
      <c r="AJ21" s="121"/>
      <c r="AK21" s="121"/>
      <c r="AL21" s="121"/>
    </row>
    <row r="22" spans="2:38" ht="21.95" customHeight="1" x14ac:dyDescent="0.2">
      <c r="B22" s="277"/>
      <c r="C22" s="152"/>
      <c r="D22" s="152"/>
      <c r="E22" s="152"/>
      <c r="F22" s="549"/>
      <c r="G22" s="549"/>
      <c r="H22" s="549"/>
      <c r="I22" s="549"/>
      <c r="J22" s="589"/>
      <c r="K22" s="589"/>
      <c r="L22" s="589"/>
      <c r="M22" s="589"/>
      <c r="N22" s="589"/>
      <c r="O22" s="589"/>
      <c r="P22" s="589"/>
      <c r="Q22" s="589"/>
      <c r="R22" s="589"/>
      <c r="S22" s="589"/>
      <c r="T22" s="589"/>
      <c r="U22" s="589"/>
      <c r="V22" s="589"/>
      <c r="W22" s="589"/>
      <c r="X22" s="589"/>
      <c r="Y22" s="589"/>
      <c r="Z22" s="589"/>
      <c r="AA22" s="589"/>
      <c r="AB22" s="589"/>
      <c r="AC22" s="589"/>
      <c r="AD22" s="589"/>
      <c r="AE22" s="538"/>
      <c r="AF22" s="142"/>
      <c r="AG22" s="142"/>
      <c r="AH22" s="142"/>
      <c r="AI22" s="142"/>
      <c r="AJ22" s="142"/>
      <c r="AK22" s="142"/>
      <c r="AL22" s="142"/>
    </row>
    <row r="23" spans="2:38" ht="21.95" customHeight="1" x14ac:dyDescent="0.2">
      <c r="B23" s="273"/>
      <c r="C23" s="143" t="s">
        <v>10</v>
      </c>
      <c r="D23" s="143" t="s">
        <v>609</v>
      </c>
      <c r="E23" s="143"/>
      <c r="F23" s="216" cm="1">
        <f t="array" ref="F23:AE23">ROUND(_xlfn.ANCHORARRAY('Volume and Speed'!F74) / 5, 0) * 5</f>
        <v>75</v>
      </c>
      <c r="G23" s="216">
        <v>75</v>
      </c>
      <c r="H23" s="216">
        <v>75</v>
      </c>
      <c r="I23" s="216">
        <v>75</v>
      </c>
      <c r="J23" s="351">
        <v>75</v>
      </c>
      <c r="K23" s="351">
        <v>75</v>
      </c>
      <c r="L23" s="351">
        <v>75</v>
      </c>
      <c r="M23" s="351">
        <v>75</v>
      </c>
      <c r="N23" s="351">
        <v>75</v>
      </c>
      <c r="O23" s="351">
        <v>75</v>
      </c>
      <c r="P23" s="351">
        <v>75</v>
      </c>
      <c r="Q23" s="351">
        <v>75</v>
      </c>
      <c r="R23" s="351">
        <v>75</v>
      </c>
      <c r="S23" s="351">
        <v>75</v>
      </c>
      <c r="T23" s="351">
        <v>75</v>
      </c>
      <c r="U23" s="351">
        <v>75</v>
      </c>
      <c r="V23" s="351">
        <v>75</v>
      </c>
      <c r="W23" s="351">
        <v>75</v>
      </c>
      <c r="X23" s="351">
        <v>75</v>
      </c>
      <c r="Y23" s="351">
        <v>75</v>
      </c>
      <c r="Z23" s="351">
        <v>75</v>
      </c>
      <c r="AA23" s="351">
        <v>75</v>
      </c>
      <c r="AB23" s="351">
        <v>75</v>
      </c>
      <c r="AC23" s="351">
        <v>75</v>
      </c>
      <c r="AD23" s="351">
        <v>75</v>
      </c>
      <c r="AE23" s="523">
        <v>75</v>
      </c>
      <c r="AF23" s="121"/>
      <c r="AG23" s="121"/>
      <c r="AH23" s="121"/>
      <c r="AI23" s="121"/>
      <c r="AJ23" s="121"/>
      <c r="AK23" s="121"/>
      <c r="AL23" s="121"/>
    </row>
    <row r="24" spans="2:38" ht="21.95" customHeight="1" x14ac:dyDescent="0.2">
      <c r="B24" s="273"/>
      <c r="C24" s="143"/>
      <c r="D24" s="143" t="s">
        <v>607</v>
      </c>
      <c r="E24" s="143"/>
      <c r="F24" s="216" cm="1">
        <f t="array" ref="F24:AE24">ROUND(_xlfn.ANCHORARRAY('Volume and Speed'!F76) / 5, 0) * 5</f>
        <v>75</v>
      </c>
      <c r="G24" s="216">
        <v>75</v>
      </c>
      <c r="H24" s="216">
        <v>75</v>
      </c>
      <c r="I24" s="216">
        <v>75</v>
      </c>
      <c r="J24" s="351">
        <v>75</v>
      </c>
      <c r="K24" s="351">
        <v>75</v>
      </c>
      <c r="L24" s="351">
        <v>75</v>
      </c>
      <c r="M24" s="351">
        <v>75</v>
      </c>
      <c r="N24" s="351">
        <v>75</v>
      </c>
      <c r="O24" s="351">
        <v>75</v>
      </c>
      <c r="P24" s="351">
        <v>75</v>
      </c>
      <c r="Q24" s="351">
        <v>75</v>
      </c>
      <c r="R24" s="351">
        <v>75</v>
      </c>
      <c r="S24" s="351">
        <v>75</v>
      </c>
      <c r="T24" s="351">
        <v>75</v>
      </c>
      <c r="U24" s="351">
        <v>75</v>
      </c>
      <c r="V24" s="351">
        <v>75</v>
      </c>
      <c r="W24" s="351">
        <v>75</v>
      </c>
      <c r="X24" s="351">
        <v>75</v>
      </c>
      <c r="Y24" s="351">
        <v>75</v>
      </c>
      <c r="Z24" s="351">
        <v>75</v>
      </c>
      <c r="AA24" s="351">
        <v>75</v>
      </c>
      <c r="AB24" s="351">
        <v>75</v>
      </c>
      <c r="AC24" s="351">
        <v>75</v>
      </c>
      <c r="AD24" s="351">
        <v>75</v>
      </c>
      <c r="AE24" s="523">
        <v>75</v>
      </c>
      <c r="AF24" s="121"/>
      <c r="AG24" s="121"/>
      <c r="AH24" s="121"/>
      <c r="AI24" s="121"/>
      <c r="AJ24" s="121"/>
      <c r="AK24" s="121"/>
      <c r="AL24" s="121"/>
    </row>
    <row r="25" spans="2:38" ht="21.95" customHeight="1" x14ac:dyDescent="0.2">
      <c r="B25" s="524"/>
      <c r="C25" s="143"/>
      <c r="D25" s="143"/>
      <c r="E25" s="143"/>
      <c r="F25" s="550"/>
      <c r="G25" s="550"/>
      <c r="H25" s="550"/>
      <c r="I25" s="550"/>
      <c r="J25" s="588"/>
      <c r="K25" s="588"/>
      <c r="L25" s="588"/>
      <c r="M25" s="588"/>
      <c r="N25" s="588"/>
      <c r="O25" s="588"/>
      <c r="P25" s="588"/>
      <c r="Q25" s="588"/>
      <c r="R25" s="588"/>
      <c r="S25" s="588"/>
      <c r="T25" s="588"/>
      <c r="U25" s="588"/>
      <c r="V25" s="588"/>
      <c r="W25" s="588"/>
      <c r="X25" s="588"/>
      <c r="Y25" s="588"/>
      <c r="Z25" s="588"/>
      <c r="AA25" s="588"/>
      <c r="AB25" s="588"/>
      <c r="AC25" s="588"/>
      <c r="AD25" s="588"/>
      <c r="AE25" s="289"/>
      <c r="AF25" s="141"/>
      <c r="AG25" s="141"/>
      <c r="AH25" s="141"/>
      <c r="AI25" s="141"/>
      <c r="AJ25" s="141"/>
      <c r="AK25" s="141"/>
      <c r="AL25" s="141"/>
    </row>
    <row r="26" spans="2:38" ht="21.95" customHeight="1" x14ac:dyDescent="0.2">
      <c r="B26" s="524"/>
      <c r="C26" s="143"/>
      <c r="D26" s="143"/>
      <c r="E26" s="143"/>
      <c r="F26" s="216"/>
      <c r="G26" s="216"/>
      <c r="H26" s="216"/>
      <c r="I26" s="216"/>
      <c r="J26" s="351"/>
      <c r="K26" s="351"/>
      <c r="L26" s="351"/>
      <c r="M26" s="351"/>
      <c r="N26" s="351"/>
      <c r="O26" s="351"/>
      <c r="P26" s="351"/>
      <c r="Q26" s="351"/>
      <c r="R26" s="351"/>
      <c r="S26" s="351"/>
      <c r="T26" s="351"/>
      <c r="U26" s="351"/>
      <c r="V26" s="351"/>
      <c r="W26" s="351"/>
      <c r="X26" s="351"/>
      <c r="Y26" s="351"/>
      <c r="Z26" s="351"/>
      <c r="AA26" s="351"/>
      <c r="AB26" s="351"/>
      <c r="AC26" s="351"/>
      <c r="AD26" s="351"/>
      <c r="AE26" s="523"/>
      <c r="AF26" s="121"/>
      <c r="AG26" s="121"/>
      <c r="AH26" s="121"/>
      <c r="AI26" s="121"/>
      <c r="AJ26" s="121"/>
      <c r="AK26" s="121"/>
      <c r="AL26" s="121"/>
    </row>
    <row r="27" spans="2:38" ht="21.95" customHeight="1" x14ac:dyDescent="0.2">
      <c r="B27" s="524"/>
      <c r="C27" s="143"/>
      <c r="D27" s="143"/>
      <c r="E27" s="143"/>
      <c r="F27" s="143"/>
      <c r="G27" s="143"/>
      <c r="H27" s="143"/>
      <c r="I27" s="143"/>
      <c r="J27" s="143"/>
      <c r="K27" s="143"/>
      <c r="L27" s="143"/>
      <c r="M27" s="143"/>
      <c r="N27" s="143"/>
      <c r="O27" s="351"/>
      <c r="P27" s="351"/>
      <c r="Q27" s="351"/>
      <c r="R27" s="351"/>
      <c r="S27" s="351"/>
      <c r="T27" s="351"/>
      <c r="U27" s="351"/>
      <c r="V27" s="351"/>
      <c r="W27" s="351"/>
      <c r="X27" s="351"/>
      <c r="Y27" s="351"/>
      <c r="Z27" s="351"/>
      <c r="AA27" s="351"/>
      <c r="AB27" s="351"/>
      <c r="AC27" s="351"/>
      <c r="AD27" s="351"/>
      <c r="AE27" s="590"/>
      <c r="AF27" s="130"/>
      <c r="AG27" s="130"/>
      <c r="AH27" s="130"/>
      <c r="AI27" s="130"/>
      <c r="AJ27" s="130"/>
      <c r="AK27" s="130"/>
      <c r="AL27" s="130"/>
    </row>
    <row r="28" spans="2:38" ht="21.95" customHeight="1" x14ac:dyDescent="0.2">
      <c r="B28" s="524"/>
      <c r="C28" s="143"/>
      <c r="D28" s="143"/>
      <c r="E28" s="143"/>
      <c r="F28" s="143"/>
      <c r="G28" s="143"/>
      <c r="H28" s="143"/>
      <c r="I28" s="143"/>
      <c r="J28" s="143"/>
      <c r="K28" s="143"/>
      <c r="L28" s="143"/>
      <c r="M28" s="143"/>
      <c r="N28" s="143"/>
      <c r="O28" s="351"/>
      <c r="P28" s="351"/>
      <c r="Q28" s="351"/>
      <c r="R28" s="351"/>
      <c r="S28" s="351"/>
      <c r="T28" s="351"/>
      <c r="U28" s="351"/>
      <c r="V28" s="351"/>
      <c r="W28" s="351"/>
      <c r="X28" s="351"/>
      <c r="Y28" s="351"/>
      <c r="Z28" s="351"/>
      <c r="AA28" s="351"/>
      <c r="AB28" s="351"/>
      <c r="AC28" s="351"/>
      <c r="AD28" s="351"/>
      <c r="AE28" s="590"/>
      <c r="AF28" s="130"/>
      <c r="AG28" s="130"/>
      <c r="AH28" s="130"/>
      <c r="AI28" s="130"/>
      <c r="AJ28" s="130"/>
      <c r="AK28" s="130"/>
      <c r="AL28" s="130"/>
    </row>
    <row r="29" spans="2:38" ht="21.95" customHeight="1" x14ac:dyDescent="0.2">
      <c r="B29" s="524"/>
      <c r="C29" s="143"/>
      <c r="D29" s="143"/>
      <c r="E29" s="143"/>
      <c r="F29" s="143"/>
      <c r="G29" s="143"/>
      <c r="H29" s="143"/>
      <c r="I29" s="143"/>
      <c r="J29" s="143"/>
      <c r="K29" s="143"/>
      <c r="L29" s="143"/>
      <c r="M29" s="143"/>
      <c r="N29" s="143"/>
      <c r="O29" s="351"/>
      <c r="P29" s="351"/>
      <c r="Q29" s="351"/>
      <c r="R29" s="351"/>
      <c r="S29" s="351"/>
      <c r="T29" s="351"/>
      <c r="U29" s="351"/>
      <c r="V29" s="351"/>
      <c r="W29" s="351"/>
      <c r="X29" s="351"/>
      <c r="Y29" s="351"/>
      <c r="Z29" s="351"/>
      <c r="AA29" s="351"/>
      <c r="AB29" s="351"/>
      <c r="AC29" s="351"/>
      <c r="AD29" s="351"/>
      <c r="AE29" s="590"/>
      <c r="AF29" s="130"/>
      <c r="AG29" s="130"/>
      <c r="AH29" s="130"/>
      <c r="AI29" s="130"/>
      <c r="AJ29" s="130"/>
      <c r="AK29" s="130"/>
      <c r="AL29" s="130"/>
    </row>
    <row r="30" spans="2:38" ht="21.95" customHeight="1" x14ac:dyDescent="0.2">
      <c r="B30" s="524"/>
      <c r="C30" s="143"/>
      <c r="D30" s="143"/>
      <c r="E30" s="143"/>
      <c r="F30" s="143"/>
      <c r="G30" s="143"/>
      <c r="H30" s="143"/>
      <c r="I30" s="143"/>
      <c r="J30" s="143"/>
      <c r="K30" s="143"/>
      <c r="L30" s="143"/>
      <c r="M30" s="143"/>
      <c r="N30" s="143"/>
      <c r="O30" s="351"/>
      <c r="P30" s="351"/>
      <c r="Q30" s="351"/>
      <c r="R30" s="351"/>
      <c r="S30" s="351"/>
      <c r="T30" s="351"/>
      <c r="U30" s="351"/>
      <c r="V30" s="351"/>
      <c r="W30" s="351"/>
      <c r="X30" s="351"/>
      <c r="Y30" s="351"/>
      <c r="Z30" s="351"/>
      <c r="AA30" s="351"/>
      <c r="AB30" s="351"/>
      <c r="AC30" s="351"/>
      <c r="AD30" s="351"/>
      <c r="AE30" s="590"/>
      <c r="AF30" s="130"/>
      <c r="AG30" s="130"/>
      <c r="AH30" s="130"/>
      <c r="AI30" s="130"/>
      <c r="AJ30" s="130"/>
      <c r="AK30" s="130"/>
      <c r="AL30" s="130"/>
    </row>
    <row r="31" spans="2:38" ht="21.95" customHeight="1" x14ac:dyDescent="0.2">
      <c r="B31" s="524"/>
      <c r="C31" s="143"/>
      <c r="D31" s="143"/>
      <c r="E31" s="143"/>
      <c r="F31" s="143"/>
      <c r="G31" s="143"/>
      <c r="H31" s="143"/>
      <c r="I31" s="143"/>
      <c r="J31" s="143"/>
      <c r="K31" s="143"/>
      <c r="L31" s="143"/>
      <c r="M31" s="143"/>
      <c r="N31" s="143"/>
      <c r="O31" s="351"/>
      <c r="P31" s="351"/>
      <c r="Q31" s="351"/>
      <c r="R31" s="351"/>
      <c r="S31" s="351"/>
      <c r="T31" s="351"/>
      <c r="U31" s="351"/>
      <c r="V31" s="351"/>
      <c r="W31" s="351"/>
      <c r="X31" s="351"/>
      <c r="Y31" s="351"/>
      <c r="Z31" s="351"/>
      <c r="AA31" s="351"/>
      <c r="AB31" s="351"/>
      <c r="AC31" s="351"/>
      <c r="AD31" s="351"/>
      <c r="AE31" s="590"/>
      <c r="AF31" s="130"/>
      <c r="AG31" s="130"/>
      <c r="AH31" s="130"/>
      <c r="AI31" s="130"/>
      <c r="AJ31" s="130"/>
      <c r="AK31" s="130"/>
      <c r="AL31" s="130"/>
    </row>
    <row r="32" spans="2:38" ht="21.95" customHeight="1" x14ac:dyDescent="0.2">
      <c r="B32" s="280"/>
      <c r="C32" s="152"/>
      <c r="D32" s="152"/>
      <c r="E32" s="152"/>
      <c r="F32" s="540"/>
      <c r="G32" s="540"/>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68"/>
      <c r="AF32" s="55"/>
      <c r="AG32" s="55"/>
      <c r="AH32" s="55"/>
      <c r="AI32" s="55"/>
      <c r="AJ32" s="55"/>
      <c r="AK32" s="55"/>
      <c r="AL32" s="55"/>
    </row>
    <row r="33" spans="2:38" ht="21.95" customHeight="1" x14ac:dyDescent="0.2">
      <c r="B33" s="273" t="s">
        <v>326</v>
      </c>
      <c r="C33" s="143" t="s">
        <v>175</v>
      </c>
      <c r="D33" s="143" t="s">
        <v>606</v>
      </c>
      <c r="E33" s="522"/>
      <c r="F33" s="216" cm="1">
        <f t="array" ref="F33:AE33">_xlfn.ANCHORARRAY('Volume and Speed'!F45)</f>
        <v>39043086.399999999</v>
      </c>
      <c r="G33" s="216">
        <v>39657742.544280894</v>
      </c>
      <c r="H33" s="216">
        <v>40282075.233387843</v>
      </c>
      <c r="I33" s="216">
        <v>40916236.805373274</v>
      </c>
      <c r="J33" s="351">
        <v>41560381.996550456</v>
      </c>
      <c r="K33" s="351">
        <v>42214667.979249842</v>
      </c>
      <c r="L33" s="351">
        <v>42879254.400169276</v>
      </c>
      <c r="M33" s="351">
        <v>43554303.419327967</v>
      </c>
      <c r="N33" s="351">
        <v>44239979.74963361</v>
      </c>
      <c r="O33" s="351">
        <v>44936450.697073229</v>
      </c>
      <c r="P33" s="351">
        <v>45643886.201535091</v>
      </c>
      <c r="Q33" s="351">
        <v>46362458.878274903</v>
      </c>
      <c r="R33" s="351">
        <v>47092344.060034052</v>
      </c>
      <c r="S33" s="351">
        <v>47833719.839820854</v>
      </c>
      <c r="T33" s="351">
        <v>48586767.114366166</v>
      </c>
      <c r="U33" s="351">
        <v>49351669.628261447</v>
      </c>
      <c r="V33" s="351">
        <v>50128614.01879333</v>
      </c>
      <c r="W33" s="351">
        <v>50917789.861483291</v>
      </c>
      <c r="X33" s="351">
        <v>51719389.716344088</v>
      </c>
      <c r="Y33" s="351">
        <v>52533609.174865402</v>
      </c>
      <c r="Z33" s="351">
        <v>53360646.907737419</v>
      </c>
      <c r="AA33" s="351">
        <v>54200704.713327415</v>
      </c>
      <c r="AB33" s="351">
        <v>55053987.566918664</v>
      </c>
      <c r="AC33" s="351">
        <v>55920703.670724712</v>
      </c>
      <c r="AD33" s="351">
        <v>56801064.504690818</v>
      </c>
      <c r="AE33" s="523">
        <v>57695284.878096133</v>
      </c>
      <c r="AF33" s="121"/>
      <c r="AG33" s="121"/>
      <c r="AH33" s="121"/>
      <c r="AI33" s="121"/>
      <c r="AJ33" s="121"/>
      <c r="AK33" s="121"/>
      <c r="AL33" s="121"/>
    </row>
    <row r="34" spans="2:38" ht="21.95" customHeight="1" x14ac:dyDescent="0.2">
      <c r="B34" s="273"/>
      <c r="C34" s="143"/>
      <c r="D34" s="143" t="s">
        <v>607</v>
      </c>
      <c r="E34" s="143"/>
      <c r="F34" s="216" cm="1">
        <f t="array" ref="F34:AE34">_xlfn.ANCHORARRAY('Volume and Speed'!F48)</f>
        <v>79990713.599999979</v>
      </c>
      <c r="G34" s="216">
        <v>81250009.115112051</v>
      </c>
      <c r="H34" s="216">
        <v>82529129.746453121</v>
      </c>
      <c r="I34" s="216">
        <v>83828387.601252556</v>
      </c>
      <c r="J34" s="351">
        <v>85148099.700249702</v>
      </c>
      <c r="K34" s="351">
        <v>86488588.055048436</v>
      </c>
      <c r="L34" s="351">
        <v>87850179.746688262</v>
      </c>
      <c r="M34" s="351">
        <v>89233207.005452394</v>
      </c>
      <c r="N34" s="351">
        <v>90638007.291932255</v>
      </c>
      <c r="O34" s="351">
        <v>92064923.379369542</v>
      </c>
      <c r="P34" s="351">
        <v>93514303.437291384</v>
      </c>
      <c r="Q34" s="351">
        <v>94986501.116465643</v>
      </c>
      <c r="R34" s="351">
        <v>96481875.635191709</v>
      </c>
      <c r="S34" s="351">
        <v>98000791.86695002</v>
      </c>
      <c r="T34" s="351">
        <v>99543620.429433107</v>
      </c>
      <c r="U34" s="351">
        <v>101110737.77497466</v>
      </c>
      <c r="V34" s="351">
        <v>102702526.28240582</v>
      </c>
      <c r="W34" s="351">
        <v>104319374.35035601</v>
      </c>
      <c r="X34" s="351">
        <v>105961676.49202201</v>
      </c>
      <c r="Y34" s="351">
        <v>107629833.43143155</v>
      </c>
      <c r="Z34" s="351">
        <v>109324252.2012181</v>
      </c>
      <c r="AA34" s="351">
        <v>111045346.24193908</v>
      </c>
      <c r="AB34" s="351">
        <v>112793535.50295532</v>
      </c>
      <c r="AC34" s="351">
        <v>114569246.5448994</v>
      </c>
      <c r="AD34" s="351">
        <v>116372912.64375678</v>
      </c>
      <c r="AE34" s="523">
        <v>118204973.89658718</v>
      </c>
      <c r="AF34" s="121"/>
      <c r="AG34" s="121"/>
      <c r="AH34" s="121"/>
      <c r="AI34" s="121"/>
      <c r="AJ34" s="121"/>
      <c r="AK34" s="121"/>
      <c r="AL34" s="121"/>
    </row>
    <row r="35" spans="2:38" ht="21.95" customHeight="1" x14ac:dyDescent="0.2">
      <c r="B35" s="820" t="s">
        <v>341</v>
      </c>
      <c r="C35" s="143"/>
      <c r="D35" s="143"/>
      <c r="E35" s="143"/>
      <c r="F35" s="216"/>
      <c r="G35" s="216"/>
      <c r="H35" s="216"/>
      <c r="I35" s="216"/>
      <c r="J35" s="351"/>
      <c r="K35" s="351"/>
      <c r="L35" s="351"/>
      <c r="M35" s="351"/>
      <c r="N35" s="351"/>
      <c r="O35" s="351"/>
      <c r="P35" s="351"/>
      <c r="Q35" s="351"/>
      <c r="R35" s="351"/>
      <c r="S35" s="351"/>
      <c r="T35" s="351"/>
      <c r="U35" s="351"/>
      <c r="V35" s="351"/>
      <c r="W35" s="351"/>
      <c r="X35" s="351"/>
      <c r="Y35" s="351"/>
      <c r="Z35" s="351"/>
      <c r="AA35" s="351"/>
      <c r="AB35" s="351"/>
      <c r="AC35" s="351"/>
      <c r="AD35" s="351"/>
      <c r="AE35" s="523"/>
      <c r="AF35" s="121"/>
      <c r="AG35" s="121"/>
      <c r="AH35" s="121"/>
      <c r="AI35" s="121"/>
      <c r="AJ35" s="121"/>
      <c r="AK35" s="121"/>
      <c r="AL35" s="121"/>
    </row>
    <row r="36" spans="2:38" ht="21.95" customHeight="1" x14ac:dyDescent="0.2">
      <c r="B36" s="820"/>
      <c r="C36" s="143"/>
      <c r="D36" s="143"/>
      <c r="E36" s="143"/>
      <c r="F36" s="216"/>
      <c r="G36" s="216"/>
      <c r="H36" s="216"/>
      <c r="I36" s="216"/>
      <c r="J36" s="351"/>
      <c r="K36" s="351"/>
      <c r="L36" s="351"/>
      <c r="M36" s="351"/>
      <c r="N36" s="351"/>
      <c r="O36" s="351"/>
      <c r="P36" s="351"/>
      <c r="Q36" s="351"/>
      <c r="R36" s="351"/>
      <c r="S36" s="351"/>
      <c r="T36" s="351"/>
      <c r="U36" s="351"/>
      <c r="V36" s="351"/>
      <c r="W36" s="351"/>
      <c r="X36" s="351"/>
      <c r="Y36" s="351"/>
      <c r="Z36" s="351"/>
      <c r="AA36" s="351"/>
      <c r="AB36" s="351"/>
      <c r="AC36" s="351"/>
      <c r="AD36" s="351"/>
      <c r="AE36" s="523"/>
      <c r="AF36" s="121"/>
      <c r="AG36" s="121"/>
      <c r="AH36" s="121"/>
      <c r="AI36" s="121"/>
      <c r="AJ36" s="121"/>
      <c r="AK36" s="121"/>
      <c r="AL36" s="121"/>
    </row>
    <row r="37" spans="2:38" ht="21.95" customHeight="1" x14ac:dyDescent="0.2">
      <c r="B37" s="530"/>
      <c r="C37" s="143"/>
      <c r="D37" s="143"/>
      <c r="E37" s="143"/>
      <c r="F37" s="216"/>
      <c r="G37" s="216"/>
      <c r="H37" s="216"/>
      <c r="I37" s="216"/>
      <c r="J37" s="351"/>
      <c r="K37" s="351"/>
      <c r="L37" s="351"/>
      <c r="M37" s="351"/>
      <c r="N37" s="351"/>
      <c r="O37" s="351"/>
      <c r="P37" s="351"/>
      <c r="Q37" s="351"/>
      <c r="R37" s="351"/>
      <c r="S37" s="351"/>
      <c r="T37" s="351"/>
      <c r="U37" s="351"/>
      <c r="V37" s="351"/>
      <c r="W37" s="351"/>
      <c r="X37" s="351"/>
      <c r="Y37" s="351"/>
      <c r="Z37" s="351"/>
      <c r="AA37" s="351"/>
      <c r="AB37" s="351"/>
      <c r="AC37" s="351"/>
      <c r="AD37" s="351"/>
      <c r="AE37" s="523"/>
      <c r="AF37" s="121"/>
      <c r="AG37" s="121"/>
      <c r="AH37" s="121"/>
      <c r="AI37" s="121"/>
      <c r="AJ37" s="121"/>
      <c r="AK37" s="121"/>
      <c r="AL37" s="121"/>
    </row>
    <row r="38" spans="2:38" ht="21.95" customHeight="1" x14ac:dyDescent="0.2">
      <c r="B38" s="277"/>
      <c r="C38" s="152"/>
      <c r="D38" s="152"/>
      <c r="E38" s="152"/>
      <c r="F38" s="217"/>
      <c r="G38" s="217"/>
      <c r="H38" s="217"/>
      <c r="I38" s="217"/>
      <c r="J38" s="352"/>
      <c r="K38" s="352"/>
      <c r="L38" s="352"/>
      <c r="M38" s="352"/>
      <c r="N38" s="352"/>
      <c r="O38" s="352"/>
      <c r="P38" s="352"/>
      <c r="Q38" s="352"/>
      <c r="R38" s="352"/>
      <c r="S38" s="352"/>
      <c r="T38" s="352"/>
      <c r="U38" s="352"/>
      <c r="V38" s="352"/>
      <c r="W38" s="352"/>
      <c r="X38" s="352"/>
      <c r="Y38" s="352"/>
      <c r="Z38" s="352"/>
      <c r="AA38" s="352"/>
      <c r="AB38" s="352"/>
      <c r="AC38" s="352"/>
      <c r="AD38" s="352"/>
      <c r="AE38" s="568"/>
      <c r="AF38" s="132"/>
      <c r="AG38" s="132"/>
      <c r="AH38" s="132"/>
      <c r="AI38" s="132"/>
      <c r="AJ38" s="132"/>
      <c r="AK38" s="132"/>
      <c r="AL38" s="132"/>
    </row>
    <row r="39" spans="2:38" ht="21.95" customHeight="1" x14ac:dyDescent="0.2">
      <c r="B39" s="277"/>
      <c r="C39" s="143" t="s">
        <v>10</v>
      </c>
      <c r="D39" s="143" t="s">
        <v>609</v>
      </c>
      <c r="E39" s="143"/>
      <c r="F39" s="216" cm="1">
        <f t="array" ref="F39:AE39">_xlfn.ANCHORARRAY('Volume and Speed'!F45)</f>
        <v>39043086.399999999</v>
      </c>
      <c r="G39" s="216">
        <v>39657742.544280894</v>
      </c>
      <c r="H39" s="216">
        <v>40282075.233387843</v>
      </c>
      <c r="I39" s="216">
        <v>40916236.805373274</v>
      </c>
      <c r="J39" s="351">
        <v>41560381.996550456</v>
      </c>
      <c r="K39" s="351">
        <v>42214667.979249842</v>
      </c>
      <c r="L39" s="351">
        <v>42879254.400169276</v>
      </c>
      <c r="M39" s="351">
        <v>43554303.419327967</v>
      </c>
      <c r="N39" s="351">
        <v>44239979.74963361</v>
      </c>
      <c r="O39" s="351">
        <v>44936450.697073229</v>
      </c>
      <c r="P39" s="351">
        <v>45643886.201535091</v>
      </c>
      <c r="Q39" s="351">
        <v>46362458.878274903</v>
      </c>
      <c r="R39" s="351">
        <v>47092344.060034052</v>
      </c>
      <c r="S39" s="351">
        <v>47833719.839820854</v>
      </c>
      <c r="T39" s="351">
        <v>48586767.114366166</v>
      </c>
      <c r="U39" s="351">
        <v>49351669.628261447</v>
      </c>
      <c r="V39" s="351">
        <v>50128614.01879333</v>
      </c>
      <c r="W39" s="351">
        <v>50917789.861483291</v>
      </c>
      <c r="X39" s="351">
        <v>51719389.716344088</v>
      </c>
      <c r="Y39" s="351">
        <v>52533609.174865402</v>
      </c>
      <c r="Z39" s="351">
        <v>53360646.907737419</v>
      </c>
      <c r="AA39" s="351">
        <v>54200704.713327415</v>
      </c>
      <c r="AB39" s="351">
        <v>55053987.566918664</v>
      </c>
      <c r="AC39" s="351">
        <v>55920703.670724712</v>
      </c>
      <c r="AD39" s="351">
        <v>56801064.504690818</v>
      </c>
      <c r="AE39" s="523">
        <v>57695284.878096133</v>
      </c>
      <c r="AF39" s="121"/>
      <c r="AG39" s="121"/>
      <c r="AH39" s="121"/>
      <c r="AI39" s="121"/>
      <c r="AJ39" s="121"/>
      <c r="AK39" s="121"/>
      <c r="AL39" s="121"/>
    </row>
    <row r="40" spans="2:38" ht="21.95" customHeight="1" x14ac:dyDescent="0.2">
      <c r="B40" s="277"/>
      <c r="C40" s="143"/>
      <c r="D40" s="143" t="s">
        <v>610</v>
      </c>
      <c r="E40" s="143"/>
      <c r="F40" s="216" cm="1">
        <f t="array" ref="F40:AE40">_xlfn.ANCHORARRAY('Volume and Speed'!F48)</f>
        <v>79990713.599999979</v>
      </c>
      <c r="G40" s="216">
        <v>81250009.115112051</v>
      </c>
      <c r="H40" s="216">
        <v>82529129.746453121</v>
      </c>
      <c r="I40" s="216">
        <v>83828387.601252556</v>
      </c>
      <c r="J40" s="351">
        <v>85148099.700249702</v>
      </c>
      <c r="K40" s="351">
        <v>86488588.055048436</v>
      </c>
      <c r="L40" s="351">
        <v>87850179.746688262</v>
      </c>
      <c r="M40" s="351">
        <v>89233207.005452394</v>
      </c>
      <c r="N40" s="351">
        <v>90638007.291932255</v>
      </c>
      <c r="O40" s="351">
        <v>92064923.379369542</v>
      </c>
      <c r="P40" s="351">
        <v>93514303.437291384</v>
      </c>
      <c r="Q40" s="351">
        <v>94986501.116465643</v>
      </c>
      <c r="R40" s="351">
        <v>96481875.635191709</v>
      </c>
      <c r="S40" s="351">
        <v>98000791.86695002</v>
      </c>
      <c r="T40" s="351">
        <v>99543620.429433107</v>
      </c>
      <c r="U40" s="351">
        <v>101110737.77497466</v>
      </c>
      <c r="V40" s="351">
        <v>102702526.28240582</v>
      </c>
      <c r="W40" s="351">
        <v>104319374.35035601</v>
      </c>
      <c r="X40" s="351">
        <v>105961676.49202201</v>
      </c>
      <c r="Y40" s="351">
        <v>107629833.43143155</v>
      </c>
      <c r="Z40" s="351">
        <v>109324252.2012181</v>
      </c>
      <c r="AA40" s="351">
        <v>111045346.24193908</v>
      </c>
      <c r="AB40" s="351">
        <v>112793535.50295532</v>
      </c>
      <c r="AC40" s="351">
        <v>114569246.5448994</v>
      </c>
      <c r="AD40" s="351">
        <v>116372912.64375678</v>
      </c>
      <c r="AE40" s="523">
        <v>118204973.89658718</v>
      </c>
      <c r="AF40" s="121"/>
      <c r="AG40" s="121"/>
      <c r="AH40" s="121"/>
      <c r="AI40" s="121"/>
      <c r="AJ40" s="121"/>
      <c r="AK40" s="121"/>
      <c r="AL40" s="121"/>
    </row>
    <row r="41" spans="2:38" ht="21.95" customHeight="1" x14ac:dyDescent="0.2">
      <c r="B41" s="277"/>
      <c r="C41" s="143"/>
      <c r="D41" s="143"/>
      <c r="E41" s="143"/>
      <c r="F41" s="216"/>
      <c r="G41" s="216"/>
      <c r="H41" s="216"/>
      <c r="I41" s="216"/>
      <c r="J41" s="351"/>
      <c r="K41" s="351"/>
      <c r="L41" s="351"/>
      <c r="M41" s="351"/>
      <c r="N41" s="351"/>
      <c r="O41" s="351"/>
      <c r="P41" s="351"/>
      <c r="Q41" s="351"/>
      <c r="R41" s="351"/>
      <c r="S41" s="351"/>
      <c r="T41" s="351"/>
      <c r="U41" s="351"/>
      <c r="V41" s="351"/>
      <c r="W41" s="351"/>
      <c r="X41" s="351"/>
      <c r="Y41" s="351"/>
      <c r="Z41" s="351"/>
      <c r="AA41" s="351"/>
      <c r="AB41" s="351"/>
      <c r="AC41" s="351"/>
      <c r="AD41" s="351"/>
      <c r="AE41" s="523"/>
      <c r="AF41" s="121"/>
      <c r="AG41" s="121"/>
      <c r="AH41" s="121"/>
      <c r="AI41" s="121"/>
      <c r="AJ41" s="121"/>
      <c r="AK41" s="121"/>
      <c r="AL41" s="121"/>
    </row>
    <row r="42" spans="2:38" ht="21.95" customHeight="1" x14ac:dyDescent="0.2">
      <c r="B42" s="277"/>
      <c r="C42" s="143"/>
      <c r="D42" s="143"/>
      <c r="E42" s="143"/>
      <c r="F42" s="216"/>
      <c r="G42" s="216"/>
      <c r="H42" s="216"/>
      <c r="I42" s="216"/>
      <c r="J42" s="351"/>
      <c r="K42" s="351"/>
      <c r="L42" s="351"/>
      <c r="M42" s="351"/>
      <c r="N42" s="351"/>
      <c r="O42" s="351"/>
      <c r="P42" s="351"/>
      <c r="Q42" s="351"/>
      <c r="R42" s="351"/>
      <c r="S42" s="351"/>
      <c r="T42" s="351"/>
      <c r="U42" s="351"/>
      <c r="V42" s="351"/>
      <c r="W42" s="351"/>
      <c r="X42" s="351"/>
      <c r="Y42" s="351"/>
      <c r="Z42" s="351"/>
      <c r="AA42" s="351"/>
      <c r="AB42" s="351"/>
      <c r="AC42" s="351"/>
      <c r="AD42" s="351"/>
      <c r="AE42" s="523"/>
      <c r="AF42" s="121"/>
      <c r="AG42" s="121"/>
      <c r="AH42" s="121"/>
      <c r="AI42" s="121"/>
      <c r="AJ42" s="121"/>
      <c r="AK42" s="121"/>
      <c r="AL42" s="121"/>
    </row>
    <row r="43" spans="2:38" ht="21.95" customHeight="1" x14ac:dyDescent="0.2">
      <c r="B43" s="277"/>
      <c r="C43" s="143"/>
      <c r="D43" s="143"/>
      <c r="E43" s="143"/>
      <c r="F43" s="216"/>
      <c r="G43" s="216"/>
      <c r="H43" s="216"/>
      <c r="I43" s="216"/>
      <c r="J43" s="351"/>
      <c r="K43" s="351"/>
      <c r="L43" s="351"/>
      <c r="M43" s="351"/>
      <c r="N43" s="351"/>
      <c r="O43" s="351"/>
      <c r="P43" s="351"/>
      <c r="Q43" s="351"/>
      <c r="R43" s="351"/>
      <c r="S43" s="351"/>
      <c r="T43" s="351"/>
      <c r="U43" s="351"/>
      <c r="V43" s="351"/>
      <c r="W43" s="351"/>
      <c r="X43" s="351"/>
      <c r="Y43" s="351"/>
      <c r="Z43" s="351"/>
      <c r="AA43" s="351"/>
      <c r="AB43" s="351"/>
      <c r="AC43" s="351"/>
      <c r="AD43" s="351"/>
      <c r="AE43" s="523"/>
      <c r="AF43" s="121"/>
      <c r="AG43" s="121"/>
      <c r="AH43" s="121"/>
      <c r="AI43" s="121"/>
      <c r="AJ43" s="121"/>
      <c r="AK43" s="121"/>
      <c r="AL43" s="121"/>
    </row>
    <row r="44" spans="2:38" ht="21.95" customHeight="1" x14ac:dyDescent="0.2">
      <c r="B44" s="290"/>
      <c r="C44" s="291"/>
      <c r="D44" s="291"/>
      <c r="E44" s="291"/>
      <c r="F44" s="511"/>
      <c r="G44" s="511"/>
      <c r="H44" s="511"/>
      <c r="I44" s="511"/>
      <c r="J44" s="591"/>
      <c r="K44" s="591"/>
      <c r="L44" s="591"/>
      <c r="M44" s="591"/>
      <c r="N44" s="591"/>
      <c r="O44" s="591"/>
      <c r="P44" s="591"/>
      <c r="Q44" s="591"/>
      <c r="R44" s="591"/>
      <c r="S44" s="591"/>
      <c r="T44" s="591"/>
      <c r="U44" s="591"/>
      <c r="V44" s="591"/>
      <c r="W44" s="591"/>
      <c r="X44" s="591"/>
      <c r="Y44" s="591"/>
      <c r="Z44" s="591"/>
      <c r="AA44" s="591"/>
      <c r="AB44" s="591"/>
      <c r="AC44" s="591"/>
      <c r="AD44" s="591"/>
      <c r="AE44" s="592"/>
      <c r="AF44" s="132"/>
      <c r="AG44" s="132"/>
      <c r="AH44" s="132"/>
      <c r="AI44" s="132"/>
      <c r="AJ44" s="132"/>
      <c r="AK44" s="132"/>
      <c r="AL44" s="132"/>
    </row>
    <row r="45" spans="2:38" ht="21.95" customHeight="1" x14ac:dyDescent="0.2">
      <c r="E45"/>
    </row>
    <row r="46" spans="2:38" ht="21.95" customHeight="1" x14ac:dyDescent="0.2">
      <c r="E46"/>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row>
    <row r="47" spans="2:38" ht="21.95" customHeight="1" x14ac:dyDescent="0.2">
      <c r="B47" s="369" t="str">
        <f>"Emission Costs " &amp; 'Emissions Data'!$J$10</f>
        <v>Emission Costs (2021$/metric ton)</v>
      </c>
      <c r="E47"/>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row>
    <row r="48" spans="2:38" ht="21.95" customHeight="1" x14ac:dyDescent="0.2">
      <c r="B48" s="411" t="s">
        <v>51</v>
      </c>
      <c r="C48" s="410"/>
      <c r="D48" s="410"/>
      <c r="E48" s="410"/>
      <c r="F48" s="410" t="str">
        <f>'Emissions Data'!P50</f>
        <v>2022</v>
      </c>
      <c r="G48" s="410" t="str">
        <f>'Emissions Data'!Q50</f>
        <v>2023</v>
      </c>
      <c r="H48" s="410" t="str">
        <f>'Emissions Data'!R50</f>
        <v>2024</v>
      </c>
      <c r="I48" s="410" t="str">
        <f>'Emissions Data'!S50</f>
        <v>2025</v>
      </c>
      <c r="J48" s="410" t="str">
        <f>'Emissions Data'!T50</f>
        <v>2026</v>
      </c>
      <c r="K48" s="410" t="str">
        <f>'Emissions Data'!U50</f>
        <v>2027</v>
      </c>
      <c r="L48" s="410" t="str">
        <f>'Emissions Data'!V50</f>
        <v>2028</v>
      </c>
      <c r="M48" s="410" t="str">
        <f>'Emissions Data'!W50</f>
        <v>2029</v>
      </c>
      <c r="N48" s="410" t="str">
        <f>'Emissions Data'!X50</f>
        <v>2030</v>
      </c>
      <c r="O48" s="410" t="str">
        <f>'Emissions Data'!Y50</f>
        <v>2031</v>
      </c>
      <c r="P48" s="410" t="str">
        <f>'Emissions Data'!Z50</f>
        <v>2032</v>
      </c>
      <c r="Q48" s="410" t="str">
        <f>'Emissions Data'!AA50</f>
        <v>2033</v>
      </c>
      <c r="R48" s="410" t="str">
        <f>'Emissions Data'!AB50</f>
        <v>2034</v>
      </c>
      <c r="S48" s="410" t="str">
        <f>'Emissions Data'!AC50</f>
        <v>2035</v>
      </c>
      <c r="T48" s="410" t="str">
        <f>'Emissions Data'!AD50</f>
        <v>2036</v>
      </c>
      <c r="U48" s="410" t="str">
        <f>'Emissions Data'!AE50</f>
        <v>2037</v>
      </c>
      <c r="V48" s="410" t="str">
        <f>'Emissions Data'!AF50</f>
        <v>2038</v>
      </c>
      <c r="W48" s="410" t="str">
        <f>'Emissions Data'!AG50</f>
        <v>2039</v>
      </c>
      <c r="X48" s="410" t="str">
        <f>'Emissions Data'!AH50</f>
        <v>2040</v>
      </c>
      <c r="Y48" s="410" t="str">
        <f>'Emissions Data'!AI50</f>
        <v>2041</v>
      </c>
      <c r="Z48" s="410" t="str">
        <f>'Emissions Data'!AJ50</f>
        <v>2042</v>
      </c>
      <c r="AA48" s="410" t="str">
        <f>'Emissions Data'!AK50</f>
        <v>2043</v>
      </c>
      <c r="AB48" s="410" t="str">
        <f>'Emissions Data'!AL50</f>
        <v>2044</v>
      </c>
      <c r="AC48" s="410" t="str">
        <f>'Emissions Data'!AM50</f>
        <v>2045</v>
      </c>
      <c r="AD48" s="410" t="str">
        <f>'Emissions Data'!AN50</f>
        <v>2046</v>
      </c>
      <c r="AE48" s="410" t="str">
        <f>'Emissions Data'!AO50</f>
        <v>2047</v>
      </c>
      <c r="AF48" s="410" t="str">
        <f>'Emissions Data'!AP50</f>
        <v>2048</v>
      </c>
      <c r="AG48" s="410" t="str">
        <f>'Emissions Data'!AQ50</f>
        <v>2049</v>
      </c>
      <c r="AH48" s="547">
        <v>2050</v>
      </c>
      <c r="AI48" s="35"/>
      <c r="AJ48" s="35"/>
      <c r="AK48" s="35"/>
      <c r="AL48" s="35"/>
    </row>
    <row r="49" spans="1:38" ht="21.95" customHeight="1" x14ac:dyDescent="0.2">
      <c r="B49" s="277" t="str" cm="1">
        <f t="array" ref="B49:B52">TRANSPOSE(EmissionCost[[#Headers], [NOx]:[CO2]])</f>
        <v>NOx</v>
      </c>
      <c r="C49" s="143"/>
      <c r="D49" s="143"/>
      <c r="E49" s="143"/>
      <c r="F49" s="278" t="str">
        <f>'Emissions Data'!P51</f>
        <v>$16,600</v>
      </c>
      <c r="G49" s="278" t="str">
        <f>'Emissions Data'!Q51</f>
        <v>$16,800</v>
      </c>
      <c r="H49" s="278" t="str">
        <f>'Emissions Data'!R51</f>
        <v>$17,000</v>
      </c>
      <c r="I49" s="278" t="str">
        <f>'Emissions Data'!S51</f>
        <v>$17,200</v>
      </c>
      <c r="J49" s="278" t="str">
        <f>'Emissions Data'!T51</f>
        <v>$17,500</v>
      </c>
      <c r="K49" s="278" t="str">
        <f>'Emissions Data'!U51</f>
        <v>$17,900</v>
      </c>
      <c r="L49" s="278" t="str">
        <f>'Emissions Data'!V51</f>
        <v>$18,200</v>
      </c>
      <c r="M49" s="278" t="str">
        <f>'Emissions Data'!W51</f>
        <v>$18,600</v>
      </c>
      <c r="N49" s="278" t="str">
        <f>'Emissions Data'!X51</f>
        <v>$18,900</v>
      </c>
      <c r="O49" s="278" t="str">
        <f>'Emissions Data'!Y51</f>
        <v>$18,900</v>
      </c>
      <c r="P49" s="278" t="str">
        <f>'Emissions Data'!Z51</f>
        <v>$18,900</v>
      </c>
      <c r="Q49" s="278" t="str">
        <f>'Emissions Data'!AA51</f>
        <v>$18,900</v>
      </c>
      <c r="R49" s="278" t="str">
        <f>'Emissions Data'!AB51</f>
        <v>$18,900</v>
      </c>
      <c r="S49" s="278" t="str">
        <f>'Emissions Data'!AC51</f>
        <v>$18,900</v>
      </c>
      <c r="T49" s="278" t="str">
        <f>'Emissions Data'!AD51</f>
        <v>$18,900</v>
      </c>
      <c r="U49" s="278" t="str">
        <f>'Emissions Data'!AE51</f>
        <v>$18,900</v>
      </c>
      <c r="V49" s="278" t="str">
        <f>'Emissions Data'!AF51</f>
        <v>$18,900</v>
      </c>
      <c r="W49" s="278" t="str">
        <f>'Emissions Data'!AG51</f>
        <v>$18,900</v>
      </c>
      <c r="X49" s="278" t="str">
        <f>'Emissions Data'!AH51</f>
        <v>$18,900</v>
      </c>
      <c r="Y49" s="278" t="str">
        <f>'Emissions Data'!AI51</f>
        <v>$18,900</v>
      </c>
      <c r="Z49" s="278" t="str">
        <f>'Emissions Data'!AJ51</f>
        <v>$18,900</v>
      </c>
      <c r="AA49" s="278" t="str">
        <f>'Emissions Data'!AK51</f>
        <v>$18,900</v>
      </c>
      <c r="AB49" s="278" t="str">
        <f>'Emissions Data'!AL51</f>
        <v>$18,900</v>
      </c>
      <c r="AC49" s="278" t="str">
        <f>'Emissions Data'!AM51</f>
        <v>$18,900</v>
      </c>
      <c r="AD49" s="278" t="str">
        <f>'Emissions Data'!AN51</f>
        <v>$18,900</v>
      </c>
      <c r="AE49" s="278" t="str">
        <f>'Emissions Data'!AO51</f>
        <v>$18,900</v>
      </c>
      <c r="AF49" s="278" t="str">
        <f>'Emissions Data'!AP51</f>
        <v>$18,900</v>
      </c>
      <c r="AG49" s="278" t="str">
        <f>'Emissions Data'!AQ51</f>
        <v>$18,900</v>
      </c>
      <c r="AH49" s="279" t="str">
        <f>'Emissions Data'!AR51</f>
        <v>$18,900</v>
      </c>
      <c r="AI49" s="22"/>
      <c r="AJ49" s="22"/>
      <c r="AK49" s="22"/>
      <c r="AL49" s="22"/>
    </row>
    <row r="50" spans="1:38" ht="21.95" customHeight="1" x14ac:dyDescent="0.2">
      <c r="B50" s="277" t="str">
        <v>PM2.5</v>
      </c>
      <c r="C50" s="143"/>
      <c r="D50" s="143"/>
      <c r="E50" s="143"/>
      <c r="F50" s="278" t="str">
        <f>'Emissions Data'!P52</f>
        <v>$44,300</v>
      </c>
      <c r="G50" s="278" t="str">
        <f>'Emissions Data'!Q52</f>
        <v>$45,100</v>
      </c>
      <c r="H50" s="278" t="str">
        <f>'Emissions Data'!R52</f>
        <v>$46,000</v>
      </c>
      <c r="I50" s="278" t="str">
        <f>'Emissions Data'!S52</f>
        <v>$46,900</v>
      </c>
      <c r="J50" s="278" t="str">
        <f>'Emissions Data'!T52</f>
        <v>$47,800</v>
      </c>
      <c r="K50" s="278" t="str">
        <f>'Emissions Data'!U52</f>
        <v>$48,700</v>
      </c>
      <c r="L50" s="278" t="str">
        <f>'Emissions Data'!V52</f>
        <v>$49,500</v>
      </c>
      <c r="M50" s="278" t="str">
        <f>'Emissions Data'!W52</f>
        <v>$50,400</v>
      </c>
      <c r="N50" s="278" t="str">
        <f>'Emissions Data'!X52</f>
        <v>$51,300</v>
      </c>
      <c r="O50" s="278" t="str">
        <f>'Emissions Data'!Y52</f>
        <v>$51,300</v>
      </c>
      <c r="P50" s="278" t="str">
        <f>'Emissions Data'!Z52</f>
        <v>$51,300</v>
      </c>
      <c r="Q50" s="278" t="str">
        <f>'Emissions Data'!AA52</f>
        <v>$51,300</v>
      </c>
      <c r="R50" s="278" t="str">
        <f>'Emissions Data'!AB52</f>
        <v>$51,300</v>
      </c>
      <c r="S50" s="278" t="str">
        <f>'Emissions Data'!AC52</f>
        <v>$51,300</v>
      </c>
      <c r="T50" s="278" t="str">
        <f>'Emissions Data'!AD52</f>
        <v>$51,300</v>
      </c>
      <c r="U50" s="278" t="str">
        <f>'Emissions Data'!AE52</f>
        <v>$51,300</v>
      </c>
      <c r="V50" s="278" t="str">
        <f>'Emissions Data'!AF52</f>
        <v>$51,300</v>
      </c>
      <c r="W50" s="278" t="str">
        <f>'Emissions Data'!AG52</f>
        <v>$51,300</v>
      </c>
      <c r="X50" s="278" t="str">
        <f>'Emissions Data'!AH52</f>
        <v>$51,300</v>
      </c>
      <c r="Y50" s="278" t="str">
        <f>'Emissions Data'!AI52</f>
        <v>$51,300</v>
      </c>
      <c r="Z50" s="278" t="str">
        <f>'Emissions Data'!AJ52</f>
        <v>$51,300</v>
      </c>
      <c r="AA50" s="278" t="str">
        <f>'Emissions Data'!AK52</f>
        <v>$51,300</v>
      </c>
      <c r="AB50" s="278" t="str">
        <f>'Emissions Data'!AL52</f>
        <v>$51,300</v>
      </c>
      <c r="AC50" s="278" t="str">
        <f>'Emissions Data'!AM52</f>
        <v>$51,300</v>
      </c>
      <c r="AD50" s="278" t="str">
        <f>'Emissions Data'!AN52</f>
        <v>$51,300</v>
      </c>
      <c r="AE50" s="278" t="str">
        <f>'Emissions Data'!AO52</f>
        <v>$51,300</v>
      </c>
      <c r="AF50" s="278" t="str">
        <f>'Emissions Data'!AP52</f>
        <v>$51,300</v>
      </c>
      <c r="AG50" s="278" t="str">
        <f>'Emissions Data'!AQ52</f>
        <v>$51,300</v>
      </c>
      <c r="AH50" s="279" t="str">
        <f>'Emissions Data'!AR52</f>
        <v>$51,300</v>
      </c>
      <c r="AI50" s="22"/>
      <c r="AJ50" s="22"/>
      <c r="AK50" s="22"/>
      <c r="AL50" s="22"/>
    </row>
    <row r="51" spans="1:38" ht="21.95" customHeight="1" x14ac:dyDescent="0.2">
      <c r="B51" s="277" t="str">
        <v>SO2</v>
      </c>
      <c r="C51" s="143"/>
      <c r="D51" s="143"/>
      <c r="E51" s="143"/>
      <c r="F51" s="278" t="str">
        <f>'Emissions Data'!P53</f>
        <v>$796,700</v>
      </c>
      <c r="G51" s="278" t="str">
        <f>'Emissions Data'!Q53</f>
        <v>$810,500</v>
      </c>
      <c r="H51" s="278" t="str">
        <f>'Emissions Data'!R53</f>
        <v>$824,500</v>
      </c>
      <c r="I51" s="278" t="str">
        <f>'Emissions Data'!S53</f>
        <v>$838,800</v>
      </c>
      <c r="J51" s="278" t="str">
        <f>'Emissions Data'!T53</f>
        <v>$852,100</v>
      </c>
      <c r="K51" s="278" t="str">
        <f>'Emissions Data'!U53</f>
        <v>$865,600</v>
      </c>
      <c r="L51" s="278" t="str">
        <f>'Emissions Data'!V53</f>
        <v>$879,400</v>
      </c>
      <c r="M51" s="278" t="str">
        <f>'Emissions Data'!W53</f>
        <v>$893,400</v>
      </c>
      <c r="N51" s="278" t="str">
        <f>'Emissions Data'!X53</f>
        <v>$907,600</v>
      </c>
      <c r="O51" s="278" t="str">
        <f>'Emissions Data'!Y53</f>
        <v>$907,600</v>
      </c>
      <c r="P51" s="278" t="str">
        <f>'Emissions Data'!Z53</f>
        <v>$907,600</v>
      </c>
      <c r="Q51" s="278" t="str">
        <f>'Emissions Data'!AA53</f>
        <v>$907,600</v>
      </c>
      <c r="R51" s="278" t="str">
        <f>'Emissions Data'!AB53</f>
        <v>$907,600</v>
      </c>
      <c r="S51" s="278" t="str">
        <f>'Emissions Data'!AC53</f>
        <v>$907,600</v>
      </c>
      <c r="T51" s="278" t="str">
        <f>'Emissions Data'!AD53</f>
        <v>$907,600</v>
      </c>
      <c r="U51" s="278" t="str">
        <f>'Emissions Data'!AE53</f>
        <v>$907,600</v>
      </c>
      <c r="V51" s="278" t="str">
        <f>'Emissions Data'!AF53</f>
        <v>$907,600</v>
      </c>
      <c r="W51" s="278" t="str">
        <f>'Emissions Data'!AG53</f>
        <v>$907,600</v>
      </c>
      <c r="X51" s="278" t="str">
        <f>'Emissions Data'!AH53</f>
        <v>$907,600</v>
      </c>
      <c r="Y51" s="278" t="str">
        <f>'Emissions Data'!AI53</f>
        <v>$907,600</v>
      </c>
      <c r="Z51" s="278" t="str">
        <f>'Emissions Data'!AJ53</f>
        <v>$907,600</v>
      </c>
      <c r="AA51" s="278" t="str">
        <f>'Emissions Data'!AK53</f>
        <v>$907,600</v>
      </c>
      <c r="AB51" s="278" t="str">
        <f>'Emissions Data'!AL53</f>
        <v>$907,600</v>
      </c>
      <c r="AC51" s="278" t="str">
        <f>'Emissions Data'!AM53</f>
        <v>$907,600</v>
      </c>
      <c r="AD51" s="278" t="str">
        <f>'Emissions Data'!AN53</f>
        <v>$907,600</v>
      </c>
      <c r="AE51" s="278" t="str">
        <f>'Emissions Data'!AO53</f>
        <v>$907,600</v>
      </c>
      <c r="AF51" s="278" t="str">
        <f>'Emissions Data'!AP53</f>
        <v>$907,600</v>
      </c>
      <c r="AG51" s="278" t="str">
        <f>'Emissions Data'!AQ53</f>
        <v>$907,600</v>
      </c>
      <c r="AH51" s="279" t="str">
        <f>'Emissions Data'!AR53</f>
        <v>$907,600</v>
      </c>
      <c r="AI51" s="22"/>
      <c r="AJ51" s="22"/>
      <c r="AK51" s="22"/>
      <c r="AL51" s="22"/>
    </row>
    <row r="52" spans="1:38" ht="21.95" customHeight="1" x14ac:dyDescent="0.2">
      <c r="B52" s="290" t="str">
        <v>CO2</v>
      </c>
      <c r="C52" s="291"/>
      <c r="D52" s="291"/>
      <c r="E52" s="291"/>
      <c r="F52" s="341" t="str">
        <f>'Emissions Data'!P54</f>
        <v>$56</v>
      </c>
      <c r="G52" s="341" t="str">
        <f>'Emissions Data'!Q54</f>
        <v>$57</v>
      </c>
      <c r="H52" s="341" t="str">
        <f>'Emissions Data'!R54</f>
        <v>$58</v>
      </c>
      <c r="I52" s="341" t="str">
        <f>'Emissions Data'!S54</f>
        <v>$59</v>
      </c>
      <c r="J52" s="341" t="str">
        <f>'Emissions Data'!T54</f>
        <v>$60</v>
      </c>
      <c r="K52" s="341" t="str">
        <f>'Emissions Data'!U54</f>
        <v>$61</v>
      </c>
      <c r="L52" s="341" t="str">
        <f>'Emissions Data'!V54</f>
        <v>$62</v>
      </c>
      <c r="M52" s="341" t="str">
        <f>'Emissions Data'!W54</f>
        <v>$63</v>
      </c>
      <c r="N52" s="341" t="str">
        <f>'Emissions Data'!X54</f>
        <v>$65</v>
      </c>
      <c r="O52" s="341" t="str">
        <f>'Emissions Data'!Y54</f>
        <v>$66</v>
      </c>
      <c r="P52" s="341" t="str">
        <f>'Emissions Data'!Z54</f>
        <v>$67</v>
      </c>
      <c r="Q52" s="341" t="str">
        <f>'Emissions Data'!AA54</f>
        <v>$68</v>
      </c>
      <c r="R52" s="341" t="str">
        <f>'Emissions Data'!AB54</f>
        <v>$69</v>
      </c>
      <c r="S52" s="341" t="str">
        <f>'Emissions Data'!AC54</f>
        <v>$70</v>
      </c>
      <c r="T52" s="341" t="str">
        <f>'Emissions Data'!AD54</f>
        <v>$72</v>
      </c>
      <c r="U52" s="341" t="str">
        <f>'Emissions Data'!AE54</f>
        <v>$73</v>
      </c>
      <c r="V52" s="341" t="str">
        <f>'Emissions Data'!AF54</f>
        <v>$74</v>
      </c>
      <c r="W52" s="341" t="str">
        <f>'Emissions Data'!AG54</f>
        <v>$75</v>
      </c>
      <c r="X52" s="341" t="str">
        <f>'Emissions Data'!AH54</f>
        <v>$76</v>
      </c>
      <c r="Y52" s="341" t="str">
        <f>'Emissions Data'!AI54</f>
        <v>$78</v>
      </c>
      <c r="Z52" s="341" t="str">
        <f>'Emissions Data'!AJ54</f>
        <v>$79</v>
      </c>
      <c r="AA52" s="341" t="str">
        <f>'Emissions Data'!AK54</f>
        <v>$80</v>
      </c>
      <c r="AB52" s="341" t="str">
        <f>'Emissions Data'!AL54</f>
        <v>$81</v>
      </c>
      <c r="AC52" s="341" t="str">
        <f>'Emissions Data'!AM54</f>
        <v>$82</v>
      </c>
      <c r="AD52" s="341" t="str">
        <f>'Emissions Data'!AN54</f>
        <v>$84</v>
      </c>
      <c r="AE52" s="341" t="str">
        <f>'Emissions Data'!AO54</f>
        <v>$85</v>
      </c>
      <c r="AF52" s="341" t="str">
        <f>'Emissions Data'!AP54</f>
        <v>$86</v>
      </c>
      <c r="AG52" s="341" t="str">
        <f>'Emissions Data'!AQ54</f>
        <v>$87</v>
      </c>
      <c r="AH52" s="342" t="str">
        <f>'Emissions Data'!AR54</f>
        <v>$88</v>
      </c>
      <c r="AI52" s="109"/>
      <c r="AJ52" s="109"/>
      <c r="AK52" s="109"/>
      <c r="AL52" s="109"/>
    </row>
    <row r="53" spans="1:38" ht="21.95" customHeight="1" x14ac:dyDescent="0.2">
      <c r="B53" s="123" t="s">
        <v>87</v>
      </c>
    </row>
    <row r="54" spans="1:38" ht="21.95" customHeight="1" x14ac:dyDescent="0.2">
      <c r="B54" s="9"/>
      <c r="F54" s="5"/>
    </row>
    <row r="55" spans="1:38" ht="21.95" customHeight="1" x14ac:dyDescent="0.2">
      <c r="B55" s="9"/>
      <c r="F55" s="5"/>
    </row>
    <row r="56" spans="1:38" ht="21.95" customHeight="1" x14ac:dyDescent="0.2">
      <c r="A56" s="244"/>
      <c r="B56" s="245" t="s">
        <v>9</v>
      </c>
      <c r="F56" s="46"/>
      <c r="J56" s="2"/>
      <c r="K56" s="2"/>
      <c r="L56" s="2"/>
      <c r="M56" s="2"/>
      <c r="N56" s="2"/>
    </row>
    <row r="57" spans="1:38" ht="21.95" customHeight="1" x14ac:dyDescent="0.2">
      <c r="J57" s="2"/>
      <c r="K57" s="2"/>
      <c r="L57" s="2"/>
      <c r="M57" s="2"/>
      <c r="N57" s="2"/>
    </row>
    <row r="58" spans="1:38" ht="21.95" customHeight="1" x14ac:dyDescent="0.2">
      <c r="B58" s="411"/>
      <c r="C58" s="410" t="s">
        <v>377</v>
      </c>
      <c r="D58" s="410" t="s">
        <v>27</v>
      </c>
      <c r="E58" s="410" t="s">
        <v>51</v>
      </c>
      <c r="F58" s="410" cm="1">
        <f t="array" ref="F58:AE58">year</f>
        <v>2022</v>
      </c>
      <c r="G58" s="410">
        <v>2023</v>
      </c>
      <c r="H58" s="410">
        <v>2024</v>
      </c>
      <c r="I58" s="410">
        <v>2025</v>
      </c>
      <c r="J58" s="410">
        <v>2026</v>
      </c>
      <c r="K58" s="410">
        <v>2027</v>
      </c>
      <c r="L58" s="410">
        <v>2028</v>
      </c>
      <c r="M58" s="410">
        <v>2029</v>
      </c>
      <c r="N58" s="410">
        <v>2030</v>
      </c>
      <c r="O58" s="410">
        <v>2031</v>
      </c>
      <c r="P58" s="410">
        <v>2032</v>
      </c>
      <c r="Q58" s="410">
        <v>2033</v>
      </c>
      <c r="R58" s="410">
        <v>2034</v>
      </c>
      <c r="S58" s="410">
        <v>2035</v>
      </c>
      <c r="T58" s="410">
        <v>2036</v>
      </c>
      <c r="U58" s="410">
        <v>2037</v>
      </c>
      <c r="V58" s="410">
        <v>2038</v>
      </c>
      <c r="W58" s="410">
        <v>2039</v>
      </c>
      <c r="X58" s="410">
        <v>2040</v>
      </c>
      <c r="Y58" s="410">
        <v>2041</v>
      </c>
      <c r="Z58" s="410">
        <v>2042</v>
      </c>
      <c r="AA58" s="410">
        <v>2043</v>
      </c>
      <c r="AB58" s="410">
        <v>2044</v>
      </c>
      <c r="AC58" s="410">
        <v>2045</v>
      </c>
      <c r="AD58" s="410">
        <v>2046</v>
      </c>
      <c r="AE58" s="547">
        <v>2047</v>
      </c>
      <c r="AF58" s="35">
        <v>2048</v>
      </c>
      <c r="AG58" s="35"/>
      <c r="AH58" s="35"/>
      <c r="AI58" s="35"/>
      <c r="AJ58" s="35"/>
      <c r="AK58" s="35"/>
      <c r="AL58" s="35"/>
    </row>
    <row r="59" spans="1:38" ht="21.95" customHeight="1" x14ac:dyDescent="0.2">
      <c r="B59" s="273" t="s">
        <v>274</v>
      </c>
      <c r="C59" s="143" t="s">
        <v>609</v>
      </c>
      <c r="D59" s="143" t="s">
        <v>23</v>
      </c>
      <c r="E59" s="143" t="str" cm="1">
        <f t="array" ref="E59:E62">_xlfn.ANCHORARRAY($B$49)</f>
        <v>NOx</v>
      </c>
      <c r="F59" s="593" cm="1">
        <f t="array" ref="F59:AE59">_xlfn.XLOOKUP(D59 &amp;_xlfn.ANCHORARRAY( $F$17) &amp; year, EmissionFactors[Vehicle] &amp; EmissionFactors[Speed] &amp; EmissionFactors[Year], EmissionFactors[NOx], , 0)</f>
        <v>0.1408309065625</v>
      </c>
      <c r="G59" s="593">
        <v>0.12738491187500001</v>
      </c>
      <c r="H59" s="593">
        <v>0.1139389171875</v>
      </c>
      <c r="I59" s="593">
        <v>0.1004929225</v>
      </c>
      <c r="J59" s="593">
        <v>8.7046927812499994E-2</v>
      </c>
      <c r="K59" s="593">
        <v>7.3600933125000004E-2</v>
      </c>
      <c r="L59" s="593">
        <v>6.01549384375E-2</v>
      </c>
      <c r="M59" s="593">
        <v>4.6708943750000002E-2</v>
      </c>
      <c r="N59" s="593">
        <v>3.3262949062499998E-2</v>
      </c>
      <c r="O59" s="593">
        <v>3.0531011237499999E-2</v>
      </c>
      <c r="P59" s="593">
        <v>2.77990734125E-2</v>
      </c>
      <c r="Q59" s="593">
        <v>2.5067135587500001E-2</v>
      </c>
      <c r="R59" s="593">
        <v>2.2335197762500002E-2</v>
      </c>
      <c r="S59" s="593">
        <v>1.9603259937499999E-2</v>
      </c>
      <c r="T59" s="593">
        <v>1.68713221125E-2</v>
      </c>
      <c r="U59" s="593">
        <v>1.4139384287499999E-2</v>
      </c>
      <c r="V59" s="593">
        <v>1.14074464625E-2</v>
      </c>
      <c r="W59" s="593">
        <v>8.6755086374999991E-3</v>
      </c>
      <c r="X59" s="593">
        <v>5.9435708125E-3</v>
      </c>
      <c r="Y59" s="593">
        <v>5.7164753437500002E-3</v>
      </c>
      <c r="Z59" s="593">
        <v>5.4893798750000004E-3</v>
      </c>
      <c r="AA59" s="593">
        <v>5.2622844062499997E-3</v>
      </c>
      <c r="AB59" s="593">
        <v>5.0351889374999998E-3</v>
      </c>
      <c r="AC59" s="593">
        <v>4.80809346875E-3</v>
      </c>
      <c r="AD59" s="593">
        <v>4.5809980000000002E-3</v>
      </c>
      <c r="AE59" s="594">
        <v>4.3539025312500004E-3</v>
      </c>
      <c r="AF59" s="25">
        <v>4.3539025312500004E-3</v>
      </c>
      <c r="AG59" s="25"/>
      <c r="AH59" s="25"/>
      <c r="AI59" s="25"/>
      <c r="AJ59" s="25"/>
      <c r="AK59" s="25"/>
      <c r="AL59" s="25"/>
    </row>
    <row r="60" spans="1:38" ht="21.95" customHeight="1" x14ac:dyDescent="0.2">
      <c r="B60" s="595" t="s">
        <v>86</v>
      </c>
      <c r="C60" s="143"/>
      <c r="D60" s="143"/>
      <c r="E60" s="143" t="str">
        <v>PM2.5</v>
      </c>
      <c r="F60" s="593" cm="1">
        <f t="array" ref="F60:AE60">_xlfn.XLOOKUP(D59 &amp;_xlfn.ANCHORARRAY( $F$17) &amp; year, EmissionFactors[Vehicle] &amp; EmissionFactors[Speed] &amp; EmissionFactors[Year], EmissionFactors[PM2.5], , 0)</f>
        <v>2.0760212249999999E-3</v>
      </c>
      <c r="G60" s="593">
        <v>1.9818812750000002E-3</v>
      </c>
      <c r="H60" s="593">
        <v>1.8877413250000001E-3</v>
      </c>
      <c r="I60" s="593">
        <v>1.7936013749999999E-3</v>
      </c>
      <c r="J60" s="593">
        <v>1.699461425E-3</v>
      </c>
      <c r="K60" s="593">
        <v>1.6053214750000001E-3</v>
      </c>
      <c r="L60" s="593">
        <v>1.511181525E-3</v>
      </c>
      <c r="M60" s="593">
        <v>1.417041575E-3</v>
      </c>
      <c r="N60" s="593">
        <v>1.3229016249999999E-3</v>
      </c>
      <c r="O60" s="593">
        <v>1.2980415875E-3</v>
      </c>
      <c r="P60" s="593">
        <v>1.2731815499999999E-3</v>
      </c>
      <c r="Q60" s="593">
        <v>1.2483215125000001E-3</v>
      </c>
      <c r="R60" s="593">
        <v>1.223461475E-3</v>
      </c>
      <c r="S60" s="593">
        <v>1.1986014375000001E-3</v>
      </c>
      <c r="T60" s="593">
        <v>1.1737414E-3</v>
      </c>
      <c r="U60" s="593">
        <v>1.1488813625000001E-3</v>
      </c>
      <c r="V60" s="593">
        <v>1.124021325E-3</v>
      </c>
      <c r="W60" s="593">
        <v>1.0991612874999999E-3</v>
      </c>
      <c r="X60" s="593">
        <v>1.07430125E-3</v>
      </c>
      <c r="Y60" s="593">
        <v>1.0714165999999999E-3</v>
      </c>
      <c r="Z60" s="593">
        <v>1.0685319500000001E-3</v>
      </c>
      <c r="AA60" s="593">
        <v>1.0656473E-3</v>
      </c>
      <c r="AB60" s="593">
        <v>1.0627626500000001E-3</v>
      </c>
      <c r="AC60" s="593">
        <v>1.059878E-3</v>
      </c>
      <c r="AD60" s="593">
        <v>1.0569933499999999E-3</v>
      </c>
      <c r="AE60" s="594">
        <v>1.0541087E-3</v>
      </c>
      <c r="AF60" s="25">
        <v>1.0541087E-3</v>
      </c>
      <c r="AG60" s="25"/>
      <c r="AH60" s="25"/>
      <c r="AI60" s="25"/>
      <c r="AJ60" s="25"/>
      <c r="AK60" s="25"/>
      <c r="AL60" s="25"/>
    </row>
    <row r="61" spans="1:38" ht="21.95" customHeight="1" x14ac:dyDescent="0.2">
      <c r="B61" s="277"/>
      <c r="C61" s="143"/>
      <c r="D61" s="143"/>
      <c r="E61" s="143" t="str">
        <v>SO2</v>
      </c>
      <c r="F61" s="593" cm="1">
        <f t="array" ref="F61:AE61">_xlfn.XLOOKUP(D59 &amp;_xlfn.ANCHORARRAY( $F$17) &amp; year, EmissionFactors[Vehicle] &amp; EmissionFactors[Speed] &amp; EmissionFactors[Year], EmissionFactors[SO2], , 0)</f>
        <v>1.764474E-3</v>
      </c>
      <c r="G61" s="593">
        <v>1.7257360000000001E-3</v>
      </c>
      <c r="H61" s="593">
        <v>1.6869980000000001E-3</v>
      </c>
      <c r="I61" s="593">
        <v>1.6482599999999999E-3</v>
      </c>
      <c r="J61" s="593">
        <v>1.6095219999999999E-3</v>
      </c>
      <c r="K61" s="593">
        <v>1.570784E-3</v>
      </c>
      <c r="L61" s="593">
        <v>1.532046E-3</v>
      </c>
      <c r="M61" s="593">
        <v>1.493308E-3</v>
      </c>
      <c r="N61" s="593">
        <v>1.4545700000000001E-3</v>
      </c>
      <c r="O61" s="593">
        <v>1.440417875E-3</v>
      </c>
      <c r="P61" s="593">
        <v>1.42626575E-3</v>
      </c>
      <c r="Q61" s="593">
        <v>1.4121136250000001E-3</v>
      </c>
      <c r="R61" s="593">
        <v>1.3979615E-3</v>
      </c>
      <c r="S61" s="593">
        <v>1.383809375E-3</v>
      </c>
      <c r="T61" s="593">
        <v>1.3696572499999999E-3</v>
      </c>
      <c r="U61" s="593">
        <v>1.3555051250000001E-3</v>
      </c>
      <c r="V61" s="593">
        <v>1.341353E-3</v>
      </c>
      <c r="W61" s="593">
        <v>1.3272008749999999E-3</v>
      </c>
      <c r="X61" s="593">
        <v>1.3130487500000001E-3</v>
      </c>
      <c r="Y61" s="593">
        <v>1.3103486249999999E-3</v>
      </c>
      <c r="Z61" s="593">
        <v>1.3076485E-3</v>
      </c>
      <c r="AA61" s="593">
        <v>1.304948375E-3</v>
      </c>
      <c r="AB61" s="593">
        <v>1.3022482500000001E-3</v>
      </c>
      <c r="AC61" s="593">
        <v>1.2995481249999999E-3</v>
      </c>
      <c r="AD61" s="593">
        <v>1.296848E-3</v>
      </c>
      <c r="AE61" s="594">
        <v>1.294147875E-3</v>
      </c>
      <c r="AF61" s="25">
        <v>1.294147875E-3</v>
      </c>
      <c r="AG61" s="25"/>
      <c r="AH61" s="25"/>
      <c r="AI61" s="25"/>
      <c r="AJ61" s="25"/>
      <c r="AK61" s="25"/>
      <c r="AL61" s="25"/>
    </row>
    <row r="62" spans="1:38" ht="21.95" customHeight="1" x14ac:dyDescent="0.2">
      <c r="B62" s="277"/>
      <c r="C62" s="143"/>
      <c r="D62" s="152"/>
      <c r="E62" s="152" t="str">
        <v>CO2</v>
      </c>
      <c r="F62" s="338" cm="1">
        <f t="array" ref="F62:AE62">_xlfn.XLOOKUP(D59 &amp;_xlfn.ANCHORARRAY( $F$17) &amp; year, EmissionFactors[Vehicle] &amp; EmissionFactors[Speed] &amp; EmissionFactors[Year], EmissionFactors[CO2], , 0)</f>
        <v>265.61145478499998</v>
      </c>
      <c r="G62" s="338">
        <v>259.78011628374998</v>
      </c>
      <c r="H62" s="338">
        <v>253.9487777825</v>
      </c>
      <c r="I62" s="338">
        <v>248.11743928125</v>
      </c>
      <c r="J62" s="338">
        <v>242.28610078</v>
      </c>
      <c r="K62" s="338">
        <v>236.45476227875</v>
      </c>
      <c r="L62" s="338">
        <v>230.62342377749999</v>
      </c>
      <c r="M62" s="338">
        <v>224.79208527624999</v>
      </c>
      <c r="N62" s="338">
        <v>218.96074677499999</v>
      </c>
      <c r="O62" s="338">
        <v>216.83038445375001</v>
      </c>
      <c r="P62" s="338">
        <v>214.70002213250001</v>
      </c>
      <c r="Q62" s="338">
        <v>212.56965981125001</v>
      </c>
      <c r="R62" s="338">
        <v>210.43929749</v>
      </c>
      <c r="S62" s="338">
        <v>208.30893516875</v>
      </c>
      <c r="T62" s="338">
        <v>206.17857284749999</v>
      </c>
      <c r="U62" s="338">
        <v>204.04821052624999</v>
      </c>
      <c r="V62" s="338">
        <v>201.91784820500001</v>
      </c>
      <c r="W62" s="338">
        <v>199.78748588375001</v>
      </c>
      <c r="X62" s="338">
        <v>197.6571235625</v>
      </c>
      <c r="Y62" s="338">
        <v>197.25066165499999</v>
      </c>
      <c r="Z62" s="338">
        <v>196.8441997475</v>
      </c>
      <c r="AA62" s="338">
        <v>196.43773784000001</v>
      </c>
      <c r="AB62" s="338">
        <v>196.03127593249999</v>
      </c>
      <c r="AC62" s="338">
        <v>195.62481402500001</v>
      </c>
      <c r="AD62" s="338">
        <v>195.21835211749999</v>
      </c>
      <c r="AE62" s="596">
        <v>194.81189021</v>
      </c>
      <c r="AF62" s="125">
        <v>194.81189021</v>
      </c>
      <c r="AG62" s="125"/>
      <c r="AH62" s="125"/>
      <c r="AI62" s="125"/>
      <c r="AJ62" s="125"/>
      <c r="AK62" s="125"/>
      <c r="AL62" s="125"/>
    </row>
    <row r="63" spans="1:38" ht="21.95" customHeight="1" x14ac:dyDescent="0.2">
      <c r="B63" s="277"/>
      <c r="C63" s="143"/>
      <c r="D63" s="143" t="s">
        <v>22</v>
      </c>
      <c r="E63" s="143" t="str" cm="1">
        <f t="array" ref="E63:E66">_xlfn.ANCHORARRAY($B$49)</f>
        <v>NOx</v>
      </c>
      <c r="F63" s="593" cm="1">
        <f t="array" ref="F63:AE63">_xlfn.XLOOKUP(D63 &amp;_xlfn.ANCHORARRAY( $F$17) &amp; year, EmissionFactors[Vehicle] &amp; EmissionFactors[Speed] &amp; EmissionFactors[Year], EmissionFactors[NOx], , 0)</f>
        <v>3.4335495150000002</v>
      </c>
      <c r="G63" s="593">
        <v>3.250379895125</v>
      </c>
      <c r="H63" s="593">
        <v>3.0672102752499999</v>
      </c>
      <c r="I63" s="593">
        <v>2.8840406553750002</v>
      </c>
      <c r="J63" s="593">
        <v>2.7008710355000001</v>
      </c>
      <c r="K63" s="593">
        <v>2.5177014156249999</v>
      </c>
      <c r="L63" s="593">
        <v>2.3345317957499998</v>
      </c>
      <c r="M63" s="593">
        <v>2.1513621758750001</v>
      </c>
      <c r="N63" s="593">
        <v>1.968192556</v>
      </c>
      <c r="O63" s="593">
        <v>1.942730286275</v>
      </c>
      <c r="P63" s="593">
        <v>1.91726801655</v>
      </c>
      <c r="Q63" s="593">
        <v>1.891805746825</v>
      </c>
      <c r="R63" s="593">
        <v>1.8663434771</v>
      </c>
      <c r="S63" s="593">
        <v>1.8408812073750001</v>
      </c>
      <c r="T63" s="593">
        <v>1.8154189376500001</v>
      </c>
      <c r="U63" s="593">
        <v>1.7899566679250001</v>
      </c>
      <c r="V63" s="593">
        <v>1.7644943982000001</v>
      </c>
      <c r="W63" s="593">
        <v>1.7390321284750001</v>
      </c>
      <c r="X63" s="593">
        <v>1.7135698587499999</v>
      </c>
      <c r="Y63" s="593">
        <v>1.7066797175999999</v>
      </c>
      <c r="Z63" s="593">
        <v>1.69978957645</v>
      </c>
      <c r="AA63" s="593">
        <v>1.6928994353</v>
      </c>
      <c r="AB63" s="593">
        <v>1.68600929415</v>
      </c>
      <c r="AC63" s="593">
        <v>1.679119153</v>
      </c>
      <c r="AD63" s="593">
        <v>1.6722290118500001</v>
      </c>
      <c r="AE63" s="594">
        <v>1.6653388707000001</v>
      </c>
      <c r="AF63" s="25">
        <v>1.6653388707000001</v>
      </c>
      <c r="AG63" s="25"/>
      <c r="AH63" s="25"/>
      <c r="AI63" s="25"/>
      <c r="AJ63" s="25"/>
      <c r="AK63" s="25"/>
      <c r="AL63" s="25"/>
    </row>
    <row r="64" spans="1:38" ht="21.95" customHeight="1" x14ac:dyDescent="0.2">
      <c r="B64" s="277"/>
      <c r="C64" s="143"/>
      <c r="D64" s="143"/>
      <c r="E64" s="143" t="str">
        <v>PM2.5</v>
      </c>
      <c r="F64" s="593" cm="1">
        <f t="array" ref="F64:AE64">_xlfn.XLOOKUP(D63 &amp;_xlfn.ANCHORARRAY( $F$17) &amp; year, EmissionFactors[Vehicle] &amp; EmissionFactors[Speed] &amp; EmissionFactors[Year], EmissionFactors[PM2.5], , 0)</f>
        <v>6.8292527000000006E-2</v>
      </c>
      <c r="G64" s="593">
        <v>6.3024888500000001E-2</v>
      </c>
      <c r="H64" s="593">
        <v>5.7757250000000003E-2</v>
      </c>
      <c r="I64" s="593">
        <v>5.2489611499999998E-2</v>
      </c>
      <c r="J64" s="593">
        <v>4.7221973E-2</v>
      </c>
      <c r="K64" s="593">
        <v>4.1954334500000003E-2</v>
      </c>
      <c r="L64" s="593">
        <v>3.6686695999999998E-2</v>
      </c>
      <c r="M64" s="593">
        <v>3.14190575E-2</v>
      </c>
      <c r="N64" s="593">
        <v>2.6151418999999999E-2</v>
      </c>
      <c r="O64" s="593">
        <v>2.5456408E-2</v>
      </c>
      <c r="P64" s="593">
        <v>2.4761397000000001E-2</v>
      </c>
      <c r="Q64" s="593">
        <v>2.4066385999999999E-2</v>
      </c>
      <c r="R64" s="593">
        <v>2.3371375E-2</v>
      </c>
      <c r="S64" s="593">
        <v>2.2676364000000001E-2</v>
      </c>
      <c r="T64" s="593">
        <v>2.1981352999999999E-2</v>
      </c>
      <c r="U64" s="593">
        <v>2.1286342E-2</v>
      </c>
      <c r="V64" s="593">
        <v>2.0591331000000001E-2</v>
      </c>
      <c r="W64" s="593">
        <v>1.9896319999999999E-2</v>
      </c>
      <c r="X64" s="593">
        <v>1.9201309E-2</v>
      </c>
      <c r="Y64" s="593">
        <v>1.9014359099999999E-2</v>
      </c>
      <c r="Z64" s="593">
        <v>1.8827409199999999E-2</v>
      </c>
      <c r="AA64" s="593">
        <v>1.8640459299999999E-2</v>
      </c>
      <c r="AB64" s="593">
        <v>1.8453509399999998E-2</v>
      </c>
      <c r="AC64" s="593">
        <v>1.8266559500000001E-2</v>
      </c>
      <c r="AD64" s="593">
        <v>1.8079609600000001E-2</v>
      </c>
      <c r="AE64" s="594">
        <v>1.7892659700000001E-2</v>
      </c>
      <c r="AF64" s="25">
        <v>1.7892659700000001E-2</v>
      </c>
      <c r="AG64" s="25"/>
      <c r="AH64" s="25"/>
      <c r="AI64" s="25"/>
      <c r="AJ64" s="25"/>
      <c r="AK64" s="25"/>
      <c r="AL64" s="25"/>
    </row>
    <row r="65" spans="2:38" ht="21.95" customHeight="1" x14ac:dyDescent="0.2">
      <c r="B65" s="277"/>
      <c r="C65" s="143"/>
      <c r="D65" s="143"/>
      <c r="E65" s="143" t="str">
        <v>SO2</v>
      </c>
      <c r="F65" s="593" cm="1">
        <f t="array" ref="F65:AE65">_xlfn.XLOOKUP(D63 &amp;_xlfn.ANCHORARRAY( $F$17) &amp; year, EmissionFactors[Vehicle] &amp; EmissionFactors[Speed] &amp; EmissionFactors[Year], EmissionFactors[SO2], , 0)</f>
        <v>5.4307921250000002E-3</v>
      </c>
      <c r="G65" s="593">
        <v>5.3268381875000003E-3</v>
      </c>
      <c r="H65" s="593">
        <v>5.2228842500000004E-3</v>
      </c>
      <c r="I65" s="593">
        <v>5.1189303124999997E-3</v>
      </c>
      <c r="J65" s="593">
        <v>5.0149763749999998E-3</v>
      </c>
      <c r="K65" s="593">
        <v>4.9110224374999999E-3</v>
      </c>
      <c r="L65" s="593">
        <v>4.8070685E-3</v>
      </c>
      <c r="M65" s="593">
        <v>4.7031145625000001E-3</v>
      </c>
      <c r="N65" s="593">
        <v>4.5991606250000002E-3</v>
      </c>
      <c r="O65" s="593">
        <v>4.5627875625000001E-3</v>
      </c>
      <c r="P65" s="593">
        <v>4.5264145E-3</v>
      </c>
      <c r="Q65" s="593">
        <v>4.4900414374999999E-3</v>
      </c>
      <c r="R65" s="593">
        <v>4.4536683749999998E-3</v>
      </c>
      <c r="S65" s="593">
        <v>4.4172953124999997E-3</v>
      </c>
      <c r="T65" s="593">
        <v>4.3809222499999996E-3</v>
      </c>
      <c r="U65" s="593">
        <v>4.3445491875000004E-3</v>
      </c>
      <c r="V65" s="593">
        <v>4.3081761250000003E-3</v>
      </c>
      <c r="W65" s="593">
        <v>4.2718030625000002E-3</v>
      </c>
      <c r="X65" s="593">
        <v>4.2354300000000001E-3</v>
      </c>
      <c r="Y65" s="593">
        <v>4.2308470000000003E-3</v>
      </c>
      <c r="Z65" s="593">
        <v>4.2262640000000004E-3</v>
      </c>
      <c r="AA65" s="593">
        <v>4.2216809999999997E-3</v>
      </c>
      <c r="AB65" s="593">
        <v>4.2170979999999999E-3</v>
      </c>
      <c r="AC65" s="593">
        <v>4.212515E-3</v>
      </c>
      <c r="AD65" s="593">
        <v>4.2079320000000002E-3</v>
      </c>
      <c r="AE65" s="594">
        <v>4.2033490000000003E-3</v>
      </c>
      <c r="AF65" s="25">
        <v>4.2033490000000003E-3</v>
      </c>
      <c r="AG65" s="25"/>
      <c r="AH65" s="25"/>
      <c r="AI65" s="25"/>
      <c r="AJ65" s="25"/>
      <c r="AK65" s="25"/>
      <c r="AL65" s="25"/>
    </row>
    <row r="66" spans="2:38" ht="21.95" customHeight="1" x14ac:dyDescent="0.2">
      <c r="B66" s="277"/>
      <c r="C66" s="152"/>
      <c r="D66" s="152"/>
      <c r="E66" s="152" t="str">
        <v>CO2</v>
      </c>
      <c r="F66" s="338" cm="1">
        <f t="array" ref="F66:AE66">_xlfn.XLOOKUP(D63 &amp;_xlfn.ANCHORARRAY( $F$17) &amp; year, EmissionFactors[Vehicle] &amp; EmissionFactors[Speed] &amp; EmissionFactors[Year], EmissionFactors[CO2], , 0)</f>
        <v>1618.1020020000001</v>
      </c>
      <c r="G66" s="338">
        <v>1588.0880004999999</v>
      </c>
      <c r="H66" s="338">
        <v>1558.073999</v>
      </c>
      <c r="I66" s="338">
        <v>1528.0599975</v>
      </c>
      <c r="J66" s="338">
        <v>1498.0459960000001</v>
      </c>
      <c r="K66" s="338">
        <v>1468.0319945000001</v>
      </c>
      <c r="L66" s="338">
        <v>1438.0179929999999</v>
      </c>
      <c r="M66" s="338">
        <v>1408.0039915</v>
      </c>
      <c r="N66" s="338">
        <v>1377.98999</v>
      </c>
      <c r="O66" s="338">
        <v>1367.1959959000001</v>
      </c>
      <c r="P66" s="338">
        <v>1356.4020018000001</v>
      </c>
      <c r="Q66" s="338">
        <v>1345.6080076999999</v>
      </c>
      <c r="R66" s="338">
        <v>1334.8140136</v>
      </c>
      <c r="S66" s="338">
        <v>1324.0200195</v>
      </c>
      <c r="T66" s="338">
        <v>1313.2260254</v>
      </c>
      <c r="U66" s="338">
        <v>1302.4320313000001</v>
      </c>
      <c r="V66" s="338">
        <v>1291.6380372000001</v>
      </c>
      <c r="W66" s="338">
        <v>1280.8440430999999</v>
      </c>
      <c r="X66" s="338">
        <v>1270.0500489999999</v>
      </c>
      <c r="Y66" s="338">
        <v>1268.67605</v>
      </c>
      <c r="Z66" s="338">
        <v>1267.3020509999999</v>
      </c>
      <c r="AA66" s="338">
        <v>1265.928052</v>
      </c>
      <c r="AB66" s="338">
        <v>1264.5540530000001</v>
      </c>
      <c r="AC66" s="338">
        <v>1263.1800539999999</v>
      </c>
      <c r="AD66" s="338">
        <v>1261.806055</v>
      </c>
      <c r="AE66" s="596">
        <v>1260.4320560000001</v>
      </c>
      <c r="AF66" s="125">
        <v>1260.4320560000001</v>
      </c>
      <c r="AG66" s="125"/>
      <c r="AH66" s="125"/>
      <c r="AI66" s="125"/>
      <c r="AJ66" s="125"/>
      <c r="AK66" s="125"/>
      <c r="AL66" s="125"/>
    </row>
    <row r="67" spans="2:38" ht="21.95" customHeight="1" x14ac:dyDescent="0.2">
      <c r="B67" s="273"/>
      <c r="C67" s="143" t="s">
        <v>610</v>
      </c>
      <c r="D67" s="143" t="s">
        <v>23</v>
      </c>
      <c r="E67" s="143" t="str" cm="1">
        <f t="array" ref="E67:E70">_xlfn.ANCHORARRAY($B$49)</f>
        <v>NOx</v>
      </c>
      <c r="F67" s="593" cm="1">
        <f t="array" ref="F67:AE67">_xlfn.XLOOKUP(D67 &amp;_xlfn.ANCHORARRAY( $F$18) &amp; year, EmissionFactors[Vehicle] &amp; EmissionFactors[Speed] &amp; EmissionFactors[Year], EmissionFactors[NOx], , 0)</f>
        <v>0.1408309065625</v>
      </c>
      <c r="G67" s="593">
        <v>0.12738491187500001</v>
      </c>
      <c r="H67" s="593">
        <v>0.1139389171875</v>
      </c>
      <c r="I67" s="593">
        <v>0.1004929225</v>
      </c>
      <c r="J67" s="593">
        <v>8.7046927812499994E-2</v>
      </c>
      <c r="K67" s="593">
        <v>7.3600933125000004E-2</v>
      </c>
      <c r="L67" s="593">
        <v>6.01549384375E-2</v>
      </c>
      <c r="M67" s="593">
        <v>4.6708943750000002E-2</v>
      </c>
      <c r="N67" s="593">
        <v>3.3262949062499998E-2</v>
      </c>
      <c r="O67" s="593">
        <v>3.0531011237499999E-2</v>
      </c>
      <c r="P67" s="593">
        <v>2.77990734125E-2</v>
      </c>
      <c r="Q67" s="593">
        <v>2.5067135587500001E-2</v>
      </c>
      <c r="R67" s="593">
        <v>2.2335197762500002E-2</v>
      </c>
      <c r="S67" s="593">
        <v>1.9603259937499999E-2</v>
      </c>
      <c r="T67" s="593">
        <v>1.68713221125E-2</v>
      </c>
      <c r="U67" s="593">
        <v>1.4139384287499999E-2</v>
      </c>
      <c r="V67" s="593">
        <v>1.14074464625E-2</v>
      </c>
      <c r="W67" s="593">
        <v>8.6755086374999991E-3</v>
      </c>
      <c r="X67" s="593">
        <v>5.9435708125E-3</v>
      </c>
      <c r="Y67" s="593">
        <v>5.7164753437500002E-3</v>
      </c>
      <c r="Z67" s="593">
        <v>5.4893798750000004E-3</v>
      </c>
      <c r="AA67" s="593">
        <v>5.2622844062499997E-3</v>
      </c>
      <c r="AB67" s="593">
        <v>5.0351889374999998E-3</v>
      </c>
      <c r="AC67" s="593">
        <v>4.80809346875E-3</v>
      </c>
      <c r="AD67" s="593">
        <v>4.5809980000000002E-3</v>
      </c>
      <c r="AE67" s="594">
        <v>4.3539025312500004E-3</v>
      </c>
      <c r="AF67" s="25">
        <v>4.3539025312500004E-3</v>
      </c>
      <c r="AG67" s="25"/>
      <c r="AH67" s="25"/>
      <c r="AI67" s="25"/>
      <c r="AJ67" s="25"/>
      <c r="AK67" s="25"/>
      <c r="AL67" s="25"/>
    </row>
    <row r="68" spans="2:38" ht="21.95" customHeight="1" x14ac:dyDescent="0.2">
      <c r="B68" s="524"/>
      <c r="C68" s="143"/>
      <c r="D68" s="143"/>
      <c r="E68" s="143" t="str">
        <v>PM2.5</v>
      </c>
      <c r="F68" s="593" cm="1">
        <f t="array" ref="F68:AE68">_xlfn.XLOOKUP(D67 &amp;_xlfn.ANCHORARRAY( $F$18) &amp; year, EmissionFactors[Vehicle] &amp; EmissionFactors[Speed] &amp; EmissionFactors[Year], EmissionFactors[PM2.5], , 0)</f>
        <v>2.0760212249999999E-3</v>
      </c>
      <c r="G68" s="593">
        <v>1.9818812750000002E-3</v>
      </c>
      <c r="H68" s="593">
        <v>1.8877413250000001E-3</v>
      </c>
      <c r="I68" s="593">
        <v>1.7936013749999999E-3</v>
      </c>
      <c r="J68" s="593">
        <v>1.699461425E-3</v>
      </c>
      <c r="K68" s="593">
        <v>1.6053214750000001E-3</v>
      </c>
      <c r="L68" s="593">
        <v>1.511181525E-3</v>
      </c>
      <c r="M68" s="593">
        <v>1.417041575E-3</v>
      </c>
      <c r="N68" s="593">
        <v>1.3229016249999999E-3</v>
      </c>
      <c r="O68" s="593">
        <v>1.2980415875E-3</v>
      </c>
      <c r="P68" s="593">
        <v>1.2731815499999999E-3</v>
      </c>
      <c r="Q68" s="593">
        <v>1.2483215125000001E-3</v>
      </c>
      <c r="R68" s="593">
        <v>1.223461475E-3</v>
      </c>
      <c r="S68" s="593">
        <v>1.1986014375000001E-3</v>
      </c>
      <c r="T68" s="593">
        <v>1.1737414E-3</v>
      </c>
      <c r="U68" s="593">
        <v>1.1488813625000001E-3</v>
      </c>
      <c r="V68" s="593">
        <v>1.124021325E-3</v>
      </c>
      <c r="W68" s="593">
        <v>1.0991612874999999E-3</v>
      </c>
      <c r="X68" s="593">
        <v>1.07430125E-3</v>
      </c>
      <c r="Y68" s="593">
        <v>1.0714165999999999E-3</v>
      </c>
      <c r="Z68" s="593">
        <v>1.0685319500000001E-3</v>
      </c>
      <c r="AA68" s="593">
        <v>1.0656473E-3</v>
      </c>
      <c r="AB68" s="593">
        <v>1.0627626500000001E-3</v>
      </c>
      <c r="AC68" s="593">
        <v>1.059878E-3</v>
      </c>
      <c r="AD68" s="593">
        <v>1.0569933499999999E-3</v>
      </c>
      <c r="AE68" s="594">
        <v>1.0541087E-3</v>
      </c>
      <c r="AF68" s="25">
        <v>1.0541087E-3</v>
      </c>
      <c r="AG68" s="25"/>
      <c r="AH68" s="25"/>
      <c r="AI68" s="25"/>
      <c r="AJ68" s="25"/>
      <c r="AK68" s="25"/>
      <c r="AL68" s="25"/>
    </row>
    <row r="69" spans="2:38" ht="21.95" customHeight="1" x14ac:dyDescent="0.2">
      <c r="B69" s="277"/>
      <c r="C69" s="143"/>
      <c r="D69" s="143"/>
      <c r="E69" s="143" t="str">
        <v>SO2</v>
      </c>
      <c r="F69" s="593" cm="1">
        <f t="array" ref="F69:AE69">_xlfn.XLOOKUP(D67 &amp;_xlfn.ANCHORARRAY( $F$18) &amp; year, EmissionFactors[Vehicle] &amp; EmissionFactors[Speed] &amp; EmissionFactors[Year], EmissionFactors[SO2], , 0)</f>
        <v>1.764474E-3</v>
      </c>
      <c r="G69" s="593">
        <v>1.7257360000000001E-3</v>
      </c>
      <c r="H69" s="593">
        <v>1.6869980000000001E-3</v>
      </c>
      <c r="I69" s="593">
        <v>1.6482599999999999E-3</v>
      </c>
      <c r="J69" s="593">
        <v>1.6095219999999999E-3</v>
      </c>
      <c r="K69" s="593">
        <v>1.570784E-3</v>
      </c>
      <c r="L69" s="593">
        <v>1.532046E-3</v>
      </c>
      <c r="M69" s="593">
        <v>1.493308E-3</v>
      </c>
      <c r="N69" s="593">
        <v>1.4545700000000001E-3</v>
      </c>
      <c r="O69" s="593">
        <v>1.440417875E-3</v>
      </c>
      <c r="P69" s="593">
        <v>1.42626575E-3</v>
      </c>
      <c r="Q69" s="593">
        <v>1.4121136250000001E-3</v>
      </c>
      <c r="R69" s="593">
        <v>1.3979615E-3</v>
      </c>
      <c r="S69" s="593">
        <v>1.383809375E-3</v>
      </c>
      <c r="T69" s="593">
        <v>1.3696572499999999E-3</v>
      </c>
      <c r="U69" s="593">
        <v>1.3555051250000001E-3</v>
      </c>
      <c r="V69" s="593">
        <v>1.341353E-3</v>
      </c>
      <c r="W69" s="593">
        <v>1.3272008749999999E-3</v>
      </c>
      <c r="X69" s="593">
        <v>1.3130487500000001E-3</v>
      </c>
      <c r="Y69" s="593">
        <v>1.3103486249999999E-3</v>
      </c>
      <c r="Z69" s="593">
        <v>1.3076485E-3</v>
      </c>
      <c r="AA69" s="593">
        <v>1.304948375E-3</v>
      </c>
      <c r="AB69" s="593">
        <v>1.3022482500000001E-3</v>
      </c>
      <c r="AC69" s="593">
        <v>1.2995481249999999E-3</v>
      </c>
      <c r="AD69" s="593">
        <v>1.296848E-3</v>
      </c>
      <c r="AE69" s="594">
        <v>1.294147875E-3</v>
      </c>
      <c r="AF69" s="25">
        <v>1.294147875E-3</v>
      </c>
      <c r="AG69" s="25"/>
      <c r="AH69" s="25"/>
      <c r="AI69" s="25"/>
      <c r="AJ69" s="25"/>
      <c r="AK69" s="25"/>
      <c r="AL69" s="25"/>
    </row>
    <row r="70" spans="2:38" ht="21.95" customHeight="1" x14ac:dyDescent="0.2">
      <c r="B70" s="277"/>
      <c r="C70" s="143"/>
      <c r="D70" s="152"/>
      <c r="E70" s="152" t="str">
        <v>CO2</v>
      </c>
      <c r="F70" s="338" cm="1">
        <f t="array" ref="F70:AE70">_xlfn.XLOOKUP(D67 &amp;_xlfn.ANCHORARRAY( $F$18) &amp; year, EmissionFactors[Vehicle] &amp; EmissionFactors[Speed] &amp; EmissionFactors[Year], EmissionFactors[CO2], , 0)</f>
        <v>265.61145478499998</v>
      </c>
      <c r="G70" s="338">
        <v>259.78011628374998</v>
      </c>
      <c r="H70" s="338">
        <v>253.9487777825</v>
      </c>
      <c r="I70" s="338">
        <v>248.11743928125</v>
      </c>
      <c r="J70" s="338">
        <v>242.28610078</v>
      </c>
      <c r="K70" s="338">
        <v>236.45476227875</v>
      </c>
      <c r="L70" s="338">
        <v>230.62342377749999</v>
      </c>
      <c r="M70" s="338">
        <v>224.79208527624999</v>
      </c>
      <c r="N70" s="338">
        <v>218.96074677499999</v>
      </c>
      <c r="O70" s="338">
        <v>216.83038445375001</v>
      </c>
      <c r="P70" s="338">
        <v>214.70002213250001</v>
      </c>
      <c r="Q70" s="338">
        <v>212.56965981125001</v>
      </c>
      <c r="R70" s="338">
        <v>210.43929749</v>
      </c>
      <c r="S70" s="338">
        <v>208.30893516875</v>
      </c>
      <c r="T70" s="338">
        <v>206.17857284749999</v>
      </c>
      <c r="U70" s="338">
        <v>204.04821052624999</v>
      </c>
      <c r="V70" s="338">
        <v>201.91784820500001</v>
      </c>
      <c r="W70" s="338">
        <v>199.78748588375001</v>
      </c>
      <c r="X70" s="338">
        <v>197.6571235625</v>
      </c>
      <c r="Y70" s="338">
        <v>197.25066165499999</v>
      </c>
      <c r="Z70" s="338">
        <v>196.8441997475</v>
      </c>
      <c r="AA70" s="338">
        <v>196.43773784000001</v>
      </c>
      <c r="AB70" s="338">
        <v>196.03127593249999</v>
      </c>
      <c r="AC70" s="338">
        <v>195.62481402500001</v>
      </c>
      <c r="AD70" s="338">
        <v>195.21835211749999</v>
      </c>
      <c r="AE70" s="596">
        <v>194.81189021</v>
      </c>
      <c r="AF70" s="125">
        <v>194.81189021</v>
      </c>
      <c r="AG70" s="125"/>
      <c r="AH70" s="125"/>
      <c r="AI70" s="125"/>
      <c r="AJ70" s="125"/>
      <c r="AK70" s="125"/>
      <c r="AL70" s="125"/>
    </row>
    <row r="71" spans="2:38" ht="21.95" customHeight="1" x14ac:dyDescent="0.2">
      <c r="B71" s="277"/>
      <c r="C71" s="143"/>
      <c r="D71" s="143" t="s">
        <v>22</v>
      </c>
      <c r="E71" s="143" t="str" cm="1">
        <f t="array" ref="E71:E74">_xlfn.ANCHORARRAY($B$49)</f>
        <v>NOx</v>
      </c>
      <c r="F71" s="593" cm="1">
        <f t="array" ref="F71:AE71">_xlfn.XLOOKUP(D71 &amp;_xlfn.ANCHORARRAY( $F$18) &amp; year, EmissionFactors[Vehicle] &amp; EmissionFactors[Speed] &amp; EmissionFactors[Year], EmissionFactors[NOx], , 0)</f>
        <v>3.4335495150000002</v>
      </c>
      <c r="G71" s="593">
        <v>3.250379895125</v>
      </c>
      <c r="H71" s="593">
        <v>3.0672102752499999</v>
      </c>
      <c r="I71" s="593">
        <v>2.8840406553750002</v>
      </c>
      <c r="J71" s="593">
        <v>2.7008710355000001</v>
      </c>
      <c r="K71" s="593">
        <v>2.5177014156249999</v>
      </c>
      <c r="L71" s="593">
        <v>2.3345317957499998</v>
      </c>
      <c r="M71" s="593">
        <v>2.1513621758750001</v>
      </c>
      <c r="N71" s="593">
        <v>1.968192556</v>
      </c>
      <c r="O71" s="593">
        <v>1.942730286275</v>
      </c>
      <c r="P71" s="593">
        <v>1.91726801655</v>
      </c>
      <c r="Q71" s="593">
        <v>1.891805746825</v>
      </c>
      <c r="R71" s="593">
        <v>1.8663434771</v>
      </c>
      <c r="S71" s="593">
        <v>1.8408812073750001</v>
      </c>
      <c r="T71" s="593">
        <v>1.8154189376500001</v>
      </c>
      <c r="U71" s="593">
        <v>1.7899566679250001</v>
      </c>
      <c r="V71" s="593">
        <v>1.7644943982000001</v>
      </c>
      <c r="W71" s="593">
        <v>1.7390321284750001</v>
      </c>
      <c r="X71" s="593">
        <v>1.7135698587499999</v>
      </c>
      <c r="Y71" s="593">
        <v>1.7066797175999999</v>
      </c>
      <c r="Z71" s="593">
        <v>1.69978957645</v>
      </c>
      <c r="AA71" s="593">
        <v>1.6928994353</v>
      </c>
      <c r="AB71" s="593">
        <v>1.68600929415</v>
      </c>
      <c r="AC71" s="593">
        <v>1.679119153</v>
      </c>
      <c r="AD71" s="593">
        <v>1.6722290118500001</v>
      </c>
      <c r="AE71" s="594">
        <v>1.6653388707000001</v>
      </c>
      <c r="AF71" s="25">
        <v>1.6653388707000001</v>
      </c>
      <c r="AG71" s="25"/>
      <c r="AH71" s="25"/>
      <c r="AI71" s="25"/>
      <c r="AJ71" s="25"/>
      <c r="AK71" s="25"/>
      <c r="AL71" s="25"/>
    </row>
    <row r="72" spans="2:38" ht="21.95" customHeight="1" x14ac:dyDescent="0.2">
      <c r="B72" s="277"/>
      <c r="C72" s="143"/>
      <c r="D72" s="143"/>
      <c r="E72" s="143" t="str">
        <v>PM2.5</v>
      </c>
      <c r="F72" s="593" cm="1">
        <f t="array" ref="F72:AE72">_xlfn.XLOOKUP(D71 &amp;_xlfn.ANCHORARRAY( $F$18) &amp; year, EmissionFactors[Vehicle] &amp; EmissionFactors[Speed] &amp; EmissionFactors[Year], EmissionFactors[PM2.5], , 0)</f>
        <v>6.8292527000000006E-2</v>
      </c>
      <c r="G72" s="593">
        <v>6.3024888500000001E-2</v>
      </c>
      <c r="H72" s="593">
        <v>5.7757250000000003E-2</v>
      </c>
      <c r="I72" s="593">
        <v>5.2489611499999998E-2</v>
      </c>
      <c r="J72" s="593">
        <v>4.7221973E-2</v>
      </c>
      <c r="K72" s="593">
        <v>4.1954334500000003E-2</v>
      </c>
      <c r="L72" s="593">
        <v>3.6686695999999998E-2</v>
      </c>
      <c r="M72" s="593">
        <v>3.14190575E-2</v>
      </c>
      <c r="N72" s="593">
        <v>2.6151418999999999E-2</v>
      </c>
      <c r="O72" s="593">
        <v>2.5456408E-2</v>
      </c>
      <c r="P72" s="593">
        <v>2.4761397000000001E-2</v>
      </c>
      <c r="Q72" s="593">
        <v>2.4066385999999999E-2</v>
      </c>
      <c r="R72" s="593">
        <v>2.3371375E-2</v>
      </c>
      <c r="S72" s="593">
        <v>2.2676364000000001E-2</v>
      </c>
      <c r="T72" s="593">
        <v>2.1981352999999999E-2</v>
      </c>
      <c r="U72" s="593">
        <v>2.1286342E-2</v>
      </c>
      <c r="V72" s="593">
        <v>2.0591331000000001E-2</v>
      </c>
      <c r="W72" s="593">
        <v>1.9896319999999999E-2</v>
      </c>
      <c r="X72" s="593">
        <v>1.9201309E-2</v>
      </c>
      <c r="Y72" s="593">
        <v>1.9014359099999999E-2</v>
      </c>
      <c r="Z72" s="593">
        <v>1.8827409199999999E-2</v>
      </c>
      <c r="AA72" s="593">
        <v>1.8640459299999999E-2</v>
      </c>
      <c r="AB72" s="593">
        <v>1.8453509399999998E-2</v>
      </c>
      <c r="AC72" s="593">
        <v>1.8266559500000001E-2</v>
      </c>
      <c r="AD72" s="593">
        <v>1.8079609600000001E-2</v>
      </c>
      <c r="AE72" s="594">
        <v>1.7892659700000001E-2</v>
      </c>
      <c r="AF72" s="25">
        <v>1.7892659700000001E-2</v>
      </c>
      <c r="AG72" s="25"/>
      <c r="AH72" s="25"/>
      <c r="AI72" s="25"/>
      <c r="AJ72" s="25"/>
      <c r="AK72" s="25"/>
      <c r="AL72" s="25"/>
    </row>
    <row r="73" spans="2:38" ht="21.95" customHeight="1" x14ac:dyDescent="0.2">
      <c r="B73" s="277"/>
      <c r="C73" s="143"/>
      <c r="D73" s="143"/>
      <c r="E73" s="143" t="str">
        <v>SO2</v>
      </c>
      <c r="F73" s="593" cm="1">
        <f t="array" ref="F73:AE73">_xlfn.XLOOKUP(D71 &amp;_xlfn.ANCHORARRAY( $F$18) &amp; year, EmissionFactors[Vehicle] &amp; EmissionFactors[Speed] &amp; EmissionFactors[Year], EmissionFactors[SO2], , 0)</f>
        <v>5.4307921250000002E-3</v>
      </c>
      <c r="G73" s="593">
        <v>5.3268381875000003E-3</v>
      </c>
      <c r="H73" s="593">
        <v>5.2228842500000004E-3</v>
      </c>
      <c r="I73" s="593">
        <v>5.1189303124999997E-3</v>
      </c>
      <c r="J73" s="593">
        <v>5.0149763749999998E-3</v>
      </c>
      <c r="K73" s="593">
        <v>4.9110224374999999E-3</v>
      </c>
      <c r="L73" s="593">
        <v>4.8070685E-3</v>
      </c>
      <c r="M73" s="593">
        <v>4.7031145625000001E-3</v>
      </c>
      <c r="N73" s="593">
        <v>4.5991606250000002E-3</v>
      </c>
      <c r="O73" s="593">
        <v>4.5627875625000001E-3</v>
      </c>
      <c r="P73" s="593">
        <v>4.5264145E-3</v>
      </c>
      <c r="Q73" s="593">
        <v>4.4900414374999999E-3</v>
      </c>
      <c r="R73" s="593">
        <v>4.4536683749999998E-3</v>
      </c>
      <c r="S73" s="593">
        <v>4.4172953124999997E-3</v>
      </c>
      <c r="T73" s="593">
        <v>4.3809222499999996E-3</v>
      </c>
      <c r="U73" s="593">
        <v>4.3445491875000004E-3</v>
      </c>
      <c r="V73" s="593">
        <v>4.3081761250000003E-3</v>
      </c>
      <c r="W73" s="593">
        <v>4.2718030625000002E-3</v>
      </c>
      <c r="X73" s="593">
        <v>4.2354300000000001E-3</v>
      </c>
      <c r="Y73" s="593">
        <v>4.2308470000000003E-3</v>
      </c>
      <c r="Z73" s="593">
        <v>4.2262640000000004E-3</v>
      </c>
      <c r="AA73" s="593">
        <v>4.2216809999999997E-3</v>
      </c>
      <c r="AB73" s="593">
        <v>4.2170979999999999E-3</v>
      </c>
      <c r="AC73" s="593">
        <v>4.212515E-3</v>
      </c>
      <c r="AD73" s="593">
        <v>4.2079320000000002E-3</v>
      </c>
      <c r="AE73" s="594">
        <v>4.2033490000000003E-3</v>
      </c>
      <c r="AF73" s="25">
        <v>4.2033490000000003E-3</v>
      </c>
      <c r="AG73" s="25"/>
      <c r="AH73" s="25"/>
      <c r="AI73" s="25"/>
      <c r="AJ73" s="25"/>
      <c r="AK73" s="25"/>
      <c r="AL73" s="25"/>
    </row>
    <row r="74" spans="2:38" ht="21.95" customHeight="1" x14ac:dyDescent="0.2">
      <c r="B74" s="290"/>
      <c r="C74" s="291"/>
      <c r="D74" s="291"/>
      <c r="E74" s="291" t="str">
        <v>CO2</v>
      </c>
      <c r="F74" s="340" cm="1">
        <f t="array" ref="F74:AE74">_xlfn.XLOOKUP(D71 &amp;_xlfn.ANCHORARRAY( $F$18) &amp; year, EmissionFactors[Vehicle] &amp; EmissionFactors[Speed] &amp; EmissionFactors[Year], EmissionFactors[CO2], , 0)</f>
        <v>1618.1020020000001</v>
      </c>
      <c r="G74" s="340">
        <v>1588.0880004999999</v>
      </c>
      <c r="H74" s="340">
        <v>1558.073999</v>
      </c>
      <c r="I74" s="340">
        <v>1528.0599975</v>
      </c>
      <c r="J74" s="340">
        <v>1498.0459960000001</v>
      </c>
      <c r="K74" s="340">
        <v>1468.0319945000001</v>
      </c>
      <c r="L74" s="340">
        <v>1438.0179929999999</v>
      </c>
      <c r="M74" s="340">
        <v>1408.0039915</v>
      </c>
      <c r="N74" s="340">
        <v>1377.98999</v>
      </c>
      <c r="O74" s="340">
        <v>1367.1959959000001</v>
      </c>
      <c r="P74" s="340">
        <v>1356.4020018000001</v>
      </c>
      <c r="Q74" s="340">
        <v>1345.6080076999999</v>
      </c>
      <c r="R74" s="340">
        <v>1334.8140136</v>
      </c>
      <c r="S74" s="340">
        <v>1324.0200195</v>
      </c>
      <c r="T74" s="340">
        <v>1313.2260254</v>
      </c>
      <c r="U74" s="340">
        <v>1302.4320313000001</v>
      </c>
      <c r="V74" s="340">
        <v>1291.6380372000001</v>
      </c>
      <c r="W74" s="340">
        <v>1280.8440430999999</v>
      </c>
      <c r="X74" s="340">
        <v>1270.0500489999999</v>
      </c>
      <c r="Y74" s="340">
        <v>1268.67605</v>
      </c>
      <c r="Z74" s="340">
        <v>1267.3020509999999</v>
      </c>
      <c r="AA74" s="340">
        <v>1265.928052</v>
      </c>
      <c r="AB74" s="340">
        <v>1264.5540530000001</v>
      </c>
      <c r="AC74" s="340">
        <v>1263.1800539999999</v>
      </c>
      <c r="AD74" s="340">
        <v>1261.806055</v>
      </c>
      <c r="AE74" s="597">
        <v>1260.4320560000001</v>
      </c>
      <c r="AF74" s="125">
        <v>1260.4320560000001</v>
      </c>
      <c r="AG74" s="125"/>
      <c r="AH74" s="125"/>
      <c r="AI74" s="125"/>
      <c r="AJ74" s="125"/>
      <c r="AK74" s="125"/>
      <c r="AL74" s="125"/>
    </row>
    <row r="75" spans="2:38" ht="21.95" customHeight="1" x14ac:dyDescent="0.2">
      <c r="B75" s="1"/>
      <c r="E7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row>
    <row r="76" spans="2:38" ht="21.95" hidden="1" customHeight="1" x14ac:dyDescent="0.2">
      <c r="B76" s="9"/>
      <c r="E76"/>
      <c r="F76"/>
      <c r="G76"/>
      <c r="H76"/>
      <c r="I76"/>
      <c r="AC76" s="25"/>
      <c r="AD76" s="25"/>
      <c r="AE76" s="25"/>
      <c r="AF76" s="25"/>
      <c r="AG76" s="25"/>
      <c r="AH76" s="25"/>
      <c r="AI76" s="25"/>
      <c r="AJ76" s="25"/>
      <c r="AK76" s="25"/>
      <c r="AL76" s="25"/>
    </row>
    <row r="77" spans="2:38" ht="21.95" hidden="1" customHeight="1" x14ac:dyDescent="0.2">
      <c r="E77"/>
      <c r="F77"/>
      <c r="G77"/>
      <c r="H77"/>
      <c r="I77"/>
      <c r="AL77" s="25"/>
    </row>
    <row r="78" spans="2:38" ht="21.95" hidden="1" customHeight="1" x14ac:dyDescent="0.2">
      <c r="E78"/>
      <c r="F78"/>
      <c r="G78"/>
      <c r="H78"/>
      <c r="I78"/>
      <c r="AL78" s="25"/>
    </row>
    <row r="79" spans="2:38" ht="21.95" hidden="1" customHeight="1" x14ac:dyDescent="0.2">
      <c r="E79"/>
      <c r="F79"/>
      <c r="G79"/>
      <c r="H79"/>
      <c r="I79"/>
      <c r="AL79" s="25"/>
    </row>
    <row r="80" spans="2:38" ht="21.95" hidden="1" customHeight="1" x14ac:dyDescent="0.2">
      <c r="E80"/>
      <c r="F80"/>
      <c r="G80"/>
      <c r="H80"/>
      <c r="I80"/>
      <c r="AL80" s="25"/>
    </row>
    <row r="81" spans="2:38" ht="21.95" hidden="1" customHeight="1" x14ac:dyDescent="0.2">
      <c r="E81"/>
      <c r="F81"/>
      <c r="G81"/>
      <c r="H81"/>
      <c r="I81"/>
      <c r="AL81" s="25"/>
    </row>
    <row r="82" spans="2:38" ht="21.95" hidden="1" customHeight="1" x14ac:dyDescent="0.2">
      <c r="E82"/>
      <c r="F82"/>
      <c r="G82"/>
      <c r="H82"/>
      <c r="I82"/>
      <c r="AL82" s="25"/>
    </row>
    <row r="83" spans="2:38" ht="21.95" hidden="1" customHeight="1" x14ac:dyDescent="0.2">
      <c r="B83" s="1"/>
      <c r="E83"/>
      <c r="F83"/>
      <c r="G83"/>
      <c r="H83"/>
      <c r="I83"/>
      <c r="AL83" s="25"/>
    </row>
    <row r="84" spans="2:38" ht="21.95" hidden="1" customHeight="1" x14ac:dyDescent="0.2">
      <c r="B84" s="9"/>
      <c r="E84"/>
      <c r="F84"/>
      <c r="G84"/>
      <c r="H84"/>
      <c r="I84"/>
      <c r="AL84" s="25"/>
    </row>
    <row r="85" spans="2:38" ht="21.95" hidden="1" customHeight="1" x14ac:dyDescent="0.2">
      <c r="E85"/>
      <c r="F85"/>
      <c r="G85"/>
      <c r="H85"/>
      <c r="I85"/>
      <c r="AL85" s="25"/>
    </row>
    <row r="86" spans="2:38" ht="21.95" hidden="1" customHeight="1" x14ac:dyDescent="0.2">
      <c r="E86"/>
      <c r="F86"/>
      <c r="G86"/>
      <c r="H86"/>
      <c r="I86"/>
      <c r="AL86" s="25"/>
    </row>
    <row r="87" spans="2:38" ht="21.95" hidden="1" customHeight="1" x14ac:dyDescent="0.2">
      <c r="E87"/>
      <c r="F87"/>
      <c r="G87"/>
      <c r="H87"/>
      <c r="I87"/>
      <c r="AL87" s="25"/>
    </row>
    <row r="88" spans="2:38" ht="21.95" hidden="1" customHeight="1" x14ac:dyDescent="0.2">
      <c r="E88"/>
      <c r="F88"/>
      <c r="G88"/>
      <c r="H88"/>
      <c r="I88"/>
      <c r="AL88" s="25"/>
    </row>
    <row r="89" spans="2:38" ht="21.95" hidden="1" customHeight="1" x14ac:dyDescent="0.2">
      <c r="E89"/>
      <c r="F89"/>
      <c r="G89"/>
      <c r="H89"/>
      <c r="I89"/>
      <c r="AL89" s="25"/>
    </row>
    <row r="90" spans="2:38" ht="21.95" hidden="1" customHeight="1" x14ac:dyDescent="0.2">
      <c r="E90"/>
      <c r="F90"/>
      <c r="G90"/>
      <c r="H90"/>
      <c r="I90"/>
      <c r="AL90" s="25"/>
    </row>
    <row r="91" spans="2:38" ht="21.95" hidden="1" customHeight="1" x14ac:dyDescent="0.2">
      <c r="B91" s="1"/>
      <c r="E91"/>
      <c r="F91"/>
      <c r="G91"/>
      <c r="H91"/>
      <c r="I91"/>
      <c r="AL91" s="25"/>
    </row>
    <row r="92" spans="2:38" ht="21.95" hidden="1" customHeight="1" x14ac:dyDescent="0.2">
      <c r="B92" s="9"/>
      <c r="E92"/>
      <c r="F92"/>
      <c r="G92"/>
      <c r="H92"/>
      <c r="I92"/>
      <c r="AL92" s="25"/>
    </row>
    <row r="93" spans="2:38" ht="21.95" hidden="1" customHeight="1" x14ac:dyDescent="0.2">
      <c r="E93"/>
      <c r="F93"/>
      <c r="G93"/>
      <c r="H93"/>
      <c r="I93"/>
      <c r="AL93" s="25"/>
    </row>
    <row r="94" spans="2:38" ht="21.95" hidden="1" customHeight="1" x14ac:dyDescent="0.2">
      <c r="E94"/>
      <c r="F94"/>
      <c r="G94"/>
      <c r="H94"/>
      <c r="I94"/>
      <c r="AL94" s="25"/>
    </row>
    <row r="95" spans="2:38" ht="21.95" hidden="1" customHeight="1" x14ac:dyDescent="0.2">
      <c r="E95"/>
      <c r="F95"/>
      <c r="G95"/>
      <c r="H95"/>
      <c r="I95"/>
      <c r="AL95" s="25"/>
    </row>
    <row r="96" spans="2:38" ht="21.95" hidden="1" customHeight="1" x14ac:dyDescent="0.2">
      <c r="E96"/>
      <c r="F96"/>
      <c r="G96"/>
      <c r="H96"/>
      <c r="I96"/>
      <c r="AL96" s="25"/>
    </row>
    <row r="97" spans="2:38" ht="21.95" hidden="1" customHeight="1" x14ac:dyDescent="0.2">
      <c r="E97"/>
      <c r="F97"/>
      <c r="G97"/>
      <c r="H97"/>
      <c r="I97"/>
      <c r="AL97" s="25"/>
    </row>
    <row r="98" spans="2:38" ht="21.95" hidden="1" customHeight="1" x14ac:dyDescent="0.2">
      <c r="E98"/>
      <c r="F98"/>
      <c r="G98"/>
      <c r="H98"/>
      <c r="I98"/>
      <c r="AL98" s="25"/>
    </row>
    <row r="99" spans="2:38" ht="21.95" hidden="1" customHeight="1" x14ac:dyDescent="0.2">
      <c r="B99" s="1"/>
      <c r="E99"/>
      <c r="F99"/>
      <c r="G99"/>
      <c r="H99"/>
      <c r="I99"/>
      <c r="AL99" s="25"/>
    </row>
    <row r="100" spans="2:38" ht="21.95" hidden="1" customHeight="1" x14ac:dyDescent="0.2">
      <c r="B100" s="9"/>
      <c r="E100"/>
      <c r="F100"/>
      <c r="G100"/>
      <c r="H100"/>
      <c r="I100"/>
      <c r="AL100" s="25"/>
    </row>
    <row r="101" spans="2:38" ht="21.95" hidden="1" customHeight="1" x14ac:dyDescent="0.2">
      <c r="E101"/>
      <c r="F101"/>
      <c r="G101"/>
      <c r="H101"/>
      <c r="I101"/>
      <c r="AL101" s="25"/>
    </row>
    <row r="102" spans="2:38" ht="21.95" hidden="1" customHeight="1" x14ac:dyDescent="0.2">
      <c r="E102"/>
      <c r="F102"/>
      <c r="G102"/>
      <c r="H102"/>
      <c r="I102"/>
      <c r="AL102" s="25"/>
    </row>
    <row r="103" spans="2:38" ht="21.95" hidden="1" customHeight="1" x14ac:dyDescent="0.2">
      <c r="E103"/>
      <c r="F103"/>
      <c r="G103"/>
      <c r="H103"/>
      <c r="I103"/>
      <c r="AL103" s="25"/>
    </row>
    <row r="104" spans="2:38" ht="21.95" hidden="1" customHeight="1" x14ac:dyDescent="0.2">
      <c r="E104"/>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row>
    <row r="105" spans="2:38" ht="21.95" customHeight="1" x14ac:dyDescent="0.2">
      <c r="E10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row>
    <row r="106" spans="2:38" ht="21.95" customHeight="1" x14ac:dyDescent="0.2">
      <c r="B106" s="50"/>
      <c r="C106" s="50"/>
      <c r="D106" s="50"/>
      <c r="E106" s="50"/>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row>
    <row r="107" spans="2:38" ht="21.95" customHeight="1" x14ac:dyDescent="0.2">
      <c r="B107" s="1" t="s">
        <v>56</v>
      </c>
      <c r="C107" t="s">
        <v>609</v>
      </c>
      <c r="D107" t="s">
        <v>280</v>
      </c>
      <c r="E107" t="str" cm="1">
        <f t="array" ref="E107:E110">_xlfn.ANCHORARRAY($B$49)</f>
        <v>NOx</v>
      </c>
      <c r="F107" s="25" cm="1">
        <f t="array" ref="F107:AE107">_xlfn.ANCHORARRAY($F$33) * ($C$12 *_xlfn.ANCHORARRAY( F59) + $C$13 *_xlfn.ANCHORARRAY( F63)) / tonsToGrams</f>
        <v>31.08149477961252</v>
      </c>
      <c r="G107" s="25">
        <v>29.698133310713715</v>
      </c>
      <c r="H107" s="25">
        <v>28.263511941144166</v>
      </c>
      <c r="I107" s="25">
        <v>26.776359555551334</v>
      </c>
      <c r="J107" s="25">
        <v>25.235377720583394</v>
      </c>
      <c r="K107" s="25">
        <v>23.639240139790552</v>
      </c>
      <c r="L107" s="25">
        <v>21.98659209813356</v>
      </c>
      <c r="M107" s="25">
        <v>20.276049895907693</v>
      </c>
      <c r="N107" s="25">
        <v>18.50620027188652</v>
      </c>
      <c r="O107" s="25">
        <v>18.471517521900363</v>
      </c>
      <c r="P107" s="25">
        <v>18.431156122306934</v>
      </c>
      <c r="Q107" s="25">
        <v>18.384945870768945</v>
      </c>
      <c r="R107" s="25">
        <v>18.332712613363025</v>
      </c>
      <c r="S107" s="25">
        <v>18.274278162343261</v>
      </c>
      <c r="T107" s="25">
        <v>18.209460212295092</v>
      </c>
      <c r="U107" s="25">
        <v>18.13807225464841</v>
      </c>
      <c r="V107" s="25">
        <v>18.059923490520102</v>
      </c>
      <c r="W107" s="25">
        <v>17.97481874185387</v>
      </c>
      <c r="X107" s="25">
        <v>17.882558360825374</v>
      </c>
      <c r="Y107" s="25">
        <v>18.08249698127716</v>
      </c>
      <c r="Z107" s="25">
        <v>18.284298815736904</v>
      </c>
      <c r="AA107" s="25">
        <v>18.487972976108537</v>
      </c>
      <c r="AB107" s="25">
        <v>18.693528399409772</v>
      </c>
      <c r="AC107" s="25">
        <v>18.900973840007282</v>
      </c>
      <c r="AD107" s="25">
        <v>19.110317861650724</v>
      </c>
      <c r="AE107" s="25">
        <v>19.321568829301494</v>
      </c>
      <c r="AF107" s="25">
        <v>19.321568829301494</v>
      </c>
      <c r="AG107" s="25"/>
      <c r="AH107" s="25"/>
      <c r="AI107" s="25"/>
      <c r="AJ107" s="25"/>
      <c r="AK107" s="25"/>
      <c r="AL107" s="25"/>
    </row>
    <row r="108" spans="2:38" ht="21.95" customHeight="1" x14ac:dyDescent="0.2">
      <c r="B108" s="9" t="s">
        <v>91</v>
      </c>
      <c r="E108" t="str">
        <v>PM2.5</v>
      </c>
      <c r="F108" s="25" cm="1">
        <f t="array" ref="F108:AE108">_xlfn.ANCHORARRAY($F$33) * ($C$12 *_xlfn.ANCHORARRAY( F60) + $C$13 *_xlfn.ANCHORARRAY( F64)) / tonsToGrams</f>
        <v>0.5955283305157143</v>
      </c>
      <c r="G108" s="25">
        <v>0.56034168242416915</v>
      </c>
      <c r="H108" s="25">
        <v>0.52389954866287947</v>
      </c>
      <c r="I108" s="25">
        <v>0.48617111971100124</v>
      </c>
      <c r="J108" s="25">
        <v>0.44712492714078061</v>
      </c>
      <c r="K108" s="25">
        <v>0.40672883050710429</v>
      </c>
      <c r="L108" s="25">
        <v>0.36495000398755278</v>
      </c>
      <c r="M108" s="25">
        <v>0.32175492276835532</v>
      </c>
      <c r="N108" s="25">
        <v>0.27710934917155922</v>
      </c>
      <c r="O108" s="25">
        <v>0.27436203880165455</v>
      </c>
      <c r="P108" s="25">
        <v>0.27145954696440483</v>
      </c>
      <c r="Q108" s="25">
        <v>0.26839766851037233</v>
      </c>
      <c r="R108" s="25">
        <v>0.2651721043472019</v>
      </c>
      <c r="S108" s="25">
        <v>0.26177845952394435</v>
      </c>
      <c r="T108" s="25">
        <v>0.25821224127835152</v>
      </c>
      <c r="U108" s="25">
        <v>0.25446885704643668</v>
      </c>
      <c r="V108" s="25">
        <v>0.2505436124336145</v>
      </c>
      <c r="W108" s="25">
        <v>0.24643170914669135</v>
      </c>
      <c r="X108" s="25">
        <v>0.24212824288598009</v>
      </c>
      <c r="Y108" s="25">
        <v>0.24386427914753747</v>
      </c>
      <c r="Z108" s="25">
        <v>0.24559496659819122</v>
      </c>
      <c r="AA108" s="25">
        <v>0.247319706561099</v>
      </c>
      <c r="AB108" s="25">
        <v>0.24903788283511785</v>
      </c>
      <c r="AC108" s="25">
        <v>0.25074886129141055</v>
      </c>
      <c r="AD108" s="25">
        <v>0.25245198946169406</v>
      </c>
      <c r="AE108" s="25">
        <v>0.2541465961179703</v>
      </c>
      <c r="AF108" s="25">
        <v>0.2541465961179703</v>
      </c>
      <c r="AG108" s="25"/>
      <c r="AH108" s="25"/>
      <c r="AI108" s="25"/>
      <c r="AJ108" s="25"/>
      <c r="AK108" s="25"/>
      <c r="AL108" s="25"/>
    </row>
    <row r="109" spans="2:38" ht="21.95" customHeight="1" x14ac:dyDescent="0.2">
      <c r="E109" t="str">
        <v>SO2</v>
      </c>
      <c r="F109" s="25" cm="1">
        <f t="array" ref="F109:AE109">_xlfn.ANCHORARRAY($F$33) * ($C$12 *_xlfn.ANCHORARRAY( F61) + $C$13 *_xlfn.ANCHORARRAY( F65)) / tonsToGrams</f>
        <v>9.7376241522081533E-2</v>
      </c>
      <c r="G109" s="25">
        <v>9.6858299089473965E-2</v>
      </c>
      <c r="H109" s="25">
        <v>9.6299914706475948E-2</v>
      </c>
      <c r="I109" s="25">
        <v>9.5699943384370684E-2</v>
      </c>
      <c r="J109" s="25">
        <v>9.5057214106519849E-2</v>
      </c>
      <c r="K109" s="25">
        <v>9.4370529292625543E-2</v>
      </c>
      <c r="L109" s="25">
        <v>9.3638664252573625E-2</v>
      </c>
      <c r="M109" s="25">
        <v>9.2860366629664334E-2</v>
      </c>
      <c r="N109" s="25">
        <v>9.2034355833031226E-2</v>
      </c>
      <c r="O109" s="25">
        <v>9.2648600915676046E-2</v>
      </c>
      <c r="P109" s="25">
        <v>9.3259376099960517E-2</v>
      </c>
      <c r="Q109" s="25">
        <v>9.3866419896342868E-2</v>
      </c>
      <c r="R109" s="25">
        <v>9.4469463441999468E-2</v>
      </c>
      <c r="S109" s="25">
        <v>9.5068230333477444E-2</v>
      </c>
      <c r="T109" s="25">
        <v>9.5662436455906913E-2</v>
      </c>
      <c r="U109" s="25">
        <v>9.6251789808701707E-2</v>
      </c>
      <c r="V109" s="25">
        <v>9.6835990327686389E-2</v>
      </c>
      <c r="W109" s="25">
        <v>9.7414729703575786E-2</v>
      </c>
      <c r="X109" s="25">
        <v>9.7987691196737337E-2</v>
      </c>
      <c r="Y109" s="25">
        <v>9.936878227396008E-2</v>
      </c>
      <c r="Z109" s="25">
        <v>0.10076907290776743</v>
      </c>
      <c r="AA109" s="25">
        <v>0.10218882532284676</v>
      </c>
      <c r="AB109" s="25">
        <v>0.10362830524183285</v>
      </c>
      <c r="AC109" s="25">
        <v>0.1050877819304538</v>
      </c>
      <c r="AD109" s="25">
        <v>0.10656752824323137</v>
      </c>
      <c r="AE109" s="25">
        <v>0.10806782066974376</v>
      </c>
      <c r="AF109" s="25">
        <v>0.10806782066974376</v>
      </c>
      <c r="AG109" s="25"/>
      <c r="AH109" s="25"/>
      <c r="AI109" s="25"/>
      <c r="AJ109" s="25"/>
      <c r="AK109" s="25"/>
      <c r="AL109" s="25"/>
    </row>
    <row r="110" spans="2:38" ht="21.95" customHeight="1" x14ac:dyDescent="0.2">
      <c r="C110" s="50"/>
      <c r="D110" s="50"/>
      <c r="E110" s="50" t="str">
        <v>CO2</v>
      </c>
      <c r="F110" s="125" cm="1">
        <f t="array" ref="F110:AE110">_xlfn.ANCHORARRAY($F$33) * ($C$12 *_xlfn.ANCHORARRAY( F62) + $C$13 *_xlfn.ANCHORARRAY( F66)) / tonsToGrams</f>
        <v>20878.566630730053</v>
      </c>
      <c r="G110" s="125">
        <v>20785.153695969824</v>
      </c>
      <c r="H110" s="125">
        <v>20683.624956755095</v>
      </c>
      <c r="I110" s="125">
        <v>20573.748030235824</v>
      </c>
      <c r="J110" s="125">
        <v>20455.285228188503</v>
      </c>
      <c r="K110" s="125">
        <v>20327.993447565572</v>
      </c>
      <c r="L110" s="125">
        <v>20191.624058913265</v>
      </c>
      <c r="M110" s="125">
        <v>20045.922792618334</v>
      </c>
      <c r="N110" s="125">
        <v>19890.629622942579</v>
      </c>
      <c r="O110" s="125">
        <v>20030.564049523589</v>
      </c>
      <c r="P110" s="125">
        <v>20169.974709649028</v>
      </c>
      <c r="Q110" s="125">
        <v>20308.810430256603</v>
      </c>
      <c r="R110" s="125">
        <v>20447.018556858533</v>
      </c>
      <c r="S110" s="125">
        <v>20584.544919580057</v>
      </c>
      <c r="T110" s="125">
        <v>20721.333798496275</v>
      </c>
      <c r="U110" s="125">
        <v>20857.327888252305</v>
      </c>
      <c r="V110" s="125">
        <v>20992.468261954506</v>
      </c>
      <c r="W110" s="125">
        <v>21126.694334317246</v>
      </c>
      <c r="X110" s="125">
        <v>21259.943824051239</v>
      </c>
      <c r="Y110" s="125">
        <v>21563.171848524958</v>
      </c>
      <c r="Z110" s="125">
        <v>21870.678201192168</v>
      </c>
      <c r="AA110" s="125">
        <v>22182.522436818297</v>
      </c>
      <c r="AB110" s="125">
        <v>22498.764924960124</v>
      </c>
      <c r="AC110" s="125">
        <v>22819.466860860161</v>
      </c>
      <c r="AD110" s="125">
        <v>23144.690276482001</v>
      </c>
      <c r="AE110" s="125">
        <v>23474.498051688857</v>
      </c>
      <c r="AF110" s="125">
        <v>23474.498051688857</v>
      </c>
      <c r="AG110" s="125"/>
      <c r="AH110" s="125"/>
      <c r="AI110" s="125"/>
      <c r="AJ110" s="125"/>
      <c r="AK110" s="125"/>
      <c r="AL110" s="125"/>
    </row>
    <row r="111" spans="2:38" ht="21.95" customHeight="1" x14ac:dyDescent="0.2">
      <c r="B111" s="1"/>
      <c r="C111" t="s">
        <v>610</v>
      </c>
      <c r="D111" t="s">
        <v>280</v>
      </c>
      <c r="E111" t="str" cm="1">
        <f t="array" ref="E111:E114">_xlfn.ANCHORARRAY($B$49)</f>
        <v>NOx</v>
      </c>
      <c r="F111" s="25" cm="1">
        <f t="array" ref="F111:AE111">_xlfn.ANCHORARRAY($F$34) * ($C$12 *_xlfn.ANCHORARRAY( F67) + $C$13 *_xlfn.ANCHORARRAY( F71)) / tonsToGrams</f>
        <v>63.679160036279292</v>
      </c>
      <c r="G111" s="25">
        <v>60.844956051218325</v>
      </c>
      <c r="H111" s="25">
        <v>57.905731781856318</v>
      </c>
      <c r="I111" s="25">
        <v>54.858882991861272</v>
      </c>
      <c r="J111" s="25">
        <v>51.70174947631719</v>
      </c>
      <c r="K111" s="25">
        <v>48.431613944936728</v>
      </c>
      <c r="L111" s="25">
        <v>45.045700883980949</v>
      </c>
      <c r="M111" s="25">
        <v>41.541175396493799</v>
      </c>
      <c r="N111" s="25">
        <v>37.915142020450418</v>
      </c>
      <c r="O111" s="25">
        <v>37.844084679015381</v>
      </c>
      <c r="P111" s="25">
        <v>37.761393031067854</v>
      </c>
      <c r="Q111" s="25">
        <v>37.66671836938027</v>
      </c>
      <c r="R111" s="25">
        <v>37.559703890792541</v>
      </c>
      <c r="S111" s="25">
        <v>37.439984527727646</v>
      </c>
      <c r="T111" s="25">
        <v>37.307186776409452</v>
      </c>
      <c r="U111" s="25">
        <v>37.160928521718688</v>
      </c>
      <c r="V111" s="25">
        <v>37.000818858626538</v>
      </c>
      <c r="W111" s="25">
        <v>36.826457910139638</v>
      </c>
      <c r="X111" s="25">
        <v>36.637436641690996</v>
      </c>
      <c r="Y111" s="25">
        <v>37.047066986031254</v>
      </c>
      <c r="Z111" s="25">
        <v>37.460514646875595</v>
      </c>
      <c r="AA111" s="25">
        <v>37.877798292515045</v>
      </c>
      <c r="AB111" s="25">
        <v>38.298936232937095</v>
      </c>
      <c r="AC111" s="25">
        <v>38.72394640391736</v>
      </c>
      <c r="AD111" s="25">
        <v>39.152846350699036</v>
      </c>
      <c r="AE111" s="25">
        <v>39.585653211251838</v>
      </c>
      <c r="AF111" s="25">
        <v>39.585653211251838</v>
      </c>
      <c r="AG111" s="25"/>
      <c r="AH111" s="25"/>
      <c r="AI111" s="25"/>
      <c r="AJ111" s="25"/>
      <c r="AK111" s="25"/>
      <c r="AL111" s="25"/>
    </row>
    <row r="112" spans="2:38" ht="21.95" customHeight="1" x14ac:dyDescent="0.2">
      <c r="B112" s="9"/>
      <c r="E112" t="str">
        <v>PM2.5</v>
      </c>
      <c r="F112" s="25" cm="1">
        <f t="array" ref="F112:AE112">_xlfn.ANCHORARRAY($F$34) * ($C$12 *_xlfn.ANCHORARRAY( F68) + $C$13 *_xlfn.ANCHORARRAY( F72)) / tonsToGrams</f>
        <v>1.2201068234956094</v>
      </c>
      <c r="G112" s="25">
        <v>1.1480171054543951</v>
      </c>
      <c r="H112" s="25">
        <v>1.0733551728702893</v>
      </c>
      <c r="I112" s="25">
        <v>0.99605790379814885</v>
      </c>
      <c r="J112" s="25">
        <v>0.91606082633720898</v>
      </c>
      <c r="K112" s="25">
        <v>0.83329809177065239</v>
      </c>
      <c r="L112" s="25">
        <v>0.74770244719401047</v>
      </c>
      <c r="M112" s="25">
        <v>0.65920520762297174</v>
      </c>
      <c r="N112" s="25">
        <v>0.56773622757099929</v>
      </c>
      <c r="O112" s="25">
        <v>0.56210759169119473</v>
      </c>
      <c r="P112" s="25">
        <v>0.55616102304902437</v>
      </c>
      <c r="Q112" s="25">
        <v>0.54988790621637251</v>
      </c>
      <c r="R112" s="25">
        <v>0.54327943329670625</v>
      </c>
      <c r="S112" s="25">
        <v>0.53632660000027599</v>
      </c>
      <c r="T112" s="25">
        <v>0.52902020164345187</v>
      </c>
      <c r="U112" s="25">
        <v>0.52135082907074826</v>
      </c>
      <c r="V112" s="25">
        <v>0.51330886449813695</v>
      </c>
      <c r="W112" s="25">
        <v>0.50488447727614805</v>
      </c>
      <c r="X112" s="25">
        <v>0.49606761957127621</v>
      </c>
      <c r="Y112" s="25">
        <v>0.49962437679007671</v>
      </c>
      <c r="Z112" s="25">
        <v>0.50317017546946474</v>
      </c>
      <c r="AA112" s="25">
        <v>0.50670378905200764</v>
      </c>
      <c r="AB112" s="25">
        <v>0.51022395507682683</v>
      </c>
      <c r="AC112" s="25">
        <v>0.51372937435313382</v>
      </c>
      <c r="AD112" s="25">
        <v>0.51721871011664133</v>
      </c>
      <c r="AE112" s="25">
        <v>0.52069058716852445</v>
      </c>
      <c r="AF112" s="25">
        <v>0.52069058716852445</v>
      </c>
      <c r="AG112" s="25"/>
      <c r="AH112" s="25"/>
      <c r="AI112" s="25"/>
      <c r="AJ112" s="25"/>
      <c r="AK112" s="25"/>
      <c r="AL112" s="25"/>
    </row>
    <row r="113" spans="3:39" ht="21.95" customHeight="1" x14ac:dyDescent="0.2">
      <c r="E113" t="str">
        <v>SO2</v>
      </c>
      <c r="F113" s="25" cm="1">
        <f t="array" ref="F113:AE113">_xlfn.ANCHORARRAY($F$34) * ($C$12 *_xlfn.ANCHORARRAY( F69) + $C$13 *_xlfn.ANCHORARRAY( F73)) / tonsToGrams</f>
        <v>0.19950254360621578</v>
      </c>
      <c r="G113" s="25">
        <v>0.19844139325648319</v>
      </c>
      <c r="H113" s="25">
        <v>0.19729738622790191</v>
      </c>
      <c r="I113" s="25">
        <v>0.19606817668993018</v>
      </c>
      <c r="J113" s="25">
        <v>0.19475136548652847</v>
      </c>
      <c r="K113" s="25">
        <v>0.19334449903854983</v>
      </c>
      <c r="L113" s="25">
        <v>0.19184506822478498</v>
      </c>
      <c r="M113" s="25">
        <v>0.19025050724126347</v>
      </c>
      <c r="N113" s="25">
        <v>0.18855819243840538</v>
      </c>
      <c r="O113" s="25">
        <v>0.18981664577845825</v>
      </c>
      <c r="P113" s="25">
        <v>0.19106799005845565</v>
      </c>
      <c r="Q113" s="25">
        <v>0.19231168954372679</v>
      </c>
      <c r="R113" s="25">
        <v>0.19354719339336476</v>
      </c>
      <c r="S113" s="25">
        <v>0.19477393531736836</v>
      </c>
      <c r="T113" s="25">
        <v>0.19599133322673609</v>
      </c>
      <c r="U113" s="25">
        <v>0.19719878887636444</v>
      </c>
      <c r="V113" s="25">
        <v>0.19839568750062572</v>
      </c>
      <c r="W113" s="25">
        <v>0.19958139744147232</v>
      </c>
      <c r="X113" s="25">
        <v>0.20075526976892522</v>
      </c>
      <c r="Y113" s="25">
        <v>0.20358482221982063</v>
      </c>
      <c r="Z113" s="25">
        <v>0.20645371034762103</v>
      </c>
      <c r="AA113" s="25">
        <v>0.20936247139314945</v>
      </c>
      <c r="AB113" s="25">
        <v>0.21231164976375511</v>
      </c>
      <c r="AC113" s="25">
        <v>0.21530179712580777</v>
      </c>
      <c r="AD113" s="25">
        <v>0.21833347249832766</v>
      </c>
      <c r="AE113" s="25">
        <v>0.22140724234776765</v>
      </c>
      <c r="AF113" s="25">
        <v>0.22140724234776765</v>
      </c>
      <c r="AG113" s="25"/>
      <c r="AH113" s="25"/>
      <c r="AI113" s="25"/>
      <c r="AJ113" s="25"/>
      <c r="AK113" s="25"/>
      <c r="AL113" s="25"/>
    </row>
    <row r="114" spans="3:39" ht="21.95" customHeight="1" x14ac:dyDescent="0.2">
      <c r="C114" s="50"/>
      <c r="D114" s="50"/>
      <c r="E114" s="50" t="str">
        <v>CO2</v>
      </c>
      <c r="F114" s="125" cm="1">
        <f t="array" ref="F114:AE114">_xlfn.ANCHORARRAY($F$34) * ($C$12 *_xlfn.ANCHORARRAY( F70) + $C$13 *_xlfn.ANCHORARRAY( F74)) / tonsToGrams</f>
        <v>42775.599926373754</v>
      </c>
      <c r="G114" s="125">
        <v>42584.217328328406</v>
      </c>
      <c r="H114" s="125">
        <v>42376.207228473846</v>
      </c>
      <c r="I114" s="125">
        <v>42151.093525361197</v>
      </c>
      <c r="J114" s="125">
        <v>41908.389247995954</v>
      </c>
      <c r="K114" s="125">
        <v>41647.596331597742</v>
      </c>
      <c r="L114" s="125">
        <v>41368.205388993025</v>
      </c>
      <c r="M114" s="125">
        <v>41069.695477559508</v>
      </c>
      <c r="N114" s="125">
        <v>40751.53386163844</v>
      </c>
      <c r="O114" s="125">
        <v>41038.228784389794</v>
      </c>
      <c r="P114" s="125">
        <v>41323.85062464678</v>
      </c>
      <c r="Q114" s="125">
        <v>41608.294540037918</v>
      </c>
      <c r="R114" s="125">
        <v>41891.452653076012</v>
      </c>
      <c r="S114" s="125">
        <v>42173.213981578643</v>
      </c>
      <c r="T114" s="125">
        <v>42453.464367650893</v>
      </c>
      <c r="U114" s="125">
        <v>42732.086405199836</v>
      </c>
      <c r="V114" s="125">
        <v>43008.959365955569</v>
      </c>
      <c r="W114" s="125">
        <v>43283.959123967041</v>
      </c>
      <c r="X114" s="125">
        <v>43556.95807854399</v>
      </c>
      <c r="Y114" s="125">
        <v>44178.205738441378</v>
      </c>
      <c r="Z114" s="125">
        <v>44808.218753661997</v>
      </c>
      <c r="AA114" s="125">
        <v>45447.119138847243</v>
      </c>
      <c r="AB114" s="125">
        <v>46095.030577967089</v>
      </c>
      <c r="AC114" s="125">
        <v>46752.078446640327</v>
      </c>
      <c r="AD114" s="125">
        <v>47418.389834743604</v>
      </c>
      <c r="AE114" s="125">
        <v>48094.093569313751</v>
      </c>
      <c r="AF114" s="125">
        <v>48094.093569313751</v>
      </c>
      <c r="AG114" s="125"/>
      <c r="AH114" s="125"/>
      <c r="AI114" s="125"/>
      <c r="AJ114" s="125"/>
      <c r="AK114" s="125"/>
      <c r="AL114" s="125"/>
    </row>
    <row r="115" spans="3:39" ht="21.95" customHeight="1" x14ac:dyDescent="0.2">
      <c r="E11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row>
    <row r="116" spans="3:39" ht="21.95" hidden="1" customHeight="1" x14ac:dyDescent="0.2">
      <c r="E116"/>
      <c r="F116"/>
      <c r="G116"/>
      <c r="H116"/>
      <c r="I116"/>
      <c r="U116" s="25"/>
      <c r="V116" s="25"/>
      <c r="W116" s="25"/>
      <c r="X116" s="25"/>
      <c r="Y116" s="25"/>
      <c r="Z116" s="25"/>
      <c r="AA116" s="25"/>
      <c r="AB116" s="25"/>
      <c r="AC116" s="25"/>
      <c r="AD116" s="25"/>
      <c r="AE116" s="25"/>
      <c r="AF116" s="25"/>
      <c r="AG116" s="25"/>
      <c r="AH116" s="25"/>
      <c r="AI116" s="25"/>
      <c r="AJ116" s="25"/>
      <c r="AK116" s="25"/>
      <c r="AL116" s="25"/>
    </row>
    <row r="117" spans="3:39" ht="21.95" hidden="1" customHeight="1" x14ac:dyDescent="0.2">
      <c r="E117"/>
      <c r="F117"/>
      <c r="G117"/>
      <c r="H117"/>
      <c r="I117"/>
      <c r="X117" s="25"/>
      <c r="Y117" s="25"/>
      <c r="Z117" s="25"/>
      <c r="AA117" s="25"/>
      <c r="AB117" s="25"/>
      <c r="AC117" s="25"/>
      <c r="AD117" s="25"/>
      <c r="AE117" s="25"/>
      <c r="AF117" s="25"/>
      <c r="AG117" s="25"/>
      <c r="AH117" s="25"/>
      <c r="AI117" s="25"/>
      <c r="AJ117" s="25"/>
      <c r="AK117" s="25"/>
      <c r="AL117" s="25"/>
      <c r="AM117" s="25"/>
    </row>
    <row r="118" spans="3:39" ht="21.95" hidden="1" customHeight="1" x14ac:dyDescent="0.2">
      <c r="E118"/>
      <c r="F118"/>
      <c r="G118"/>
      <c r="H118"/>
      <c r="I118"/>
      <c r="X118" s="25"/>
      <c r="Y118" s="25"/>
      <c r="Z118" s="25"/>
      <c r="AA118" s="25"/>
      <c r="AB118" s="25"/>
      <c r="AC118" s="25"/>
      <c r="AD118" s="25"/>
      <c r="AE118" s="25"/>
      <c r="AF118" s="25"/>
      <c r="AG118" s="25"/>
      <c r="AH118" s="25"/>
      <c r="AI118" s="25"/>
      <c r="AJ118" s="25"/>
      <c r="AK118" s="25"/>
      <c r="AL118" s="25"/>
      <c r="AM118" s="25"/>
    </row>
    <row r="119" spans="3:39" ht="21.95" hidden="1" customHeight="1" x14ac:dyDescent="0.2">
      <c r="E119"/>
      <c r="F119"/>
      <c r="G119"/>
      <c r="H119"/>
      <c r="I119"/>
      <c r="X119" s="25"/>
      <c r="Y119" s="25"/>
      <c r="Z119" s="25"/>
      <c r="AA119" s="25"/>
      <c r="AB119" s="25"/>
      <c r="AC119" s="25"/>
      <c r="AD119" s="25"/>
      <c r="AE119" s="25"/>
      <c r="AF119" s="25"/>
      <c r="AG119" s="25"/>
      <c r="AH119" s="25"/>
      <c r="AI119" s="25"/>
      <c r="AJ119" s="25"/>
      <c r="AK119" s="25"/>
      <c r="AL119" s="25"/>
      <c r="AM119" s="25"/>
    </row>
    <row r="120" spans="3:39" ht="21.95" hidden="1" customHeight="1" x14ac:dyDescent="0.2">
      <c r="E120"/>
      <c r="F120"/>
      <c r="G120"/>
      <c r="H120"/>
      <c r="I120"/>
      <c r="X120" s="25"/>
      <c r="Y120" s="25"/>
      <c r="Z120" s="25"/>
      <c r="AA120" s="25"/>
      <c r="AB120" s="25"/>
      <c r="AC120" s="25"/>
      <c r="AD120" s="25"/>
      <c r="AE120" s="25"/>
      <c r="AF120" s="25"/>
      <c r="AG120" s="25"/>
      <c r="AH120" s="25"/>
      <c r="AI120" s="25"/>
      <c r="AJ120" s="25"/>
      <c r="AK120" s="25"/>
      <c r="AL120" s="25"/>
      <c r="AM120" s="25"/>
    </row>
    <row r="121" spans="3:39" ht="21.95" hidden="1" customHeight="1" x14ac:dyDescent="0.2">
      <c r="E121"/>
      <c r="F121"/>
      <c r="G121"/>
      <c r="H121"/>
      <c r="I121"/>
      <c r="X121" s="25"/>
      <c r="Y121" s="25"/>
      <c r="Z121" s="25"/>
      <c r="AA121" s="25"/>
      <c r="AB121" s="25"/>
      <c r="AC121" s="25"/>
      <c r="AD121" s="25"/>
      <c r="AE121" s="25"/>
      <c r="AF121" s="25"/>
      <c r="AG121" s="25"/>
      <c r="AH121" s="25"/>
      <c r="AI121" s="25"/>
      <c r="AJ121" s="25"/>
      <c r="AK121" s="25"/>
      <c r="AL121" s="25"/>
      <c r="AM121" s="25"/>
    </row>
    <row r="122" spans="3:39" ht="21.95" hidden="1" customHeight="1" x14ac:dyDescent="0.2">
      <c r="E122"/>
      <c r="F122"/>
      <c r="G122"/>
      <c r="H122"/>
      <c r="I122"/>
      <c r="X122" s="25"/>
      <c r="Y122" s="25"/>
      <c r="Z122" s="25"/>
      <c r="AA122" s="25"/>
      <c r="AB122" s="25"/>
      <c r="AC122" s="25"/>
      <c r="AD122" s="25"/>
      <c r="AE122" s="25"/>
      <c r="AF122" s="25"/>
      <c r="AG122" s="25"/>
      <c r="AH122" s="25"/>
      <c r="AI122" s="25"/>
      <c r="AJ122" s="25"/>
      <c r="AK122" s="25"/>
      <c r="AL122" s="25"/>
      <c r="AM122" s="25"/>
    </row>
    <row r="123" spans="3:39" ht="21.95" hidden="1" customHeight="1" x14ac:dyDescent="0.2">
      <c r="E123"/>
      <c r="F123"/>
      <c r="G123"/>
      <c r="H123"/>
      <c r="I123"/>
      <c r="X123" s="25"/>
      <c r="Y123" s="25"/>
      <c r="Z123" s="25"/>
      <c r="AA123" s="25"/>
      <c r="AB123" s="25"/>
      <c r="AC123" s="25"/>
      <c r="AD123" s="25"/>
      <c r="AE123" s="25"/>
      <c r="AF123" s="25"/>
      <c r="AG123" s="25"/>
      <c r="AH123" s="25"/>
      <c r="AI123" s="25"/>
      <c r="AJ123" s="25"/>
      <c r="AK123" s="25"/>
      <c r="AL123" s="25"/>
      <c r="AM123" s="25"/>
    </row>
    <row r="124" spans="3:39" ht="21.95" hidden="1" customHeight="1" x14ac:dyDescent="0.2">
      <c r="E124"/>
      <c r="F124"/>
      <c r="G124"/>
      <c r="H124"/>
      <c r="I124"/>
      <c r="X124" s="25"/>
      <c r="Y124" s="25"/>
      <c r="Z124" s="25"/>
      <c r="AA124" s="25"/>
      <c r="AB124" s="25"/>
      <c r="AC124" s="25"/>
      <c r="AD124" s="25"/>
      <c r="AE124" s="25"/>
      <c r="AF124" s="25"/>
      <c r="AG124" s="25"/>
      <c r="AH124" s="25"/>
      <c r="AI124" s="25"/>
      <c r="AJ124" s="25"/>
      <c r="AK124" s="25"/>
      <c r="AL124" s="25"/>
      <c r="AM124" s="25"/>
    </row>
    <row r="125" spans="3:39" ht="21.95" hidden="1" customHeight="1" x14ac:dyDescent="0.2">
      <c r="E125"/>
      <c r="F125"/>
      <c r="G125"/>
      <c r="H125"/>
      <c r="I125"/>
      <c r="X125" s="25"/>
      <c r="Y125" s="25"/>
      <c r="Z125" s="25"/>
      <c r="AA125" s="25"/>
      <c r="AB125" s="25"/>
      <c r="AC125" s="25"/>
      <c r="AD125" s="25"/>
      <c r="AE125" s="25"/>
      <c r="AF125" s="25"/>
      <c r="AG125" s="25"/>
      <c r="AH125" s="25"/>
      <c r="AI125" s="25"/>
      <c r="AJ125" s="25"/>
      <c r="AK125" s="25"/>
      <c r="AL125" s="25"/>
      <c r="AM125" s="25"/>
    </row>
    <row r="126" spans="3:39" ht="21.95" hidden="1" customHeight="1" x14ac:dyDescent="0.2">
      <c r="E126"/>
      <c r="F126"/>
      <c r="G126"/>
      <c r="H126"/>
      <c r="I126"/>
      <c r="X126" s="25"/>
      <c r="Y126" s="25"/>
      <c r="Z126" s="25"/>
      <c r="AA126" s="25"/>
      <c r="AB126" s="25"/>
      <c r="AC126" s="25"/>
      <c r="AD126" s="25"/>
      <c r="AE126" s="25"/>
      <c r="AF126" s="25"/>
      <c r="AG126" s="25"/>
      <c r="AH126" s="25"/>
      <c r="AI126" s="25"/>
      <c r="AJ126" s="25"/>
      <c r="AK126" s="25"/>
      <c r="AL126" s="25"/>
      <c r="AM126" s="25"/>
    </row>
    <row r="127" spans="3:39" ht="21.95" hidden="1" customHeight="1" x14ac:dyDescent="0.2">
      <c r="E127"/>
      <c r="F127"/>
      <c r="G127"/>
      <c r="H127"/>
      <c r="I127"/>
      <c r="X127" s="25"/>
      <c r="Y127" s="25"/>
      <c r="Z127" s="25"/>
      <c r="AA127" s="25"/>
      <c r="AB127" s="25"/>
      <c r="AC127" s="25"/>
      <c r="AD127" s="25"/>
      <c r="AE127" s="25"/>
      <c r="AF127" s="25"/>
      <c r="AG127" s="25"/>
      <c r="AH127" s="25"/>
      <c r="AI127" s="25"/>
      <c r="AJ127" s="25"/>
      <c r="AK127" s="25"/>
      <c r="AL127" s="25"/>
      <c r="AM127" s="25"/>
    </row>
    <row r="128" spans="3:39" ht="21.95" hidden="1" customHeight="1" x14ac:dyDescent="0.2">
      <c r="E128"/>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row>
    <row r="129" spans="2:38" ht="21.95" customHeight="1" x14ac:dyDescent="0.2">
      <c r="E129"/>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row>
    <row r="130" spans="2:38" ht="21.95" customHeight="1" x14ac:dyDescent="0.2">
      <c r="B130" s="50"/>
      <c r="C130" s="50"/>
      <c r="D130" s="50"/>
      <c r="E130" s="50"/>
      <c r="F130" s="125"/>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row>
    <row r="131" spans="2:38" ht="21.95" customHeight="1" x14ac:dyDescent="0.2">
      <c r="B131" s="1" t="str">
        <f>"Emission Costs " &amp; 'Emissions Data'!$J$10</f>
        <v>Emission Costs (2021$/metric ton)</v>
      </c>
      <c r="C131" t="s">
        <v>503</v>
      </c>
      <c r="D131" t="s">
        <v>280</v>
      </c>
      <c r="E131" t="str" cm="1">
        <f t="array" ref="E131:E134">_xlfn.ANCHORARRAY($B$49)</f>
        <v>NOx</v>
      </c>
      <c r="F131" s="22" cm="1">
        <f t="array" ref="F131:AE131">(_xlfn.ANCHORARRAY(F107) +_xlfn.ANCHORARRAY( F111)) *_xlfn.ANCHORARRAY( F49)</f>
        <v>1573026.8699438041</v>
      </c>
      <c r="G131" s="22">
        <v>1503015.2834080718</v>
      </c>
      <c r="H131" s="22">
        <v>1430409.445801808</v>
      </c>
      <c r="I131" s="22">
        <v>1355145.0262870493</v>
      </c>
      <c r="J131" s="22">
        <v>1277156.3114685495</v>
      </c>
      <c r="K131" s="22">
        <v>1196376.1778064726</v>
      </c>
      <c r="L131" s="22">
        <v>1112736.063503101</v>
      </c>
      <c r="M131" s="22">
        <v>1026165.9398538647</v>
      </c>
      <c r="N131" s="22">
        <v>936594.28205279319</v>
      </c>
      <c r="O131" s="22">
        <v>934838.99653520144</v>
      </c>
      <c r="P131" s="22">
        <v>932796.31594602147</v>
      </c>
      <c r="Q131" s="22">
        <v>930457.62638647691</v>
      </c>
      <c r="R131" s="22">
        <v>927814.11396898236</v>
      </c>
      <c r="S131" s="22">
        <v>924856.76065517706</v>
      </c>
      <c r="T131" s="22">
        <v>921576.34001249541</v>
      </c>
      <c r="U131" s="22">
        <v>917963.41288769373</v>
      </c>
      <c r="V131" s="22">
        <v>914008.32299583417</v>
      </c>
      <c r="W131" s="22">
        <v>909701.1924230922</v>
      </c>
      <c r="X131" s="22">
        <v>905031.9170417717</v>
      </c>
      <c r="Y131" s="22">
        <v>915150.76185731962</v>
      </c>
      <c r="Z131" s="22">
        <v>925363.90347936749</v>
      </c>
      <c r="AA131" s="22">
        <v>935671.80305915151</v>
      </c>
      <c r="AB131" s="22">
        <v>946074.91289695795</v>
      </c>
      <c r="AC131" s="22">
        <v>956573.67604914901</v>
      </c>
      <c r="AD131" s="22">
        <v>967168.52592500614</v>
      </c>
      <c r="AE131" s="22">
        <v>977859.88587318535</v>
      </c>
      <c r="AF131" s="22">
        <v>977859.88587318535</v>
      </c>
      <c r="AG131" s="22"/>
      <c r="AH131" s="22"/>
      <c r="AI131" s="22"/>
      <c r="AJ131" s="22"/>
      <c r="AK131" s="22"/>
      <c r="AL131" s="22"/>
    </row>
    <row r="132" spans="2:38" ht="21.95" customHeight="1" x14ac:dyDescent="0.2">
      <c r="B132" s="9" t="s">
        <v>92</v>
      </c>
      <c r="E132" t="str">
        <v>PM2.5</v>
      </c>
      <c r="F132" s="22" cm="1">
        <f t="array" ref="F132:AE132">(_xlfn.ANCHORARRAY(F108) +_xlfn.ANCHORARRAY( F112)) *_xlfn.ANCHORARRAY( F50)</f>
        <v>80432.63732270163</v>
      </c>
      <c r="G132" s="22">
        <v>75680.29430302039</v>
      </c>
      <c r="H132" s="22">
        <v>70758.384163919371</v>
      </c>
      <c r="I132" s="22">
        <v>65662.74574145535</v>
      </c>
      <c r="J132" s="22">
        <v>60389.128879074939</v>
      </c>
      <c r="K132" s="22">
        <v>54933.192656904619</v>
      </c>
      <c r="L132" s="22">
        <v>49290.50358734325</v>
      </c>
      <c r="M132" s="22">
        <v>43456.533776335789</v>
      </c>
      <c r="N132" s="22">
        <v>37426.659049695336</v>
      </c>
      <c r="O132" s="22">
        <v>37055.604630833222</v>
      </c>
      <c r="P132" s="22">
        <v>36663.591251594909</v>
      </c>
      <c r="Q132" s="22">
        <v>36250.050960394794</v>
      </c>
      <c r="R132" s="22">
        <v>35814.40311762513</v>
      </c>
      <c r="S132" s="22">
        <v>35356.054136922961</v>
      </c>
      <c r="T132" s="22">
        <v>34874.397221435887</v>
      </c>
      <c r="U132" s="22">
        <v>34368.812094991292</v>
      </c>
      <c r="V132" s="22">
        <v>33838.66472807659</v>
      </c>
      <c r="W132" s="22">
        <v>33283.307058531784</v>
      </c>
      <c r="X132" s="22">
        <v>32702.076706856456</v>
      </c>
      <c r="Y132" s="22">
        <v>32936.547458036308</v>
      </c>
      <c r="Z132" s="22">
        <v>33170.295793597157</v>
      </c>
      <c r="AA132" s="22">
        <v>33403.240855660624</v>
      </c>
      <c r="AB132" s="22">
        <v>33635.299419499148</v>
      </c>
      <c r="AC132" s="22">
        <v>33866.385839053313</v>
      </c>
      <c r="AD132" s="22">
        <v>34096.411991320252</v>
      </c>
      <c r="AE132" s="22">
        <v>34325.287219591715</v>
      </c>
      <c r="AF132" s="22">
        <v>34325.287219591715</v>
      </c>
      <c r="AG132" s="22"/>
      <c r="AH132" s="22"/>
      <c r="AI132" s="22"/>
      <c r="AJ132" s="22"/>
      <c r="AK132" s="22"/>
      <c r="AL132" s="22"/>
    </row>
    <row r="133" spans="2:38" ht="21.95" customHeight="1" x14ac:dyDescent="0.2">
      <c r="E133" t="str">
        <v>SO2</v>
      </c>
      <c r="F133" s="22" cm="1">
        <f t="array" ref="F133:AE133">(_xlfn.ANCHORARRAY(F109) +_xlfn.ANCHORARRAY( F113)) *_xlfn.ANCHORARRAY( F51)</f>
        <v>236523.32811171445</v>
      </c>
      <c r="G133" s="22">
        <v>235265.26489202408</v>
      </c>
      <c r="H133" s="22">
        <v>233908.96965441885</v>
      </c>
      <c r="I133" s="22">
        <v>232451.66126319551</v>
      </c>
      <c r="J133" s="22">
        <v>230890.49536178156</v>
      </c>
      <c r="K133" s="22">
        <v>229222.5630714474</v>
      </c>
      <c r="L133" s="22">
        <v>227444.88966471158</v>
      </c>
      <c r="M133" s="22">
        <v>225554.4332129682</v>
      </c>
      <c r="N133" s="22">
        <v>223548.08320785355</v>
      </c>
      <c r="O133" s="22">
        <v>225040.06204121679</v>
      </c>
      <c r="P133" s="22">
        <v>226523.61261841014</v>
      </c>
      <c r="Q133" s="22">
        <v>227998.09979090351</v>
      </c>
      <c r="R133" s="22">
        <v>229462.87050073472</v>
      </c>
      <c r="S133" s="22">
        <v>230917.25337402886</v>
      </c>
      <c r="T133" s="22">
        <v>232360.55830616169</v>
      </c>
      <c r="U133" s="22">
        <v>233792.07603839217</v>
      </c>
      <c r="V133" s="22">
        <v>235211.07772581626</v>
      </c>
      <c r="W133" s="22">
        <v>236616.81449645982</v>
      </c>
      <c r="X133" s="22">
        <v>238008.51700134337</v>
      </c>
      <c r="Y133" s="22">
        <v>241363.13670019511</v>
      </c>
      <c r="Z133" s="22">
        <v>244764.39141956795</v>
      </c>
      <c r="AA133" s="22">
        <v>248212.91809363422</v>
      </c>
      <c r="AB133" s="22">
        <v>251709.36215295194</v>
      </c>
      <c r="AC133" s="22">
        <v>255254.37763412361</v>
      </c>
      <c r="AD133" s="22">
        <v>258848.62729080007</v>
      </c>
      <c r="AE133" s="22">
        <v>262492.78270605131</v>
      </c>
      <c r="AF133" s="22">
        <v>262492.78270605131</v>
      </c>
      <c r="AG133" s="22"/>
      <c r="AH133" s="22"/>
      <c r="AI133" s="22"/>
      <c r="AJ133" s="22"/>
      <c r="AK133" s="22"/>
      <c r="AL133" s="22"/>
    </row>
    <row r="134" spans="2:38" ht="21.95" customHeight="1" x14ac:dyDescent="0.2">
      <c r="E134" s="50" t="str">
        <v>CO2</v>
      </c>
      <c r="F134" s="109" cm="1">
        <f t="array" ref="F134:AE134">(_xlfn.ANCHORARRAY(F110) +_xlfn.ANCHORARRAY( F114)) *_xlfn.ANCHORARRAY( F52)</f>
        <v>3564633.327197813</v>
      </c>
      <c r="G134" s="109">
        <v>3548684.777360701</v>
      </c>
      <c r="H134" s="109">
        <v>3531350.6023728205</v>
      </c>
      <c r="I134" s="109">
        <v>3512591.1271134331</v>
      </c>
      <c r="J134" s="109">
        <v>3492365.7706663297</v>
      </c>
      <c r="K134" s="109">
        <v>3470633.0276331459</v>
      </c>
      <c r="L134" s="109">
        <v>3447350.4490827522</v>
      </c>
      <c r="M134" s="109">
        <v>3422474.6231299592</v>
      </c>
      <c r="N134" s="109">
        <v>3395961.1551365368</v>
      </c>
      <c r="O134" s="109">
        <v>3419852.3986991495</v>
      </c>
      <c r="P134" s="109">
        <v>3443654.2187205651</v>
      </c>
      <c r="Q134" s="109">
        <v>3467357.8783364929</v>
      </c>
      <c r="R134" s="109">
        <v>3490954.3877563346</v>
      </c>
      <c r="S134" s="109">
        <v>3514434.498464887</v>
      </c>
      <c r="T134" s="109">
        <v>3537788.6973042414</v>
      </c>
      <c r="U134" s="109">
        <v>3561007.2004333194</v>
      </c>
      <c r="V134" s="109">
        <v>3584079.9471629644</v>
      </c>
      <c r="W134" s="109">
        <v>3606996.5936639202</v>
      </c>
      <c r="X134" s="109">
        <v>3629746.5065453327</v>
      </c>
      <c r="Y134" s="109">
        <v>3681517.144870115</v>
      </c>
      <c r="Z134" s="109">
        <v>3734018.2294718334</v>
      </c>
      <c r="AA134" s="109">
        <v>3787259.9282372696</v>
      </c>
      <c r="AB134" s="109">
        <v>3841252.5481639239</v>
      </c>
      <c r="AC134" s="109">
        <v>3896006.5372200273</v>
      </c>
      <c r="AD134" s="109">
        <v>3951532.4862286337</v>
      </c>
      <c r="AE134" s="109">
        <v>4007841.130776146</v>
      </c>
      <c r="AF134" s="109">
        <v>4007841.130776146</v>
      </c>
      <c r="AG134" s="109"/>
      <c r="AH134" s="109"/>
      <c r="AI134" s="109"/>
      <c r="AJ134" s="109"/>
      <c r="AK134" s="109"/>
      <c r="AL134" s="109"/>
    </row>
    <row r="135" spans="2:38" s="1" customFormat="1" ht="21.95" customHeight="1" x14ac:dyDescent="0.2">
      <c r="E135" s="1" t="s">
        <v>82</v>
      </c>
      <c r="F135" s="29" cm="1">
        <f t="array" ref="F135:AE135">_xlfn.ANCHORARRAY(F134)</f>
        <v>3564633.327197813</v>
      </c>
      <c r="G135" s="29">
        <v>3548684.777360701</v>
      </c>
      <c r="H135" s="29">
        <v>3531350.6023728205</v>
      </c>
      <c r="I135" s="29">
        <v>3512591.1271134331</v>
      </c>
      <c r="J135" s="29">
        <v>3492365.7706663297</v>
      </c>
      <c r="K135" s="29">
        <v>3470633.0276331459</v>
      </c>
      <c r="L135" s="29">
        <v>3447350.4490827522</v>
      </c>
      <c r="M135" s="29">
        <v>3422474.6231299592</v>
      </c>
      <c r="N135" s="29">
        <v>3395961.1551365368</v>
      </c>
      <c r="O135" s="29">
        <v>3419852.3986991495</v>
      </c>
      <c r="P135" s="29">
        <v>3443654.2187205651</v>
      </c>
      <c r="Q135" s="29">
        <v>3467357.8783364929</v>
      </c>
      <c r="R135" s="29">
        <v>3490954.3877563346</v>
      </c>
      <c r="S135" s="29">
        <v>3514434.498464887</v>
      </c>
      <c r="T135" s="29">
        <v>3537788.6973042414</v>
      </c>
      <c r="U135" s="29">
        <v>3561007.2004333194</v>
      </c>
      <c r="V135" s="29">
        <v>3584079.9471629644</v>
      </c>
      <c r="W135" s="29">
        <v>3606996.5936639202</v>
      </c>
      <c r="X135" s="29">
        <v>3629746.5065453327</v>
      </c>
      <c r="Y135" s="29">
        <v>3681517.144870115</v>
      </c>
      <c r="Z135" s="29">
        <v>3734018.2294718334</v>
      </c>
      <c r="AA135" s="29">
        <v>3787259.9282372696</v>
      </c>
      <c r="AB135" s="29">
        <v>3841252.5481639239</v>
      </c>
      <c r="AC135" s="29">
        <v>3896006.5372200273</v>
      </c>
      <c r="AD135" s="29">
        <v>3951532.4862286337</v>
      </c>
      <c r="AE135" s="29">
        <v>4007841.130776146</v>
      </c>
      <c r="AF135" s="29">
        <v>4007841.130776146</v>
      </c>
      <c r="AG135" s="29"/>
      <c r="AH135" s="29"/>
      <c r="AI135" s="29"/>
      <c r="AJ135" s="29"/>
      <c r="AK135" s="29"/>
      <c r="AL135" s="29"/>
    </row>
    <row r="136" spans="2:38" s="1" customFormat="1" ht="21.95" customHeight="1" x14ac:dyDescent="0.2">
      <c r="C136" s="53"/>
      <c r="D136" s="53"/>
      <c r="E136" s="53" t="s">
        <v>83</v>
      </c>
      <c r="F136" s="131" cm="1">
        <f t="array" ref="F136:AE136">_xlfn.ANCHORARRAY(F131) +_xlfn.ANCHORARRAY( F132) +_xlfn.ANCHORARRAY( F133)</f>
        <v>1889982.8353782201</v>
      </c>
      <c r="G136" s="131">
        <v>1813960.8426031163</v>
      </c>
      <c r="H136" s="131">
        <v>1735076.7996201462</v>
      </c>
      <c r="I136" s="131">
        <v>1653259.4332917002</v>
      </c>
      <c r="J136" s="131">
        <v>1568435.9357094062</v>
      </c>
      <c r="K136" s="131">
        <v>1480531.9335348248</v>
      </c>
      <c r="L136" s="131">
        <v>1389471.4567551559</v>
      </c>
      <c r="M136" s="131">
        <v>1295176.9068431689</v>
      </c>
      <c r="N136" s="131">
        <v>1197569.024310342</v>
      </c>
      <c r="O136" s="131">
        <v>1196934.6632072516</v>
      </c>
      <c r="P136" s="131">
        <v>1195983.5198160266</v>
      </c>
      <c r="Q136" s="131">
        <v>1194705.7771377752</v>
      </c>
      <c r="R136" s="131">
        <v>1193091.3875873422</v>
      </c>
      <c r="S136" s="131">
        <v>1191130.0681661288</v>
      </c>
      <c r="T136" s="131">
        <v>1188811.295540093</v>
      </c>
      <c r="U136" s="131">
        <v>1186124.3010210772</v>
      </c>
      <c r="V136" s="131">
        <v>1183058.065449727</v>
      </c>
      <c r="W136" s="131">
        <v>1179601.3139780839</v>
      </c>
      <c r="X136" s="131">
        <v>1175742.5107499715</v>
      </c>
      <c r="Y136" s="131">
        <v>1189450.446015551</v>
      </c>
      <c r="Z136" s="131">
        <v>1203298.5906925325</v>
      </c>
      <c r="AA136" s="131">
        <v>1217287.9620084465</v>
      </c>
      <c r="AB136" s="131">
        <v>1231419.574469409</v>
      </c>
      <c r="AC136" s="131">
        <v>1245694.439522326</v>
      </c>
      <c r="AD136" s="131">
        <v>1260113.5652071263</v>
      </c>
      <c r="AE136" s="131">
        <v>1274677.9557988283</v>
      </c>
      <c r="AF136" s="131">
        <v>1274677.9557988283</v>
      </c>
      <c r="AG136" s="131"/>
      <c r="AH136" s="131"/>
      <c r="AI136" s="131"/>
      <c r="AJ136" s="131"/>
      <c r="AK136" s="131"/>
      <c r="AL136" s="131"/>
    </row>
    <row r="137" spans="2:38" ht="21.95" customHeight="1" x14ac:dyDescent="0.2">
      <c r="B137" s="1"/>
      <c r="E137"/>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row>
    <row r="138" spans="2:38" ht="21.95" hidden="1" customHeight="1" x14ac:dyDescent="0.2">
      <c r="B138" s="9"/>
      <c r="E138"/>
      <c r="F138" s="22"/>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row>
    <row r="139" spans="2:38" ht="21.95" hidden="1" customHeight="1" x14ac:dyDescent="0.2">
      <c r="E139"/>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row>
    <row r="140" spans="2:38" ht="21.95" hidden="1" customHeight="1" x14ac:dyDescent="0.2">
      <c r="B140" s="9"/>
      <c r="E140"/>
      <c r="F140" s="22"/>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row>
    <row r="141" spans="2:38" s="1" customFormat="1" ht="21.95" hidden="1" customHeight="1" x14ac:dyDescent="0.2">
      <c r="B141"/>
      <c r="C141"/>
      <c r="D141"/>
      <c r="E141"/>
      <c r="F141" s="22"/>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row>
    <row r="142" spans="2:38" s="1" customFormat="1" ht="21.95" hidden="1" customHeight="1" x14ac:dyDescent="0.2">
      <c r="B142" s="9"/>
      <c r="C142"/>
      <c r="D142"/>
      <c r="E14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row>
    <row r="143" spans="2:38" ht="21.95" hidden="1" customHeight="1" x14ac:dyDescent="0.2">
      <c r="E143"/>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row>
    <row r="144" spans="2:38" ht="21.95" hidden="1" customHeight="1" x14ac:dyDescent="0.2">
      <c r="B144" s="9"/>
      <c r="E144"/>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row>
    <row r="145" spans="1:38" ht="21.95" hidden="1" customHeight="1" x14ac:dyDescent="0.2">
      <c r="E145"/>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row>
    <row r="146" spans="1:38" ht="21.95" hidden="1" customHeight="1" x14ac:dyDescent="0.2">
      <c r="B146" s="9"/>
      <c r="E146"/>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row>
    <row r="147" spans="1:38" s="1" customFormat="1" ht="21.95" hidden="1" customHeight="1" x14ac:dyDescent="0.2">
      <c r="B147"/>
      <c r="C147"/>
      <c r="D147"/>
      <c r="E147"/>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row>
    <row r="148" spans="1:38" s="1" customFormat="1" ht="21.95" hidden="1" customHeight="1" x14ac:dyDescent="0.2">
      <c r="B148" s="9"/>
      <c r="C148"/>
      <c r="D148"/>
      <c r="E148"/>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row>
    <row r="149" spans="1:38" ht="21.95" hidden="1" customHeight="1" x14ac:dyDescent="0.2">
      <c r="E149"/>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row>
    <row r="150" spans="1:38" ht="21.95" hidden="1" customHeight="1" x14ac:dyDescent="0.2">
      <c r="B150" s="9"/>
      <c r="E150"/>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row>
    <row r="151" spans="1:38" ht="21.95" hidden="1" customHeight="1" x14ac:dyDescent="0.2">
      <c r="E151"/>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row>
    <row r="152" spans="1:38" ht="21.95" hidden="1" customHeight="1" x14ac:dyDescent="0.2">
      <c r="E152"/>
      <c r="F152"/>
      <c r="G152"/>
      <c r="H152"/>
      <c r="I15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row>
    <row r="153" spans="1:38" s="1" customFormat="1" ht="21.95" hidden="1" customHeight="1" x14ac:dyDescent="0.2">
      <c r="B153"/>
      <c r="C153"/>
      <c r="D153"/>
      <c r="E153"/>
      <c r="F153"/>
      <c r="G153"/>
      <c r="H153"/>
      <c r="I153"/>
      <c r="J153"/>
      <c r="K153"/>
      <c r="L153"/>
      <c r="M153"/>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row>
    <row r="154" spans="1:38" s="1" customFormat="1" ht="21.95" hidden="1" customHeight="1" x14ac:dyDescent="0.2">
      <c r="B154"/>
      <c r="C154"/>
      <c r="D154"/>
      <c r="E154"/>
      <c r="F154"/>
      <c r="G154"/>
      <c r="H154"/>
      <c r="I154"/>
      <c r="J154"/>
      <c r="K154"/>
      <c r="L154"/>
      <c r="M154"/>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row>
    <row r="155" spans="1:38" ht="21.95" customHeight="1" x14ac:dyDescent="0.2">
      <c r="E155"/>
      <c r="F155"/>
      <c r="G155"/>
      <c r="H155"/>
      <c r="I155"/>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row>
    <row r="156" spans="1:38" ht="21.95" customHeight="1" x14ac:dyDescent="0.2">
      <c r="J156" s="2"/>
      <c r="K156" s="2"/>
      <c r="L156" s="2"/>
      <c r="M156" s="2"/>
      <c r="N156" s="2"/>
    </row>
    <row r="157" spans="1:38" ht="21.95" customHeight="1" x14ac:dyDescent="0.2">
      <c r="A157" s="32" t="s">
        <v>112</v>
      </c>
      <c r="B157" s="245" t="s">
        <v>10</v>
      </c>
      <c r="J157" s="2"/>
      <c r="K157" s="2"/>
      <c r="L157" s="2"/>
      <c r="M157" s="2"/>
      <c r="N157" s="2"/>
    </row>
    <row r="158" spans="1:38" ht="21.95" customHeight="1" x14ac:dyDescent="0.2">
      <c r="J158" s="2"/>
      <c r="K158" s="2"/>
      <c r="L158" s="2"/>
      <c r="M158" s="2"/>
      <c r="N158" s="2"/>
    </row>
    <row r="159" spans="1:38" ht="21.95" customHeight="1" x14ac:dyDescent="0.2">
      <c r="B159" s="36"/>
      <c r="C159" s="36" t="s">
        <v>21</v>
      </c>
      <c r="D159" s="36" t="s">
        <v>27</v>
      </c>
      <c r="E159" s="34" t="s">
        <v>51</v>
      </c>
      <c r="F159" s="35" cm="1">
        <f t="array" ref="F159:AE159">year</f>
        <v>2022</v>
      </c>
      <c r="G159" s="35">
        <v>2023</v>
      </c>
      <c r="H159" s="35">
        <v>2024</v>
      </c>
      <c r="I159" s="35">
        <v>2025</v>
      </c>
      <c r="J159" s="35">
        <v>2026</v>
      </c>
      <c r="K159" s="35">
        <v>2027</v>
      </c>
      <c r="L159" s="35">
        <v>2028</v>
      </c>
      <c r="M159" s="35">
        <v>2029</v>
      </c>
      <c r="N159" s="35">
        <v>2030</v>
      </c>
      <c r="O159" s="35">
        <v>2031</v>
      </c>
      <c r="P159" s="35">
        <v>2032</v>
      </c>
      <c r="Q159" s="35">
        <v>2033</v>
      </c>
      <c r="R159" s="35">
        <v>2034</v>
      </c>
      <c r="S159" s="35">
        <v>2035</v>
      </c>
      <c r="T159" s="35">
        <v>2036</v>
      </c>
      <c r="U159" s="35">
        <v>2037</v>
      </c>
      <c r="V159" s="35">
        <v>2038</v>
      </c>
      <c r="W159" s="35">
        <v>2039</v>
      </c>
      <c r="X159" s="35">
        <v>2040</v>
      </c>
      <c r="Y159" s="35">
        <v>2041</v>
      </c>
      <c r="Z159" s="35">
        <v>2042</v>
      </c>
      <c r="AA159" s="35">
        <v>2043</v>
      </c>
      <c r="AB159" s="35">
        <v>2044</v>
      </c>
      <c r="AC159" s="35">
        <v>2045</v>
      </c>
      <c r="AD159" s="35">
        <v>2046</v>
      </c>
      <c r="AE159" s="35">
        <v>2047</v>
      </c>
      <c r="AF159" s="35">
        <v>2048</v>
      </c>
      <c r="AG159" s="35"/>
      <c r="AH159" s="35"/>
      <c r="AI159" s="35"/>
      <c r="AJ159" s="35"/>
      <c r="AK159" s="35"/>
      <c r="AL159" s="35"/>
    </row>
    <row r="160" spans="1:38" ht="21.95" customHeight="1" x14ac:dyDescent="0.2">
      <c r="B160" s="1" t="s">
        <v>274</v>
      </c>
      <c r="C160" t="s">
        <v>606</v>
      </c>
      <c r="D160" t="s">
        <v>23</v>
      </c>
      <c r="E160" t="str" cm="1">
        <f t="array" ref="E160:E163">_xlfn.ANCHORARRAY($B$49)</f>
        <v>NOx</v>
      </c>
      <c r="F160" s="25" cm="1">
        <f t="array" ref="F160:AE160">_xlfn.XLOOKUP(D160 &amp;_xlfn.ANCHORARRAY( $F$23) &amp; year, EmissionFactors[Vehicle] &amp; EmissionFactors[Speed] &amp; EmissionFactors[Year], EmissionFactors[NOx], , 0)</f>
        <v>0.15527137502499999</v>
      </c>
      <c r="G160" s="25">
        <v>0.14045136553750001</v>
      </c>
      <c r="H160" s="25">
        <v>0.12563135605</v>
      </c>
      <c r="I160" s="25">
        <v>0.1108113465625</v>
      </c>
      <c r="J160" s="25">
        <v>9.5991337075000002E-2</v>
      </c>
      <c r="K160" s="25">
        <v>8.1171327587499995E-2</v>
      </c>
      <c r="L160" s="25">
        <v>6.6351318100000001E-2</v>
      </c>
      <c r="M160" s="25">
        <v>5.15313086125E-2</v>
      </c>
      <c r="N160" s="25">
        <v>3.6711299124999999E-2</v>
      </c>
      <c r="O160" s="25">
        <v>3.3696143312500003E-2</v>
      </c>
      <c r="P160" s="25">
        <v>3.06809875E-2</v>
      </c>
      <c r="Q160" s="25">
        <v>2.76658316875E-2</v>
      </c>
      <c r="R160" s="25">
        <v>2.4650675875E-2</v>
      </c>
      <c r="S160" s="25">
        <v>2.16355200625E-2</v>
      </c>
      <c r="T160" s="25">
        <v>1.862036425E-2</v>
      </c>
      <c r="U160" s="25">
        <v>1.56052084375E-2</v>
      </c>
      <c r="V160" s="25">
        <v>1.2590052625000001E-2</v>
      </c>
      <c r="W160" s="25">
        <v>9.5748968125000007E-3</v>
      </c>
      <c r="X160" s="25">
        <v>6.559741E-3</v>
      </c>
      <c r="Y160" s="25">
        <v>6.3091023499999999E-3</v>
      </c>
      <c r="Z160" s="25">
        <v>6.0584636999999998E-3</v>
      </c>
      <c r="AA160" s="25">
        <v>5.8078250499999998E-3</v>
      </c>
      <c r="AB160" s="25">
        <v>5.5571863999999997E-3</v>
      </c>
      <c r="AC160" s="25">
        <v>5.3065477499999996E-3</v>
      </c>
      <c r="AD160" s="25">
        <v>5.0559091000000004E-3</v>
      </c>
      <c r="AE160" s="25">
        <v>4.8052704500000003E-3</v>
      </c>
      <c r="AF160" s="25">
        <v>4.8052704500000003E-3</v>
      </c>
      <c r="AG160" s="25"/>
      <c r="AH160" s="25"/>
      <c r="AI160" s="25"/>
      <c r="AJ160" s="25"/>
      <c r="AK160" s="25"/>
      <c r="AL160" s="25"/>
    </row>
    <row r="161" spans="2:38" ht="21.95" customHeight="1" x14ac:dyDescent="0.2">
      <c r="B161" s="123" t="s">
        <v>86</v>
      </c>
      <c r="E161" t="str">
        <v>PM2.5</v>
      </c>
      <c r="F161" s="25" cm="1">
        <f t="array" ref="F161:AE161">_xlfn.XLOOKUP(D160 &amp;_xlfn.ANCHORARRAY( $F$23) &amp; year, EmissionFactors[Vehicle] &amp; EmissionFactors[Speed] &amp; EmissionFactors[Year], EmissionFactors[PM2.5], , 0)</f>
        <v>2.5417761E-3</v>
      </c>
      <c r="G161" s="25">
        <v>2.4242478999999999E-3</v>
      </c>
      <c r="H161" s="25">
        <v>2.3067196999999998E-3</v>
      </c>
      <c r="I161" s="25">
        <v>2.1891914999999998E-3</v>
      </c>
      <c r="J161" s="25">
        <v>2.0716633000000002E-3</v>
      </c>
      <c r="K161" s="25">
        <v>1.9541351000000001E-3</v>
      </c>
      <c r="L161" s="25">
        <v>1.8366069E-3</v>
      </c>
      <c r="M161" s="25">
        <v>1.7190787E-3</v>
      </c>
      <c r="N161" s="25">
        <v>1.6015504999999999E-3</v>
      </c>
      <c r="O161" s="25">
        <v>1.5693691E-3</v>
      </c>
      <c r="P161" s="25">
        <v>1.5371877E-3</v>
      </c>
      <c r="Q161" s="25">
        <v>1.5050063E-3</v>
      </c>
      <c r="R161" s="25">
        <v>1.4728249000000001E-3</v>
      </c>
      <c r="S161" s="25">
        <v>1.4406435000000001E-3</v>
      </c>
      <c r="T161" s="25">
        <v>1.4084620999999999E-3</v>
      </c>
      <c r="U161" s="25">
        <v>1.3762806999999999E-3</v>
      </c>
      <c r="V161" s="25">
        <v>1.3440993E-3</v>
      </c>
      <c r="W161" s="25">
        <v>1.3119179E-3</v>
      </c>
      <c r="X161" s="25">
        <v>1.2797365E-3</v>
      </c>
      <c r="Y161" s="25">
        <v>1.2763E-3</v>
      </c>
      <c r="Z161" s="25">
        <v>1.2728634999999999E-3</v>
      </c>
      <c r="AA161" s="25">
        <v>1.2694270000000001E-3</v>
      </c>
      <c r="AB161" s="25">
        <v>1.2659905E-3</v>
      </c>
      <c r="AC161" s="25">
        <v>1.2625539999999999E-3</v>
      </c>
      <c r="AD161" s="25">
        <v>1.2591175000000001E-3</v>
      </c>
      <c r="AE161" s="25">
        <v>1.255681E-3</v>
      </c>
      <c r="AF161" s="25">
        <v>1.255681E-3</v>
      </c>
      <c r="AG161" s="25"/>
      <c r="AH161" s="25"/>
      <c r="AI161" s="25"/>
      <c r="AJ161" s="25"/>
      <c r="AK161" s="25"/>
      <c r="AL161" s="25"/>
    </row>
    <row r="162" spans="2:38" ht="21.95" customHeight="1" x14ac:dyDescent="0.2">
      <c r="E162" t="str">
        <v>SO2</v>
      </c>
      <c r="F162" s="25" cm="1">
        <f t="array" ref="F162:AE162">_xlfn.XLOOKUP(D160 &amp;_xlfn.ANCHORARRAY( $F$23) &amp; year, EmissionFactors[Vehicle] &amp; EmissionFactors[Speed] &amp; EmissionFactors[Year], EmissionFactors[SO2], , 0)</f>
        <v>1.8620685000000001E-3</v>
      </c>
      <c r="G162" s="25">
        <v>1.8212265E-3</v>
      </c>
      <c r="H162" s="25">
        <v>1.7803845E-3</v>
      </c>
      <c r="I162" s="25">
        <v>1.7395424999999999E-3</v>
      </c>
      <c r="J162" s="25">
        <v>1.6987005E-3</v>
      </c>
      <c r="K162" s="25">
        <v>1.6578585000000001E-3</v>
      </c>
      <c r="L162" s="25">
        <v>1.6170164999999999E-3</v>
      </c>
      <c r="M162" s="25">
        <v>1.5761745E-3</v>
      </c>
      <c r="N162" s="25">
        <v>1.5353325000000001E-3</v>
      </c>
      <c r="O162" s="25">
        <v>1.52039475E-3</v>
      </c>
      <c r="P162" s="25">
        <v>1.505457E-3</v>
      </c>
      <c r="Q162" s="25">
        <v>1.4905192499999999E-3</v>
      </c>
      <c r="R162" s="25">
        <v>1.4755815000000001E-3</v>
      </c>
      <c r="S162" s="25">
        <v>1.46064375E-3</v>
      </c>
      <c r="T162" s="25">
        <v>1.4457059999999999E-3</v>
      </c>
      <c r="U162" s="25">
        <v>1.4307682500000001E-3</v>
      </c>
      <c r="V162" s="25">
        <v>1.4158305E-3</v>
      </c>
      <c r="W162" s="25">
        <v>1.40089275E-3</v>
      </c>
      <c r="X162" s="25">
        <v>1.3859549999999999E-3</v>
      </c>
      <c r="Y162" s="25">
        <v>1.3831055000000001E-3</v>
      </c>
      <c r="Z162" s="25">
        <v>1.3802560000000001E-3</v>
      </c>
      <c r="AA162" s="25">
        <v>1.3774065E-3</v>
      </c>
      <c r="AB162" s="25">
        <v>1.374557E-3</v>
      </c>
      <c r="AC162" s="25">
        <v>1.3717075E-3</v>
      </c>
      <c r="AD162" s="25">
        <v>1.3688579999999999E-3</v>
      </c>
      <c r="AE162" s="25">
        <v>1.3660085000000001E-3</v>
      </c>
      <c r="AF162" s="25">
        <v>1.3660085000000001E-3</v>
      </c>
      <c r="AG162" s="25"/>
      <c r="AH162" s="25"/>
      <c r="AI162" s="25"/>
      <c r="AJ162" s="25"/>
      <c r="AK162" s="25"/>
      <c r="AL162" s="25"/>
    </row>
    <row r="163" spans="2:38" ht="21.95" customHeight="1" x14ac:dyDescent="0.2">
      <c r="D163" s="50"/>
      <c r="E163" s="50" t="str">
        <v>CO2</v>
      </c>
      <c r="F163" s="125" cm="1">
        <f t="array" ref="F163:AE163">_xlfn.XLOOKUP(D160 &amp;_xlfn.ANCHORARRAY( $F$23) &amp; year, EmissionFactors[Vehicle] &amp; EmissionFactors[Speed] &amp; EmissionFactors[Year], EmissionFactors[CO2], , 0)</f>
        <v>280.30300142999999</v>
      </c>
      <c r="G163" s="125">
        <v>274.15487673249999</v>
      </c>
      <c r="H163" s="125">
        <v>268.00675203499998</v>
      </c>
      <c r="I163" s="125">
        <v>261.85862733750002</v>
      </c>
      <c r="J163" s="125">
        <v>255.71050263999999</v>
      </c>
      <c r="K163" s="125">
        <v>249.56237794250001</v>
      </c>
      <c r="L163" s="125">
        <v>243.414253245</v>
      </c>
      <c r="M163" s="125">
        <v>237.26612854749999</v>
      </c>
      <c r="N163" s="125">
        <v>231.11800385000001</v>
      </c>
      <c r="O163" s="125">
        <v>228.86945381749999</v>
      </c>
      <c r="P163" s="125">
        <v>226.620903785</v>
      </c>
      <c r="Q163" s="125">
        <v>224.3723537525</v>
      </c>
      <c r="R163" s="125">
        <v>222.12380372000001</v>
      </c>
      <c r="S163" s="125">
        <v>219.87525368749999</v>
      </c>
      <c r="T163" s="125">
        <v>217.626703655</v>
      </c>
      <c r="U163" s="125">
        <v>215.37815362250001</v>
      </c>
      <c r="V163" s="125">
        <v>213.12960358999999</v>
      </c>
      <c r="W163" s="125">
        <v>210.8810535575</v>
      </c>
      <c r="X163" s="125">
        <v>208.632503525</v>
      </c>
      <c r="Y163" s="125">
        <v>208.20342866249999</v>
      </c>
      <c r="Z163" s="125">
        <v>207.7743538</v>
      </c>
      <c r="AA163" s="125">
        <v>207.34527893750001</v>
      </c>
      <c r="AB163" s="125">
        <v>206.916204075</v>
      </c>
      <c r="AC163" s="125">
        <v>206.48712921250001</v>
      </c>
      <c r="AD163" s="125">
        <v>206.05805434999999</v>
      </c>
      <c r="AE163" s="125">
        <v>205.6289794875</v>
      </c>
      <c r="AF163" s="125">
        <v>205.6289794875</v>
      </c>
      <c r="AG163" s="125"/>
      <c r="AH163" s="125"/>
      <c r="AI163" s="125"/>
      <c r="AJ163" s="125"/>
      <c r="AK163" s="125"/>
      <c r="AL163" s="125"/>
    </row>
    <row r="164" spans="2:38" ht="21.95" customHeight="1" x14ac:dyDescent="0.2">
      <c r="D164" t="s">
        <v>22</v>
      </c>
      <c r="E164" t="str" cm="1">
        <f t="array" ref="E164:E167">_xlfn.ANCHORARRAY($B$49)</f>
        <v>NOx</v>
      </c>
      <c r="F164" s="25" cm="1">
        <f t="array" ref="F164:AE164">_xlfn.XLOOKUP(D164 &amp;_xlfn.ANCHORARRAY( $F$23) &amp; year, EmissionFactors[Vehicle] &amp; EmissionFactors[Speed] &amp; EmissionFactors[Year], EmissionFactors[NOx], , 0)</f>
        <v>3.66467159785</v>
      </c>
      <c r="G164" s="25">
        <v>3.47216089330625</v>
      </c>
      <c r="H164" s="25">
        <v>3.2796501887625</v>
      </c>
      <c r="I164" s="25">
        <v>3.0871394842187501</v>
      </c>
      <c r="J164" s="25">
        <v>2.8946287796750001</v>
      </c>
      <c r="K164" s="25">
        <v>2.7021180751312501</v>
      </c>
      <c r="L164" s="25">
        <v>2.5096073705875002</v>
      </c>
      <c r="M164" s="25">
        <v>2.3170966660437502</v>
      </c>
      <c r="N164" s="25">
        <v>2.1245859614999998</v>
      </c>
      <c r="O164" s="25">
        <v>2.0971719335499999</v>
      </c>
      <c r="P164" s="25">
        <v>2.0697579055999999</v>
      </c>
      <c r="Q164" s="25">
        <v>2.04234387765</v>
      </c>
      <c r="R164" s="25">
        <v>2.0149298497000001</v>
      </c>
      <c r="S164" s="25">
        <v>1.98751582175</v>
      </c>
      <c r="T164" s="25">
        <v>1.9601017938</v>
      </c>
      <c r="U164" s="25">
        <v>1.9326877658499999</v>
      </c>
      <c r="V164" s="25">
        <v>1.9052737379</v>
      </c>
      <c r="W164" s="25">
        <v>1.8778597099500001</v>
      </c>
      <c r="X164" s="25">
        <v>1.8504456819999999</v>
      </c>
      <c r="Y164" s="25">
        <v>1.8431377853624999</v>
      </c>
      <c r="Z164" s="25">
        <v>1.835829888725</v>
      </c>
      <c r="AA164" s="25">
        <v>1.8285219920875</v>
      </c>
      <c r="AB164" s="25">
        <v>1.82121409545</v>
      </c>
      <c r="AC164" s="25">
        <v>1.8139061988125</v>
      </c>
      <c r="AD164" s="25">
        <v>1.8065983021750001</v>
      </c>
      <c r="AE164" s="25">
        <v>1.7992904055375001</v>
      </c>
      <c r="AF164" s="25">
        <v>1.7992904055375001</v>
      </c>
      <c r="AG164" s="25"/>
      <c r="AH164" s="25"/>
      <c r="AI164" s="25"/>
      <c r="AJ164" s="25"/>
      <c r="AK164" s="25"/>
      <c r="AL164" s="25"/>
    </row>
    <row r="165" spans="2:38" ht="21.95" customHeight="1" x14ac:dyDescent="0.2">
      <c r="E165" t="str">
        <v>PM2.5</v>
      </c>
      <c r="F165" s="25" cm="1">
        <f t="array" ref="F165:AE165">_xlfn.XLOOKUP(D164 &amp;_xlfn.ANCHORARRAY( $F$23) &amp; year, EmissionFactors[Vehicle] &amp; EmissionFactors[Speed] &amp; EmissionFactors[Year], EmissionFactors[PM2.5], , 0)</f>
        <v>7.2248522275000004E-2</v>
      </c>
      <c r="G165" s="25">
        <v>6.6680349412500006E-2</v>
      </c>
      <c r="H165" s="25">
        <v>6.1112176550000001E-2</v>
      </c>
      <c r="I165" s="25">
        <v>5.5544003687500003E-2</v>
      </c>
      <c r="J165" s="25">
        <v>4.9975830824999998E-2</v>
      </c>
      <c r="K165" s="25">
        <v>4.44076579625E-2</v>
      </c>
      <c r="L165" s="25">
        <v>3.8839485100000001E-2</v>
      </c>
      <c r="M165" s="25">
        <v>3.3271312237500003E-2</v>
      </c>
      <c r="N165" s="25">
        <v>2.7703139375000001E-2</v>
      </c>
      <c r="O165" s="25">
        <v>2.6979442537499999E-2</v>
      </c>
      <c r="P165" s="25">
        <v>2.6255745699999999E-2</v>
      </c>
      <c r="Q165" s="25">
        <v>2.55320488625E-2</v>
      </c>
      <c r="R165" s="25">
        <v>2.4808352025000001E-2</v>
      </c>
      <c r="S165" s="25">
        <v>2.4084655187500002E-2</v>
      </c>
      <c r="T165" s="25">
        <v>2.3360958349999999E-2</v>
      </c>
      <c r="U165" s="25">
        <v>2.26372615125E-2</v>
      </c>
      <c r="V165" s="25">
        <v>2.1913564675E-2</v>
      </c>
      <c r="W165" s="25">
        <v>2.1189867837500001E-2</v>
      </c>
      <c r="X165" s="25">
        <v>2.0466170999999998E-2</v>
      </c>
      <c r="Y165" s="25">
        <v>2.0271949899999999E-2</v>
      </c>
      <c r="Z165" s="25">
        <v>2.00777288E-2</v>
      </c>
      <c r="AA165" s="25">
        <v>1.9883507700000001E-2</v>
      </c>
      <c r="AB165" s="25">
        <v>1.9689286600000001E-2</v>
      </c>
      <c r="AC165" s="25">
        <v>1.9495065499999999E-2</v>
      </c>
      <c r="AD165" s="25">
        <v>1.9300844399999999E-2</v>
      </c>
      <c r="AE165" s="25">
        <v>1.91066233E-2</v>
      </c>
      <c r="AF165" s="25">
        <v>1.91066233E-2</v>
      </c>
      <c r="AG165" s="25"/>
      <c r="AH165" s="25"/>
      <c r="AI165" s="25"/>
      <c r="AJ165" s="25"/>
      <c r="AK165" s="25"/>
      <c r="AL165" s="25"/>
    </row>
    <row r="166" spans="2:38" ht="21.95" customHeight="1" x14ac:dyDescent="0.2">
      <c r="E166" t="str">
        <v>SO2</v>
      </c>
      <c r="F166" s="25" cm="1">
        <f t="array" ref="F166:AE166">_xlfn.XLOOKUP(D164 &amp;_xlfn.ANCHORARRAY( $F$23) &amp; year, EmissionFactors[Vehicle] &amp; EmissionFactors[Speed] &amp; EmissionFactors[Year], EmissionFactors[SO2], , 0)</f>
        <v>5.6800035E-3</v>
      </c>
      <c r="G166" s="25">
        <v>5.5699502499999996E-3</v>
      </c>
      <c r="H166" s="25">
        <v>5.459897E-3</v>
      </c>
      <c r="I166" s="25">
        <v>5.3498437500000004E-3</v>
      </c>
      <c r="J166" s="25">
        <v>5.2397905E-3</v>
      </c>
      <c r="K166" s="25">
        <v>5.1297372500000004E-3</v>
      </c>
      <c r="L166" s="25">
        <v>5.019684E-3</v>
      </c>
      <c r="M166" s="25">
        <v>4.9096307500000004E-3</v>
      </c>
      <c r="N166" s="25">
        <v>4.7995774999999999E-3</v>
      </c>
      <c r="O166" s="25">
        <v>4.7611897500000003E-3</v>
      </c>
      <c r="P166" s="25">
        <v>4.7228019999999999E-3</v>
      </c>
      <c r="Q166" s="25">
        <v>4.6844142500000003E-3</v>
      </c>
      <c r="R166" s="25">
        <v>4.6460264999999999E-3</v>
      </c>
      <c r="S166" s="25">
        <v>4.6076387500000003E-3</v>
      </c>
      <c r="T166" s="25">
        <v>4.5692509999999999E-3</v>
      </c>
      <c r="U166" s="25">
        <v>4.5308632500000003E-3</v>
      </c>
      <c r="V166" s="25">
        <v>4.4924754999999999E-3</v>
      </c>
      <c r="W166" s="25">
        <v>4.4540877500000003E-3</v>
      </c>
      <c r="X166" s="25">
        <v>4.4156999999999998E-3</v>
      </c>
      <c r="Y166" s="25">
        <v>4.4108769999999997E-3</v>
      </c>
      <c r="Z166" s="25">
        <v>4.4060540000000004E-3</v>
      </c>
      <c r="AA166" s="25">
        <v>4.4012310000000002E-3</v>
      </c>
      <c r="AB166" s="25">
        <v>4.3964080000000001E-3</v>
      </c>
      <c r="AC166" s="25">
        <v>4.3915849999999999E-3</v>
      </c>
      <c r="AD166" s="25">
        <v>4.3867619999999998E-3</v>
      </c>
      <c r="AE166" s="25">
        <v>4.3819389999999996E-3</v>
      </c>
      <c r="AF166" s="25">
        <v>4.3819389999999996E-3</v>
      </c>
      <c r="AG166" s="25"/>
      <c r="AH166" s="25"/>
      <c r="AI166" s="25"/>
      <c r="AJ166" s="25"/>
      <c r="AK166" s="25"/>
      <c r="AL166" s="25"/>
    </row>
    <row r="167" spans="2:38" ht="21.95" customHeight="1" x14ac:dyDescent="0.2">
      <c r="C167" s="50"/>
      <c r="D167" s="50"/>
      <c r="E167" s="50" t="str">
        <v>CO2</v>
      </c>
      <c r="F167" s="125" cm="1">
        <f t="array" ref="F167:AE167">_xlfn.XLOOKUP(D164 &amp;_xlfn.ANCHORARRAY( $F$23) &amp; year, EmissionFactors[Vehicle] &amp; EmissionFactors[Speed] &amp; EmissionFactors[Year], EmissionFactors[CO2], , 0)</f>
        <v>1692.0480471999999</v>
      </c>
      <c r="G167" s="125">
        <v>1660.2920412999999</v>
      </c>
      <c r="H167" s="125">
        <v>1628.5360353999999</v>
      </c>
      <c r="I167" s="125">
        <v>1596.7800295</v>
      </c>
      <c r="J167" s="125">
        <v>1565.0240236</v>
      </c>
      <c r="K167" s="125">
        <v>1533.2680177</v>
      </c>
      <c r="L167" s="125">
        <v>1501.5120118</v>
      </c>
      <c r="M167" s="125">
        <v>1469.7560059</v>
      </c>
      <c r="N167" s="125">
        <v>1438</v>
      </c>
      <c r="O167" s="125">
        <v>1426.6109985000001</v>
      </c>
      <c r="P167" s="125">
        <v>1415.2219970000001</v>
      </c>
      <c r="Q167" s="125">
        <v>1403.8329954999999</v>
      </c>
      <c r="R167" s="125">
        <v>1392.443994</v>
      </c>
      <c r="S167" s="125">
        <v>1381.0549925</v>
      </c>
      <c r="T167" s="125">
        <v>1369.6659910000001</v>
      </c>
      <c r="U167" s="125">
        <v>1358.2769894999999</v>
      </c>
      <c r="V167" s="125">
        <v>1346.887988</v>
      </c>
      <c r="W167" s="125">
        <v>1335.4989865</v>
      </c>
      <c r="X167" s="125">
        <v>1324.1099850000001</v>
      </c>
      <c r="Y167" s="125">
        <v>1322.6639889</v>
      </c>
      <c r="Z167" s="125">
        <v>1321.2179928</v>
      </c>
      <c r="AA167" s="125">
        <v>1319.7719967</v>
      </c>
      <c r="AB167" s="125">
        <v>1318.3260006</v>
      </c>
      <c r="AC167" s="125">
        <v>1316.8800045</v>
      </c>
      <c r="AD167" s="125">
        <v>1315.4340084</v>
      </c>
      <c r="AE167" s="125">
        <v>1313.9880123</v>
      </c>
      <c r="AF167" s="125">
        <v>1313.9880123</v>
      </c>
      <c r="AG167" s="125"/>
      <c r="AH167" s="125"/>
      <c r="AI167" s="125"/>
      <c r="AJ167" s="125"/>
      <c r="AK167" s="125"/>
      <c r="AL167" s="125"/>
    </row>
    <row r="168" spans="2:38" ht="21.95" customHeight="1" x14ac:dyDescent="0.2">
      <c r="C168" t="s">
        <v>607</v>
      </c>
      <c r="D168" t="s">
        <v>23</v>
      </c>
      <c r="E168" t="str" cm="1">
        <f t="array" ref="E168:E171">_xlfn.ANCHORARRAY($B$49)</f>
        <v>NOx</v>
      </c>
      <c r="F168" s="25" cm="1">
        <f t="array" ref="F168:AE168">_xlfn.XLOOKUP(D168 &amp;_xlfn.ANCHORARRAY( F24) &amp; year, EmissionFactors[Vehicle] &amp; EmissionFactors[Speed] &amp; EmissionFactors[Year], EmissionFactors[NOx], , 0)</f>
        <v>0.15527137502499999</v>
      </c>
      <c r="G168" s="25">
        <v>0.14045136553750001</v>
      </c>
      <c r="H168" s="25">
        <v>0.12563135605</v>
      </c>
      <c r="I168" s="25">
        <v>0.1108113465625</v>
      </c>
      <c r="J168" s="25">
        <v>9.5991337075000002E-2</v>
      </c>
      <c r="K168" s="25">
        <v>8.1171327587499995E-2</v>
      </c>
      <c r="L168" s="25">
        <v>6.6351318100000001E-2</v>
      </c>
      <c r="M168" s="25">
        <v>5.15313086125E-2</v>
      </c>
      <c r="N168" s="25">
        <v>3.6711299124999999E-2</v>
      </c>
      <c r="O168" s="25">
        <v>3.3696143312500003E-2</v>
      </c>
      <c r="P168" s="25">
        <v>3.06809875E-2</v>
      </c>
      <c r="Q168" s="25">
        <v>2.76658316875E-2</v>
      </c>
      <c r="R168" s="25">
        <v>2.4650675875E-2</v>
      </c>
      <c r="S168" s="25">
        <v>2.16355200625E-2</v>
      </c>
      <c r="T168" s="25">
        <v>1.862036425E-2</v>
      </c>
      <c r="U168" s="25">
        <v>1.56052084375E-2</v>
      </c>
      <c r="V168" s="25">
        <v>1.2590052625000001E-2</v>
      </c>
      <c r="W168" s="25">
        <v>9.5748968125000007E-3</v>
      </c>
      <c r="X168" s="25">
        <v>6.559741E-3</v>
      </c>
      <c r="Y168" s="25">
        <v>6.3091023499999999E-3</v>
      </c>
      <c r="Z168" s="25">
        <v>6.0584636999999998E-3</v>
      </c>
      <c r="AA168" s="25">
        <v>5.8078250499999998E-3</v>
      </c>
      <c r="AB168" s="25">
        <v>5.5571863999999997E-3</v>
      </c>
      <c r="AC168" s="25">
        <v>5.3065477499999996E-3</v>
      </c>
      <c r="AD168" s="25">
        <v>5.0559091000000004E-3</v>
      </c>
      <c r="AE168" s="25">
        <v>4.8052704500000003E-3</v>
      </c>
      <c r="AF168" s="25">
        <v>4.8052704500000003E-3</v>
      </c>
      <c r="AG168" s="25"/>
      <c r="AH168" s="25"/>
      <c r="AI168" s="25"/>
      <c r="AJ168" s="25"/>
      <c r="AK168" s="25"/>
      <c r="AL168" s="25"/>
    </row>
    <row r="169" spans="2:38" ht="21.95" customHeight="1" x14ac:dyDescent="0.2">
      <c r="E169" t="str">
        <v>PM2.5</v>
      </c>
      <c r="F169" s="25" cm="1">
        <f t="array" ref="F169:AE169">_xlfn.XLOOKUP(D168 &amp;_xlfn.ANCHORARRAY( $F$24) &amp; year, EmissionFactors[Vehicle] &amp; EmissionFactors[Speed] &amp; EmissionFactors[Year], EmissionFactors[PM2.5], , 0)</f>
        <v>2.5417761E-3</v>
      </c>
      <c r="G169" s="25">
        <v>2.4242478999999999E-3</v>
      </c>
      <c r="H169" s="25">
        <v>2.3067196999999998E-3</v>
      </c>
      <c r="I169" s="25">
        <v>2.1891914999999998E-3</v>
      </c>
      <c r="J169" s="25">
        <v>2.0716633000000002E-3</v>
      </c>
      <c r="K169" s="25">
        <v>1.9541351000000001E-3</v>
      </c>
      <c r="L169" s="25">
        <v>1.8366069E-3</v>
      </c>
      <c r="M169" s="25">
        <v>1.7190787E-3</v>
      </c>
      <c r="N169" s="25">
        <v>1.6015504999999999E-3</v>
      </c>
      <c r="O169" s="25">
        <v>1.5693691E-3</v>
      </c>
      <c r="P169" s="25">
        <v>1.5371877E-3</v>
      </c>
      <c r="Q169" s="25">
        <v>1.5050063E-3</v>
      </c>
      <c r="R169" s="25">
        <v>1.4728249000000001E-3</v>
      </c>
      <c r="S169" s="25">
        <v>1.4406435000000001E-3</v>
      </c>
      <c r="T169" s="25">
        <v>1.4084620999999999E-3</v>
      </c>
      <c r="U169" s="25">
        <v>1.3762806999999999E-3</v>
      </c>
      <c r="V169" s="25">
        <v>1.3440993E-3</v>
      </c>
      <c r="W169" s="25">
        <v>1.3119179E-3</v>
      </c>
      <c r="X169" s="25">
        <v>1.2797365E-3</v>
      </c>
      <c r="Y169" s="25">
        <v>1.2763E-3</v>
      </c>
      <c r="Z169" s="25">
        <v>1.2728634999999999E-3</v>
      </c>
      <c r="AA169" s="25">
        <v>1.2694270000000001E-3</v>
      </c>
      <c r="AB169" s="25">
        <v>1.2659905E-3</v>
      </c>
      <c r="AC169" s="25">
        <v>1.2625539999999999E-3</v>
      </c>
      <c r="AD169" s="25">
        <v>1.2591175000000001E-3</v>
      </c>
      <c r="AE169" s="25">
        <v>1.255681E-3</v>
      </c>
      <c r="AF169" s="25">
        <v>1.255681E-3</v>
      </c>
      <c r="AG169" s="25"/>
      <c r="AH169" s="25"/>
      <c r="AI169" s="25"/>
      <c r="AJ169" s="25"/>
      <c r="AK169" s="25"/>
      <c r="AL169" s="25"/>
    </row>
    <row r="170" spans="2:38" ht="21.95" customHeight="1" x14ac:dyDescent="0.2">
      <c r="E170" t="str">
        <v>SO2</v>
      </c>
      <c r="F170" s="25" cm="1">
        <f t="array" ref="F170:AE170">_xlfn.XLOOKUP(D168 &amp;_xlfn.ANCHORARRAY( $F$24) &amp; year, EmissionFactors[Vehicle] &amp; EmissionFactors[Speed] &amp; EmissionFactors[Year], EmissionFactors[SO2], , 0)</f>
        <v>1.8620685000000001E-3</v>
      </c>
      <c r="G170" s="25">
        <v>1.8212265E-3</v>
      </c>
      <c r="H170" s="25">
        <v>1.7803845E-3</v>
      </c>
      <c r="I170" s="25">
        <v>1.7395424999999999E-3</v>
      </c>
      <c r="J170" s="25">
        <v>1.6987005E-3</v>
      </c>
      <c r="K170" s="25">
        <v>1.6578585000000001E-3</v>
      </c>
      <c r="L170" s="25">
        <v>1.6170164999999999E-3</v>
      </c>
      <c r="M170" s="25">
        <v>1.5761745E-3</v>
      </c>
      <c r="N170" s="25">
        <v>1.5353325000000001E-3</v>
      </c>
      <c r="O170" s="25">
        <v>1.52039475E-3</v>
      </c>
      <c r="P170" s="25">
        <v>1.505457E-3</v>
      </c>
      <c r="Q170" s="25">
        <v>1.4905192499999999E-3</v>
      </c>
      <c r="R170" s="25">
        <v>1.4755815000000001E-3</v>
      </c>
      <c r="S170" s="25">
        <v>1.46064375E-3</v>
      </c>
      <c r="T170" s="25">
        <v>1.4457059999999999E-3</v>
      </c>
      <c r="U170" s="25">
        <v>1.4307682500000001E-3</v>
      </c>
      <c r="V170" s="25">
        <v>1.4158305E-3</v>
      </c>
      <c r="W170" s="25">
        <v>1.40089275E-3</v>
      </c>
      <c r="X170" s="25">
        <v>1.3859549999999999E-3</v>
      </c>
      <c r="Y170" s="25">
        <v>1.3831055000000001E-3</v>
      </c>
      <c r="Z170" s="25">
        <v>1.3802560000000001E-3</v>
      </c>
      <c r="AA170" s="25">
        <v>1.3774065E-3</v>
      </c>
      <c r="AB170" s="25">
        <v>1.374557E-3</v>
      </c>
      <c r="AC170" s="25">
        <v>1.3717075E-3</v>
      </c>
      <c r="AD170" s="25">
        <v>1.3688579999999999E-3</v>
      </c>
      <c r="AE170" s="25">
        <v>1.3660085000000001E-3</v>
      </c>
      <c r="AF170" s="25">
        <v>1.3660085000000001E-3</v>
      </c>
      <c r="AG170" s="25"/>
      <c r="AH170" s="25"/>
      <c r="AI170" s="25"/>
      <c r="AJ170" s="25"/>
      <c r="AK170" s="25"/>
      <c r="AL170" s="25"/>
    </row>
    <row r="171" spans="2:38" ht="21.95" customHeight="1" x14ac:dyDescent="0.2">
      <c r="D171" s="50"/>
      <c r="E171" s="50" t="str">
        <v>CO2</v>
      </c>
      <c r="F171" s="125" cm="1">
        <f t="array" ref="F171:AE171">_xlfn.XLOOKUP(D168 &amp;_xlfn.ANCHORARRAY( $F$24) &amp; year, EmissionFactors[Vehicle] &amp; EmissionFactors[Speed] &amp; EmissionFactors[Year], EmissionFactors[CO2], , 0)</f>
        <v>280.30300142999999</v>
      </c>
      <c r="G171" s="125">
        <v>274.15487673249999</v>
      </c>
      <c r="H171" s="125">
        <v>268.00675203499998</v>
      </c>
      <c r="I171" s="125">
        <v>261.85862733750002</v>
      </c>
      <c r="J171" s="125">
        <v>255.71050263999999</v>
      </c>
      <c r="K171" s="125">
        <v>249.56237794250001</v>
      </c>
      <c r="L171" s="125">
        <v>243.414253245</v>
      </c>
      <c r="M171" s="125">
        <v>237.26612854749999</v>
      </c>
      <c r="N171" s="125">
        <v>231.11800385000001</v>
      </c>
      <c r="O171" s="125">
        <v>228.86945381749999</v>
      </c>
      <c r="P171" s="125">
        <v>226.620903785</v>
      </c>
      <c r="Q171" s="125">
        <v>224.3723537525</v>
      </c>
      <c r="R171" s="125">
        <v>222.12380372000001</v>
      </c>
      <c r="S171" s="125">
        <v>219.87525368749999</v>
      </c>
      <c r="T171" s="125">
        <v>217.626703655</v>
      </c>
      <c r="U171" s="125">
        <v>215.37815362250001</v>
      </c>
      <c r="V171" s="125">
        <v>213.12960358999999</v>
      </c>
      <c r="W171" s="125">
        <v>210.8810535575</v>
      </c>
      <c r="X171" s="125">
        <v>208.632503525</v>
      </c>
      <c r="Y171" s="125">
        <v>208.20342866249999</v>
      </c>
      <c r="Z171" s="125">
        <v>207.7743538</v>
      </c>
      <c r="AA171" s="125">
        <v>207.34527893750001</v>
      </c>
      <c r="AB171" s="125">
        <v>206.916204075</v>
      </c>
      <c r="AC171" s="125">
        <v>206.48712921250001</v>
      </c>
      <c r="AD171" s="125">
        <v>206.05805434999999</v>
      </c>
      <c r="AE171" s="125">
        <v>205.6289794875</v>
      </c>
      <c r="AF171" s="125">
        <v>205.6289794875</v>
      </c>
      <c r="AG171" s="125"/>
      <c r="AH171" s="125"/>
      <c r="AI171" s="125"/>
      <c r="AJ171" s="125"/>
      <c r="AK171" s="125"/>
      <c r="AL171" s="125"/>
    </row>
    <row r="172" spans="2:38" ht="21.95" customHeight="1" x14ac:dyDescent="0.2">
      <c r="D172" t="s">
        <v>22</v>
      </c>
      <c r="E172" t="str" cm="1">
        <f t="array" ref="E172:E175">_xlfn.ANCHORARRAY($B$49)</f>
        <v>NOx</v>
      </c>
      <c r="F172" s="25" cm="1">
        <f t="array" ref="F172:AE172">_xlfn.XLOOKUP(D172 &amp;_xlfn.ANCHORARRAY( $F$24) &amp; year, EmissionFactors[Vehicle] &amp; EmissionFactors[Speed] &amp; EmissionFactors[Year], EmissionFactors[NOx], , 0)</f>
        <v>3.66467159785</v>
      </c>
      <c r="G172" s="25">
        <v>3.47216089330625</v>
      </c>
      <c r="H172" s="25">
        <v>3.2796501887625</v>
      </c>
      <c r="I172" s="25">
        <v>3.0871394842187501</v>
      </c>
      <c r="J172" s="25">
        <v>2.8946287796750001</v>
      </c>
      <c r="K172" s="25">
        <v>2.7021180751312501</v>
      </c>
      <c r="L172" s="25">
        <v>2.5096073705875002</v>
      </c>
      <c r="M172" s="25">
        <v>2.3170966660437502</v>
      </c>
      <c r="N172" s="25">
        <v>2.1245859614999998</v>
      </c>
      <c r="O172" s="25">
        <v>2.0971719335499999</v>
      </c>
      <c r="P172" s="25">
        <v>2.0697579055999999</v>
      </c>
      <c r="Q172" s="25">
        <v>2.04234387765</v>
      </c>
      <c r="R172" s="25">
        <v>2.0149298497000001</v>
      </c>
      <c r="S172" s="25">
        <v>1.98751582175</v>
      </c>
      <c r="T172" s="25">
        <v>1.9601017938</v>
      </c>
      <c r="U172" s="25">
        <v>1.9326877658499999</v>
      </c>
      <c r="V172" s="25">
        <v>1.9052737379</v>
      </c>
      <c r="W172" s="25">
        <v>1.8778597099500001</v>
      </c>
      <c r="X172" s="25">
        <v>1.8504456819999999</v>
      </c>
      <c r="Y172" s="25">
        <v>1.8431377853624999</v>
      </c>
      <c r="Z172" s="25">
        <v>1.835829888725</v>
      </c>
      <c r="AA172" s="25">
        <v>1.8285219920875</v>
      </c>
      <c r="AB172" s="25">
        <v>1.82121409545</v>
      </c>
      <c r="AC172" s="25">
        <v>1.8139061988125</v>
      </c>
      <c r="AD172" s="25">
        <v>1.8065983021750001</v>
      </c>
      <c r="AE172" s="25">
        <v>1.7992904055375001</v>
      </c>
      <c r="AF172" s="25">
        <v>1.7992904055375001</v>
      </c>
      <c r="AG172" s="25"/>
      <c r="AH172" s="25"/>
      <c r="AI172" s="25"/>
      <c r="AJ172" s="25"/>
      <c r="AK172" s="25"/>
      <c r="AL172" s="25"/>
    </row>
    <row r="173" spans="2:38" ht="21.95" customHeight="1" x14ac:dyDescent="0.2">
      <c r="E173" t="str">
        <v>PM2.5</v>
      </c>
      <c r="F173" s="25" cm="1">
        <f t="array" ref="F173:AE173">_xlfn.XLOOKUP(D172 &amp;_xlfn.ANCHORARRAY( $F$24) &amp; year, EmissionFactors[Vehicle] &amp; EmissionFactors[Speed] &amp; EmissionFactors[Year], EmissionFactors[PM2.5], , 0)</f>
        <v>7.2248522275000004E-2</v>
      </c>
      <c r="G173" s="25">
        <v>6.6680349412500006E-2</v>
      </c>
      <c r="H173" s="25">
        <v>6.1112176550000001E-2</v>
      </c>
      <c r="I173" s="25">
        <v>5.5544003687500003E-2</v>
      </c>
      <c r="J173" s="25">
        <v>4.9975830824999998E-2</v>
      </c>
      <c r="K173" s="25">
        <v>4.44076579625E-2</v>
      </c>
      <c r="L173" s="25">
        <v>3.8839485100000001E-2</v>
      </c>
      <c r="M173" s="25">
        <v>3.3271312237500003E-2</v>
      </c>
      <c r="N173" s="25">
        <v>2.7703139375000001E-2</v>
      </c>
      <c r="O173" s="25">
        <v>2.6979442537499999E-2</v>
      </c>
      <c r="P173" s="25">
        <v>2.6255745699999999E-2</v>
      </c>
      <c r="Q173" s="25">
        <v>2.55320488625E-2</v>
      </c>
      <c r="R173" s="25">
        <v>2.4808352025000001E-2</v>
      </c>
      <c r="S173" s="25">
        <v>2.4084655187500002E-2</v>
      </c>
      <c r="T173" s="25">
        <v>2.3360958349999999E-2</v>
      </c>
      <c r="U173" s="25">
        <v>2.26372615125E-2</v>
      </c>
      <c r="V173" s="25">
        <v>2.1913564675E-2</v>
      </c>
      <c r="W173" s="25">
        <v>2.1189867837500001E-2</v>
      </c>
      <c r="X173" s="25">
        <v>2.0466170999999998E-2</v>
      </c>
      <c r="Y173" s="25">
        <v>2.0271949899999999E-2</v>
      </c>
      <c r="Z173" s="25">
        <v>2.00777288E-2</v>
      </c>
      <c r="AA173" s="25">
        <v>1.9883507700000001E-2</v>
      </c>
      <c r="AB173" s="25">
        <v>1.9689286600000001E-2</v>
      </c>
      <c r="AC173" s="25">
        <v>1.9495065499999999E-2</v>
      </c>
      <c r="AD173" s="25">
        <v>1.9300844399999999E-2</v>
      </c>
      <c r="AE173" s="25">
        <v>1.91066233E-2</v>
      </c>
      <c r="AF173" s="25">
        <v>1.91066233E-2</v>
      </c>
      <c r="AG173" s="25"/>
      <c r="AH173" s="25"/>
      <c r="AI173" s="25"/>
      <c r="AJ173" s="25"/>
      <c r="AK173" s="25"/>
      <c r="AL173" s="25"/>
    </row>
    <row r="174" spans="2:38" ht="21.95" customHeight="1" x14ac:dyDescent="0.2">
      <c r="E174" t="str">
        <v>SO2</v>
      </c>
      <c r="F174" s="25" cm="1">
        <f t="array" ref="F174:AE174">_xlfn.XLOOKUP(D172 &amp;_xlfn.ANCHORARRAY( $F$24) &amp; year, EmissionFactors[Vehicle] &amp; EmissionFactors[Speed] &amp; EmissionFactors[Year], EmissionFactors[SO2], , 0)</f>
        <v>5.6800035E-3</v>
      </c>
      <c r="G174" s="25">
        <v>5.5699502499999996E-3</v>
      </c>
      <c r="H174" s="25">
        <v>5.459897E-3</v>
      </c>
      <c r="I174" s="25">
        <v>5.3498437500000004E-3</v>
      </c>
      <c r="J174" s="25">
        <v>5.2397905E-3</v>
      </c>
      <c r="K174" s="25">
        <v>5.1297372500000004E-3</v>
      </c>
      <c r="L174" s="25">
        <v>5.019684E-3</v>
      </c>
      <c r="M174" s="25">
        <v>4.9096307500000004E-3</v>
      </c>
      <c r="N174" s="25">
        <v>4.7995774999999999E-3</v>
      </c>
      <c r="O174" s="25">
        <v>4.7611897500000003E-3</v>
      </c>
      <c r="P174" s="25">
        <v>4.7228019999999999E-3</v>
      </c>
      <c r="Q174" s="25">
        <v>4.6844142500000003E-3</v>
      </c>
      <c r="R174" s="25">
        <v>4.6460264999999999E-3</v>
      </c>
      <c r="S174" s="25">
        <v>4.6076387500000003E-3</v>
      </c>
      <c r="T174" s="25">
        <v>4.5692509999999999E-3</v>
      </c>
      <c r="U174" s="25">
        <v>4.5308632500000003E-3</v>
      </c>
      <c r="V174" s="25">
        <v>4.4924754999999999E-3</v>
      </c>
      <c r="W174" s="25">
        <v>4.4540877500000003E-3</v>
      </c>
      <c r="X174" s="25">
        <v>4.4156999999999998E-3</v>
      </c>
      <c r="Y174" s="25">
        <v>4.4108769999999997E-3</v>
      </c>
      <c r="Z174" s="25">
        <v>4.4060540000000004E-3</v>
      </c>
      <c r="AA174" s="25">
        <v>4.4012310000000002E-3</v>
      </c>
      <c r="AB174" s="25">
        <v>4.3964080000000001E-3</v>
      </c>
      <c r="AC174" s="25">
        <v>4.3915849999999999E-3</v>
      </c>
      <c r="AD174" s="25">
        <v>4.3867619999999998E-3</v>
      </c>
      <c r="AE174" s="25">
        <v>4.3819389999999996E-3</v>
      </c>
      <c r="AF174" s="25">
        <v>4.3819389999999996E-3</v>
      </c>
      <c r="AG174" s="25"/>
      <c r="AH174" s="25"/>
      <c r="AI174" s="25"/>
      <c r="AJ174" s="25"/>
      <c r="AK174" s="25"/>
      <c r="AL174" s="25"/>
    </row>
    <row r="175" spans="2:38" ht="21.95" customHeight="1" x14ac:dyDescent="0.2">
      <c r="C175" s="50"/>
      <c r="D175" s="50"/>
      <c r="E175" s="50" t="str">
        <v>CO2</v>
      </c>
      <c r="F175" s="125" cm="1">
        <f t="array" ref="F175:AE175">_xlfn.XLOOKUP(D172 &amp;_xlfn.ANCHORARRAY( $F$24) &amp; year, EmissionFactors[Vehicle] &amp; EmissionFactors[Speed] &amp; EmissionFactors[Year], EmissionFactors[CO2], , 0)</f>
        <v>1692.0480471999999</v>
      </c>
      <c r="G175" s="125">
        <v>1660.2920412999999</v>
      </c>
      <c r="H175" s="125">
        <v>1628.5360353999999</v>
      </c>
      <c r="I175" s="125">
        <v>1596.7800295</v>
      </c>
      <c r="J175" s="125">
        <v>1565.0240236</v>
      </c>
      <c r="K175" s="125">
        <v>1533.2680177</v>
      </c>
      <c r="L175" s="125">
        <v>1501.5120118</v>
      </c>
      <c r="M175" s="125">
        <v>1469.7560059</v>
      </c>
      <c r="N175" s="125">
        <v>1438</v>
      </c>
      <c r="O175" s="125">
        <v>1426.6109985000001</v>
      </c>
      <c r="P175" s="125">
        <v>1415.2219970000001</v>
      </c>
      <c r="Q175" s="125">
        <v>1403.8329954999999</v>
      </c>
      <c r="R175" s="125">
        <v>1392.443994</v>
      </c>
      <c r="S175" s="125">
        <v>1381.0549925</v>
      </c>
      <c r="T175" s="125">
        <v>1369.6659910000001</v>
      </c>
      <c r="U175" s="125">
        <v>1358.2769894999999</v>
      </c>
      <c r="V175" s="125">
        <v>1346.887988</v>
      </c>
      <c r="W175" s="125">
        <v>1335.4989865</v>
      </c>
      <c r="X175" s="125">
        <v>1324.1099850000001</v>
      </c>
      <c r="Y175" s="125">
        <v>1322.6639889</v>
      </c>
      <c r="Z175" s="125">
        <v>1321.2179928</v>
      </c>
      <c r="AA175" s="125">
        <v>1319.7719967</v>
      </c>
      <c r="AB175" s="125">
        <v>1318.3260006</v>
      </c>
      <c r="AC175" s="125">
        <v>1316.8800045</v>
      </c>
      <c r="AD175" s="125">
        <v>1315.4340084</v>
      </c>
      <c r="AE175" s="125">
        <v>1313.9880123</v>
      </c>
      <c r="AF175" s="125">
        <v>1313.9880123</v>
      </c>
      <c r="AG175" s="125"/>
      <c r="AH175" s="125"/>
      <c r="AI175" s="125"/>
      <c r="AJ175" s="125"/>
      <c r="AK175" s="125"/>
      <c r="AL175" s="125"/>
    </row>
    <row r="176" spans="2:38" ht="21.95" customHeight="1" x14ac:dyDescent="0.2">
      <c r="B176" s="1"/>
      <c r="E176"/>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row>
    <row r="177" spans="2:38" ht="21.95" hidden="1" customHeight="1" x14ac:dyDescent="0.2">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row>
    <row r="178" spans="2:38" ht="21.95" hidden="1" customHeight="1" x14ac:dyDescent="0.2">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row>
    <row r="179" spans="2:38" ht="21.95" hidden="1" customHeight="1" x14ac:dyDescent="0.2">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row>
    <row r="180" spans="2:38" ht="21.95" hidden="1" customHeight="1" x14ac:dyDescent="0.2">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row>
    <row r="181" spans="2:38" ht="21.95" hidden="1" customHeight="1" x14ac:dyDescent="0.2">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row>
    <row r="182" spans="2:38" ht="21.95" hidden="1" customHeight="1" x14ac:dyDescent="0.2">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row>
    <row r="183" spans="2:38" ht="21.95" hidden="1" customHeight="1" x14ac:dyDescent="0.2">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row>
    <row r="184" spans="2:38" ht="21.95" hidden="1" customHeight="1" x14ac:dyDescent="0.2">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row>
    <row r="185" spans="2:38" ht="21.95" hidden="1" customHeight="1" x14ac:dyDescent="0.2">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row>
    <row r="186" spans="2:38" ht="21.95" hidden="1" customHeight="1" x14ac:dyDescent="0.2">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row>
    <row r="187" spans="2:38" ht="21.95" hidden="1" customHeight="1" x14ac:dyDescent="0.2">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row>
    <row r="188" spans="2:38" ht="21.95" hidden="1" customHeight="1" x14ac:dyDescent="0.2">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row>
    <row r="189" spans="2:38" ht="21.95" hidden="1" customHeight="1" x14ac:dyDescent="0.2">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row>
    <row r="190" spans="2:38" ht="21.95" hidden="1" customHeight="1" x14ac:dyDescent="0.2">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9"/>
      <c r="AK190" s="9"/>
      <c r="AL190" s="9"/>
    </row>
    <row r="191" spans="2:38" ht="21.95" hidden="1" customHeight="1" x14ac:dyDescent="0.2">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9"/>
      <c r="AK191" s="9"/>
      <c r="AL191" s="9"/>
    </row>
    <row r="192" spans="2:38" ht="21.95" hidden="1" customHeight="1" x14ac:dyDescent="0.2">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9"/>
      <c r="AL192" s="9"/>
    </row>
    <row r="193" spans="2:38" ht="21.95" hidden="1" customHeight="1" x14ac:dyDescent="0.2">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c r="AD193" s="25"/>
      <c r="AE193" s="25"/>
      <c r="AF193" s="25"/>
      <c r="AG193" s="25"/>
      <c r="AH193" s="9"/>
      <c r="AI193" s="9"/>
      <c r="AJ193" s="9"/>
      <c r="AK193" s="9"/>
      <c r="AL193" s="9"/>
    </row>
    <row r="194" spans="2:38" ht="21.95" hidden="1" customHeight="1" x14ac:dyDescent="0.2">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9"/>
      <c r="AK194" s="9"/>
      <c r="AL194" s="9"/>
    </row>
    <row r="195" spans="2:38" ht="21.95" hidden="1" customHeight="1" x14ac:dyDescent="0.2">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9"/>
      <c r="AL195" s="9"/>
    </row>
    <row r="196" spans="2:38" ht="21.95" hidden="1" customHeight="1" x14ac:dyDescent="0.2">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row>
    <row r="197" spans="2:38" ht="21.95" hidden="1" customHeight="1" x14ac:dyDescent="0.2">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9"/>
      <c r="AK197" s="9"/>
      <c r="AL197" s="9"/>
    </row>
    <row r="198" spans="2:38" ht="21.95" hidden="1" customHeight="1" x14ac:dyDescent="0.2">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9"/>
      <c r="AK198" s="9"/>
      <c r="AL198" s="9"/>
    </row>
    <row r="199" spans="2:38" ht="21.95" hidden="1" customHeight="1" x14ac:dyDescent="0.2">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9"/>
      <c r="AK199" s="9"/>
      <c r="AL199" s="9"/>
    </row>
    <row r="200" spans="2:38" ht="21.95" hidden="1" customHeight="1" x14ac:dyDescent="0.2">
      <c r="B200" s="1"/>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row>
    <row r="201" spans="2:38" ht="21.95" hidden="1" customHeight="1" x14ac:dyDescent="0.2">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row>
    <row r="202" spans="2:38" ht="21.95" hidden="1" customHeight="1" x14ac:dyDescent="0.2">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row>
    <row r="203" spans="2:38" ht="21.95" hidden="1" customHeight="1" x14ac:dyDescent="0.2">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9"/>
      <c r="AL203" s="9"/>
    </row>
    <row r="204" spans="2:38" ht="21.95" hidden="1" customHeight="1" x14ac:dyDescent="0.2">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row>
    <row r="205" spans="2:38" ht="21.95" hidden="1" customHeight="1" x14ac:dyDescent="0.2">
      <c r="E20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9"/>
      <c r="AI205" s="9"/>
      <c r="AJ205" s="9"/>
      <c r="AK205" s="9"/>
      <c r="AL205" s="9"/>
    </row>
    <row r="206" spans="2:38" ht="21.95" customHeight="1" x14ac:dyDescent="0.2">
      <c r="E206"/>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row>
    <row r="207" spans="2:38" ht="21.95" customHeight="1" x14ac:dyDescent="0.2">
      <c r="B207" s="50"/>
      <c r="C207" s="50"/>
      <c r="D207" s="50"/>
      <c r="E207" s="50"/>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row>
    <row r="208" spans="2:38" ht="21.95" customHeight="1" x14ac:dyDescent="0.2">
      <c r="B208" s="1" t="s">
        <v>56</v>
      </c>
      <c r="C208" t="s">
        <v>609</v>
      </c>
      <c r="D208" t="s">
        <v>280</v>
      </c>
      <c r="E208" t="str" cm="1">
        <f t="array" ref="E208:E211">_xlfn.ANCHORARRAY($B$49)</f>
        <v>NOx</v>
      </c>
      <c r="F208" s="25" cm="1">
        <f t="array" ref="F208:AE208">_xlfn.ANCHORARRAY($F$39) * ($C$12 *_xlfn.ANCHORARRAY( F160) + $C$13 *_xlfn.ANCHORARRAY( F164)) / tonsToGrams</f>
        <v>33.328819116823084</v>
      </c>
      <c r="G208" s="25">
        <v>31.863471752710431</v>
      </c>
      <c r="H208" s="25">
        <v>30.343726093541193</v>
      </c>
      <c r="I208" s="25">
        <v>28.768232527950445</v>
      </c>
      <c r="J208" s="25">
        <v>27.135612432873341</v>
      </c>
      <c r="K208" s="25">
        <v>25.444457594573219</v>
      </c>
      <c r="L208" s="25">
        <v>23.693329618630067</v>
      </c>
      <c r="M208" s="25">
        <v>21.880759328685752</v>
      </c>
      <c r="N208" s="25">
        <v>20.005246153738117</v>
      </c>
      <c r="O208" s="25">
        <v>19.966515427053384</v>
      </c>
      <c r="P208" s="25">
        <v>19.921607068381448</v>
      </c>
      <c r="Q208" s="25">
        <v>19.870336167666022</v>
      </c>
      <c r="R208" s="25">
        <v>19.812513523846036</v>
      </c>
      <c r="S208" s="25">
        <v>19.747945555577381</v>
      </c>
      <c r="T208" s="25">
        <v>19.676434210207518</v>
      </c>
      <c r="U208" s="25">
        <v>19.597776870968985</v>
      </c>
      <c r="V208" s="25">
        <v>19.511766262359661</v>
      </c>
      <c r="W208" s="25">
        <v>19.418190353674689</v>
      </c>
      <c r="X208" s="25">
        <v>19.31683226065558</v>
      </c>
      <c r="Y208" s="25">
        <v>19.533992707856846</v>
      </c>
      <c r="Z208" s="25">
        <v>19.753203141891728</v>
      </c>
      <c r="AA208" s="25">
        <v>19.974474287096935</v>
      </c>
      <c r="AB208" s="25">
        <v>20.197816697401755</v>
      </c>
      <c r="AC208" s="25">
        <v>20.423240748304696</v>
      </c>
      <c r="AD208" s="25">
        <v>20.650756628639595</v>
      </c>
      <c r="AE208" s="25">
        <v>20.880374332127094</v>
      </c>
      <c r="AF208" s="25">
        <v>20.880374332127094</v>
      </c>
      <c r="AG208" s="25"/>
      <c r="AH208" s="25"/>
      <c r="AI208" s="25"/>
      <c r="AJ208" s="25"/>
      <c r="AK208" s="25"/>
      <c r="AL208" s="25"/>
    </row>
    <row r="209" spans="2:38" ht="21.95" customHeight="1" x14ac:dyDescent="0.2">
      <c r="B209" s="9" t="s">
        <v>91</v>
      </c>
      <c r="E209" t="str">
        <v>PM2.5</v>
      </c>
      <c r="F209" s="25" cm="1">
        <f t="array" ref="F209:AE209">_xlfn.ANCHORARRAY($F$39) * ($C$12 *_xlfn.ANCHORARRAY( F161) + $C$13 *_xlfn.ANCHORARRAY( F165)) / tonsToGrams</f>
        <v>0.64083052008286057</v>
      </c>
      <c r="G209" s="25">
        <v>0.60324233328741239</v>
      </c>
      <c r="H209" s="25">
        <v>0.56431181805386088</v>
      </c>
      <c r="I209" s="25">
        <v>0.52400602573013355</v>
      </c>
      <c r="J209" s="25">
        <v>0.48229130292781797</v>
      </c>
      <c r="K209" s="25">
        <v>0.43913327749889425</v>
      </c>
      <c r="L209" s="25">
        <v>0.39449684424558551</v>
      </c>
      <c r="M209" s="25">
        <v>0.34834615035840827</v>
      </c>
      <c r="N209" s="25">
        <v>0.30064458057740473</v>
      </c>
      <c r="O209" s="25">
        <v>0.2977477411220727</v>
      </c>
      <c r="P209" s="25">
        <v>0.2946851790843904</v>
      </c>
      <c r="Q209" s="25">
        <v>0.29145239447661764</v>
      </c>
      <c r="R209" s="25">
        <v>0.2880447866973439</v>
      </c>
      <c r="S209" s="25">
        <v>0.2844576524788503</v>
      </c>
      <c r="T209" s="25">
        <v>0.28068618379478266</v>
      </c>
      <c r="U209" s="25">
        <v>0.27672546572738221</v>
      </c>
      <c r="V209" s="25">
        <v>0.27257047429353581</v>
      </c>
      <c r="W209" s="25">
        <v>0.26821607422886579</v>
      </c>
      <c r="X209" s="25">
        <v>0.26365701672907943</v>
      </c>
      <c r="Y209" s="25">
        <v>0.26563274491584576</v>
      </c>
      <c r="Z209" s="25">
        <v>0.26760533549199872</v>
      </c>
      <c r="AA209" s="25">
        <v>0.2695741999967437</v>
      </c>
      <c r="AB209" s="25">
        <v>0.2715387322186183</v>
      </c>
      <c r="AC209" s="25">
        <v>0.27349830778243966</v>
      </c>
      <c r="AD209" s="25">
        <v>0.27545228372764524</v>
      </c>
      <c r="AE209" s="25">
        <v>0.27739999807786303</v>
      </c>
      <c r="AF209" s="25">
        <v>0.27739999807786303</v>
      </c>
      <c r="AG209" s="25"/>
      <c r="AH209" s="25"/>
      <c r="AI209" s="25"/>
      <c r="AJ209" s="25"/>
      <c r="AK209" s="25"/>
      <c r="AL209" s="25"/>
    </row>
    <row r="210" spans="2:38" ht="21.95" customHeight="1" x14ac:dyDescent="0.2">
      <c r="E210" t="str">
        <v>SO2</v>
      </c>
      <c r="F210" s="25" cm="1">
        <f t="array" ref="F210:AE210">_xlfn.ANCHORARRAY($F$39) * ($C$12 *_xlfn.ANCHORARRAY( F162) + $C$13 *_xlfn.ANCHORARRAY( F166)) / tonsToGrams</f>
        <v>0.10236463057706061</v>
      </c>
      <c r="G210" s="25">
        <v>0.10181024999990089</v>
      </c>
      <c r="H210" s="25">
        <v>0.10121304384344861</v>
      </c>
      <c r="I210" s="25">
        <v>0.10057180109887431</v>
      </c>
      <c r="J210" s="25">
        <v>9.9885283241480063E-2</v>
      </c>
      <c r="K210" s="25">
        <v>9.9152223664474307E-2</v>
      </c>
      <c r="L210" s="25">
        <v>9.837132710173721E-2</v>
      </c>
      <c r="M210" s="25">
        <v>9.754126903937102E-2</v>
      </c>
      <c r="N210" s="25">
        <v>9.6660695115825063E-2</v>
      </c>
      <c r="O210" s="25">
        <v>9.7301478846091444E-2</v>
      </c>
      <c r="P210" s="25">
        <v>9.793848167046891E-2</v>
      </c>
      <c r="Q210" s="25">
        <v>9.8571425729608683E-2</v>
      </c>
      <c r="R210" s="25">
        <v>9.9200025352540661E-2</v>
      </c>
      <c r="S210" s="25">
        <v>9.9823986879581425E-2</v>
      </c>
      <c r="T210" s="25">
        <v>0.10044300848160419</v>
      </c>
      <c r="U210" s="25">
        <v>0.10105677997559459</v>
      </c>
      <c r="V210" s="25">
        <v>0.10166498263642741</v>
      </c>
      <c r="W210" s="25">
        <v>0.10226728900478561</v>
      </c>
      <c r="X210" s="25">
        <v>0.10286336269114849</v>
      </c>
      <c r="Y210" s="25">
        <v>0.10431241695031419</v>
      </c>
      <c r="Z210" s="25">
        <v>0.1057816022580215</v>
      </c>
      <c r="AA210" s="25">
        <v>0.10727119332377338</v>
      </c>
      <c r="AB210" s="25">
        <v>0.10878146851725408</v>
      </c>
      <c r="AC210" s="25">
        <v>0.11031270991548903</v>
      </c>
      <c r="AD210" s="25">
        <v>0.11186520335058198</v>
      </c>
      <c r="AE210" s="25">
        <v>0.11343923845803852</v>
      </c>
      <c r="AF210" s="25">
        <v>0.11343923845803852</v>
      </c>
      <c r="AG210" s="25"/>
      <c r="AH210" s="25"/>
      <c r="AI210" s="25"/>
      <c r="AJ210" s="25"/>
      <c r="AK210" s="25"/>
      <c r="AL210" s="25"/>
    </row>
    <row r="211" spans="2:38" ht="21.95" customHeight="1" x14ac:dyDescent="0.2">
      <c r="C211" s="50"/>
      <c r="D211" s="50"/>
      <c r="E211" s="50" t="str">
        <v>CO2</v>
      </c>
      <c r="F211" s="125" cm="1">
        <f t="array" ref="F211:AE211">_xlfn.ANCHORARRAY($F$39) * ($C$12 *_xlfn.ANCHORARRAY( F163) + $C$13 *_xlfn.ANCHORARRAY( F167)) / tonsToGrams</f>
        <v>21912.552178568054</v>
      </c>
      <c r="G211" s="125">
        <v>21811.606608608559</v>
      </c>
      <c r="H211" s="125">
        <v>21702.051795527292</v>
      </c>
      <c r="I211" s="125">
        <v>21583.641686952054</v>
      </c>
      <c r="J211" s="125">
        <v>21456.124617033191</v>
      </c>
      <c r="K211" s="125">
        <v>21319.243190679925</v>
      </c>
      <c r="L211" s="125">
        <v>21172.734165542741</v>
      </c>
      <c r="M211" s="125">
        <v>21016.32833169985</v>
      </c>
      <c r="N211" s="125">
        <v>20849.750389004548</v>
      </c>
      <c r="O211" s="125">
        <v>20995.209447758003</v>
      </c>
      <c r="P211" s="125">
        <v>21140.080977758978</v>
      </c>
      <c r="Q211" s="125">
        <v>21284.310429082907</v>
      </c>
      <c r="R211" s="125">
        <v>21427.841679858699</v>
      </c>
      <c r="S211" s="125">
        <v>21570.617000294078</v>
      </c>
      <c r="T211" s="125">
        <v>21712.577015958206</v>
      </c>
      <c r="U211" s="125">
        <v>21853.660670306006</v>
      </c>
      <c r="V211" s="125">
        <v>21993.8051864308</v>
      </c>
      <c r="W211" s="125">
        <v>22132.946028029353</v>
      </c>
      <c r="X211" s="125">
        <v>22271.016859564097</v>
      </c>
      <c r="Y211" s="125">
        <v>22588.458017174104</v>
      </c>
      <c r="Z211" s="125">
        <v>22910.374431201813</v>
      </c>
      <c r="AA211" s="125">
        <v>23236.828334281541</v>
      </c>
      <c r="AB211" s="125">
        <v>23567.882809347208</v>
      </c>
      <c r="AC211" s="125">
        <v>23903.601800981076</v>
      </c>
      <c r="AD211" s="125">
        <v>24244.050126908885</v>
      </c>
      <c r="AE211" s="125">
        <v>24589.293489643827</v>
      </c>
      <c r="AF211" s="125">
        <v>24589.293489643827</v>
      </c>
      <c r="AG211" s="125"/>
      <c r="AH211" s="125"/>
      <c r="AI211" s="125"/>
      <c r="AJ211" s="125"/>
      <c r="AK211" s="125"/>
      <c r="AL211" s="125"/>
    </row>
    <row r="212" spans="2:38" ht="21.95" customHeight="1" x14ac:dyDescent="0.2">
      <c r="C212" t="s">
        <v>607</v>
      </c>
      <c r="D212" t="s">
        <v>280</v>
      </c>
      <c r="E212" t="str" cm="1">
        <f t="array" ref="E212:E215">_xlfn.ANCHORARRAY($B$49)</f>
        <v>NOx</v>
      </c>
      <c r="F212" s="25" cm="1">
        <f t="array" ref="F212:AE212">_xlfn.ANCHORARRAY($F$40) * ($C$12 *_xlfn.ANCHORARRAY( F168) + $C$13 *_xlfn.ANCHORARRAY( F172)) / tonsToGrams</f>
        <v>68.283434288125335</v>
      </c>
      <c r="G212" s="25">
        <v>65.281259200675009</v>
      </c>
      <c r="H212" s="25">
        <v>62.167633947742914</v>
      </c>
      <c r="I212" s="25">
        <v>58.939793471898476</v>
      </c>
      <c r="J212" s="25">
        <v>55.59491327710635</v>
      </c>
      <c r="K212" s="25">
        <v>52.130108242540231</v>
      </c>
      <c r="L212" s="25">
        <v>48.542431413778665</v>
      </c>
      <c r="M212" s="25">
        <v>44.82887277096593</v>
      </c>
      <c r="N212" s="25">
        <v>40.986357973512234</v>
      </c>
      <c r="O212" s="25">
        <v>40.907007216402057</v>
      </c>
      <c r="P212" s="25">
        <v>40.814999847415642</v>
      </c>
      <c r="Q212" s="25">
        <v>40.709957026437699</v>
      </c>
      <c r="R212" s="25">
        <v>40.591491122026028</v>
      </c>
      <c r="S212" s="25">
        <v>40.459205528499993</v>
      </c>
      <c r="T212" s="25">
        <v>40.312694479449547</v>
      </c>
      <c r="U212" s="25">
        <v>40.15154285759499</v>
      </c>
      <c r="V212" s="25">
        <v>39.975326000931979</v>
      </c>
      <c r="W212" s="25">
        <v>39.783609505089601</v>
      </c>
      <c r="X212" s="25">
        <v>39.575949021830937</v>
      </c>
      <c r="Y212" s="25">
        <v>40.020863108779871</v>
      </c>
      <c r="Z212" s="25">
        <v>40.469977168753779</v>
      </c>
      <c r="AA212" s="25">
        <v>40.923313173564452</v>
      </c>
      <c r="AB212" s="25">
        <v>41.380892745896283</v>
      </c>
      <c r="AC212" s="25">
        <v>41.842737142868152</v>
      </c>
      <c r="AD212" s="25">
        <v>42.308867239164037</v>
      </c>
      <c r="AE212" s="25">
        <v>42.779303509723796</v>
      </c>
      <c r="AF212" s="25">
        <v>42.779303509723796</v>
      </c>
      <c r="AG212" s="25"/>
      <c r="AH212" s="25"/>
      <c r="AI212" s="25"/>
      <c r="AJ212" s="25"/>
      <c r="AK212" s="25"/>
      <c r="AL212" s="25"/>
    </row>
    <row r="213" spans="2:38" ht="21.95" customHeight="1" x14ac:dyDescent="0.2">
      <c r="E213" t="str">
        <v>PM2.5</v>
      </c>
      <c r="F213" s="25" cm="1">
        <f t="array" ref="F213:AE213">_xlfn.ANCHORARRAY($F$40) * ($C$12 *_xlfn.ANCHORARRAY( F169) + $C$13 *_xlfn.ANCHORARRAY( F173)) / tonsToGrams</f>
        <v>1.3129210655356165</v>
      </c>
      <c r="G213" s="25">
        <v>1.2359111218571373</v>
      </c>
      <c r="H213" s="25">
        <v>1.1561510418664465</v>
      </c>
      <c r="I213" s="25">
        <v>1.0735733210080785</v>
      </c>
      <c r="J213" s="25">
        <v>0.98810901087650493</v>
      </c>
      <c r="K213" s="25">
        <v>0.89968769048553909</v>
      </c>
      <c r="L213" s="25">
        <v>0.80823743699095563</v>
      </c>
      <c r="M213" s="25">
        <v>0.71368479585625089</v>
      </c>
      <c r="N213" s="25">
        <v>0.61595475045126802</v>
      </c>
      <c r="O213" s="25">
        <v>0.61001976229888066</v>
      </c>
      <c r="P213" s="25">
        <v>0.60374524495338511</v>
      </c>
      <c r="Q213" s="25">
        <v>0.59712197892770424</v>
      </c>
      <c r="R213" s="25">
        <v>0.59014053859943627</v>
      </c>
      <c r="S213" s="25">
        <v>0.5827912880054491</v>
      </c>
      <c r="T213" s="25">
        <v>0.57506437655516451</v>
      </c>
      <c r="U213" s="25">
        <v>0.5669497346609782</v>
      </c>
      <c r="V213" s="25">
        <v>0.55843706928431713</v>
      </c>
      <c r="W213" s="25">
        <v>0.549515859395725</v>
      </c>
      <c r="X213" s="25">
        <v>0.54017535134738204</v>
      </c>
      <c r="Y213" s="25">
        <v>0.54422318470563502</v>
      </c>
      <c r="Z213" s="25">
        <v>0.54826458978848513</v>
      </c>
      <c r="AA213" s="25">
        <v>0.55229836096893836</v>
      </c>
      <c r="AB213" s="25">
        <v>0.5563232562527789</v>
      </c>
      <c r="AC213" s="25">
        <v>0.56033799643231541</v>
      </c>
      <c r="AD213" s="25">
        <v>0.56434126422249253</v>
      </c>
      <c r="AE213" s="25">
        <v>0.56833170337903627</v>
      </c>
      <c r="AF213" s="25">
        <v>0.56833170337903627</v>
      </c>
      <c r="AG213" s="25"/>
      <c r="AH213" s="25"/>
      <c r="AI213" s="25"/>
      <c r="AJ213" s="25"/>
      <c r="AK213" s="25"/>
      <c r="AL213" s="25"/>
    </row>
    <row r="214" spans="2:38" ht="21.95" customHeight="1" x14ac:dyDescent="0.2">
      <c r="E214" t="str">
        <v>SO2</v>
      </c>
      <c r="F214" s="25" cm="1">
        <f t="array" ref="F214:AE214">_xlfn.ANCHORARRAY($F$40) * ($C$12 *_xlfn.ANCHORARRAY( F170) + $C$13 *_xlfn.ANCHORARRAY( F174)) / tonsToGrams</f>
        <v>0.20972265776763632</v>
      </c>
      <c r="G214" s="25">
        <v>0.20858685365833349</v>
      </c>
      <c r="H214" s="25">
        <v>0.20736330933779709</v>
      </c>
      <c r="I214" s="25">
        <v>0.20604954371476689</v>
      </c>
      <c r="J214" s="25">
        <v>0.20464301932400791</v>
      </c>
      <c r="K214" s="25">
        <v>0.20314114116624002</v>
      </c>
      <c r="L214" s="25">
        <v>0.20154125552551039</v>
      </c>
      <c r="M214" s="25">
        <v>0.19984064876358937</v>
      </c>
      <c r="N214" s="25">
        <v>0.19803654609095861</v>
      </c>
      <c r="O214" s="25">
        <v>0.19934937129443125</v>
      </c>
      <c r="P214" s="25">
        <v>0.20065445025169237</v>
      </c>
      <c r="Q214" s="25">
        <v>0.20195121368992999</v>
      </c>
      <c r="R214" s="25">
        <v>0.2032390763320345</v>
      </c>
      <c r="S214" s="25">
        <v>0.20451743653377652</v>
      </c>
      <c r="T214" s="25">
        <v>0.2057856759135305</v>
      </c>
      <c r="U214" s="25">
        <v>0.20704315897438891</v>
      </c>
      <c r="V214" s="25">
        <v>0.20828923271853417</v>
      </c>
      <c r="W214" s="25">
        <v>0.20952322625370712</v>
      </c>
      <c r="X214" s="25">
        <v>0.21074445039162124</v>
      </c>
      <c r="Y214" s="25">
        <v>0.21371324448357051</v>
      </c>
      <c r="Z214" s="25">
        <v>0.21672328267497079</v>
      </c>
      <c r="AA214" s="25">
        <v>0.21977512778529179</v>
      </c>
      <c r="AB214" s="25">
        <v>0.22286935013291079</v>
      </c>
      <c r="AC214" s="25">
        <v>0.22600652763173359</v>
      </c>
      <c r="AD214" s="25">
        <v>0.22918724588899719</v>
      </c>
      <c r="AE214" s="25">
        <v>0.23241209830427401</v>
      </c>
      <c r="AF214" s="25">
        <v>0.23241209830427401</v>
      </c>
      <c r="AG214" s="25"/>
      <c r="AH214" s="25"/>
      <c r="AI214" s="25"/>
      <c r="AJ214" s="25"/>
      <c r="AK214" s="25"/>
      <c r="AL214" s="25"/>
    </row>
    <row r="215" spans="2:38" ht="21.95" customHeight="1" x14ac:dyDescent="0.2">
      <c r="C215" s="50"/>
      <c r="D215" s="50"/>
      <c r="E215" s="50" t="str">
        <v>CO2</v>
      </c>
      <c r="F215" s="125" cm="1">
        <f t="array" ref="F215:AE215">_xlfn.ANCHORARRAY($F$40) * ($C$12 *_xlfn.ANCHORARRAY( F171) + $C$13 *_xlfn.ANCHORARRAY( F175)) / tonsToGrams</f>
        <v>44894.009341456498</v>
      </c>
      <c r="G215" s="125">
        <v>44687.194027393125</v>
      </c>
      <c r="H215" s="125">
        <v>44462.740264007116</v>
      </c>
      <c r="I215" s="125">
        <v>44220.143943999326</v>
      </c>
      <c r="J215" s="125">
        <v>43958.889459287508</v>
      </c>
      <c r="K215" s="125">
        <v>43678.449463832025</v>
      </c>
      <c r="L215" s="125">
        <v>43378.284631843657</v>
      </c>
      <c r="M215" s="125">
        <v>43057.843411287482</v>
      </c>
      <c r="N215" s="125">
        <v>42716.561772594672</v>
      </c>
      <c r="O215" s="125">
        <v>43014.575453943224</v>
      </c>
      <c r="P215" s="125">
        <v>43311.385417847654</v>
      </c>
      <c r="Q215" s="125">
        <v>43606.87990348693</v>
      </c>
      <c r="R215" s="125">
        <v>43900.943929466601</v>
      </c>
      <c r="S215" s="125">
        <v>44193.459220114688</v>
      </c>
      <c r="T215" s="125">
        <v>44484.304130255834</v>
      </c>
      <c r="U215" s="125">
        <v>44773.353568431819</v>
      </c>
      <c r="V215" s="125">
        <v>45060.478918541143</v>
      </c>
      <c r="W215" s="125">
        <v>45345.54795986502</v>
      </c>
      <c r="X215" s="125">
        <v>45628.424785448376</v>
      </c>
      <c r="Y215" s="125">
        <v>46278.792035185958</v>
      </c>
      <c r="Z215" s="125">
        <v>46938.328102950043</v>
      </c>
      <c r="AA215" s="125">
        <v>47607.160489747534</v>
      </c>
      <c r="AB215" s="125">
        <v>48285.418438662571</v>
      </c>
      <c r="AC215" s="125">
        <v>48973.232958107568</v>
      </c>
      <c r="AD215" s="125">
        <v>49670.736845374289</v>
      </c>
      <c r="AE215" s="125">
        <v>50378.064710489787</v>
      </c>
      <c r="AF215" s="125">
        <v>50378.064710489787</v>
      </c>
      <c r="AG215" s="125"/>
      <c r="AH215" s="125"/>
      <c r="AI215" s="125"/>
      <c r="AJ215" s="125"/>
      <c r="AK215" s="125"/>
      <c r="AL215" s="125"/>
    </row>
    <row r="216" spans="2:38" ht="21.95" customHeight="1" x14ac:dyDescent="0.2">
      <c r="E216"/>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row>
    <row r="217" spans="2:38" ht="21.95" customHeight="1" x14ac:dyDescent="0.2">
      <c r="E217"/>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row>
    <row r="218" spans="2:38" ht="21.95" customHeight="1" x14ac:dyDescent="0.2">
      <c r="E218"/>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row>
    <row r="219" spans="2:38" ht="21.95" customHeight="1" x14ac:dyDescent="0.2">
      <c r="B219" s="50"/>
      <c r="C219" s="50"/>
      <c r="D219" s="50"/>
      <c r="E219" s="50"/>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125"/>
      <c r="AC219" s="125"/>
      <c r="AD219" s="125"/>
      <c r="AE219" s="125"/>
      <c r="AF219" s="125"/>
      <c r="AG219" s="125"/>
      <c r="AH219" s="125"/>
      <c r="AI219" s="125"/>
      <c r="AJ219" s="125"/>
      <c r="AK219" s="125"/>
      <c r="AL219" s="125"/>
    </row>
    <row r="220" spans="2:38" ht="21.95" customHeight="1" x14ac:dyDescent="0.2">
      <c r="B220" s="1" t="str">
        <f>"Emission Costs " &amp; 'Emissions Data'!$J$10</f>
        <v>Emission Costs (2021$/metric ton)</v>
      </c>
      <c r="C220" t="s">
        <v>503</v>
      </c>
      <c r="D220" t="s">
        <v>280</v>
      </c>
      <c r="E220" t="str" cm="1">
        <f t="array" ref="E220:E223">_xlfn.ANCHORARRAY($B$49)</f>
        <v>NOx</v>
      </c>
      <c r="F220" s="22" cm="1">
        <f t="array" ref="F220:AE220">(_xlfn.ANCHORARRAY(F208) +_xlfn.ANCHORARRAY( F212)) *_xlfn.ANCHORARRAY( F49)</f>
        <v>1686763.4065221439</v>
      </c>
      <c r="G220" s="22">
        <v>1612602.5338261984</v>
      </c>
      <c r="H220" s="22">
        <v>1535688.5766853162</v>
      </c>
      <c r="I220" s="22">
        <v>1455953.2315974922</v>
      </c>
      <c r="J220" s="22">
        <v>1373326.7267856628</v>
      </c>
      <c r="K220" s="22">
        <v>1287737.7928960833</v>
      </c>
      <c r="L220" s="22">
        <v>1199113.6331379849</v>
      </c>
      <c r="M220" s="22">
        <v>1107379.8928542179</v>
      </c>
      <c r="N220" s="22">
        <v>1012460.6285123558</v>
      </c>
      <c r="O220" s="22">
        <v>1010500.4758813604</v>
      </c>
      <c r="P220" s="22">
        <v>1008227.6748022317</v>
      </c>
      <c r="Q220" s="22">
        <v>1005632.8670221217</v>
      </c>
      <c r="R220" s="22">
        <v>1002706.4771214763</v>
      </c>
      <c r="S220" s="22">
        <v>999438.70799568435</v>
      </c>
      <c r="T220" s="22">
        <v>995819.53624830733</v>
      </c>
      <c r="U220" s="22">
        <v>991838.70749416202</v>
      </c>
      <c r="V220" s="22">
        <v>987485.73157064128</v>
      </c>
      <c r="W220" s="22">
        <v>982749.87765548716</v>
      </c>
      <c r="X220" s="22">
        <v>977620.16928927624</v>
      </c>
      <c r="Y220" s="22">
        <v>988610.60655616946</v>
      </c>
      <c r="Z220" s="22">
        <v>999704.79315671534</v>
      </c>
      <c r="AA220" s="22">
        <v>1010903.271846979</v>
      </c>
      <c r="AB220" s="22">
        <v>1022206.5767587475</v>
      </c>
      <c r="AC220" s="22">
        <v>1033615.2329934693</v>
      </c>
      <c r="AD220" s="22">
        <v>1045129.7562055403</v>
      </c>
      <c r="AE220" s="22">
        <v>1056750.6521747247</v>
      </c>
      <c r="AF220" s="22">
        <v>1056750.6521747247</v>
      </c>
      <c r="AG220" s="22"/>
      <c r="AH220" s="22"/>
      <c r="AI220" s="22"/>
      <c r="AJ220" s="22"/>
      <c r="AK220" s="22"/>
      <c r="AL220" s="22"/>
    </row>
    <row r="221" spans="2:38" ht="21.95" customHeight="1" x14ac:dyDescent="0.2">
      <c r="B221" s="9" t="s">
        <v>92</v>
      </c>
      <c r="E221" t="str">
        <v>PM2.5</v>
      </c>
      <c r="F221" s="22" cm="1">
        <f t="array" ref="F221:AE221">(_xlfn.ANCHORARRAY(F209) +_xlfn.ANCHORARRAY( F213)) *_xlfn.ANCHORARRAY( F50)</f>
        <v>86551.195242898539</v>
      </c>
      <c r="G221" s="22">
        <v>81474.498062903556</v>
      </c>
      <c r="H221" s="22">
        <v>76216.504694469622</v>
      </c>
      <c r="I221" s="22">
        <v>70772.765060502788</v>
      </c>
      <c r="J221" s="22">
        <v>65138.733901531501</v>
      </c>
      <c r="K221" s="22">
        <v>59309.768881710399</v>
      </c>
      <c r="L221" s="22">
        <v>53281.128658778769</v>
      </c>
      <c r="M221" s="22">
        <v>47047.970917309402</v>
      </c>
      <c r="N221" s="22">
        <v>40605.3503645702</v>
      </c>
      <c r="O221" s="22">
        <v>40214.100401548232</v>
      </c>
      <c r="P221" s="22">
        <v>39800.467784873457</v>
      </c>
      <c r="Q221" s="22">
        <v>39363.844741811459</v>
      </c>
      <c r="R221" s="22">
        <v>38903.609910647363</v>
      </c>
      <c r="S221" s="22">
        <v>38419.12806345446</v>
      </c>
      <c r="T221" s="22">
        <v>37909.749823502658</v>
      </c>
      <c r="U221" s="22">
        <v>37374.811377204365</v>
      </c>
      <c r="V221" s="22">
        <v>36813.634180498892</v>
      </c>
      <c r="W221" s="22">
        <v>36225.524659569368</v>
      </c>
      <c r="X221" s="22">
        <v>35609.773905787239</v>
      </c>
      <c r="Y221" s="22">
        <v>35876.617682231597</v>
      </c>
      <c r="Z221" s="22">
        <v>36143.037689925433</v>
      </c>
      <c r="AA221" s="22">
        <v>36408.954450779718</v>
      </c>
      <c r="AB221" s="22">
        <v>36674.28608928289</v>
      </c>
      <c r="AC221" s="22">
        <v>36938.948276713651</v>
      </c>
      <c r="AD221" s="22">
        <v>37202.854174191103</v>
      </c>
      <c r="AE221" s="22">
        <v>37465.91437454064</v>
      </c>
      <c r="AF221" s="22">
        <v>37465.91437454064</v>
      </c>
      <c r="AG221" s="22"/>
      <c r="AH221" s="22"/>
      <c r="AI221" s="22"/>
      <c r="AJ221" s="22"/>
      <c r="AK221" s="22"/>
      <c r="AL221" s="22"/>
    </row>
    <row r="222" spans="2:38" ht="21.95" customHeight="1" x14ac:dyDescent="0.2">
      <c r="E222" t="str">
        <v>SO2</v>
      </c>
      <c r="F222" s="22" cm="1">
        <f t="array" ref="F222:AE222">(_xlfn.ANCHORARRAY(F210) +_xlfn.ANCHORARRAY( F214)) *_xlfn.ANCHORARRAY( F51)</f>
        <v>248639.94262422001</v>
      </c>
      <c r="G222" s="22">
        <v>247293.3724845153</v>
      </c>
      <c r="H222" s="22">
        <v>245842.78057949845</v>
      </c>
      <c r="I222" s="22">
        <v>244285.22541302798</v>
      </c>
      <c r="J222" s="22">
        <v>242617.69865392425</v>
      </c>
      <c r="K222" s="22">
        <v>240837.12376063011</v>
      </c>
      <c r="L222" s="22">
        <v>238940.35457912818</v>
      </c>
      <c r="M222" s="22">
        <v>236924.17391361855</v>
      </c>
      <c r="N222" s="22">
        <v>234785.29206944452</v>
      </c>
      <c r="O222" s="22">
        <v>236341.73230695445</v>
      </c>
      <c r="P222" s="22">
        <v>237888.98886238592</v>
      </c>
      <c r="Q222" s="22">
        <v>239426.38682554645</v>
      </c>
      <c r="R222" s="22">
        <v>240953.23231210103</v>
      </c>
      <c r="S222" s="22">
        <v>242468.81203342229</v>
      </c>
      <c r="T222" s="22">
        <v>243972.39285760379</v>
      </c>
      <c r="U222" s="22">
        <v>245463.22136145184</v>
      </c>
      <c r="V222" s="22">
        <v>246940.52337329791</v>
      </c>
      <c r="W222" s="22">
        <v>248403.50350644113</v>
      </c>
      <c r="X222" s="22">
        <v>249851.34468304267</v>
      </c>
      <c r="Y222" s="22">
        <v>253371.04446437597</v>
      </c>
      <c r="Z222" s="22">
        <v>256939.64182611497</v>
      </c>
      <c r="AA222" s="22">
        <v>260557.80402759221</v>
      </c>
      <c r="AB222" s="22">
        <v>264226.20721858635</v>
      </c>
      <c r="AC222" s="22">
        <v>267945.53655387223</v>
      </c>
      <c r="AD222" s="22">
        <v>271716.4863091727</v>
      </c>
      <c r="AE222" s="22">
        <v>275539.75999853434</v>
      </c>
      <c r="AF222" s="22">
        <v>275539.75999853434</v>
      </c>
      <c r="AG222" s="22"/>
      <c r="AH222" s="22"/>
      <c r="AI222" s="22"/>
      <c r="AJ222" s="22"/>
      <c r="AK222" s="22"/>
      <c r="AL222" s="22"/>
    </row>
    <row r="223" spans="2:38" ht="21.95" customHeight="1" x14ac:dyDescent="0.2">
      <c r="E223" s="50" t="str">
        <v>CO2</v>
      </c>
      <c r="F223" s="109" cm="1">
        <f t="array" ref="F223:AE223">(_xlfn.ANCHORARRAY(F211) +_xlfn.ANCHORARRAY( F215)) *_xlfn.ANCHORARRAY( F52)</f>
        <v>3741167.4451213749</v>
      </c>
      <c r="G223" s="109">
        <v>3723932.8356160945</v>
      </c>
      <c r="H223" s="109">
        <v>3705228.3553339266</v>
      </c>
      <c r="I223" s="109">
        <v>3685011.9953332767</v>
      </c>
      <c r="J223" s="109">
        <v>3663240.7882739594</v>
      </c>
      <c r="K223" s="109">
        <v>3639870.7886526692</v>
      </c>
      <c r="L223" s="109">
        <v>3614857.0526536382</v>
      </c>
      <c r="M223" s="109">
        <v>3588153.6176072904</v>
      </c>
      <c r="N223" s="109">
        <v>3559713.4810495563</v>
      </c>
      <c r="O223" s="109">
        <v>3584547.9544952689</v>
      </c>
      <c r="P223" s="109">
        <v>3609282.1181539716</v>
      </c>
      <c r="Q223" s="109">
        <v>3633906.658623911</v>
      </c>
      <c r="R223" s="109">
        <v>3658411.9941222169</v>
      </c>
      <c r="S223" s="109">
        <v>3682788.2683428908</v>
      </c>
      <c r="T223" s="109">
        <v>3707025.3441879866</v>
      </c>
      <c r="U223" s="109">
        <v>3731112.7973693185</v>
      </c>
      <c r="V223" s="109">
        <v>3755039.909878429</v>
      </c>
      <c r="W223" s="109">
        <v>3778795.6633220846</v>
      </c>
      <c r="X223" s="109">
        <v>3802368.7321206983</v>
      </c>
      <c r="Y223" s="109">
        <v>3856566.0029321634</v>
      </c>
      <c r="Z223" s="109">
        <v>3911527.3419125043</v>
      </c>
      <c r="AA223" s="109">
        <v>3967263.374145628</v>
      </c>
      <c r="AB223" s="109">
        <v>4023784.8698885478</v>
      </c>
      <c r="AC223" s="109">
        <v>4081102.7465089639</v>
      </c>
      <c r="AD223" s="109">
        <v>4139228.0704478584</v>
      </c>
      <c r="AE223" s="109">
        <v>4198172.0592074823</v>
      </c>
      <c r="AF223" s="109">
        <v>4198172.0592074823</v>
      </c>
      <c r="AG223" s="109"/>
      <c r="AH223" s="109"/>
      <c r="AI223" s="109"/>
      <c r="AJ223" s="109"/>
      <c r="AK223" s="109"/>
      <c r="AL223" s="109"/>
    </row>
    <row r="224" spans="2:38" s="1" customFormat="1" ht="21.95" customHeight="1" x14ac:dyDescent="0.2">
      <c r="E224" s="1" t="s">
        <v>82</v>
      </c>
      <c r="F224" s="29" cm="1">
        <f t="array" ref="F224:AE224">_xlfn.ANCHORARRAY(F223)</f>
        <v>3741167.4451213749</v>
      </c>
      <c r="G224" s="29">
        <v>3723932.8356160945</v>
      </c>
      <c r="H224" s="29">
        <v>3705228.3553339266</v>
      </c>
      <c r="I224" s="29">
        <v>3685011.9953332767</v>
      </c>
      <c r="J224" s="29">
        <v>3663240.7882739594</v>
      </c>
      <c r="K224" s="29">
        <v>3639870.7886526692</v>
      </c>
      <c r="L224" s="29">
        <v>3614857.0526536382</v>
      </c>
      <c r="M224" s="29">
        <v>3588153.6176072904</v>
      </c>
      <c r="N224" s="29">
        <v>3559713.4810495563</v>
      </c>
      <c r="O224" s="29">
        <v>3584547.9544952689</v>
      </c>
      <c r="P224" s="29">
        <v>3609282.1181539716</v>
      </c>
      <c r="Q224" s="29">
        <v>3633906.658623911</v>
      </c>
      <c r="R224" s="29">
        <v>3658411.9941222169</v>
      </c>
      <c r="S224" s="29">
        <v>3682788.2683428908</v>
      </c>
      <c r="T224" s="29">
        <v>3707025.3441879866</v>
      </c>
      <c r="U224" s="29">
        <v>3731112.7973693185</v>
      </c>
      <c r="V224" s="29">
        <v>3755039.909878429</v>
      </c>
      <c r="W224" s="29">
        <v>3778795.6633220846</v>
      </c>
      <c r="X224" s="29">
        <v>3802368.7321206983</v>
      </c>
      <c r="Y224" s="29">
        <v>3856566.0029321634</v>
      </c>
      <c r="Z224" s="29">
        <v>3911527.3419125043</v>
      </c>
      <c r="AA224" s="29">
        <v>3967263.374145628</v>
      </c>
      <c r="AB224" s="29">
        <v>4023784.8698885478</v>
      </c>
      <c r="AC224" s="29">
        <v>4081102.7465089639</v>
      </c>
      <c r="AD224" s="29">
        <v>4139228.0704478584</v>
      </c>
      <c r="AE224" s="29">
        <v>4198172.0592074823</v>
      </c>
      <c r="AF224" s="29">
        <v>4198172.0592074823</v>
      </c>
      <c r="AG224" s="29"/>
      <c r="AH224" s="29"/>
      <c r="AI224" s="29"/>
      <c r="AJ224" s="29"/>
      <c r="AK224" s="29"/>
      <c r="AL224" s="29"/>
    </row>
    <row r="225" spans="2:39" s="1" customFormat="1" ht="21.95" customHeight="1" x14ac:dyDescent="0.2">
      <c r="C225" s="53"/>
      <c r="D225" s="53"/>
      <c r="E225" s="53" t="s">
        <v>83</v>
      </c>
      <c r="F225" s="131" cm="1">
        <f t="array" ref="F225:AE225">_xlfn.ANCHORARRAY(F220) +_xlfn.ANCHORARRAY( F221) +_xlfn.ANCHORARRAY( F222)</f>
        <v>2021954.5443892623</v>
      </c>
      <c r="G225" s="131">
        <v>1941370.4043736174</v>
      </c>
      <c r="H225" s="131">
        <v>1857747.8619592842</v>
      </c>
      <c r="I225" s="131">
        <v>1771011.222071023</v>
      </c>
      <c r="J225" s="131">
        <v>1681083.1593411185</v>
      </c>
      <c r="K225" s="131">
        <v>1587884.6855384239</v>
      </c>
      <c r="L225" s="131">
        <v>1491335.1163758917</v>
      </c>
      <c r="M225" s="131">
        <v>1391352.0376851459</v>
      </c>
      <c r="N225" s="131">
        <v>1287851.2709463704</v>
      </c>
      <c r="O225" s="131">
        <v>1287056.3085898631</v>
      </c>
      <c r="P225" s="131">
        <v>1285917.131449491</v>
      </c>
      <c r="Q225" s="131">
        <v>1284423.0985894797</v>
      </c>
      <c r="R225" s="131">
        <v>1282563.3193442246</v>
      </c>
      <c r="S225" s="131">
        <v>1280326.6480925609</v>
      </c>
      <c r="T225" s="131">
        <v>1277701.6789294137</v>
      </c>
      <c r="U225" s="131">
        <v>1274676.7402328183</v>
      </c>
      <c r="V225" s="131">
        <v>1271239.8891244382</v>
      </c>
      <c r="W225" s="131">
        <v>1267378.9058214976</v>
      </c>
      <c r="X225" s="131">
        <v>1263081.2878781061</v>
      </c>
      <c r="Y225" s="131">
        <v>1277858.2687027771</v>
      </c>
      <c r="Z225" s="131">
        <v>1292787.4726727558</v>
      </c>
      <c r="AA225" s="131">
        <v>1307870.0303253511</v>
      </c>
      <c r="AB225" s="131">
        <v>1323107.0700666169</v>
      </c>
      <c r="AC225" s="131">
        <v>1338499.7178240553</v>
      </c>
      <c r="AD225" s="131">
        <v>1354049.0966889039</v>
      </c>
      <c r="AE225" s="131">
        <v>1369756.3265477996</v>
      </c>
      <c r="AF225" s="131">
        <v>1369756.3265477996</v>
      </c>
      <c r="AG225" s="131"/>
      <c r="AH225" s="131"/>
      <c r="AI225" s="131"/>
      <c r="AJ225" s="131"/>
      <c r="AK225" s="131"/>
      <c r="AL225" s="131"/>
    </row>
    <row r="226" spans="2:39" ht="21.95" customHeight="1" x14ac:dyDescent="0.2">
      <c r="B226" s="1"/>
      <c r="E226"/>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row>
    <row r="227" spans="2:39" ht="21.95" hidden="1" customHeight="1" x14ac:dyDescent="0.2">
      <c r="B227" s="9"/>
      <c r="E227"/>
      <c r="F227"/>
      <c r="G227"/>
      <c r="H227"/>
      <c r="I227"/>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row>
    <row r="228" spans="2:39" ht="21.95" hidden="1" customHeight="1" x14ac:dyDescent="0.2">
      <c r="E228"/>
      <c r="F228"/>
      <c r="G228"/>
      <c r="H228"/>
      <c r="I228"/>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row>
    <row r="229" spans="2:39" ht="21.95" hidden="1" customHeight="1" x14ac:dyDescent="0.2">
      <c r="E229"/>
      <c r="F229"/>
      <c r="G229"/>
      <c r="H229"/>
      <c r="I229"/>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row>
    <row r="230" spans="2:39" s="1" customFormat="1" ht="21.95" hidden="1" customHeight="1" x14ac:dyDescent="0.2">
      <c r="C230"/>
      <c r="D230"/>
      <c r="E230"/>
      <c r="F230"/>
      <c r="G230"/>
      <c r="H230"/>
      <c r="I230"/>
      <c r="J230"/>
      <c r="K230"/>
      <c r="L230"/>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2:39" s="1" customFormat="1" ht="21.95" hidden="1" customHeight="1" x14ac:dyDescent="0.2">
      <c r="C231"/>
      <c r="D231"/>
      <c r="E231"/>
      <c r="F231"/>
      <c r="G231"/>
      <c r="H231"/>
      <c r="I231"/>
      <c r="J231"/>
      <c r="K231"/>
      <c r="L231"/>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row>
    <row r="232" spans="2:39" ht="21.95" hidden="1" customHeight="1" x14ac:dyDescent="0.2">
      <c r="B232" s="1"/>
      <c r="E232"/>
      <c r="F232"/>
      <c r="G232"/>
      <c r="H232"/>
      <c r="I23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row>
    <row r="233" spans="2:39" ht="21.95" hidden="1" customHeight="1" x14ac:dyDescent="0.2">
      <c r="B233" s="9"/>
      <c r="E233"/>
      <c r="F233"/>
      <c r="G233"/>
      <c r="H233"/>
      <c r="I233"/>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row>
    <row r="234" spans="2:39" ht="21.95" hidden="1" customHeight="1" x14ac:dyDescent="0.2">
      <c r="E234"/>
      <c r="F234"/>
      <c r="G234"/>
      <c r="H234"/>
      <c r="I234"/>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row>
    <row r="235" spans="2:39" ht="21.95" hidden="1" customHeight="1" x14ac:dyDescent="0.2">
      <c r="E235"/>
      <c r="F235"/>
      <c r="G235"/>
      <c r="H235"/>
      <c r="I235"/>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row>
    <row r="236" spans="2:39" s="1" customFormat="1" ht="21.95" hidden="1" customHeight="1" x14ac:dyDescent="0.2">
      <c r="C236"/>
      <c r="D236"/>
      <c r="E236"/>
      <c r="F236"/>
      <c r="G236"/>
      <c r="H236"/>
      <c r="I236"/>
      <c r="J236"/>
      <c r="K236"/>
      <c r="L236"/>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row>
    <row r="237" spans="2:39" s="1" customFormat="1" ht="21.95" hidden="1" customHeight="1" x14ac:dyDescent="0.2">
      <c r="C237"/>
      <c r="D237"/>
      <c r="E237"/>
      <c r="F237"/>
      <c r="G237"/>
      <c r="H237"/>
      <c r="I237"/>
      <c r="J237"/>
      <c r="K237"/>
      <c r="L237"/>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2:39" ht="21.95" hidden="1" customHeight="1" x14ac:dyDescent="0.2">
      <c r="B238" s="1"/>
      <c r="E238"/>
      <c r="F238"/>
      <c r="G238"/>
      <c r="H238"/>
      <c r="I238"/>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row>
    <row r="239" spans="2:39" ht="21.95" hidden="1" customHeight="1" x14ac:dyDescent="0.2">
      <c r="B239" s="9"/>
      <c r="E239"/>
      <c r="F239"/>
      <c r="G239"/>
      <c r="H239"/>
      <c r="I239"/>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2:39" ht="21.95" hidden="1" customHeight="1" x14ac:dyDescent="0.2">
      <c r="E240"/>
      <c r="F240"/>
      <c r="G240"/>
      <c r="H240"/>
      <c r="I240"/>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row>
    <row r="241" spans="1:39" ht="21.95" hidden="1" customHeight="1" x14ac:dyDescent="0.2">
      <c r="E241"/>
      <c r="F241"/>
      <c r="G241"/>
      <c r="H241"/>
      <c r="I241"/>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row>
    <row r="242" spans="1:39" s="1" customFormat="1" ht="21.95" hidden="1" customHeight="1" x14ac:dyDescent="0.2">
      <c r="C242"/>
      <c r="D242"/>
      <c r="E242"/>
      <c r="F242"/>
      <c r="G242"/>
      <c r="H242"/>
      <c r="I242"/>
      <c r="J242"/>
      <c r="K242"/>
      <c r="L24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s="1" customFormat="1" ht="21.95" hidden="1" customHeight="1" x14ac:dyDescent="0.2">
      <c r="B243" s="53"/>
      <c r="C243" s="53"/>
      <c r="D243" s="53"/>
      <c r="E243" s="53"/>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row>
    <row r="246" spans="1:39" ht="21.95" customHeight="1" x14ac:dyDescent="0.2">
      <c r="A246" s="32" t="s">
        <v>112</v>
      </c>
      <c r="B246" s="245" t="s">
        <v>45</v>
      </c>
    </row>
    <row r="248" spans="1:39" ht="21.95" customHeight="1" x14ac:dyDescent="0.2">
      <c r="B248" s="1" t="s">
        <v>84</v>
      </c>
    </row>
    <row r="249" spans="1:39" ht="21.95" customHeight="1" x14ac:dyDescent="0.2">
      <c r="B249" s="36" t="s">
        <v>21</v>
      </c>
      <c r="C249" s="34" t="s">
        <v>51</v>
      </c>
      <c r="D249" s="34"/>
      <c r="E249" s="34" t="s">
        <v>28</v>
      </c>
      <c r="F249" s="35" cm="1">
        <f t="array" ref="F249:AE249">year</f>
        <v>2022</v>
      </c>
      <c r="G249" s="35">
        <v>2023</v>
      </c>
      <c r="H249" s="35">
        <v>2024</v>
      </c>
      <c r="I249" s="35">
        <v>2025</v>
      </c>
      <c r="J249" s="35">
        <v>2026</v>
      </c>
      <c r="K249" s="35">
        <v>2027</v>
      </c>
      <c r="L249" s="35">
        <v>2028</v>
      </c>
      <c r="M249" s="35">
        <v>2029</v>
      </c>
      <c r="N249" s="35">
        <v>2030</v>
      </c>
      <c r="O249" s="35">
        <v>2031</v>
      </c>
      <c r="P249" s="35">
        <v>2032</v>
      </c>
      <c r="Q249" s="35">
        <v>2033</v>
      </c>
      <c r="R249" s="35">
        <v>2034</v>
      </c>
      <c r="S249" s="35">
        <v>2035</v>
      </c>
      <c r="T249" s="35">
        <v>2036</v>
      </c>
      <c r="U249" s="35">
        <v>2037</v>
      </c>
      <c r="V249" s="35">
        <v>2038</v>
      </c>
      <c r="W249" s="35">
        <v>2039</v>
      </c>
      <c r="X249" s="35">
        <v>2040</v>
      </c>
      <c r="Y249" s="35">
        <v>2041</v>
      </c>
      <c r="Z249" s="35">
        <v>2042</v>
      </c>
      <c r="AA249" s="35">
        <v>2043</v>
      </c>
      <c r="AB249" s="35">
        <v>2044</v>
      </c>
      <c r="AC249" s="35">
        <v>2045</v>
      </c>
      <c r="AD249" s="35">
        <v>2046</v>
      </c>
      <c r="AE249" s="35">
        <v>2047</v>
      </c>
      <c r="AF249" s="35">
        <v>2048</v>
      </c>
      <c r="AG249" s="35"/>
      <c r="AH249" s="35"/>
      <c r="AI249" s="35"/>
      <c r="AJ249" s="35"/>
      <c r="AK249" s="35"/>
      <c r="AL249" s="35"/>
    </row>
    <row r="250" spans="1:39" ht="21.95" customHeight="1" x14ac:dyDescent="0.2">
      <c r="B250" s="1" t="s">
        <v>505</v>
      </c>
      <c r="C250" t="str" cm="1">
        <f t="array" ref="C250:C253">_xlfn.ANCHORARRAY($B$49)</f>
        <v>NOx</v>
      </c>
      <c r="E250" s="141">
        <f>SUM(_xlfn.ANCHORARRAY(F250))</f>
        <v>-30.023668024518265</v>
      </c>
      <c r="F250" s="25" cm="1">
        <f t="array" ref="F250:AE250">IF(year &gt; endYear, (_xlfn.ANCHORARRAY(F107)) - (_xlfn.ANCHORARRAY(F208)), 0)</f>
        <v>0</v>
      </c>
      <c r="G250" s="25">
        <v>0</v>
      </c>
      <c r="H250" s="25">
        <v>0</v>
      </c>
      <c r="I250" s="25">
        <v>0</v>
      </c>
      <c r="J250" s="43">
        <v>0</v>
      </c>
      <c r="K250" s="43">
        <v>0</v>
      </c>
      <c r="L250" s="43">
        <v>-1.7067375204965067</v>
      </c>
      <c r="M250" s="43">
        <v>-1.6047094327780584</v>
      </c>
      <c r="N250" s="43">
        <v>-1.4990458818515968</v>
      </c>
      <c r="O250" s="43">
        <v>-1.4949979051530207</v>
      </c>
      <c r="P250" s="43">
        <v>-1.4904509460745139</v>
      </c>
      <c r="Q250" s="43">
        <v>-1.4853902968970765</v>
      </c>
      <c r="R250" s="43">
        <v>-1.4798009104830108</v>
      </c>
      <c r="S250" s="43">
        <v>-1.4736673932341198</v>
      </c>
      <c r="T250" s="43">
        <v>-1.4669739979124259</v>
      </c>
      <c r="U250" s="43">
        <v>-1.4597046163205754</v>
      </c>
      <c r="V250" s="43">
        <v>-1.4518427718395586</v>
      </c>
      <c r="W250" s="43">
        <v>-1.4433716118208189</v>
      </c>
      <c r="X250" s="43">
        <v>-1.434273899830206</v>
      </c>
      <c r="Y250" s="43">
        <v>-1.4514957265796866</v>
      </c>
      <c r="Z250" s="43">
        <v>-1.4689043261548242</v>
      </c>
      <c r="AA250" s="43">
        <v>-1.4865013109883982</v>
      </c>
      <c r="AB250" s="43">
        <v>-1.5042882979919838</v>
      </c>
      <c r="AC250" s="43">
        <v>-1.5222669082974143</v>
      </c>
      <c r="AD250" s="43">
        <v>-1.5404387669888706</v>
      </c>
      <c r="AE250" s="43">
        <v>-1.5588055028255994</v>
      </c>
      <c r="AF250" s="43">
        <v>-1.5588055028255994</v>
      </c>
      <c r="AG250" s="43"/>
      <c r="AH250" s="43"/>
      <c r="AI250" s="43"/>
      <c r="AJ250" s="43"/>
      <c r="AK250" s="43"/>
      <c r="AL250" s="43"/>
    </row>
    <row r="251" spans="1:39" ht="21.95" customHeight="1" x14ac:dyDescent="0.2">
      <c r="C251" t="str">
        <v>PM2.5</v>
      </c>
      <c r="E251" s="141">
        <f t="shared" ref="E251:E253" si="0">SUM(_xlfn.ANCHORARRAY(F251))</f>
        <v>-0.46249910714633385</v>
      </c>
      <c r="F251" s="25" cm="1">
        <f t="array" ref="F251:AE251">IF(year &gt; endYear, (_xlfn.ANCHORARRAY(F108)) - (_xlfn.ANCHORARRAY(F209)), 0)</f>
        <v>0</v>
      </c>
      <c r="G251" s="25">
        <v>0</v>
      </c>
      <c r="H251" s="25">
        <v>0</v>
      </c>
      <c r="I251" s="25">
        <v>0</v>
      </c>
      <c r="J251" s="43">
        <v>0</v>
      </c>
      <c r="K251" s="43">
        <v>0</v>
      </c>
      <c r="L251" s="43">
        <v>-2.9546840258032725E-2</v>
      </c>
      <c r="M251" s="43">
        <v>-2.6591227590052946E-2</v>
      </c>
      <c r="N251" s="43">
        <v>-2.3535231405845514E-2</v>
      </c>
      <c r="O251" s="43">
        <v>-2.3385702320418145E-2</v>
      </c>
      <c r="P251" s="43">
        <v>-2.3225632119985573E-2</v>
      </c>
      <c r="Q251" s="43">
        <v>-2.3054725966245304E-2</v>
      </c>
      <c r="R251" s="43">
        <v>-2.2872682350142004E-2</v>
      </c>
      <c r="S251" s="43">
        <v>-2.2679192954905947E-2</v>
      </c>
      <c r="T251" s="43">
        <v>-2.2473942516431145E-2</v>
      </c>
      <c r="U251" s="43">
        <v>-2.2256608680945533E-2</v>
      </c>
      <c r="V251" s="43">
        <v>-2.202686185992131E-2</v>
      </c>
      <c r="W251" s="43">
        <v>-2.1784365082174434E-2</v>
      </c>
      <c r="X251" s="43">
        <v>-2.1528773843099341E-2</v>
      </c>
      <c r="Y251" s="43">
        <v>-2.1768465768308293E-2</v>
      </c>
      <c r="Z251" s="43">
        <v>-2.2010368893807503E-2</v>
      </c>
      <c r="AA251" s="43">
        <v>-2.2254493435644701E-2</v>
      </c>
      <c r="AB251" s="43">
        <v>-2.2500849383500443E-2</v>
      </c>
      <c r="AC251" s="43">
        <v>-2.2749446491029113E-2</v>
      </c>
      <c r="AD251" s="43">
        <v>-2.3000294265951182E-2</v>
      </c>
      <c r="AE251" s="43">
        <v>-2.3253401959892728E-2</v>
      </c>
      <c r="AF251" s="43">
        <v>-2.3253401959892728E-2</v>
      </c>
      <c r="AG251" s="43"/>
      <c r="AH251" s="43"/>
      <c r="AI251" s="43"/>
      <c r="AJ251" s="43"/>
      <c r="AK251" s="43"/>
      <c r="AL251" s="43"/>
    </row>
    <row r="252" spans="1:39" ht="21.95" customHeight="1" x14ac:dyDescent="0.2">
      <c r="C252" t="str">
        <v>SO2</v>
      </c>
      <c r="E252" s="141">
        <f t="shared" si="0"/>
        <v>-9.7791713813087669E-2</v>
      </c>
      <c r="F252" s="25" cm="1">
        <f t="array" ref="F252:AE252">IF(year &gt; endYear, (_xlfn.ANCHORARRAY(F109)) - (_xlfn.ANCHORARRAY(F210)), 0)</f>
        <v>0</v>
      </c>
      <c r="G252" s="25">
        <v>0</v>
      </c>
      <c r="H252" s="25">
        <v>0</v>
      </c>
      <c r="I252" s="25">
        <v>0</v>
      </c>
      <c r="J252" s="43">
        <v>0</v>
      </c>
      <c r="K252" s="43">
        <v>0</v>
      </c>
      <c r="L252" s="43">
        <v>-4.7326628491635853E-3</v>
      </c>
      <c r="M252" s="43">
        <v>-4.6809024097066859E-3</v>
      </c>
      <c r="N252" s="43">
        <v>-4.6263392827938371E-3</v>
      </c>
      <c r="O252" s="43">
        <v>-4.6528779304153972E-3</v>
      </c>
      <c r="P252" s="43">
        <v>-4.6791055705083934E-3</v>
      </c>
      <c r="Q252" s="43">
        <v>-4.7050058332658157E-3</v>
      </c>
      <c r="R252" s="43">
        <v>-4.7305619105411922E-3</v>
      </c>
      <c r="S252" s="43">
        <v>-4.7557565461039814E-3</v>
      </c>
      <c r="T252" s="43">
        <v>-4.7805720256972745E-3</v>
      </c>
      <c r="U252" s="43">
        <v>-4.8049901668928835E-3</v>
      </c>
      <c r="V252" s="43">
        <v>-4.828992308741023E-3</v>
      </c>
      <c r="W252" s="43">
        <v>-4.8525593012098273E-3</v>
      </c>
      <c r="X252" s="43">
        <v>-4.875671494411149E-3</v>
      </c>
      <c r="Y252" s="43">
        <v>-4.9436346763541139E-3</v>
      </c>
      <c r="Z252" s="43">
        <v>-5.0125293502540635E-3</v>
      </c>
      <c r="AA252" s="43">
        <v>-5.0823680009266237E-3</v>
      </c>
      <c r="AB252" s="43">
        <v>-5.1531632754212298E-3</v>
      </c>
      <c r="AC252" s="43">
        <v>-5.2249279850352243E-3</v>
      </c>
      <c r="AD252" s="43">
        <v>-5.2976751073506023E-3</v>
      </c>
      <c r="AE252" s="43">
        <v>-5.3714177882947661E-3</v>
      </c>
      <c r="AF252" s="43">
        <v>-5.3714177882947661E-3</v>
      </c>
      <c r="AG252" s="43"/>
      <c r="AH252" s="43"/>
      <c r="AI252" s="43"/>
      <c r="AJ252" s="43"/>
      <c r="AK252" s="43"/>
      <c r="AL252" s="43"/>
    </row>
    <row r="253" spans="1:39" ht="21.95" customHeight="1" x14ac:dyDescent="0.2">
      <c r="B253" s="50"/>
      <c r="C253" s="50" t="str">
        <v>CO2</v>
      </c>
      <c r="D253" s="50"/>
      <c r="E253" s="132">
        <f t="shared" si="0"/>
        <v>-20280.717342886597</v>
      </c>
      <c r="F253" s="125" cm="1">
        <f t="array" ref="F253:AE253">IF(year &gt; endYear, (_xlfn.ANCHORARRAY(F110)) - (_xlfn.ANCHORARRAY(F211)), 0)</f>
        <v>0</v>
      </c>
      <c r="G253" s="125">
        <v>0</v>
      </c>
      <c r="H253" s="125">
        <v>0</v>
      </c>
      <c r="I253" s="125">
        <v>0</v>
      </c>
      <c r="J253" s="144">
        <v>0</v>
      </c>
      <c r="K253" s="144">
        <v>0</v>
      </c>
      <c r="L253" s="144">
        <v>-981.11010662947592</v>
      </c>
      <c r="M253" s="144">
        <v>-970.4055390815156</v>
      </c>
      <c r="N253" s="144">
        <v>-959.12076606196933</v>
      </c>
      <c r="O253" s="144">
        <v>-964.64539823441373</v>
      </c>
      <c r="P253" s="144">
        <v>-970.10626810995018</v>
      </c>
      <c r="Q253" s="144">
        <v>-975.49999882630436</v>
      </c>
      <c r="R253" s="144">
        <v>-980.82312300016565</v>
      </c>
      <c r="S253" s="144">
        <v>-986.07208071402056</v>
      </c>
      <c r="T253" s="144">
        <v>-991.24321746193164</v>
      </c>
      <c r="U253" s="144">
        <v>-996.33278205370152</v>
      </c>
      <c r="V253" s="144">
        <v>-1001.3369244762944</v>
      </c>
      <c r="W253" s="144">
        <v>-1006.2516937121072</v>
      </c>
      <c r="X253" s="144">
        <v>-1011.073035512858</v>
      </c>
      <c r="Y253" s="144">
        <v>-1025.2861686491451</v>
      </c>
      <c r="Z253" s="144">
        <v>-1039.6962300096457</v>
      </c>
      <c r="AA253" s="144">
        <v>-1054.305897463244</v>
      </c>
      <c r="AB253" s="144">
        <v>-1069.1178843870839</v>
      </c>
      <c r="AC253" s="144">
        <v>-1084.1349401209154</v>
      </c>
      <c r="AD253" s="144">
        <v>-1099.3598504268848</v>
      </c>
      <c r="AE253" s="144">
        <v>-1114.7954379549701</v>
      </c>
      <c r="AF253" s="144">
        <v>-1114.7954379549701</v>
      </c>
      <c r="AG253" s="144"/>
      <c r="AH253" s="144"/>
      <c r="AI253" s="144"/>
      <c r="AJ253" s="144"/>
      <c r="AK253" s="144"/>
      <c r="AL253" s="144"/>
    </row>
    <row r="254" spans="1:39" ht="21.95" customHeight="1" x14ac:dyDescent="0.2">
      <c r="B254" s="1"/>
      <c r="C254" s="1"/>
      <c r="D254" s="1"/>
      <c r="E254" s="1"/>
      <c r="F254" s="1"/>
      <c r="G254" s="1"/>
      <c r="H254" s="1"/>
      <c r="I254" s="1"/>
      <c r="J254" s="1"/>
      <c r="K254" s="1"/>
      <c r="L254" s="1"/>
      <c r="M254" s="1"/>
      <c r="N254" s="1"/>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row>
    <row r="255" spans="1:39" ht="21.95" hidden="1" customHeight="1" x14ac:dyDescent="0.2">
      <c r="B255" s="1"/>
      <c r="C255" s="1"/>
      <c r="D255" s="1"/>
      <c r="E255" s="1"/>
      <c r="F255" s="1"/>
      <c r="G255" s="1"/>
      <c r="H255" s="1"/>
      <c r="I255" s="1"/>
      <c r="J255" s="1"/>
      <c r="K255" s="1"/>
      <c r="L255" s="1"/>
      <c r="M255" s="1"/>
      <c r="N255" s="1"/>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row>
    <row r="256" spans="1:39" ht="21.95" hidden="1" customHeight="1" x14ac:dyDescent="0.2">
      <c r="B256" s="1"/>
      <c r="C256" s="1"/>
      <c r="D256" s="1"/>
      <c r="E256" s="1"/>
      <c r="F256" s="1"/>
      <c r="G256" s="1"/>
      <c r="H256" s="1"/>
      <c r="I256" s="1"/>
      <c r="J256" s="1"/>
      <c r="K256" s="1"/>
      <c r="L256" s="1"/>
      <c r="M256" s="1"/>
      <c r="N256" s="1"/>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row>
    <row r="257" spans="2:39" ht="21.95" hidden="1" customHeight="1" x14ac:dyDescent="0.2">
      <c r="B257" s="1"/>
      <c r="C257" s="1"/>
      <c r="D257" s="1"/>
      <c r="E257" s="1"/>
      <c r="F257" s="1"/>
      <c r="G257" s="1"/>
      <c r="H257" s="1"/>
      <c r="I257" s="1"/>
      <c r="J257" s="1"/>
      <c r="K257" s="1"/>
      <c r="L257" s="1"/>
      <c r="M257" s="1"/>
      <c r="N257" s="1"/>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row>
    <row r="258" spans="2:39" ht="21.95" hidden="1" customHeight="1" x14ac:dyDescent="0.2">
      <c r="B258" s="1"/>
      <c r="C258" s="1"/>
      <c r="D258" s="1"/>
      <c r="E258" s="1"/>
      <c r="F258" s="1"/>
      <c r="G258" s="1"/>
      <c r="H258" s="1"/>
      <c r="I258" s="1"/>
      <c r="J258" s="1"/>
      <c r="K258" s="1"/>
      <c r="L258" s="1"/>
      <c r="M258" s="1"/>
      <c r="N258" s="1"/>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row>
    <row r="259" spans="2:39" ht="21.95" hidden="1" customHeight="1" x14ac:dyDescent="0.2">
      <c r="B259" s="1"/>
      <c r="C259" s="1"/>
      <c r="D259" s="1"/>
      <c r="E259" s="1"/>
      <c r="F259" s="1"/>
      <c r="G259" s="1"/>
      <c r="H259" s="1"/>
      <c r="I259" s="1"/>
      <c r="J259" s="1"/>
      <c r="K259" s="1"/>
      <c r="L259" s="1"/>
      <c r="M259" s="1"/>
      <c r="N259" s="1"/>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row>
    <row r="260" spans="2:39" ht="21.95" hidden="1" customHeight="1" x14ac:dyDescent="0.2">
      <c r="B260" s="1"/>
      <c r="C260" s="1"/>
      <c r="D260" s="1"/>
      <c r="E260" s="1"/>
      <c r="F260" s="1"/>
      <c r="G260" s="1"/>
      <c r="H260" s="1"/>
      <c r="I260" s="1"/>
      <c r="J260" s="1"/>
      <c r="K260" s="1"/>
      <c r="L260" s="1"/>
      <c r="M260" s="1"/>
      <c r="N260" s="1"/>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row>
    <row r="261" spans="2:39" ht="21.95" hidden="1" customHeight="1" x14ac:dyDescent="0.2">
      <c r="B261" s="1"/>
      <c r="C261" s="1"/>
      <c r="D261" s="1"/>
      <c r="E261" s="1"/>
      <c r="F261" s="1"/>
      <c r="G261" s="1"/>
      <c r="H261" s="1"/>
      <c r="I261" s="1"/>
      <c r="J261" s="1"/>
      <c r="K261" s="1"/>
      <c r="L261" s="1"/>
      <c r="M261" s="1"/>
      <c r="N261" s="1"/>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row>
    <row r="262" spans="2:39" ht="21.95" hidden="1" customHeight="1" x14ac:dyDescent="0.2">
      <c r="B262" s="1"/>
      <c r="C262" s="1"/>
      <c r="D262" s="1"/>
      <c r="E262" s="1"/>
      <c r="F262" s="1"/>
      <c r="G262" s="1"/>
      <c r="H262" s="1"/>
      <c r="I262" s="1"/>
      <c r="J262" s="1"/>
      <c r="K262" s="1"/>
      <c r="L262" s="1"/>
      <c r="M262" s="1"/>
      <c r="N262" s="1"/>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row>
    <row r="263" spans="2:39" ht="21.95" customHeight="1" x14ac:dyDescent="0.2">
      <c r="E263"/>
      <c r="F263" s="42"/>
      <c r="G263" s="42"/>
      <c r="H263" s="42"/>
      <c r="I263" s="42"/>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row>
    <row r="264" spans="2:39" ht="21.95" customHeight="1" x14ac:dyDescent="0.2">
      <c r="B264" s="1" t="str">
        <f>"Reduction in Emission Costs " &amp; 'Emissions Data'!$J$10</f>
        <v>Reduction in Emission Costs (2021$/metric ton)</v>
      </c>
      <c r="E264"/>
      <c r="F264" s="42"/>
      <c r="G264" s="42"/>
      <c r="H264" s="42"/>
      <c r="I264" s="42"/>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row>
    <row r="265" spans="2:39" ht="21.95" customHeight="1" x14ac:dyDescent="0.2">
      <c r="B265" s="36" t="s">
        <v>21</v>
      </c>
      <c r="C265" s="34" t="s">
        <v>51</v>
      </c>
      <c r="D265" s="34"/>
      <c r="E265" s="34" t="s">
        <v>186</v>
      </c>
      <c r="F265" s="35" cm="1">
        <f t="array" ref="F265:AE265">year</f>
        <v>2022</v>
      </c>
      <c r="G265" s="35">
        <v>2023</v>
      </c>
      <c r="H265" s="35">
        <v>2024</v>
      </c>
      <c r="I265" s="35">
        <v>2025</v>
      </c>
      <c r="J265" s="35">
        <v>2026</v>
      </c>
      <c r="K265" s="35">
        <v>2027</v>
      </c>
      <c r="L265" s="35">
        <v>2028</v>
      </c>
      <c r="M265" s="35">
        <v>2029</v>
      </c>
      <c r="N265" s="35">
        <v>2030</v>
      </c>
      <c r="O265" s="35">
        <v>2031</v>
      </c>
      <c r="P265" s="35">
        <v>2032</v>
      </c>
      <c r="Q265" s="35">
        <v>2033</v>
      </c>
      <c r="R265" s="35">
        <v>2034</v>
      </c>
      <c r="S265" s="35">
        <v>2035</v>
      </c>
      <c r="T265" s="35">
        <v>2036</v>
      </c>
      <c r="U265" s="35">
        <v>2037</v>
      </c>
      <c r="V265" s="35">
        <v>2038</v>
      </c>
      <c r="W265" s="35">
        <v>2039</v>
      </c>
      <c r="X265" s="35">
        <v>2040</v>
      </c>
      <c r="Y265" s="35">
        <v>2041</v>
      </c>
      <c r="Z265" s="35">
        <v>2042</v>
      </c>
      <c r="AA265" s="35">
        <v>2043</v>
      </c>
      <c r="AB265" s="35">
        <v>2044</v>
      </c>
      <c r="AC265" s="35">
        <v>2045</v>
      </c>
      <c r="AD265" s="35">
        <v>2046</v>
      </c>
      <c r="AE265" s="35">
        <v>2047</v>
      </c>
      <c r="AF265" s="35"/>
      <c r="AG265" s="35"/>
      <c r="AH265" s="35"/>
      <c r="AI265" s="35"/>
      <c r="AJ265" s="35"/>
      <c r="AK265" s="35"/>
      <c r="AL265" s="35"/>
    </row>
    <row r="266" spans="2:39" ht="21.95" customHeight="1" x14ac:dyDescent="0.2">
      <c r="B266" s="1" t="s">
        <v>505</v>
      </c>
      <c r="C266" t="s">
        <v>124</v>
      </c>
      <c r="E266" s="139">
        <f>ROUND(SUM(0.518388202243601*(SUM(F266:AE266))),0)</f>
        <v>1460340</v>
      </c>
      <c r="F266" s="22">
        <v>0</v>
      </c>
      <c r="G266" s="22">
        <v>0</v>
      </c>
      <c r="H266" s="22">
        <v>0</v>
      </c>
      <c r="I266" s="22">
        <v>0</v>
      </c>
      <c r="J266" s="22">
        <v>0</v>
      </c>
      <c r="K266" s="22">
        <v>0</v>
      </c>
      <c r="L266" s="22">
        <v>-61317.374213752337</v>
      </c>
      <c r="M266" s="22">
        <v>-50297.34794280678</v>
      </c>
      <c r="N266" s="22">
        <v>-38919.057280051522</v>
      </c>
      <c r="O266" s="22">
        <v>-25614.693578673527</v>
      </c>
      <c r="P266" s="22">
        <v>-11210.403505204245</v>
      </c>
      <c r="Q266" s="22">
        <v>3975.5077563971281</v>
      </c>
      <c r="R266" s="22">
        <v>20858.409101882018</v>
      </c>
      <c r="S266" s="22">
        <v>39577.437918210402</v>
      </c>
      <c r="T266" s="22">
        <v>60282.101220576093</v>
      </c>
      <c r="U266" s="22">
        <v>83132.988006851636</v>
      </c>
      <c r="V266" s="22">
        <v>109895.20896615926</v>
      </c>
      <c r="W266" s="22">
        <v>137946.43965132907</v>
      </c>
      <c r="X266" s="22">
        <v>168727.74016245827</v>
      </c>
      <c r="Y266" s="22">
        <v>202453.86866580416</v>
      </c>
      <c r="Z266" s="22">
        <v>239355.02643246111</v>
      </c>
      <c r="AA266" s="22">
        <v>281392.05836244766</v>
      </c>
      <c r="AB266" s="22">
        <v>327815.03062515985</v>
      </c>
      <c r="AC266" s="22">
        <v>384008.06669134274</v>
      </c>
      <c r="AD266" s="22">
        <v>441095.8752874434</v>
      </c>
      <c r="AE266" s="22">
        <v>503921.09268082865</v>
      </c>
      <c r="AG266" s="22"/>
      <c r="AH266" s="22"/>
      <c r="AI266" s="22"/>
      <c r="AJ266" s="22"/>
      <c r="AK266" s="22"/>
      <c r="AL266" s="22"/>
    </row>
    <row r="267" spans="2:39" ht="21.95" customHeight="1" x14ac:dyDescent="0.2">
      <c r="B267" s="133"/>
      <c r="C267" s="50" t="s">
        <v>125</v>
      </c>
      <c r="D267" s="50"/>
      <c r="E267" s="139">
        <f>ROUND(SUM(0.237460031538306*(SUM(F267:AE267))),0)</f>
        <v>462447</v>
      </c>
      <c r="F267" s="109">
        <v>0</v>
      </c>
      <c r="G267" s="109">
        <v>0</v>
      </c>
      <c r="H267" s="109">
        <v>0</v>
      </c>
      <c r="I267" s="109">
        <v>0</v>
      </c>
      <c r="J267" s="109">
        <v>0</v>
      </c>
      <c r="K267" s="109">
        <v>0</v>
      </c>
      <c r="L267" s="109">
        <v>-44876.252592688892</v>
      </c>
      <c r="M267" s="109">
        <v>-32621.900269526057</v>
      </c>
      <c r="N267" s="109">
        <v>-19419.705597405322</v>
      </c>
      <c r="O267" s="109">
        <v>-5243.9779936959967</v>
      </c>
      <c r="P267" s="109">
        <v>9996.5768695082515</v>
      </c>
      <c r="Q267" s="109">
        <v>20874.318995327223</v>
      </c>
      <c r="R267" s="109">
        <v>32584.794636560604</v>
      </c>
      <c r="S267" s="109">
        <v>45187.104765756987</v>
      </c>
      <c r="T267" s="109">
        <v>58744.495878501097</v>
      </c>
      <c r="U267" s="109">
        <v>73324.642757097026</v>
      </c>
      <c r="V267" s="109">
        <v>88999.949545853538</v>
      </c>
      <c r="W267" s="109">
        <v>105847.87022110168</v>
      </c>
      <c r="X267" s="109">
        <v>123951.24959214334</v>
      </c>
      <c r="Y267" s="109">
        <v>143398.6860236621</v>
      </c>
      <c r="Z267" s="109">
        <v>164284.91712639062</v>
      </c>
      <c r="AA267" s="109">
        <v>185816.38734214706</v>
      </c>
      <c r="AB267" s="109">
        <v>209141.88346586609</v>
      </c>
      <c r="AC267" s="109">
        <v>234401.30163283693</v>
      </c>
      <c r="AD267" s="109">
        <v>261745.14914481202</v>
      </c>
      <c r="AE267" s="109">
        <v>291335.32579931291</v>
      </c>
      <c r="AG267" s="109"/>
      <c r="AH267" s="109"/>
      <c r="AI267" s="109"/>
      <c r="AJ267" s="109"/>
      <c r="AK267" s="109"/>
      <c r="AL267" s="109"/>
    </row>
    <row r="268" spans="2:39" ht="21.95" customHeight="1" x14ac:dyDescent="0.2">
      <c r="B268" s="1"/>
      <c r="E268" s="115"/>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row>
    <row r="269" spans="2:39" ht="21.95" customHeight="1" x14ac:dyDescent="0.2">
      <c r="B269" s="133"/>
      <c r="C269" s="50"/>
      <c r="D269" s="50"/>
      <c r="E269" s="135"/>
      <c r="F269" s="109"/>
      <c r="G269" s="109"/>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09"/>
      <c r="AL269" s="109"/>
    </row>
    <row r="270" spans="2:39" s="1" customFormat="1" ht="21.95" customHeight="1" x14ac:dyDescent="0.2">
      <c r="B270" s="1" t="s">
        <v>28</v>
      </c>
      <c r="C270" s="1" t="s">
        <v>124</v>
      </c>
      <c r="E270" s="170">
        <f>ROUND(SUM(0.518388202243601*(SUM(F270:AE270))),0)</f>
        <v>1460340</v>
      </c>
      <c r="F270" s="171">
        <f>F266</f>
        <v>0</v>
      </c>
      <c r="G270" s="171">
        <f t="shared" ref="G270:I270" si="1">G266</f>
        <v>0</v>
      </c>
      <c r="H270" s="171">
        <f t="shared" si="1"/>
        <v>0</v>
      </c>
      <c r="I270" s="171">
        <f t="shared" si="1"/>
        <v>0</v>
      </c>
      <c r="J270" s="171">
        <v>0</v>
      </c>
      <c r="K270" s="171">
        <v>0</v>
      </c>
      <c r="L270" s="171">
        <v>-61317.374213752337</v>
      </c>
      <c r="M270" s="171">
        <v>-50297.34794280678</v>
      </c>
      <c r="N270" s="171">
        <v>-38919.057280051522</v>
      </c>
      <c r="O270" s="171">
        <v>-25614.693578673527</v>
      </c>
      <c r="P270" s="171">
        <v>-11210.403505204245</v>
      </c>
      <c r="Q270" s="171">
        <v>3975.5077563971281</v>
      </c>
      <c r="R270" s="171">
        <v>20858.409101882018</v>
      </c>
      <c r="S270" s="171">
        <v>39577.437918210402</v>
      </c>
      <c r="T270" s="171">
        <v>60282.101220576093</v>
      </c>
      <c r="U270" s="171">
        <v>83132.988006851636</v>
      </c>
      <c r="V270" s="171">
        <v>109895.20896615926</v>
      </c>
      <c r="W270" s="171">
        <v>137946.43965132907</v>
      </c>
      <c r="X270" s="171">
        <v>168727.74016245827</v>
      </c>
      <c r="Y270" s="171">
        <v>202453.86866580416</v>
      </c>
      <c r="Z270" s="171">
        <v>239355.02643246111</v>
      </c>
      <c r="AA270" s="171">
        <v>281392.05836244766</v>
      </c>
      <c r="AB270" s="171">
        <v>327815.03062515985</v>
      </c>
      <c r="AC270" s="171">
        <v>384008.06669134274</v>
      </c>
      <c r="AD270" s="171">
        <v>441095.8752874434</v>
      </c>
      <c r="AE270" s="171">
        <v>503921.09268082865</v>
      </c>
      <c r="AG270" s="171"/>
      <c r="AH270" s="171"/>
      <c r="AI270" s="171"/>
      <c r="AJ270" s="171"/>
      <c r="AK270" s="171"/>
      <c r="AL270" s="171"/>
    </row>
    <row r="271" spans="2:39" s="1" customFormat="1" ht="21.95" customHeight="1" x14ac:dyDescent="0.2">
      <c r="B271" s="129"/>
      <c r="C271" s="53" t="s">
        <v>125</v>
      </c>
      <c r="D271" s="53"/>
      <c r="E271" s="170">
        <f>ROUND(SUM(0.237460031538306*(SUM(F271:AE271))),0)</f>
        <v>462447</v>
      </c>
      <c r="F271" s="171">
        <f>F267</f>
        <v>0</v>
      </c>
      <c r="G271" s="171">
        <f t="shared" ref="G271:I271" si="2">G267</f>
        <v>0</v>
      </c>
      <c r="H271" s="171">
        <f t="shared" si="2"/>
        <v>0</v>
      </c>
      <c r="I271" s="171">
        <f t="shared" si="2"/>
        <v>0</v>
      </c>
      <c r="J271" s="171">
        <v>0</v>
      </c>
      <c r="K271" s="171">
        <v>0</v>
      </c>
      <c r="L271" s="171">
        <f t="shared" ref="L271:AE271" si="3">L267</f>
        <v>-44876.252592688892</v>
      </c>
      <c r="M271" s="171">
        <f t="shared" si="3"/>
        <v>-32621.900269526057</v>
      </c>
      <c r="N271" s="171">
        <f t="shared" si="3"/>
        <v>-19419.705597405322</v>
      </c>
      <c r="O271" s="171">
        <f t="shared" si="3"/>
        <v>-5243.9779936959967</v>
      </c>
      <c r="P271" s="171">
        <f t="shared" si="3"/>
        <v>9996.5768695082515</v>
      </c>
      <c r="Q271" s="171">
        <f t="shared" si="3"/>
        <v>20874.318995327223</v>
      </c>
      <c r="R271" s="171">
        <f t="shared" si="3"/>
        <v>32584.794636560604</v>
      </c>
      <c r="S271" s="171">
        <f t="shared" si="3"/>
        <v>45187.104765756987</v>
      </c>
      <c r="T271" s="171">
        <f t="shared" si="3"/>
        <v>58744.495878501097</v>
      </c>
      <c r="U271" s="171">
        <f t="shared" si="3"/>
        <v>73324.642757097026</v>
      </c>
      <c r="V271" s="171">
        <f t="shared" si="3"/>
        <v>88999.949545853538</v>
      </c>
      <c r="W271" s="171">
        <f t="shared" si="3"/>
        <v>105847.87022110168</v>
      </c>
      <c r="X271" s="171">
        <f t="shared" si="3"/>
        <v>123951.24959214334</v>
      </c>
      <c r="Y271" s="171">
        <f t="shared" si="3"/>
        <v>143398.6860236621</v>
      </c>
      <c r="Z271" s="171">
        <f t="shared" si="3"/>
        <v>164284.91712639062</v>
      </c>
      <c r="AA271" s="171">
        <f t="shared" si="3"/>
        <v>185816.38734214706</v>
      </c>
      <c r="AB271" s="171">
        <f t="shared" si="3"/>
        <v>209141.88346586609</v>
      </c>
      <c r="AC271" s="171">
        <f t="shared" si="3"/>
        <v>234401.30163283693</v>
      </c>
      <c r="AD271" s="171">
        <f t="shared" si="3"/>
        <v>261745.14914481202</v>
      </c>
      <c r="AE271" s="171">
        <f t="shared" si="3"/>
        <v>291335.32579931291</v>
      </c>
      <c r="AG271" s="171"/>
      <c r="AH271" s="131"/>
      <c r="AI271" s="131"/>
      <c r="AJ271" s="131"/>
      <c r="AK271" s="131"/>
      <c r="AL271" s="131"/>
    </row>
    <row r="273" spans="2:38" ht="21.95" hidden="1" customHeight="1" x14ac:dyDescent="0.2">
      <c r="B273" s="1" t="str">
        <f>"Reduction in Emission Costs " &amp; 'Emissions Data'!$J$10</f>
        <v>Reduction in Emission Costs (2021$/metric ton)</v>
      </c>
      <c r="E273"/>
      <c r="F273" s="42"/>
      <c r="G273" s="42"/>
      <c r="H273" s="42"/>
      <c r="I273" s="42"/>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row>
    <row r="274" spans="2:38" ht="21.95" hidden="1" customHeight="1" x14ac:dyDescent="0.2">
      <c r="B274" s="36" t="s">
        <v>21</v>
      </c>
      <c r="C274" s="34"/>
      <c r="D274" s="34"/>
      <c r="E274" s="34" t="s">
        <v>186</v>
      </c>
      <c r="F274" s="35" cm="1">
        <f t="array" ref="F274:AE274">year</f>
        <v>2022</v>
      </c>
      <c r="G274" s="35">
        <v>2023</v>
      </c>
      <c r="H274" s="35">
        <v>2024</v>
      </c>
      <c r="I274" s="35">
        <v>2025</v>
      </c>
      <c r="J274" s="35">
        <v>2026</v>
      </c>
      <c r="K274" s="35">
        <v>2027</v>
      </c>
      <c r="L274" s="35">
        <v>2028</v>
      </c>
      <c r="M274" s="35">
        <v>2029</v>
      </c>
      <c r="N274" s="35">
        <v>2030</v>
      </c>
      <c r="O274" s="35">
        <v>2031</v>
      </c>
      <c r="P274" s="35">
        <v>2032</v>
      </c>
      <c r="Q274" s="35">
        <v>2033</v>
      </c>
      <c r="R274" s="35">
        <v>2034</v>
      </c>
      <c r="S274" s="35">
        <v>2035</v>
      </c>
      <c r="T274" s="35">
        <v>2036</v>
      </c>
      <c r="U274" s="35">
        <v>2037</v>
      </c>
      <c r="V274" s="35">
        <v>2038</v>
      </c>
      <c r="W274" s="35">
        <v>2039</v>
      </c>
      <c r="X274" s="35">
        <v>2040</v>
      </c>
      <c r="Y274" s="35">
        <v>2041</v>
      </c>
      <c r="Z274" s="35">
        <v>2042</v>
      </c>
      <c r="AA274" s="35">
        <v>2043</v>
      </c>
      <c r="AB274" s="35">
        <v>2044</v>
      </c>
      <c r="AC274" s="35">
        <v>2045</v>
      </c>
      <c r="AD274" s="35">
        <v>2046</v>
      </c>
      <c r="AE274" s="35">
        <v>2047</v>
      </c>
      <c r="AF274" s="35"/>
      <c r="AG274" s="35"/>
      <c r="AH274" s="35"/>
      <c r="AI274" s="35"/>
      <c r="AJ274" s="35"/>
      <c r="AK274" s="35"/>
      <c r="AL274" s="35"/>
    </row>
    <row r="275" spans="2:38" ht="21.95" hidden="1" customHeight="1" x14ac:dyDescent="0.2">
      <c r="B275" s="1" t="s">
        <v>505</v>
      </c>
      <c r="C275" t="s">
        <v>505</v>
      </c>
      <c r="E275" s="697">
        <f>ROUND(SUM(0.633688633524722*SUM(F275:AE275)),0)</f>
        <v>-5188230</v>
      </c>
      <c r="F275" s="22">
        <v>0</v>
      </c>
      <c r="G275" s="22">
        <v>0</v>
      </c>
      <c r="H275" s="22">
        <v>0</v>
      </c>
      <c r="I275" s="22">
        <v>0</v>
      </c>
      <c r="J275" s="22">
        <v>0</v>
      </c>
      <c r="K275" s="22">
        <v>0</v>
      </c>
      <c r="L275" s="22">
        <v>-382359.41760634072</v>
      </c>
      <c r="M275" s="22">
        <v>-379582.20455706678</v>
      </c>
      <c r="N275" s="22">
        <v>-380046.63211441692</v>
      </c>
      <c r="O275" s="22">
        <v>-375748.54451693408</v>
      </c>
      <c r="P275" s="22">
        <v>-371259.20157332066</v>
      </c>
      <c r="Q275" s="22">
        <v>-376314.58846033737</v>
      </c>
      <c r="R275" s="22">
        <v>-381358.44322478399</v>
      </c>
      <c r="S275" s="22">
        <v>-386387.91096941754</v>
      </c>
      <c r="T275" s="22">
        <v>-391400.03026239667</v>
      </c>
      <c r="U275" s="22">
        <v>-396391.73018345796</v>
      </c>
      <c r="V275" s="22">
        <v>-405370.0457881419</v>
      </c>
      <c r="W275" s="22">
        <v>-410331.83162477054</v>
      </c>
      <c r="X275" s="22">
        <v>-415262.95219098497</v>
      </c>
      <c r="Y275" s="22">
        <v>-420159.8516373504</v>
      </c>
      <c r="Z275" s="22">
        <v>-425018.84833534714</v>
      </c>
      <c r="AA275" s="22">
        <v>-434911.63928998169</v>
      </c>
      <c r="AB275" s="22">
        <v>-444996.5709017273</v>
      </c>
      <c r="AC275" s="22">
        <v>-459542.36828702502</v>
      </c>
      <c r="AD275" s="22">
        <v>-470081.6926784236</v>
      </c>
      <c r="AE275" s="22">
        <v>-480824.28612746485</v>
      </c>
      <c r="AG275" s="22"/>
      <c r="AH275" s="22"/>
      <c r="AI275" s="22"/>
      <c r="AJ275" s="22"/>
      <c r="AK275" s="22"/>
      <c r="AL275" s="22"/>
    </row>
    <row r="276" spans="2:38" ht="21.95" hidden="1" customHeight="1" x14ac:dyDescent="0.2">
      <c r="B276" s="133"/>
      <c r="C276" s="50"/>
      <c r="D276" s="50"/>
      <c r="E276" s="135"/>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09"/>
      <c r="AL276" s="109"/>
    </row>
    <row r="277" spans="2:38" ht="21.95" hidden="1" customHeight="1" x14ac:dyDescent="0.2">
      <c r="B277" s="1"/>
      <c r="E277" s="115"/>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row>
    <row r="278" spans="2:38" ht="21.95" hidden="1" customHeight="1" x14ac:dyDescent="0.2">
      <c r="B278" s="133"/>
      <c r="C278" s="50"/>
      <c r="D278" s="50"/>
      <c r="E278" s="135"/>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09"/>
      <c r="AL278" s="109"/>
    </row>
    <row r="279" spans="2:38" s="1" customFormat="1" ht="21.95" hidden="1" customHeight="1" x14ac:dyDescent="0.2">
      <c r="B279" s="1" t="s">
        <v>28</v>
      </c>
      <c r="C279" s="1" t="s">
        <v>416</v>
      </c>
      <c r="E279" s="170">
        <f>E275</f>
        <v>-5188230</v>
      </c>
      <c r="F279" s="171">
        <f>F275</f>
        <v>0</v>
      </c>
      <c r="G279" s="171">
        <f t="shared" ref="G279:K279" si="4">G275</f>
        <v>0</v>
      </c>
      <c r="H279" s="171">
        <f t="shared" si="4"/>
        <v>0</v>
      </c>
      <c r="I279" s="171">
        <f t="shared" si="4"/>
        <v>0</v>
      </c>
      <c r="J279" s="171">
        <f t="shared" si="4"/>
        <v>0</v>
      </c>
      <c r="K279" s="171">
        <f t="shared" si="4"/>
        <v>0</v>
      </c>
      <c r="L279" s="171">
        <f t="shared" ref="L279:AE279" si="5">L275</f>
        <v>-382359.41760634072</v>
      </c>
      <c r="M279" s="171">
        <f t="shared" si="5"/>
        <v>-379582.20455706678</v>
      </c>
      <c r="N279" s="171">
        <f t="shared" si="5"/>
        <v>-380046.63211441692</v>
      </c>
      <c r="O279" s="171">
        <f t="shared" si="5"/>
        <v>-375748.54451693408</v>
      </c>
      <c r="P279" s="171">
        <f t="shared" si="5"/>
        <v>-371259.20157332066</v>
      </c>
      <c r="Q279" s="171">
        <f t="shared" si="5"/>
        <v>-376314.58846033737</v>
      </c>
      <c r="R279" s="171">
        <f t="shared" si="5"/>
        <v>-381358.44322478399</v>
      </c>
      <c r="S279" s="171">
        <f t="shared" si="5"/>
        <v>-386387.91096941754</v>
      </c>
      <c r="T279" s="171">
        <f t="shared" si="5"/>
        <v>-391400.03026239667</v>
      </c>
      <c r="U279" s="171">
        <f t="shared" si="5"/>
        <v>-396391.73018345796</v>
      </c>
      <c r="V279" s="171">
        <f t="shared" si="5"/>
        <v>-405370.0457881419</v>
      </c>
      <c r="W279" s="171">
        <f t="shared" si="5"/>
        <v>-410331.83162477054</v>
      </c>
      <c r="X279" s="171">
        <f t="shared" si="5"/>
        <v>-415262.95219098497</v>
      </c>
      <c r="Y279" s="171">
        <f t="shared" si="5"/>
        <v>-420159.8516373504</v>
      </c>
      <c r="Z279" s="171">
        <f t="shared" si="5"/>
        <v>-425018.84833534714</v>
      </c>
      <c r="AA279" s="171">
        <f t="shared" si="5"/>
        <v>-434911.63928998169</v>
      </c>
      <c r="AB279" s="171">
        <f t="shared" si="5"/>
        <v>-444996.5709017273</v>
      </c>
      <c r="AC279" s="171">
        <f t="shared" si="5"/>
        <v>-459542.36828702502</v>
      </c>
      <c r="AD279" s="171">
        <f t="shared" si="5"/>
        <v>-470081.6926784236</v>
      </c>
      <c r="AE279" s="171">
        <f t="shared" si="5"/>
        <v>-480824.28612746485</v>
      </c>
      <c r="AG279" s="171"/>
      <c r="AH279" s="171"/>
      <c r="AI279" s="171"/>
      <c r="AJ279" s="171"/>
      <c r="AK279" s="171"/>
      <c r="AL279" s="171"/>
    </row>
    <row r="280" spans="2:38" s="1" customFormat="1" ht="21.95" hidden="1" customHeight="1" x14ac:dyDescent="0.2">
      <c r="B280" s="129"/>
      <c r="C280" s="53"/>
      <c r="D280" s="53"/>
      <c r="E280" s="163"/>
      <c r="F280" s="131"/>
      <c r="G280" s="131"/>
      <c r="H280" s="131"/>
      <c r="I280" s="131"/>
      <c r="J280" s="131"/>
      <c r="K280" s="131"/>
      <c r="L280" s="131"/>
      <c r="M280" s="131"/>
      <c r="N280" s="131"/>
      <c r="O280" s="131"/>
      <c r="P280" s="131"/>
      <c r="Q280" s="131"/>
      <c r="R280" s="131"/>
      <c r="S280" s="131"/>
      <c r="T280" s="131"/>
      <c r="U280" s="131"/>
      <c r="V280" s="131"/>
      <c r="W280" s="131"/>
      <c r="X280" s="131"/>
      <c r="Y280" s="131"/>
      <c r="Z280" s="131"/>
      <c r="AA280" s="131"/>
      <c r="AB280" s="131"/>
      <c r="AC280" s="131"/>
      <c r="AD280" s="131"/>
      <c r="AE280" s="131"/>
      <c r="AF280" s="131"/>
      <c r="AG280" s="131"/>
      <c r="AH280" s="131"/>
      <c r="AI280" s="131"/>
      <c r="AJ280" s="131"/>
      <c r="AK280" s="131"/>
      <c r="AL280" s="131"/>
    </row>
  </sheetData>
  <mergeCells count="1">
    <mergeCell ref="B35:B36"/>
  </mergeCells>
  <hyperlinks>
    <hyperlink ref="B53" location="'Emissions Data'!J4" display="Source: Emission Costs" xr:uid="{F9B280E7-C72C-43D7-8289-6D6D698EB049}"/>
    <hyperlink ref="B60" location="'Emissions Data'!B4" display="Source: Emission Factors" xr:uid="{23E3BC4B-DD92-4B82-90F8-7BA57BB6D2B9}"/>
    <hyperlink ref="B161" location="'Emissions Data'!B4" display="Source: Emission Factors" xr:uid="{4DCB9343-092B-4E68-8E8C-899577F913C8}"/>
  </hyperlinks>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DB12-12CB-43F3-BB75-F8E0DDA29A3B}">
  <sheetPr codeName="Sheet4">
    <tabColor theme="9"/>
  </sheetPr>
  <dimension ref="A2:AQ90"/>
  <sheetViews>
    <sheetView showGridLines="0" zoomScaleNormal="100" workbookViewId="0">
      <selection activeCell="B63" sqref="B63"/>
    </sheetView>
  </sheetViews>
  <sheetFormatPr defaultColWidth="11.625" defaultRowHeight="21.95" customHeight="1" x14ac:dyDescent="0.2"/>
  <cols>
    <col min="1" max="1" width="3.375" customWidth="1"/>
    <col min="2" max="2" width="44" customWidth="1"/>
    <col min="3" max="3" width="15" bestFit="1" customWidth="1"/>
    <col min="4" max="4" width="14.5" style="2" customWidth="1"/>
    <col min="5" max="6" width="13.75" style="2" customWidth="1"/>
    <col min="7" max="7" width="15.25" style="2" customWidth="1"/>
    <col min="8" max="8" width="31.75" style="2" bestFit="1" customWidth="1"/>
    <col min="9" max="9" width="14.75" style="2" customWidth="1"/>
    <col min="10" max="10" width="14.25" style="2" customWidth="1"/>
    <col min="11" max="11" width="13.75" style="2" customWidth="1"/>
    <col min="12" max="12" width="14.25" style="2" customWidth="1"/>
    <col min="13" max="13" width="15" style="2" customWidth="1"/>
    <col min="14" max="14" width="14" customWidth="1"/>
    <col min="15" max="15" width="14.5" customWidth="1"/>
    <col min="16" max="16" width="13.75" customWidth="1"/>
    <col min="17" max="17" width="14.25" customWidth="1"/>
    <col min="18" max="18" width="14.375" customWidth="1"/>
    <col min="19" max="19" width="14.75" customWidth="1"/>
    <col min="20" max="20" width="13.75" customWidth="1"/>
    <col min="21" max="21" width="14.5" customWidth="1"/>
    <col min="22" max="22" width="13.75" customWidth="1"/>
    <col min="23" max="23" width="14.375" customWidth="1"/>
    <col min="24" max="24" width="14.5" customWidth="1"/>
    <col min="25" max="25" width="14.875" customWidth="1"/>
    <col min="26" max="26" width="14.25" customWidth="1"/>
    <col min="27" max="27" width="14" customWidth="1"/>
    <col min="28" max="29" width="13.75" customWidth="1"/>
    <col min="30" max="30" width="15.25" customWidth="1"/>
    <col min="31" max="37" width="13.75" customWidth="1"/>
  </cols>
  <sheetData>
    <row r="2" spans="1:42" ht="23.25" x14ac:dyDescent="0.2">
      <c r="B2" s="242" t="s">
        <v>31</v>
      </c>
    </row>
    <row r="4" spans="1:42" ht="21.95" customHeight="1" x14ac:dyDescent="0.2">
      <c r="A4" s="244"/>
      <c r="B4" s="245" t="s">
        <v>0</v>
      </c>
    </row>
    <row r="5" spans="1:42" ht="21.95" customHeight="1" x14ac:dyDescent="0.2">
      <c r="B5" s="3"/>
      <c r="F5"/>
      <c r="I5"/>
      <c r="J5"/>
      <c r="K5"/>
      <c r="L5"/>
    </row>
    <row r="6" spans="1:42" ht="21.95" customHeight="1" x14ac:dyDescent="0.2">
      <c r="B6" s="369" t="s">
        <v>72</v>
      </c>
      <c r="C6" s="2"/>
      <c r="D6"/>
      <c r="E6"/>
      <c r="F6"/>
      <c r="H6" s="369" t="s">
        <v>37</v>
      </c>
      <c r="I6"/>
      <c r="J6"/>
      <c r="L6"/>
      <c r="M6"/>
    </row>
    <row r="7" spans="1:42" ht="21.95" customHeight="1" x14ac:dyDescent="0.2">
      <c r="B7" s="411"/>
      <c r="C7" s="410" t="str">
        <f>'[2]Accident Data'!E35</f>
        <v>Segment</v>
      </c>
      <c r="D7" s="410" t="str">
        <f>'[2]Accident Data'!F35</f>
        <v>Accident Type</v>
      </c>
      <c r="E7" s="410"/>
      <c r="F7" s="547" t="str">
        <f>'[2]Accident Data'!H35</f>
        <v>Value</v>
      </c>
      <c r="H7" s="346" t="s">
        <v>1</v>
      </c>
      <c r="I7" s="347"/>
      <c r="J7" s="347"/>
      <c r="K7" s="347" t="s">
        <v>2</v>
      </c>
      <c r="L7" s="347"/>
      <c r="M7" s="348" t="s">
        <v>3</v>
      </c>
    </row>
    <row r="8" spans="1:42" s="4" customFormat="1" ht="21.95" customHeight="1" x14ac:dyDescent="0.2">
      <c r="A8"/>
      <c r="B8" s="273" t="str">
        <f>'[2]Accident Data'!B36</f>
        <v>Accident Distribution</v>
      </c>
      <c r="C8" s="143" t="str">
        <f>'Accident Data'!E22</f>
        <v>I-35</v>
      </c>
      <c r="D8" s="143" t="str">
        <f>'Accident Data'!F22</f>
        <v>Fatality</v>
      </c>
      <c r="E8" s="143"/>
      <c r="F8" s="598">
        <f>'Accident Data'!H22</f>
        <v>7.8947368421052634E-3</v>
      </c>
      <c r="G8" s="2"/>
      <c r="H8" s="601" t="s">
        <v>596</v>
      </c>
      <c r="I8" s="365"/>
      <c r="J8" s="365"/>
      <c r="K8" s="365" t="s">
        <v>178</v>
      </c>
      <c r="L8" s="600"/>
      <c r="M8" s="602">
        <f>Inputs!E42</f>
        <v>1.574302138882322E-2</v>
      </c>
      <c r="AL8"/>
      <c r="AM8"/>
      <c r="AN8"/>
      <c r="AO8"/>
      <c r="AP8"/>
    </row>
    <row r="9" spans="1:42" ht="21.95" customHeight="1" x14ac:dyDescent="0.2">
      <c r="B9" s="277"/>
      <c r="C9" s="143"/>
      <c r="D9" s="143" t="str">
        <f>'Accident Data'!F23</f>
        <v>Injury</v>
      </c>
      <c r="E9" s="143"/>
      <c r="F9" s="598">
        <f>'Accident Data'!H23</f>
        <v>0.2868421052631579</v>
      </c>
      <c r="H9" s="557"/>
      <c r="I9" s="353"/>
      <c r="J9" s="353"/>
      <c r="K9" s="353"/>
      <c r="L9" s="376"/>
      <c r="M9" s="603"/>
    </row>
    <row r="10" spans="1:42" ht="21.95" customHeight="1" x14ac:dyDescent="0.2">
      <c r="B10" s="277"/>
      <c r="C10" s="152"/>
      <c r="D10" s="152" t="str">
        <f>'Accident Data'!F24</f>
        <v>PDO</v>
      </c>
      <c r="E10" s="152"/>
      <c r="F10" s="598">
        <f>'Accident Data'!H24</f>
        <v>0.70526315789473681</v>
      </c>
      <c r="H10" s="601" t="s">
        <v>40</v>
      </c>
      <c r="I10" s="365"/>
      <c r="J10" s="365"/>
      <c r="K10" s="365" t="s">
        <v>507</v>
      </c>
      <c r="L10" s="143"/>
      <c r="M10" s="604">
        <f>costLife</f>
        <v>11800000</v>
      </c>
    </row>
    <row r="11" spans="1:42" ht="21.95" customHeight="1" x14ac:dyDescent="0.2">
      <c r="B11" s="277"/>
      <c r="C11" s="143"/>
      <c r="D11" s="143"/>
      <c r="E11" s="143"/>
      <c r="F11" s="295"/>
      <c r="G11"/>
      <c r="H11" s="601" t="s">
        <v>41</v>
      </c>
      <c r="I11" s="365"/>
      <c r="J11" s="365"/>
      <c r="K11" s="365" t="s">
        <v>507</v>
      </c>
      <c r="L11" s="278"/>
      <c r="M11" s="279">
        <f>costInjury</f>
        <v>213900</v>
      </c>
    </row>
    <row r="12" spans="1:42" ht="21.95" customHeight="1" x14ac:dyDescent="0.2">
      <c r="B12" s="277"/>
      <c r="C12" s="143"/>
      <c r="D12" s="143"/>
      <c r="E12" s="143"/>
      <c r="F12" s="598"/>
      <c r="H12" s="557" t="s">
        <v>42</v>
      </c>
      <c r="I12" s="353"/>
      <c r="J12" s="353"/>
      <c r="K12" s="353" t="s">
        <v>507</v>
      </c>
      <c r="L12" s="281"/>
      <c r="M12" s="296">
        <f>costPDO</f>
        <v>4000</v>
      </c>
    </row>
    <row r="13" spans="1:42" ht="21.95" customHeight="1" x14ac:dyDescent="0.2">
      <c r="B13" s="280"/>
      <c r="C13" s="152"/>
      <c r="D13" s="152"/>
      <c r="E13" s="152"/>
      <c r="F13" s="599"/>
      <c r="H13" s="605" t="s">
        <v>595</v>
      </c>
      <c r="I13" s="606"/>
      <c r="J13" s="606"/>
      <c r="K13" s="606" t="s">
        <v>111</v>
      </c>
      <c r="L13" s="607"/>
      <c r="M13" s="608">
        <f>Inputs!H30</f>
        <v>0.85</v>
      </c>
    </row>
    <row r="14" spans="1:42" ht="21.95" customHeight="1" x14ac:dyDescent="0.2">
      <c r="B14" s="273" t="str">
        <f>'Accident Data'!B28</f>
        <v>Average Number of Accidents per Year</v>
      </c>
      <c r="C14" s="143" t="str">
        <f>'Accident Data'!E28</f>
        <v>I-35</v>
      </c>
      <c r="D14" s="143" t="str">
        <f>'Accident Data'!F28</f>
        <v>All</v>
      </c>
      <c r="E14" s="143"/>
      <c r="F14" s="594">
        <f>'Accident Data'!H28</f>
        <v>76</v>
      </c>
      <c r="I14"/>
      <c r="J14"/>
      <c r="K14"/>
      <c r="L14"/>
    </row>
    <row r="15" spans="1:42" ht="21.95" customHeight="1" x14ac:dyDescent="0.2">
      <c r="B15" s="290"/>
      <c r="C15" s="291"/>
      <c r="D15" s="291"/>
      <c r="E15" s="291"/>
      <c r="F15" s="597"/>
      <c r="J15"/>
      <c r="K15"/>
      <c r="L15"/>
    </row>
    <row r="16" spans="1:42" ht="21.95" customHeight="1" x14ac:dyDescent="0.2">
      <c r="B16" s="3"/>
      <c r="F16"/>
      <c r="I16"/>
      <c r="J16"/>
      <c r="K16"/>
    </row>
    <row r="17" spans="1:42" ht="21.95" customHeight="1" x14ac:dyDescent="0.2">
      <c r="B17" s="2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42" ht="21.95" customHeight="1" x14ac:dyDescent="0.2">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42" ht="21.95" customHeight="1" x14ac:dyDescent="0.2">
      <c r="A19" s="244"/>
      <c r="B19" s="245" t="s">
        <v>9</v>
      </c>
    </row>
    <row r="20" spans="1:42" ht="21.95" customHeight="1" x14ac:dyDescent="0.2">
      <c r="B20" s="1"/>
    </row>
    <row r="21" spans="1:42" s="6" customFormat="1" ht="21.95" customHeight="1" x14ac:dyDescent="0.2">
      <c r="A21"/>
      <c r="B21" s="411"/>
      <c r="C21" s="410" t="s">
        <v>21</v>
      </c>
      <c r="D21" s="410" t="s">
        <v>43</v>
      </c>
      <c r="E21" s="410" cm="1">
        <f t="array" ref="E21:AD21">year</f>
        <v>2022</v>
      </c>
      <c r="F21" s="410">
        <v>2023</v>
      </c>
      <c r="G21" s="410">
        <v>2024</v>
      </c>
      <c r="H21" s="410">
        <v>2025</v>
      </c>
      <c r="I21" s="410">
        <v>2026</v>
      </c>
      <c r="J21" s="410">
        <v>2027</v>
      </c>
      <c r="K21" s="410">
        <v>2028</v>
      </c>
      <c r="L21" s="410">
        <v>2029</v>
      </c>
      <c r="M21" s="410">
        <v>2030</v>
      </c>
      <c r="N21" s="410">
        <v>2031</v>
      </c>
      <c r="O21" s="410">
        <v>2032</v>
      </c>
      <c r="P21" s="410">
        <v>2033</v>
      </c>
      <c r="Q21" s="410">
        <v>2034</v>
      </c>
      <c r="R21" s="410">
        <v>2035</v>
      </c>
      <c r="S21" s="410">
        <v>2036</v>
      </c>
      <c r="T21" s="410">
        <v>2037</v>
      </c>
      <c r="U21" s="410">
        <v>2038</v>
      </c>
      <c r="V21" s="410">
        <v>2039</v>
      </c>
      <c r="W21" s="410">
        <v>2040</v>
      </c>
      <c r="X21" s="410">
        <v>2041</v>
      </c>
      <c r="Y21" s="410">
        <v>2042</v>
      </c>
      <c r="Z21" s="410">
        <v>2043</v>
      </c>
      <c r="AA21" s="410">
        <v>2044</v>
      </c>
      <c r="AB21" s="410">
        <v>2045</v>
      </c>
      <c r="AC21" s="410">
        <v>2046</v>
      </c>
      <c r="AD21" s="547">
        <v>2047</v>
      </c>
      <c r="AE21" s="35"/>
      <c r="AF21" s="35"/>
      <c r="AG21" s="35"/>
      <c r="AH21" s="35"/>
      <c r="AI21" s="35"/>
      <c r="AJ21" s="35"/>
      <c r="AK21" s="35"/>
      <c r="AL21"/>
      <c r="AM21"/>
      <c r="AN21"/>
      <c r="AO21"/>
      <c r="AP21"/>
    </row>
    <row r="22" spans="1:42" s="7" customFormat="1" ht="21.95" customHeight="1" x14ac:dyDescent="0.2">
      <c r="B22" s="273" t="s">
        <v>35</v>
      </c>
      <c r="C22" s="365" t="s">
        <v>505</v>
      </c>
      <c r="D22" s="143" t="s">
        <v>38</v>
      </c>
      <c r="E22" s="300" cm="1">
        <f t="array" ref="E22:AD22">F8 * $F$14 * (1 + $M$8) ^ (year - baseYear)</f>
        <v>0.6</v>
      </c>
      <c r="F22" s="300">
        <v>0.60944581283329391</v>
      </c>
      <c r="G22" s="300">
        <v>0.61904033130005731</v>
      </c>
      <c r="H22" s="300">
        <v>0.62878589647625838</v>
      </c>
      <c r="I22" s="300">
        <v>0.63868488629347453</v>
      </c>
      <c r="J22" s="300">
        <v>0.64873971611911074</v>
      </c>
      <c r="K22" s="300">
        <v>0.65895283934575311</v>
      </c>
      <c r="L22" s="300">
        <v>0.66932674798979919</v>
      </c>
      <c r="M22" s="300">
        <v>0.67986397329951409</v>
      </c>
      <c r="N22" s="300">
        <v>0.69056708637265862</v>
      </c>
      <c r="O22" s="300">
        <v>0.7014386987838408</v>
      </c>
      <c r="P22" s="300">
        <v>0.71248146322174322</v>
      </c>
      <c r="Q22" s="300">
        <v>0.72369807413638321</v>
      </c>
      <c r="R22" s="300">
        <v>0.73509126839656236</v>
      </c>
      <c r="S22" s="300">
        <v>0.74666382595766678</v>
      </c>
      <c r="T22" s="300">
        <v>0.75841857053997896</v>
      </c>
      <c r="U22" s="300">
        <v>0.77035837031767063</v>
      </c>
      <c r="V22" s="300">
        <v>0.78248613861864069</v>
      </c>
      <c r="W22" s="300">
        <v>0.79480483463537177</v>
      </c>
      <c r="X22" s="300">
        <v>0.80731746414697658</v>
      </c>
      <c r="Y22" s="300">
        <v>0.82002708025261295</v>
      </c>
      <c r="Z22" s="300">
        <v>0.83293678411644401</v>
      </c>
      <c r="AA22" s="300">
        <v>0.84604972572432702</v>
      </c>
      <c r="AB22" s="300">
        <v>0.85936910465241323</v>
      </c>
      <c r="AC22" s="300">
        <v>0.87289817084785004</v>
      </c>
      <c r="AD22" s="301">
        <v>0.88664022542177245</v>
      </c>
      <c r="AE22" s="17"/>
      <c r="AF22" s="17"/>
      <c r="AG22" s="17"/>
      <c r="AH22" s="17"/>
      <c r="AI22" s="17"/>
      <c r="AJ22" s="17"/>
      <c r="AK22" s="17"/>
      <c r="AL22"/>
      <c r="AM22"/>
      <c r="AN22"/>
      <c r="AO22"/>
      <c r="AP22"/>
    </row>
    <row r="23" spans="1:42" s="7" customFormat="1" ht="21.95" customHeight="1" x14ac:dyDescent="0.2">
      <c r="B23" s="524" t="s">
        <v>89</v>
      </c>
      <c r="C23" s="143"/>
      <c r="D23" s="143" t="s">
        <v>39</v>
      </c>
      <c r="E23" s="300" cm="1">
        <f t="array" ref="E23:AD23">F9 * $F$14 * (1 + $M$8) ^ (year - baseYear)</f>
        <v>21.8</v>
      </c>
      <c r="F23" s="300">
        <v>22.143197866276346</v>
      </c>
      <c r="G23" s="300">
        <v>22.491798703902081</v>
      </c>
      <c r="H23" s="300">
        <v>22.845887571970721</v>
      </c>
      <c r="I23" s="300">
        <v>23.205550868662908</v>
      </c>
      <c r="J23" s="300">
        <v>23.570876352327691</v>
      </c>
      <c r="K23" s="300">
        <v>23.9419531628957</v>
      </c>
      <c r="L23" s="300">
        <v>24.31887184362937</v>
      </c>
      <c r="M23" s="300">
        <v>24.701724363215678</v>
      </c>
      <c r="N23" s="300">
        <v>25.090604138206601</v>
      </c>
      <c r="O23" s="300">
        <v>25.485606055812884</v>
      </c>
      <c r="P23" s="300">
        <v>25.886826497056671</v>
      </c>
      <c r="Q23" s="300">
        <v>26.294363360288592</v>
      </c>
      <c r="R23" s="300">
        <v>26.708316085075101</v>
      </c>
      <c r="S23" s="300">
        <v>27.128785676461895</v>
      </c>
      <c r="T23" s="300">
        <v>27.555874729619237</v>
      </c>
      <c r="U23" s="300">
        <v>27.989687454875369</v>
      </c>
      <c r="V23" s="300">
        <v>28.430329703143947</v>
      </c>
      <c r="W23" s="300">
        <v>28.877908991751841</v>
      </c>
      <c r="X23" s="300">
        <v>29.332534530673485</v>
      </c>
      <c r="Y23" s="300">
        <v>29.794317249178274</v>
      </c>
      <c r="Z23" s="300">
        <v>30.26336982289747</v>
      </c>
      <c r="AA23" s="300">
        <v>30.739806701317217</v>
      </c>
      <c r="AB23" s="300">
        <v>31.223744135704351</v>
      </c>
      <c r="AC23" s="300">
        <v>31.715300207471884</v>
      </c>
      <c r="AD23" s="301">
        <v>32.21459485699107</v>
      </c>
      <c r="AE23" s="17"/>
      <c r="AF23" s="17"/>
      <c r="AG23" s="17"/>
      <c r="AH23" s="17"/>
      <c r="AI23" s="17"/>
      <c r="AJ23" s="17"/>
      <c r="AK23" s="17"/>
      <c r="AL23"/>
      <c r="AM23"/>
      <c r="AN23"/>
      <c r="AO23"/>
      <c r="AP23"/>
    </row>
    <row r="24" spans="1:42" s="7" customFormat="1" ht="21.95" customHeight="1" x14ac:dyDescent="0.2">
      <c r="B24" s="273"/>
      <c r="C24" s="143"/>
      <c r="D24" s="152" t="s">
        <v>36</v>
      </c>
      <c r="E24" s="579" cm="1">
        <f t="array" ref="E24:AD24">F10 * $F$14 * (1 + $M$8) ^ (year - baseYear)</f>
        <v>53.599999999999994</v>
      </c>
      <c r="F24" s="579">
        <v>54.443825946440917</v>
      </c>
      <c r="G24" s="579">
        <v>55.300936262805109</v>
      </c>
      <c r="H24" s="579">
        <v>56.171540085212406</v>
      </c>
      <c r="I24" s="579">
        <v>57.05584984221705</v>
      </c>
      <c r="J24" s="579">
        <v>57.954081306640553</v>
      </c>
      <c r="K24" s="579">
        <v>58.866453648220606</v>
      </c>
      <c r="L24" s="579">
        <v>59.793189487088718</v>
      </c>
      <c r="M24" s="579">
        <v>60.734514948089917</v>
      </c>
      <c r="N24" s="579">
        <v>61.690659715957501</v>
      </c>
      <c r="O24" s="579">
        <v>62.661857091356438</v>
      </c>
      <c r="P24" s="579">
        <v>63.648344047809054</v>
      </c>
      <c r="Q24" s="579">
        <v>64.650361289516894</v>
      </c>
      <c r="R24" s="579">
        <v>65.668153310092904</v>
      </c>
      <c r="S24" s="579">
        <v>66.701968452218225</v>
      </c>
      <c r="T24" s="579">
        <v>67.752058968238117</v>
      </c>
      <c r="U24" s="579">
        <v>68.818681081711901</v>
      </c>
      <c r="V24" s="579">
        <v>69.902095049931901</v>
      </c>
      <c r="W24" s="579">
        <v>71.002565227426544</v>
      </c>
      <c r="X24" s="579">
        <v>72.12036013046324</v>
      </c>
      <c r="Y24" s="579">
        <v>73.25575250256675</v>
      </c>
      <c r="Z24" s="579">
        <v>74.409019381069001</v>
      </c>
      <c r="AA24" s="579">
        <v>75.58044216470654</v>
      </c>
      <c r="AB24" s="579">
        <v>76.770306682282239</v>
      </c>
      <c r="AC24" s="579">
        <v>77.978903262407925</v>
      </c>
      <c r="AD24" s="581">
        <v>79.206526804345003</v>
      </c>
      <c r="AE24" s="58"/>
      <c r="AF24" s="58"/>
      <c r="AG24" s="58"/>
      <c r="AH24" s="58"/>
      <c r="AI24" s="58"/>
      <c r="AJ24" s="58"/>
      <c r="AK24" s="58"/>
      <c r="AL24"/>
      <c r="AM24"/>
      <c r="AN24"/>
      <c r="AO24"/>
      <c r="AP24"/>
    </row>
    <row r="25" spans="1:42" s="7" customFormat="1" ht="21.95" customHeight="1" x14ac:dyDescent="0.2">
      <c r="B25" s="273"/>
      <c r="C25" s="152"/>
      <c r="D25" s="154" t="s">
        <v>28</v>
      </c>
      <c r="E25" s="609" cm="1">
        <f t="array" ref="E25:AD25">_xlfn.ANCHORARRAY(E22) +_xlfn.ANCHORARRAY( E23) +_xlfn.ANCHORARRAY( E24)</f>
        <v>76</v>
      </c>
      <c r="F25" s="609">
        <v>77.196469625550549</v>
      </c>
      <c r="G25" s="609">
        <v>78.411775298007242</v>
      </c>
      <c r="H25" s="609">
        <v>79.646213553659379</v>
      </c>
      <c r="I25" s="609">
        <v>80.90008559717343</v>
      </c>
      <c r="J25" s="609">
        <v>82.173697375087357</v>
      </c>
      <c r="K25" s="609">
        <v>83.467359650462058</v>
      </c>
      <c r="L25" s="609">
        <v>84.781388078707892</v>
      </c>
      <c r="M25" s="609">
        <v>86.116103284605117</v>
      </c>
      <c r="N25" s="609">
        <v>87.471830940536762</v>
      </c>
      <c r="O25" s="609">
        <v>88.848901845953165</v>
      </c>
      <c r="P25" s="609">
        <v>90.247652008087471</v>
      </c>
      <c r="Q25" s="609">
        <v>91.668422723941873</v>
      </c>
      <c r="R25" s="609">
        <v>93.111560663564575</v>
      </c>
      <c r="S25" s="609">
        <v>94.577417954637781</v>
      </c>
      <c r="T25" s="609">
        <v>96.066352268397338</v>
      </c>
      <c r="U25" s="609">
        <v>97.578726906904933</v>
      </c>
      <c r="V25" s="609">
        <v>99.114910891694493</v>
      </c>
      <c r="W25" s="609">
        <v>100.67527905381375</v>
      </c>
      <c r="X25" s="609">
        <v>102.2602121252837</v>
      </c>
      <c r="Y25" s="609">
        <v>103.87009683199764</v>
      </c>
      <c r="Z25" s="609">
        <v>105.50532598808292</v>
      </c>
      <c r="AA25" s="609">
        <v>107.16629859174809</v>
      </c>
      <c r="AB25" s="609">
        <v>108.85341992263901</v>
      </c>
      <c r="AC25" s="609">
        <v>110.56710164072766</v>
      </c>
      <c r="AD25" s="581">
        <v>112.30776188675785</v>
      </c>
      <c r="AE25" s="58"/>
      <c r="AF25" s="58"/>
      <c r="AG25" s="58"/>
      <c r="AH25" s="58"/>
      <c r="AI25" s="58"/>
      <c r="AJ25" s="58"/>
      <c r="AK25" s="58"/>
      <c r="AL25"/>
      <c r="AM25"/>
      <c r="AN25"/>
      <c r="AO25"/>
      <c r="AP25"/>
    </row>
    <row r="26" spans="1:42" s="7" customFormat="1" ht="21.95" customHeight="1" x14ac:dyDescent="0.2">
      <c r="B26" s="277"/>
      <c r="C26" s="365"/>
      <c r="D26" s="143"/>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1"/>
      <c r="AE26" s="17"/>
      <c r="AF26" s="17"/>
      <c r="AG26" s="17"/>
      <c r="AH26" s="17"/>
      <c r="AI26" s="17"/>
      <c r="AJ26" s="17"/>
      <c r="AK26" s="17"/>
      <c r="AL26"/>
      <c r="AM26"/>
      <c r="AN26"/>
      <c r="AO26"/>
      <c r="AP26"/>
    </row>
    <row r="27" spans="1:42" s="7" customFormat="1" ht="21.95" customHeight="1" x14ac:dyDescent="0.2">
      <c r="B27" s="277"/>
      <c r="C27" s="143"/>
      <c r="D27" s="143"/>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1"/>
      <c r="AE27" s="17"/>
      <c r="AF27" s="17"/>
      <c r="AG27" s="17"/>
      <c r="AH27" s="17"/>
      <c r="AI27" s="17"/>
      <c r="AJ27" s="17"/>
      <c r="AK27" s="17"/>
      <c r="AL27"/>
      <c r="AM27"/>
      <c r="AN27"/>
      <c r="AO27"/>
      <c r="AP27"/>
    </row>
    <row r="28" spans="1:42" s="7" customFormat="1" ht="21.95" customHeight="1" x14ac:dyDescent="0.2">
      <c r="B28" s="27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295"/>
      <c r="AE28"/>
      <c r="AF28"/>
      <c r="AG28"/>
      <c r="AH28"/>
      <c r="AI28"/>
      <c r="AJ28"/>
      <c r="AK28"/>
      <c r="AL28"/>
      <c r="AM28"/>
      <c r="AN28"/>
      <c r="AO28"/>
      <c r="AP28"/>
    </row>
    <row r="29" spans="1:42" s="7" customFormat="1" ht="21.95" customHeight="1" x14ac:dyDescent="0.2">
      <c r="B29" s="285"/>
      <c r="C29" s="152"/>
      <c r="D29" s="154"/>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581"/>
      <c r="AE29" s="58"/>
      <c r="AF29" s="58"/>
      <c r="AG29" s="58"/>
      <c r="AH29" s="58"/>
      <c r="AI29" s="58"/>
      <c r="AJ29" s="58"/>
      <c r="AK29" s="58"/>
      <c r="AL29"/>
      <c r="AM29"/>
      <c r="AN29"/>
      <c r="AO29"/>
      <c r="AP29"/>
    </row>
    <row r="30" spans="1:42" s="7" customFormat="1" ht="21.95" customHeight="1" x14ac:dyDescent="0.2">
      <c r="B30" s="273" t="s">
        <v>625</v>
      </c>
      <c r="C30" s="365" t="s">
        <v>505</v>
      </c>
      <c r="D30" s="143" t="s">
        <v>38</v>
      </c>
      <c r="E30" s="278" cm="1">
        <f t="array" ref="E30:AD30">_xlfn.ANCHORARRAY(E22) * costLife</f>
        <v>7080000</v>
      </c>
      <c r="F30" s="278">
        <v>7191460.5914328685</v>
      </c>
      <c r="G30" s="278">
        <v>7304675.9093406759</v>
      </c>
      <c r="H30" s="278">
        <v>7419673.5784198493</v>
      </c>
      <c r="I30" s="278">
        <v>7536481.6582629997</v>
      </c>
      <c r="J30" s="278">
        <v>7655128.6502055069</v>
      </c>
      <c r="K30" s="278">
        <v>7775643.5042798864</v>
      </c>
      <c r="L30" s="278">
        <v>7898055.6262796307</v>
      </c>
      <c r="M30" s="278">
        <v>8022394.8849342661</v>
      </c>
      <c r="N30" s="278">
        <v>8148691.6191973714</v>
      </c>
      <c r="O30" s="278">
        <v>8276976.6456493214</v>
      </c>
      <c r="P30" s="278">
        <v>8407281.2660165709</v>
      </c>
      <c r="Q30" s="278">
        <v>8539637.2748093214</v>
      </c>
      <c r="R30" s="278">
        <v>8674076.9670794364</v>
      </c>
      <c r="S30" s="278">
        <v>8810633.1463004686</v>
      </c>
      <c r="T30" s="278">
        <v>8949339.1323717516</v>
      </c>
      <c r="U30" s="278">
        <v>9090228.7697485127</v>
      </c>
      <c r="V30" s="278">
        <v>9233336.4356999602</v>
      </c>
      <c r="W30" s="278">
        <v>9378697.0486973878</v>
      </c>
      <c r="X30" s="278">
        <v>9526346.0769343246</v>
      </c>
      <c r="Y30" s="278">
        <v>9676319.5469808336</v>
      </c>
      <c r="Z30" s="278">
        <v>9828654.0525740385</v>
      </c>
      <c r="AA30" s="278">
        <v>9983386.7635470591</v>
      </c>
      <c r="AB30" s="278">
        <v>10140555.434898475</v>
      </c>
      <c r="AC30" s="278">
        <v>10300198.41600463</v>
      </c>
      <c r="AD30" s="279">
        <v>10462354.659976915</v>
      </c>
      <c r="AE30" s="22"/>
      <c r="AF30" s="22"/>
      <c r="AG30" s="22"/>
      <c r="AH30" s="22"/>
      <c r="AI30" s="22"/>
      <c r="AJ30" s="22"/>
      <c r="AK30" s="22"/>
      <c r="AL30"/>
      <c r="AM30"/>
      <c r="AN30"/>
      <c r="AO30"/>
      <c r="AP30"/>
    </row>
    <row r="31" spans="1:42" s="7" customFormat="1" ht="21.95" customHeight="1" x14ac:dyDescent="0.2">
      <c r="B31" s="524" t="s">
        <v>44</v>
      </c>
      <c r="C31" s="143"/>
      <c r="D31" s="143" t="s">
        <v>39</v>
      </c>
      <c r="E31" s="278" cm="1">
        <f t="array" ref="E31:AD31">_xlfn.ANCHORARRAY(E23) * costInjury</f>
        <v>4663020</v>
      </c>
      <c r="F31" s="278">
        <v>4736430.0235965103</v>
      </c>
      <c r="G31" s="278">
        <v>4810995.7427646555</v>
      </c>
      <c r="H31" s="278">
        <v>4886735.3516445374</v>
      </c>
      <c r="I31" s="278">
        <v>4963667.3308069957</v>
      </c>
      <c r="J31" s="278">
        <v>5041810.4517628932</v>
      </c>
      <c r="K31" s="278">
        <v>5121183.7815433899</v>
      </c>
      <c r="L31" s="278">
        <v>5201806.687352322</v>
      </c>
      <c r="M31" s="278">
        <v>5283698.8412918337</v>
      </c>
      <c r="N31" s="278">
        <v>5366880.2251623916</v>
      </c>
      <c r="O31" s="278">
        <v>5451371.1353383763</v>
      </c>
      <c r="P31" s="278">
        <v>5537192.1877204217</v>
      </c>
      <c r="Q31" s="278">
        <v>5624364.3227657303</v>
      </c>
      <c r="R31" s="278">
        <v>5712908.8105975641</v>
      </c>
      <c r="S31" s="278">
        <v>5802847.2561951997</v>
      </c>
      <c r="T31" s="278">
        <v>5894201.6046655551</v>
      </c>
      <c r="U31" s="278">
        <v>5986994.1465978418</v>
      </c>
      <c r="V31" s="278">
        <v>6081247.5235024905</v>
      </c>
      <c r="W31" s="278">
        <v>6176984.7333357185</v>
      </c>
      <c r="X31" s="278">
        <v>6274229.1361110583</v>
      </c>
      <c r="Y31" s="278">
        <v>6373004.4595992332</v>
      </c>
      <c r="Z31" s="278">
        <v>6473334.8051177692</v>
      </c>
      <c r="AA31" s="278">
        <v>6575244.6534117525</v>
      </c>
      <c r="AB31" s="278">
        <v>6678758.8706271602</v>
      </c>
      <c r="AC31" s="278">
        <v>6783902.7143782359</v>
      </c>
      <c r="AD31" s="279">
        <v>6890701.8399103899</v>
      </c>
      <c r="AE31" s="22"/>
      <c r="AF31" s="22"/>
      <c r="AG31" s="22"/>
      <c r="AH31" s="22"/>
      <c r="AI31" s="22"/>
      <c r="AJ31" s="22"/>
      <c r="AK31" s="22"/>
      <c r="AL31"/>
      <c r="AM31"/>
      <c r="AN31"/>
      <c r="AO31"/>
      <c r="AP31"/>
    </row>
    <row r="32" spans="1:42" s="7" customFormat="1" ht="21.95" customHeight="1" x14ac:dyDescent="0.2">
      <c r="B32" s="273"/>
      <c r="C32" s="143"/>
      <c r="D32" s="152" t="s">
        <v>36</v>
      </c>
      <c r="E32" s="281" cm="1">
        <f t="array" ref="E32:AD32">_xlfn.ANCHORARRAY(E24) * costPDO</f>
        <v>214399.99999999997</v>
      </c>
      <c r="F32" s="281">
        <v>217775.30378576368</v>
      </c>
      <c r="G32" s="281">
        <v>221203.74505122044</v>
      </c>
      <c r="H32" s="281">
        <v>224686.16034084963</v>
      </c>
      <c r="I32" s="281">
        <v>228223.39936886821</v>
      </c>
      <c r="J32" s="281">
        <v>231816.32522656221</v>
      </c>
      <c r="K32" s="281">
        <v>235465.81459288244</v>
      </c>
      <c r="L32" s="281">
        <v>239172.75794835488</v>
      </c>
      <c r="M32" s="281">
        <v>242938.05979235968</v>
      </c>
      <c r="N32" s="281">
        <v>246762.63886383001</v>
      </c>
      <c r="O32" s="281">
        <v>250647.42836542576</v>
      </c>
      <c r="P32" s="281">
        <v>254593.37619123622</v>
      </c>
      <c r="Q32" s="281">
        <v>258601.44515806757</v>
      </c>
      <c r="R32" s="281">
        <v>262672.61324037163</v>
      </c>
      <c r="S32" s="281">
        <v>266807.87380887289</v>
      </c>
      <c r="T32" s="281">
        <v>271008.23587295244</v>
      </c>
      <c r="U32" s="281">
        <v>275274.72432684759</v>
      </c>
      <c r="V32" s="281">
        <v>279608.3801997276</v>
      </c>
      <c r="W32" s="281">
        <v>284010.26090970618</v>
      </c>
      <c r="X32" s="281">
        <v>288481.44052185299</v>
      </c>
      <c r="Y32" s="281">
        <v>293023.01001026703</v>
      </c>
      <c r="Z32" s="281">
        <v>297636.07752427598</v>
      </c>
      <c r="AA32" s="281">
        <v>302321.76865882619</v>
      </c>
      <c r="AB32" s="281">
        <v>307081.22672912898</v>
      </c>
      <c r="AC32" s="281">
        <v>311915.61304963171</v>
      </c>
      <c r="AD32" s="296">
        <v>316826.10721738002</v>
      </c>
      <c r="AE32" s="109"/>
      <c r="AF32" s="109"/>
      <c r="AG32" s="109"/>
      <c r="AH32" s="109"/>
      <c r="AI32" s="109"/>
      <c r="AJ32" s="109"/>
      <c r="AK32" s="109"/>
      <c r="AL32"/>
      <c r="AM32"/>
      <c r="AN32"/>
      <c r="AO32"/>
      <c r="AP32"/>
    </row>
    <row r="33" spans="1:43" s="7" customFormat="1" ht="21.95" customHeight="1" x14ac:dyDescent="0.2">
      <c r="B33" s="273"/>
      <c r="C33" s="152"/>
      <c r="D33" s="154" t="s">
        <v>28</v>
      </c>
      <c r="E33" s="610" cm="1">
        <f t="array" ref="E33:AD33">_xlfn.ANCHORARRAY(E30) +_xlfn.ANCHORARRAY( E31) +_xlfn.ANCHORARRAY( E32)</f>
        <v>11957420</v>
      </c>
      <c r="F33" s="610">
        <v>12145665.918815143</v>
      </c>
      <c r="G33" s="610">
        <v>12336875.397156551</v>
      </c>
      <c r="H33" s="610">
        <v>12531095.090405237</v>
      </c>
      <c r="I33" s="610">
        <v>12728372.388438862</v>
      </c>
      <c r="J33" s="610">
        <v>12928755.427194962</v>
      </c>
      <c r="K33" s="610">
        <v>13132293.100416159</v>
      </c>
      <c r="L33" s="610">
        <v>13339035.071580308</v>
      </c>
      <c r="M33" s="610">
        <v>13549031.786018459</v>
      </c>
      <c r="N33" s="610">
        <v>13762334.483223593</v>
      </c>
      <c r="O33" s="610">
        <v>13978995.209353125</v>
      </c>
      <c r="P33" s="610">
        <v>14199066.829928229</v>
      </c>
      <c r="Q33" s="610">
        <v>14422603.04273312</v>
      </c>
      <c r="R33" s="610">
        <v>14649658.390917372</v>
      </c>
      <c r="S33" s="610">
        <v>14880288.276304539</v>
      </c>
      <c r="T33" s="610">
        <v>15114548.972910259</v>
      </c>
      <c r="U33" s="610">
        <v>15352497.640673202</v>
      </c>
      <c r="V33" s="610">
        <v>15594192.339402176</v>
      </c>
      <c r="W33" s="610">
        <v>15839692.042942813</v>
      </c>
      <c r="X33" s="610">
        <v>16089056.653567236</v>
      </c>
      <c r="Y33" s="610">
        <v>16342347.016590333</v>
      </c>
      <c r="Z33" s="610">
        <v>16599624.935216084</v>
      </c>
      <c r="AA33" s="610">
        <v>16860953.185617641</v>
      </c>
      <c r="AB33" s="610">
        <v>17126395.532254763</v>
      </c>
      <c r="AC33" s="610">
        <v>17396016.743432496</v>
      </c>
      <c r="AD33" s="611">
        <v>17669882.607104681</v>
      </c>
      <c r="AE33" s="109"/>
      <c r="AF33" s="109"/>
      <c r="AG33" s="109"/>
      <c r="AH33" s="109"/>
      <c r="AI33" s="109"/>
      <c r="AJ33" s="109"/>
      <c r="AK33" s="109"/>
      <c r="AL33"/>
      <c r="AM33"/>
      <c r="AN33"/>
      <c r="AO33"/>
      <c r="AP33"/>
    </row>
    <row r="34" spans="1:43" s="7" customFormat="1" ht="21.95" customHeight="1" x14ac:dyDescent="0.2">
      <c r="B34" s="277"/>
      <c r="C34" s="365"/>
      <c r="D34" s="143"/>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9"/>
      <c r="AE34" s="22"/>
      <c r="AF34" s="22"/>
      <c r="AG34" s="22"/>
      <c r="AH34" s="22"/>
      <c r="AI34" s="22"/>
      <c r="AJ34" s="22"/>
      <c r="AK34" s="22"/>
      <c r="AL34"/>
      <c r="AM34"/>
      <c r="AN34"/>
      <c r="AO34"/>
      <c r="AP34"/>
    </row>
    <row r="35" spans="1:43" s="7" customFormat="1" ht="21.95" customHeight="1" x14ac:dyDescent="0.2">
      <c r="B35" s="277"/>
      <c r="C35" s="143"/>
      <c r="D35" s="143"/>
      <c r="E35" s="278"/>
      <c r="F35" s="278"/>
      <c r="G35" s="278"/>
      <c r="H35" s="278"/>
      <c r="I35" s="278"/>
      <c r="J35" s="278"/>
      <c r="K35" s="278"/>
      <c r="L35" s="278"/>
      <c r="M35" s="278"/>
      <c r="N35" s="278"/>
      <c r="O35" s="278"/>
      <c r="P35" s="278"/>
      <c r="Q35" s="278"/>
      <c r="R35" s="278"/>
      <c r="S35" s="278"/>
      <c r="T35" s="278"/>
      <c r="U35" s="278"/>
      <c r="V35" s="278"/>
      <c r="W35" s="278"/>
      <c r="X35" s="278"/>
      <c r="Y35" s="278"/>
      <c r="Z35" s="278"/>
      <c r="AA35" s="278"/>
      <c r="AB35" s="278"/>
      <c r="AC35" s="278"/>
      <c r="AD35" s="279"/>
      <c r="AE35" s="22"/>
      <c r="AF35" s="22"/>
      <c r="AG35" s="22"/>
      <c r="AH35" s="22"/>
      <c r="AI35" s="22"/>
      <c r="AJ35" s="22"/>
      <c r="AK35" s="22"/>
      <c r="AL35"/>
      <c r="AM35"/>
      <c r="AN35"/>
      <c r="AO35"/>
      <c r="AP35"/>
    </row>
    <row r="36" spans="1:43" s="7" customFormat="1" ht="21.95" customHeight="1" x14ac:dyDescent="0.2">
      <c r="B36" s="27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295"/>
      <c r="AE36"/>
      <c r="AF36"/>
      <c r="AG36"/>
      <c r="AH36"/>
      <c r="AI36"/>
      <c r="AJ36"/>
      <c r="AK36"/>
      <c r="AL36"/>
      <c r="AM36"/>
      <c r="AN36"/>
      <c r="AO36"/>
      <c r="AP36"/>
    </row>
    <row r="37" spans="1:43" s="7" customFormat="1" ht="21.95" customHeight="1" x14ac:dyDescent="0.2">
      <c r="B37" s="273"/>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295"/>
      <c r="AE37"/>
      <c r="AF37"/>
      <c r="AG37"/>
      <c r="AH37"/>
      <c r="AI37"/>
      <c r="AJ37"/>
      <c r="AK37"/>
      <c r="AL37"/>
      <c r="AM37"/>
      <c r="AN37"/>
      <c r="AO37"/>
      <c r="AP37"/>
      <c r="AQ37"/>
    </row>
    <row r="38" spans="1:43" ht="21.95" customHeight="1" x14ac:dyDescent="0.2">
      <c r="B38" s="290"/>
      <c r="C38" s="612" t="s">
        <v>28</v>
      </c>
      <c r="D38" s="367"/>
      <c r="E38" s="577" cm="1">
        <f t="array" ref="E38:AD38">_xlfn.ANCHORARRAY(E33)</f>
        <v>11957420</v>
      </c>
      <c r="F38" s="577">
        <v>12145665.918815143</v>
      </c>
      <c r="G38" s="577">
        <v>12336875.397156551</v>
      </c>
      <c r="H38" s="577">
        <v>12531095.090405237</v>
      </c>
      <c r="I38" s="577">
        <v>12728372.388438862</v>
      </c>
      <c r="J38" s="577">
        <v>12928755.427194962</v>
      </c>
      <c r="K38" s="577">
        <v>13132293.100416159</v>
      </c>
      <c r="L38" s="577">
        <v>13339035.071580308</v>
      </c>
      <c r="M38" s="577">
        <v>13549031.786018459</v>
      </c>
      <c r="N38" s="577">
        <v>13762334.483223593</v>
      </c>
      <c r="O38" s="577">
        <v>13978995.209353125</v>
      </c>
      <c r="P38" s="577">
        <v>14199066.829928229</v>
      </c>
      <c r="Q38" s="577">
        <v>14422603.04273312</v>
      </c>
      <c r="R38" s="577">
        <v>14649658.390917372</v>
      </c>
      <c r="S38" s="577">
        <v>14880288.276304539</v>
      </c>
      <c r="T38" s="577">
        <v>15114548.972910259</v>
      </c>
      <c r="U38" s="577">
        <v>15352497.640673202</v>
      </c>
      <c r="V38" s="577">
        <v>15594192.339402176</v>
      </c>
      <c r="W38" s="577">
        <v>15839692.042942813</v>
      </c>
      <c r="X38" s="577">
        <v>16089056.653567236</v>
      </c>
      <c r="Y38" s="577">
        <v>16342347.016590333</v>
      </c>
      <c r="Z38" s="577">
        <v>16599624.935216084</v>
      </c>
      <c r="AA38" s="577">
        <v>16860953.185617641</v>
      </c>
      <c r="AB38" s="577">
        <v>17126395.532254763</v>
      </c>
      <c r="AC38" s="577">
        <v>17396016.743432496</v>
      </c>
      <c r="AD38" s="578">
        <v>17669882.607104681</v>
      </c>
      <c r="AE38" s="61"/>
      <c r="AF38" s="61"/>
      <c r="AG38" s="61"/>
      <c r="AH38" s="61"/>
      <c r="AI38" s="61"/>
      <c r="AJ38" s="61"/>
      <c r="AK38" s="61"/>
    </row>
    <row r="40" spans="1:43" ht="21.95" customHeight="1" x14ac:dyDescent="0.2">
      <c r="E40"/>
    </row>
    <row r="41" spans="1:43" ht="21.95" customHeight="1" x14ac:dyDescent="0.2">
      <c r="A41" s="244"/>
      <c r="B41" s="245" t="s">
        <v>10</v>
      </c>
      <c r="D41"/>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row>
    <row r="42" spans="1:43" ht="21.95" customHeight="1" x14ac:dyDescent="0.2">
      <c r="D42"/>
      <c r="E42"/>
      <c r="F42"/>
      <c r="G42"/>
      <c r="H42"/>
      <c r="I42"/>
      <c r="J42"/>
      <c r="K42"/>
      <c r="L42"/>
      <c r="M42"/>
    </row>
    <row r="43" spans="1:43" s="6" customFormat="1" ht="21.95" customHeight="1" x14ac:dyDescent="0.2">
      <c r="A43"/>
      <c r="B43" s="411"/>
      <c r="C43" s="410" t="s">
        <v>21</v>
      </c>
      <c r="D43" s="410" t="s">
        <v>43</v>
      </c>
      <c r="E43" s="410" cm="1">
        <f t="array" ref="E43:AD43">year</f>
        <v>2022</v>
      </c>
      <c r="F43" s="410">
        <v>2023</v>
      </c>
      <c r="G43" s="410">
        <v>2024</v>
      </c>
      <c r="H43" s="410">
        <v>2025</v>
      </c>
      <c r="I43" s="410">
        <v>2026</v>
      </c>
      <c r="J43" s="410">
        <v>2027</v>
      </c>
      <c r="K43" s="410">
        <v>2028</v>
      </c>
      <c r="L43" s="410">
        <v>2029</v>
      </c>
      <c r="M43" s="410">
        <v>2030</v>
      </c>
      <c r="N43" s="410">
        <v>2031</v>
      </c>
      <c r="O43" s="410">
        <v>2032</v>
      </c>
      <c r="P43" s="410">
        <v>2033</v>
      </c>
      <c r="Q43" s="410">
        <v>2034</v>
      </c>
      <c r="R43" s="410">
        <v>2035</v>
      </c>
      <c r="S43" s="410">
        <v>2036</v>
      </c>
      <c r="T43" s="410">
        <v>2037</v>
      </c>
      <c r="U43" s="410">
        <v>2038</v>
      </c>
      <c r="V43" s="410">
        <v>2039</v>
      </c>
      <c r="W43" s="410">
        <v>2040</v>
      </c>
      <c r="X43" s="410">
        <v>2041</v>
      </c>
      <c r="Y43" s="410">
        <v>2042</v>
      </c>
      <c r="Z43" s="410">
        <v>2043</v>
      </c>
      <c r="AA43" s="410">
        <v>2044</v>
      </c>
      <c r="AB43" s="410">
        <v>2045</v>
      </c>
      <c r="AC43" s="410">
        <v>2046</v>
      </c>
      <c r="AD43" s="547">
        <v>2047</v>
      </c>
      <c r="AE43" s="35"/>
      <c r="AF43" s="35"/>
      <c r="AG43" s="35"/>
      <c r="AH43" s="35"/>
      <c r="AI43" s="35"/>
      <c r="AJ43" s="35"/>
      <c r="AK43" s="35"/>
      <c r="AL43"/>
      <c r="AM43"/>
      <c r="AN43"/>
      <c r="AO43"/>
      <c r="AP43"/>
    </row>
    <row r="44" spans="1:43" s="7" customFormat="1" ht="21.95" customHeight="1" x14ac:dyDescent="0.2">
      <c r="B44" s="273" t="s">
        <v>35</v>
      </c>
      <c r="C44" s="365" t="s">
        <v>505</v>
      </c>
      <c r="D44" s="143" t="s">
        <v>38</v>
      </c>
      <c r="E44" s="300" cm="1">
        <f t="array" ref="E44:AD44">_xlfn.ANCHORARRAY(E22) * $M$13</f>
        <v>0.51</v>
      </c>
      <c r="F44" s="300">
        <v>0.51802894090829976</v>
      </c>
      <c r="G44" s="300">
        <v>0.52618428160504871</v>
      </c>
      <c r="H44" s="300">
        <v>0.53446801200481964</v>
      </c>
      <c r="I44" s="300">
        <v>0.54288215334945333</v>
      </c>
      <c r="J44" s="300">
        <v>0.55142875870124408</v>
      </c>
      <c r="K44" s="300">
        <v>0.56010991344389016</v>
      </c>
      <c r="L44" s="300">
        <v>0.56892773579132927</v>
      </c>
      <c r="M44" s="300">
        <v>0.57788437730458697</v>
      </c>
      <c r="N44" s="300">
        <v>0.58698202341675987</v>
      </c>
      <c r="O44" s="300">
        <v>0.59622289396626471</v>
      </c>
      <c r="P44" s="300">
        <v>0.60560924373848168</v>
      </c>
      <c r="Q44" s="300">
        <v>0.61514336301592576</v>
      </c>
      <c r="R44" s="300">
        <v>0.62482757813707801</v>
      </c>
      <c r="S44" s="300">
        <v>0.63466425206401678</v>
      </c>
      <c r="T44" s="300">
        <v>0.64465578495898213</v>
      </c>
      <c r="U44" s="300">
        <v>0.65480461477002005</v>
      </c>
      <c r="V44" s="300">
        <v>0.66511321782584454</v>
      </c>
      <c r="W44" s="300">
        <v>0.67558410944006597</v>
      </c>
      <c r="X44" s="300">
        <v>0.68621984452493012</v>
      </c>
      <c r="Y44" s="300">
        <v>0.69702301821472101</v>
      </c>
      <c r="Z44" s="300">
        <v>0.7079962664989774</v>
      </c>
      <c r="AA44" s="300">
        <v>0.71914226686567795</v>
      </c>
      <c r="AB44" s="300">
        <v>0.73046373895455119</v>
      </c>
      <c r="AC44" s="300">
        <v>0.74196344522067248</v>
      </c>
      <c r="AD44" s="301">
        <v>0.7536441916085066</v>
      </c>
      <c r="AE44" s="17"/>
      <c r="AF44" s="17"/>
      <c r="AG44" s="17"/>
      <c r="AH44" s="17"/>
      <c r="AI44" s="17"/>
      <c r="AJ44" s="17"/>
      <c r="AK44" s="17"/>
      <c r="AL44"/>
      <c r="AM44"/>
      <c r="AN44"/>
      <c r="AO44"/>
      <c r="AP44"/>
    </row>
    <row r="45" spans="1:43" s="7" customFormat="1" ht="21.95" customHeight="1" x14ac:dyDescent="0.2">
      <c r="B45" s="524" t="s">
        <v>89</v>
      </c>
      <c r="C45" s="143"/>
      <c r="D45" s="143" t="s">
        <v>39</v>
      </c>
      <c r="E45" s="300" cm="1">
        <f t="array" ref="E45:AD45">_xlfn.ANCHORARRAY(E23) * $M$13</f>
        <v>18.53</v>
      </c>
      <c r="F45" s="300">
        <v>18.821718186334895</v>
      </c>
      <c r="G45" s="300">
        <v>19.118028898316769</v>
      </c>
      <c r="H45" s="300">
        <v>19.419004436175111</v>
      </c>
      <c r="I45" s="300">
        <v>19.724718238363472</v>
      </c>
      <c r="J45" s="300">
        <v>20.035244899478538</v>
      </c>
      <c r="K45" s="300">
        <v>20.350660188461344</v>
      </c>
      <c r="L45" s="300">
        <v>20.671041067084964</v>
      </c>
      <c r="M45" s="300">
        <v>20.996465708733325</v>
      </c>
      <c r="N45" s="300">
        <v>21.32701351747561</v>
      </c>
      <c r="O45" s="300">
        <v>21.66276514744095</v>
      </c>
      <c r="P45" s="300">
        <v>22.003802522498169</v>
      </c>
      <c r="Q45" s="300">
        <v>22.350208856245303</v>
      </c>
      <c r="R45" s="300">
        <v>22.702068672313835</v>
      </c>
      <c r="S45" s="300">
        <v>23.059467824992609</v>
      </c>
      <c r="T45" s="300">
        <v>23.422493520176349</v>
      </c>
      <c r="U45" s="300">
        <v>23.791234336644063</v>
      </c>
      <c r="V45" s="300">
        <v>24.165780247672355</v>
      </c>
      <c r="W45" s="300">
        <v>24.546222642989065</v>
      </c>
      <c r="X45" s="300">
        <v>24.932654351072461</v>
      </c>
      <c r="Y45" s="300">
        <v>25.325169661801532</v>
      </c>
      <c r="Z45" s="300">
        <v>25.72386434946285</v>
      </c>
      <c r="AA45" s="300">
        <v>26.128835696119634</v>
      </c>
      <c r="AB45" s="300">
        <v>26.540182515348697</v>
      </c>
      <c r="AC45" s="300">
        <v>26.958005176351101</v>
      </c>
      <c r="AD45" s="301">
        <v>27.38240562844241</v>
      </c>
      <c r="AE45" s="17"/>
      <c r="AF45" s="17"/>
      <c r="AG45" s="17"/>
      <c r="AH45" s="17"/>
      <c r="AI45" s="17"/>
      <c r="AJ45" s="17"/>
      <c r="AK45" s="17"/>
      <c r="AL45"/>
      <c r="AM45"/>
      <c r="AN45"/>
      <c r="AO45"/>
      <c r="AP45"/>
    </row>
    <row r="46" spans="1:43" s="7" customFormat="1" ht="21.95" customHeight="1" x14ac:dyDescent="0.2">
      <c r="B46" s="273"/>
      <c r="C46" s="143"/>
      <c r="D46" s="152" t="s">
        <v>36</v>
      </c>
      <c r="E46" s="579" cm="1">
        <f t="array" ref="E46:AD46">_xlfn.ANCHORARRAY(E24) * $M$13</f>
        <v>45.559999999999995</v>
      </c>
      <c r="F46" s="579">
        <v>46.277252054474779</v>
      </c>
      <c r="G46" s="579">
        <v>47.005795823384339</v>
      </c>
      <c r="H46" s="579">
        <v>47.745809072430546</v>
      </c>
      <c r="I46" s="579">
        <v>48.497472365884491</v>
      </c>
      <c r="J46" s="579">
        <v>49.260969110644467</v>
      </c>
      <c r="K46" s="579">
        <v>50.036485600987511</v>
      </c>
      <c r="L46" s="579">
        <v>50.824211064025405</v>
      </c>
      <c r="M46" s="579">
        <v>51.624337705876428</v>
      </c>
      <c r="N46" s="579">
        <v>52.437060758563874</v>
      </c>
      <c r="O46" s="579">
        <v>53.26257852765297</v>
      </c>
      <c r="P46" s="579">
        <v>54.101092440637693</v>
      </c>
      <c r="Q46" s="579">
        <v>54.952807096089359</v>
      </c>
      <c r="R46" s="579">
        <v>55.81793031357897</v>
      </c>
      <c r="S46" s="579">
        <v>56.696673184385489</v>
      </c>
      <c r="T46" s="579">
        <v>57.589250123002401</v>
      </c>
      <c r="U46" s="579">
        <v>58.495878919455116</v>
      </c>
      <c r="V46" s="579">
        <v>59.416780792442111</v>
      </c>
      <c r="W46" s="579">
        <v>60.352180443312562</v>
      </c>
      <c r="X46" s="579">
        <v>61.302306110893753</v>
      </c>
      <c r="Y46" s="579">
        <v>62.267389627181736</v>
      </c>
      <c r="Z46" s="579">
        <v>63.247666473908652</v>
      </c>
      <c r="AA46" s="579">
        <v>64.243375840000553</v>
      </c>
      <c r="AB46" s="579">
        <v>65.254760679939906</v>
      </c>
      <c r="AC46" s="579">
        <v>66.282067773046734</v>
      </c>
      <c r="AD46" s="581">
        <v>67.325547783693253</v>
      </c>
      <c r="AE46" s="58"/>
      <c r="AF46" s="58"/>
      <c r="AG46" s="58"/>
      <c r="AH46" s="58"/>
      <c r="AI46" s="58"/>
      <c r="AJ46" s="58"/>
      <c r="AK46" s="58"/>
      <c r="AL46"/>
      <c r="AM46"/>
      <c r="AN46"/>
      <c r="AO46"/>
      <c r="AP46"/>
    </row>
    <row r="47" spans="1:43" s="7" customFormat="1" ht="21.95" customHeight="1" x14ac:dyDescent="0.2">
      <c r="B47" s="273"/>
      <c r="C47" s="152"/>
      <c r="D47" s="154" t="s">
        <v>28</v>
      </c>
      <c r="E47" s="609" cm="1">
        <f t="array" ref="E47:AD47">_xlfn.ANCHORARRAY(E25) * $M$13</f>
        <v>64.599999999999994</v>
      </c>
      <c r="F47" s="609">
        <v>65.616999181717958</v>
      </c>
      <c r="G47" s="609">
        <v>66.650009003306153</v>
      </c>
      <c r="H47" s="609">
        <v>67.699281520610469</v>
      </c>
      <c r="I47" s="609">
        <v>68.765072757597409</v>
      </c>
      <c r="J47" s="609">
        <v>69.847642768824258</v>
      </c>
      <c r="K47" s="609">
        <v>70.947255702892747</v>
      </c>
      <c r="L47" s="609">
        <v>72.064179866901711</v>
      </c>
      <c r="M47" s="609">
        <v>73.198687791914352</v>
      </c>
      <c r="N47" s="609">
        <v>74.351056299456246</v>
      </c>
      <c r="O47" s="609">
        <v>75.521566569060184</v>
      </c>
      <c r="P47" s="609">
        <v>76.710504206874347</v>
      </c>
      <c r="Q47" s="609">
        <v>77.918159315350593</v>
      </c>
      <c r="R47" s="609">
        <v>79.144826564029884</v>
      </c>
      <c r="S47" s="609">
        <v>80.390805261442111</v>
      </c>
      <c r="T47" s="609">
        <v>81.656399428137732</v>
      </c>
      <c r="U47" s="609">
        <v>82.94191787086919</v>
      </c>
      <c r="V47" s="609">
        <v>84.247674257940318</v>
      </c>
      <c r="W47" s="609">
        <v>85.573987195741694</v>
      </c>
      <c r="X47" s="609">
        <v>86.921180306491138</v>
      </c>
      <c r="Y47" s="609">
        <v>88.289582307197989</v>
      </c>
      <c r="Z47" s="609">
        <v>89.679527089870476</v>
      </c>
      <c r="AA47" s="609">
        <v>91.091353802985878</v>
      </c>
      <c r="AB47" s="609">
        <v>92.525406934243151</v>
      </c>
      <c r="AC47" s="609">
        <v>93.982036394618504</v>
      </c>
      <c r="AD47" s="581">
        <v>95.461597603744167</v>
      </c>
      <c r="AE47" s="58"/>
      <c r="AF47" s="58"/>
      <c r="AG47" s="58"/>
      <c r="AH47" s="58"/>
      <c r="AI47" s="58"/>
      <c r="AJ47" s="58"/>
      <c r="AK47" s="58"/>
      <c r="AL47"/>
      <c r="AM47"/>
      <c r="AN47"/>
      <c r="AO47"/>
      <c r="AP47"/>
    </row>
    <row r="48" spans="1:43" s="7" customFormat="1" ht="21.95" customHeight="1" x14ac:dyDescent="0.2">
      <c r="B48" s="277"/>
      <c r="C48" s="365"/>
      <c r="D48" s="143"/>
      <c r="E48" s="300"/>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1"/>
      <c r="AE48" s="17"/>
      <c r="AF48" s="17"/>
      <c r="AG48" s="17"/>
      <c r="AH48" s="17"/>
      <c r="AI48" s="17"/>
      <c r="AJ48" s="17"/>
      <c r="AK48" s="17"/>
      <c r="AL48"/>
      <c r="AM48"/>
      <c r="AN48"/>
      <c r="AO48"/>
      <c r="AP48"/>
    </row>
    <row r="49" spans="1:42" s="7" customFormat="1" ht="21.95" customHeight="1" x14ac:dyDescent="0.2">
      <c r="B49" s="277"/>
      <c r="C49" s="143"/>
      <c r="D49" s="143"/>
      <c r="E49" s="300"/>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1"/>
      <c r="AE49" s="17"/>
      <c r="AF49" s="17"/>
      <c r="AG49" s="17"/>
      <c r="AH49" s="17"/>
      <c r="AI49" s="17"/>
      <c r="AJ49" s="17"/>
      <c r="AK49" s="17"/>
      <c r="AL49"/>
      <c r="AM49"/>
      <c r="AN49"/>
      <c r="AO49"/>
      <c r="AP49"/>
    </row>
    <row r="50" spans="1:42" s="7" customFormat="1" ht="21.95" customHeight="1" x14ac:dyDescent="0.2">
      <c r="B50" s="273"/>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295"/>
      <c r="AE50"/>
      <c r="AF50"/>
      <c r="AG50"/>
      <c r="AH50"/>
      <c r="AI50"/>
      <c r="AJ50"/>
      <c r="AK50"/>
      <c r="AL50"/>
      <c r="AM50"/>
      <c r="AN50"/>
      <c r="AO50"/>
      <c r="AP50"/>
    </row>
    <row r="51" spans="1:42" s="7" customFormat="1" ht="21.95" customHeight="1" x14ac:dyDescent="0.2">
      <c r="B51" s="285"/>
      <c r="C51" s="152"/>
      <c r="D51" s="154"/>
      <c r="E51" s="609"/>
      <c r="F51" s="609"/>
      <c r="G51" s="609"/>
      <c r="H51" s="609"/>
      <c r="I51" s="609"/>
      <c r="J51" s="609"/>
      <c r="K51" s="609"/>
      <c r="L51" s="609"/>
      <c r="M51" s="609"/>
      <c r="N51" s="609"/>
      <c r="O51" s="609"/>
      <c r="P51" s="609"/>
      <c r="Q51" s="609"/>
      <c r="R51" s="609"/>
      <c r="S51" s="609"/>
      <c r="T51" s="609"/>
      <c r="U51" s="609"/>
      <c r="V51" s="609"/>
      <c r="W51" s="609"/>
      <c r="X51" s="609"/>
      <c r="Y51" s="609"/>
      <c r="Z51" s="609"/>
      <c r="AA51" s="609"/>
      <c r="AB51" s="609"/>
      <c r="AC51" s="609"/>
      <c r="AD51" s="581"/>
      <c r="AE51" s="58"/>
      <c r="AF51" s="58"/>
      <c r="AG51" s="58"/>
      <c r="AH51" s="58"/>
      <c r="AI51" s="58"/>
      <c r="AJ51" s="58"/>
      <c r="AK51" s="58"/>
      <c r="AL51"/>
      <c r="AM51"/>
      <c r="AN51"/>
      <c r="AO51"/>
      <c r="AP51"/>
    </row>
    <row r="52" spans="1:42" s="7" customFormat="1" ht="21.95" customHeight="1" x14ac:dyDescent="0.2">
      <c r="B52" s="273" t="s">
        <v>625</v>
      </c>
      <c r="C52" s="365" t="s">
        <v>505</v>
      </c>
      <c r="D52" s="143" t="s">
        <v>38</v>
      </c>
      <c r="E52" s="278" cm="1">
        <f t="array" ref="E52:AD52">_xlfn.ANCHORARRAY(E44) * costLife</f>
        <v>6018000</v>
      </c>
      <c r="F52" s="278">
        <v>6112741.5027179373</v>
      </c>
      <c r="G52" s="278">
        <v>6208974.5229395749</v>
      </c>
      <c r="H52" s="278">
        <v>6306722.5416568713</v>
      </c>
      <c r="I52" s="278">
        <v>6406009.4095235495</v>
      </c>
      <c r="J52" s="278">
        <v>6506859.3526746798</v>
      </c>
      <c r="K52" s="278">
        <v>6609296.9786379039</v>
      </c>
      <c r="L52" s="278">
        <v>6713347.2823376851</v>
      </c>
      <c r="M52" s="278">
        <v>6819035.6521941265</v>
      </c>
      <c r="N52" s="278">
        <v>6926387.8763177665</v>
      </c>
      <c r="O52" s="278">
        <v>7035430.1488019237</v>
      </c>
      <c r="P52" s="278">
        <v>7146189.0761140836</v>
      </c>
      <c r="Q52" s="278">
        <v>7258691.6835879236</v>
      </c>
      <c r="R52" s="278">
        <v>7372965.4220175203</v>
      </c>
      <c r="S52" s="278">
        <v>7489038.1743553979</v>
      </c>
      <c r="T52" s="278">
        <v>7606938.2625159891</v>
      </c>
      <c r="U52" s="278">
        <v>7726694.4542862363</v>
      </c>
      <c r="V52" s="278">
        <v>7848335.9703449653</v>
      </c>
      <c r="W52" s="278">
        <v>7971892.4913927782</v>
      </c>
      <c r="X52" s="278">
        <v>8097394.1653941758</v>
      </c>
      <c r="Y52" s="278">
        <v>8224871.6149337078</v>
      </c>
      <c r="Z52" s="278">
        <v>8354355.9446879337</v>
      </c>
      <c r="AA52" s="278">
        <v>8485878.7490149997</v>
      </c>
      <c r="AB52" s="278">
        <v>8619472.1196637042</v>
      </c>
      <c r="AC52" s="278">
        <v>8755168.6536039356</v>
      </c>
      <c r="AD52" s="279">
        <v>8893001.4609803781</v>
      </c>
      <c r="AE52" s="22"/>
      <c r="AF52" s="22"/>
      <c r="AG52" s="22"/>
      <c r="AH52" s="22"/>
      <c r="AI52" s="22"/>
      <c r="AJ52" s="22"/>
      <c r="AK52" s="22"/>
      <c r="AL52"/>
      <c r="AM52"/>
      <c r="AN52"/>
      <c r="AO52"/>
      <c r="AP52"/>
    </row>
    <row r="53" spans="1:42" s="7" customFormat="1" ht="21.95" customHeight="1" x14ac:dyDescent="0.2">
      <c r="B53" s="524" t="s">
        <v>44</v>
      </c>
      <c r="C53" s="143"/>
      <c r="D53" s="143" t="s">
        <v>39</v>
      </c>
      <c r="E53" s="278" cm="1">
        <f t="array" ref="E53:AD53">_xlfn.ANCHORARRAY(E45) * costInjury</f>
        <v>3963567.0000000005</v>
      </c>
      <c r="F53" s="278">
        <v>4025965.5200570342</v>
      </c>
      <c r="G53" s="278">
        <v>4089346.3813499571</v>
      </c>
      <c r="H53" s="278">
        <v>4153725.0488978564</v>
      </c>
      <c r="I53" s="278">
        <v>4219117.2311859466</v>
      </c>
      <c r="J53" s="278">
        <v>4285538.8839984592</v>
      </c>
      <c r="K53" s="278">
        <v>4353006.214311881</v>
      </c>
      <c r="L53" s="278">
        <v>4421535.6842494737</v>
      </c>
      <c r="M53" s="278">
        <v>4491144.0150980586</v>
      </c>
      <c r="N53" s="278">
        <v>4561848.1913880333</v>
      </c>
      <c r="O53" s="278">
        <v>4633665.4650376197</v>
      </c>
      <c r="P53" s="278">
        <v>4706613.3595623588</v>
      </c>
      <c r="Q53" s="278">
        <v>4780709.6743508698</v>
      </c>
      <c r="R53" s="278">
        <v>4855972.4890079293</v>
      </c>
      <c r="S53" s="278">
        <v>4932420.1677659191</v>
      </c>
      <c r="T53" s="278">
        <v>5010071.3639657209</v>
      </c>
      <c r="U53" s="278">
        <v>5088945.024608165</v>
      </c>
      <c r="V53" s="278">
        <v>5169060.394977117</v>
      </c>
      <c r="W53" s="278">
        <v>5250437.0233353609</v>
      </c>
      <c r="X53" s="278">
        <v>5333094.7656943994</v>
      </c>
      <c r="Y53" s="278">
        <v>5417053.7906593475</v>
      </c>
      <c r="Z53" s="278">
        <v>5502334.5843501035</v>
      </c>
      <c r="AA53" s="278">
        <v>5588957.9553999892</v>
      </c>
      <c r="AB53" s="278">
        <v>5676945.0400330862</v>
      </c>
      <c r="AC53" s="278">
        <v>5766317.3072215002</v>
      </c>
      <c r="AD53" s="279">
        <v>5857096.5639238311</v>
      </c>
      <c r="AE53" s="22"/>
      <c r="AF53" s="22"/>
      <c r="AG53" s="22"/>
      <c r="AH53" s="22"/>
      <c r="AI53" s="22"/>
      <c r="AJ53" s="22"/>
      <c r="AK53" s="22"/>
      <c r="AL53"/>
      <c r="AM53"/>
      <c r="AN53"/>
      <c r="AO53"/>
      <c r="AP53"/>
    </row>
    <row r="54" spans="1:42" s="7" customFormat="1" ht="21.95" customHeight="1" x14ac:dyDescent="0.2">
      <c r="B54" s="273"/>
      <c r="C54" s="143"/>
      <c r="D54" s="152" t="s">
        <v>36</v>
      </c>
      <c r="E54" s="281" cm="1">
        <f t="array" ref="E54:AD54">_xlfn.ANCHORARRAY(E46) * costPDO</f>
        <v>182239.99999999997</v>
      </c>
      <c r="F54" s="281">
        <v>185109.00821789913</v>
      </c>
      <c r="G54" s="281">
        <v>188023.18329353735</v>
      </c>
      <c r="H54" s="281">
        <v>190983.23628972218</v>
      </c>
      <c r="I54" s="281">
        <v>193989.88946353795</v>
      </c>
      <c r="J54" s="281">
        <v>197043.87644257786</v>
      </c>
      <c r="K54" s="281">
        <v>200145.94240395006</v>
      </c>
      <c r="L54" s="281">
        <v>203296.84425610161</v>
      </c>
      <c r="M54" s="281">
        <v>206497.35082350572</v>
      </c>
      <c r="N54" s="281">
        <v>209748.24303425549</v>
      </c>
      <c r="O54" s="281">
        <v>213050.31411061189</v>
      </c>
      <c r="P54" s="281">
        <v>216404.36976255078</v>
      </c>
      <c r="Q54" s="281">
        <v>219811.22838435744</v>
      </c>
      <c r="R54" s="281">
        <v>223271.72125431587</v>
      </c>
      <c r="S54" s="281">
        <v>226786.69273754195</v>
      </c>
      <c r="T54" s="281">
        <v>230357.0004920096</v>
      </c>
      <c r="U54" s="281">
        <v>233983.51567782045</v>
      </c>
      <c r="V54" s="281">
        <v>237667.12316976846</v>
      </c>
      <c r="W54" s="281">
        <v>241408.72177325026</v>
      </c>
      <c r="X54" s="281">
        <v>245209.22444357502</v>
      </c>
      <c r="Y54" s="281">
        <v>249069.55850872694</v>
      </c>
      <c r="Z54" s="281">
        <v>252990.66589563459</v>
      </c>
      <c r="AA54" s="281">
        <v>256973.50336000221</v>
      </c>
      <c r="AB54" s="281">
        <v>261019.04271975963</v>
      </c>
      <c r="AC54" s="281">
        <v>265128.27109218691</v>
      </c>
      <c r="AD54" s="296">
        <v>269302.19113477302</v>
      </c>
      <c r="AE54" s="109"/>
      <c r="AF54" s="109"/>
      <c r="AG54" s="109"/>
      <c r="AH54" s="109"/>
      <c r="AI54" s="109"/>
      <c r="AJ54" s="109"/>
      <c r="AK54" s="109"/>
      <c r="AL54"/>
      <c r="AM54"/>
      <c r="AN54"/>
      <c r="AO54"/>
      <c r="AP54"/>
    </row>
    <row r="55" spans="1:42" s="7" customFormat="1" ht="21.95" customHeight="1" x14ac:dyDescent="0.2">
      <c r="B55" s="273"/>
      <c r="C55" s="152"/>
      <c r="D55" s="154" t="s">
        <v>28</v>
      </c>
      <c r="E55" s="610" cm="1">
        <f t="array" ref="E55:AD55">_xlfn.ANCHORARRAY(E52) +_xlfn.ANCHORARRAY( E53) +_xlfn.ANCHORARRAY( E54)</f>
        <v>10163807</v>
      </c>
      <c r="F55" s="610">
        <v>10323816.030992871</v>
      </c>
      <c r="G55" s="610">
        <v>10486344.087583071</v>
      </c>
      <c r="H55" s="610">
        <v>10651430.82684445</v>
      </c>
      <c r="I55" s="610">
        <v>10819116.530173035</v>
      </c>
      <c r="J55" s="610">
        <v>10989442.113115717</v>
      </c>
      <c r="K55" s="610">
        <v>11162449.135353735</v>
      </c>
      <c r="L55" s="610">
        <v>11338179.810843261</v>
      </c>
      <c r="M55" s="610">
        <v>11516677.01811569</v>
      </c>
      <c r="N55" s="610">
        <v>11697984.310740054</v>
      </c>
      <c r="O55" s="610">
        <v>11882145.927950157</v>
      </c>
      <c r="P55" s="610">
        <v>12069206.805438993</v>
      </c>
      <c r="Q55" s="610">
        <v>12259212.58632315</v>
      </c>
      <c r="R55" s="610">
        <v>12452209.632279765</v>
      </c>
      <c r="S55" s="610">
        <v>12648245.03485886</v>
      </c>
      <c r="T55" s="610">
        <v>12847366.62697372</v>
      </c>
      <c r="U55" s="610">
        <v>13049622.994572222</v>
      </c>
      <c r="V55" s="610">
        <v>13255063.488491852</v>
      </c>
      <c r="W55" s="610">
        <v>13463738.23650139</v>
      </c>
      <c r="X55" s="610">
        <v>13675698.15553215</v>
      </c>
      <c r="Y55" s="610">
        <v>13890994.964101784</v>
      </c>
      <c r="Z55" s="610">
        <v>14109681.194933673</v>
      </c>
      <c r="AA55" s="610">
        <v>14331810.207774991</v>
      </c>
      <c r="AB55" s="610">
        <v>14557436.20241655</v>
      </c>
      <c r="AC55" s="610">
        <v>14786614.231917623</v>
      </c>
      <c r="AD55" s="296">
        <v>15019400.216038983</v>
      </c>
      <c r="AE55" s="109"/>
      <c r="AF55" s="109"/>
      <c r="AG55" s="109"/>
      <c r="AH55" s="109"/>
      <c r="AI55" s="109"/>
      <c r="AJ55" s="109"/>
      <c r="AK55" s="109"/>
      <c r="AL55"/>
      <c r="AM55"/>
      <c r="AN55"/>
      <c r="AO55"/>
      <c r="AP55"/>
    </row>
    <row r="56" spans="1:42" s="7" customFormat="1" ht="21.95" customHeight="1" x14ac:dyDescent="0.2">
      <c r="B56" s="277"/>
      <c r="C56" s="365"/>
      <c r="D56" s="143"/>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9"/>
      <c r="AE56" s="22"/>
      <c r="AF56" s="22"/>
      <c r="AG56" s="22"/>
      <c r="AH56" s="22"/>
      <c r="AI56" s="22"/>
      <c r="AJ56" s="22"/>
      <c r="AK56" s="22"/>
      <c r="AL56"/>
      <c r="AM56"/>
      <c r="AN56"/>
      <c r="AO56"/>
      <c r="AP56"/>
    </row>
    <row r="57" spans="1:42" s="7" customFormat="1" ht="21.95" customHeight="1" x14ac:dyDescent="0.2">
      <c r="B57" s="277"/>
      <c r="C57" s="143"/>
      <c r="D57" s="143"/>
      <c r="E57" s="278"/>
      <c r="F57" s="278"/>
      <c r="G57" s="278"/>
      <c r="H57" s="278"/>
      <c r="I57" s="278"/>
      <c r="J57" s="278"/>
      <c r="K57" s="278"/>
      <c r="L57" s="278"/>
      <c r="M57" s="278"/>
      <c r="N57" s="278"/>
      <c r="O57" s="278"/>
      <c r="P57" s="278"/>
      <c r="Q57" s="278"/>
      <c r="R57" s="278"/>
      <c r="S57" s="278"/>
      <c r="T57" s="278"/>
      <c r="U57" s="278"/>
      <c r="V57" s="278"/>
      <c r="W57" s="278"/>
      <c r="X57" s="278"/>
      <c r="Y57" s="278"/>
      <c r="Z57" s="278"/>
      <c r="AA57" s="278"/>
      <c r="AB57" s="278"/>
      <c r="AC57" s="278"/>
      <c r="AD57" s="279"/>
      <c r="AE57" s="22"/>
      <c r="AF57" s="22"/>
      <c r="AG57" s="22"/>
      <c r="AH57" s="22"/>
      <c r="AI57" s="22"/>
      <c r="AJ57" s="22"/>
      <c r="AK57" s="22"/>
      <c r="AL57"/>
      <c r="AM57"/>
      <c r="AN57"/>
      <c r="AO57"/>
      <c r="AP57"/>
    </row>
    <row r="58" spans="1:42" s="7" customFormat="1" ht="21.95" customHeight="1" x14ac:dyDescent="0.2">
      <c r="B58" s="273"/>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295"/>
      <c r="AE58"/>
      <c r="AF58"/>
      <c r="AG58"/>
      <c r="AH58"/>
      <c r="AI58"/>
      <c r="AJ58"/>
      <c r="AK58"/>
      <c r="AL58"/>
      <c r="AM58"/>
      <c r="AN58"/>
      <c r="AO58"/>
      <c r="AP58"/>
    </row>
    <row r="59" spans="1:42" s="7" customFormat="1" ht="21.95" customHeight="1" x14ac:dyDescent="0.2">
      <c r="B59" s="273"/>
      <c r="C59" s="143"/>
      <c r="D59" s="274"/>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79"/>
      <c r="AE59" s="23"/>
      <c r="AF59" s="23"/>
      <c r="AG59" s="23"/>
      <c r="AH59" s="23"/>
      <c r="AI59" s="23"/>
      <c r="AJ59" s="23"/>
      <c r="AK59" s="23"/>
      <c r="AL59"/>
      <c r="AM59"/>
      <c r="AN59"/>
      <c r="AO59"/>
      <c r="AP59"/>
    </row>
    <row r="60" spans="1:42" ht="21.95" customHeight="1" x14ac:dyDescent="0.2">
      <c r="B60" s="290"/>
      <c r="C60" s="612" t="s">
        <v>28</v>
      </c>
      <c r="D60" s="367"/>
      <c r="E60" s="577" cm="1">
        <f t="array" ref="E60:AD60">_xlfn.ANCHORARRAY(E55)</f>
        <v>10163807</v>
      </c>
      <c r="F60" s="577">
        <v>10323816.030992871</v>
      </c>
      <c r="G60" s="577">
        <v>10486344.087583071</v>
      </c>
      <c r="H60" s="577">
        <v>10651430.82684445</v>
      </c>
      <c r="I60" s="577">
        <v>10819116.530173035</v>
      </c>
      <c r="J60" s="577">
        <v>10989442.113115717</v>
      </c>
      <c r="K60" s="577">
        <v>11162449.135353735</v>
      </c>
      <c r="L60" s="577">
        <v>11338179.810843261</v>
      </c>
      <c r="M60" s="577">
        <v>11516677.01811569</v>
      </c>
      <c r="N60" s="577">
        <v>11697984.310740054</v>
      </c>
      <c r="O60" s="577">
        <v>11882145.927950157</v>
      </c>
      <c r="P60" s="577">
        <v>12069206.805438993</v>
      </c>
      <c r="Q60" s="577">
        <v>12259212.58632315</v>
      </c>
      <c r="R60" s="577">
        <v>12452209.632279765</v>
      </c>
      <c r="S60" s="577">
        <v>12648245.03485886</v>
      </c>
      <c r="T60" s="577">
        <v>12847366.62697372</v>
      </c>
      <c r="U60" s="577">
        <v>13049622.994572222</v>
      </c>
      <c r="V60" s="577">
        <v>13255063.488491852</v>
      </c>
      <c r="W60" s="577">
        <v>13463738.23650139</v>
      </c>
      <c r="X60" s="577">
        <v>13675698.15553215</v>
      </c>
      <c r="Y60" s="577">
        <v>13890994.964101784</v>
      </c>
      <c r="Z60" s="577">
        <v>14109681.194933673</v>
      </c>
      <c r="AA60" s="577">
        <v>14331810.207774991</v>
      </c>
      <c r="AB60" s="577">
        <v>14557436.20241655</v>
      </c>
      <c r="AC60" s="577">
        <v>14786614.231917623</v>
      </c>
      <c r="AD60" s="578">
        <v>15019400.216038983</v>
      </c>
      <c r="AE60" s="61"/>
      <c r="AF60" s="61"/>
      <c r="AG60" s="61"/>
      <c r="AH60" s="61"/>
      <c r="AI60" s="61"/>
      <c r="AJ60" s="61"/>
      <c r="AK60" s="61"/>
    </row>
    <row r="61" spans="1:42" ht="21.95" customHeight="1" x14ac:dyDescent="0.2">
      <c r="D61" s="8"/>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row>
    <row r="63" spans="1:42" ht="21.95" customHeight="1" x14ac:dyDescent="0.2">
      <c r="A63" s="244"/>
      <c r="B63" s="245" t="s">
        <v>45</v>
      </c>
    </row>
    <row r="65" spans="2:37" ht="21.95" customHeight="1" x14ac:dyDescent="0.2">
      <c r="B65" s="369" t="s">
        <v>46</v>
      </c>
    </row>
    <row r="66" spans="2:37" ht="21.95" customHeight="1" x14ac:dyDescent="0.2">
      <c r="B66" s="411" t="s">
        <v>43</v>
      </c>
      <c r="C66" s="410"/>
      <c r="D66" s="410" t="s">
        <v>28</v>
      </c>
      <c r="E66" s="410" cm="1">
        <f t="array" ref="E66:AD66">year</f>
        <v>2022</v>
      </c>
      <c r="F66" s="410">
        <v>2023</v>
      </c>
      <c r="G66" s="410">
        <v>2024</v>
      </c>
      <c r="H66" s="410">
        <v>2025</v>
      </c>
      <c r="I66" s="410">
        <v>2026</v>
      </c>
      <c r="J66" s="410">
        <v>2027</v>
      </c>
      <c r="K66" s="410">
        <v>2028</v>
      </c>
      <c r="L66" s="410">
        <v>2029</v>
      </c>
      <c r="M66" s="410">
        <v>2030</v>
      </c>
      <c r="N66" s="410">
        <v>2031</v>
      </c>
      <c r="O66" s="410">
        <v>2032</v>
      </c>
      <c r="P66" s="410">
        <v>2033</v>
      </c>
      <c r="Q66" s="410">
        <v>2034</v>
      </c>
      <c r="R66" s="410">
        <v>2035</v>
      </c>
      <c r="S66" s="410">
        <v>2036</v>
      </c>
      <c r="T66" s="410">
        <v>2037</v>
      </c>
      <c r="U66" s="410">
        <v>2038</v>
      </c>
      <c r="V66" s="410">
        <v>2039</v>
      </c>
      <c r="W66" s="410">
        <v>2040</v>
      </c>
      <c r="X66" s="410">
        <v>2041</v>
      </c>
      <c r="Y66" s="410">
        <v>2042</v>
      </c>
      <c r="Z66" s="410">
        <v>2043</v>
      </c>
      <c r="AA66" s="410">
        <v>2044</v>
      </c>
      <c r="AB66" s="410">
        <v>2045</v>
      </c>
      <c r="AC66" s="410">
        <v>2046</v>
      </c>
      <c r="AD66" s="547">
        <v>2047</v>
      </c>
      <c r="AE66" s="35"/>
      <c r="AF66" s="35"/>
      <c r="AG66" s="35"/>
      <c r="AH66" s="35"/>
      <c r="AI66" s="35"/>
      <c r="AJ66" s="35"/>
      <c r="AK66" s="35"/>
    </row>
    <row r="67" spans="2:37" ht="21.95" customHeight="1" x14ac:dyDescent="0.2">
      <c r="B67" s="277" t="s">
        <v>38</v>
      </c>
      <c r="C67" s="143"/>
      <c r="D67" s="522">
        <f>SUM(_xlfn.ANCHORARRAY(E67))</f>
        <v>2.3024085670166978</v>
      </c>
      <c r="E67" s="300" cm="1">
        <f t="array" ref="E67:AD67">IF(year &gt; endYear, (_xlfn.ANCHORARRAY(E22)) - (_xlfn.ANCHORARRAY(E44)), 0)</f>
        <v>0</v>
      </c>
      <c r="F67" s="300">
        <v>0</v>
      </c>
      <c r="G67" s="300">
        <v>0</v>
      </c>
      <c r="H67" s="300">
        <v>0</v>
      </c>
      <c r="I67" s="300">
        <v>0</v>
      </c>
      <c r="J67" s="300">
        <v>0</v>
      </c>
      <c r="K67" s="300">
        <v>9.8842925901862944E-2</v>
      </c>
      <c r="L67" s="300">
        <v>0.10039901219846992</v>
      </c>
      <c r="M67" s="300">
        <v>0.10197959599492712</v>
      </c>
      <c r="N67" s="300">
        <v>0.10358506295589875</v>
      </c>
      <c r="O67" s="300">
        <v>0.10521580481757609</v>
      </c>
      <c r="P67" s="300">
        <v>0.10687221948326153</v>
      </c>
      <c r="Q67" s="300">
        <v>0.10855471112045745</v>
      </c>
      <c r="R67" s="300">
        <v>0.11026369025948435</v>
      </c>
      <c r="S67" s="300">
        <v>0.11199957389365001</v>
      </c>
      <c r="T67" s="300">
        <v>0.11376278558099684</v>
      </c>
      <c r="U67" s="300">
        <v>0.11555375554765057</v>
      </c>
      <c r="V67" s="300">
        <v>0.11737292079279615</v>
      </c>
      <c r="W67" s="300">
        <v>0.1192207251953058</v>
      </c>
      <c r="X67" s="300">
        <v>0.12109761962204646</v>
      </c>
      <c r="Y67" s="300">
        <v>0.12300406203789194</v>
      </c>
      <c r="Z67" s="300">
        <v>0.12494051761746661</v>
      </c>
      <c r="AA67" s="300">
        <v>0.12690745885864907</v>
      </c>
      <c r="AB67" s="300">
        <v>0.12890536569786204</v>
      </c>
      <c r="AC67" s="300">
        <v>0.13093472562717756</v>
      </c>
      <c r="AD67" s="301">
        <v>0.13299603381326586</v>
      </c>
      <c r="AE67" s="17"/>
      <c r="AF67" s="17"/>
      <c r="AG67" s="17"/>
      <c r="AH67" s="17"/>
      <c r="AI67" s="17"/>
      <c r="AJ67" s="17"/>
      <c r="AK67" s="17"/>
    </row>
    <row r="68" spans="2:37" ht="21.95" customHeight="1" x14ac:dyDescent="0.2">
      <c r="B68" s="277" t="s">
        <v>39</v>
      </c>
      <c r="C68" s="143"/>
      <c r="D68" s="522">
        <f t="shared" ref="D68:D70" si="0">SUM(_xlfn.ANCHORARRAY(E68))</f>
        <v>83.65417793493998</v>
      </c>
      <c r="E68" s="300" cm="1">
        <f t="array" ref="E68:AD68">IF(year &gt; endYear, (_xlfn.ANCHORARRAY(E23)) - (_xlfn.ANCHORARRAY(E45)), 0)</f>
        <v>0</v>
      </c>
      <c r="F68" s="300">
        <v>0</v>
      </c>
      <c r="G68" s="300">
        <v>0</v>
      </c>
      <c r="H68" s="300">
        <v>0</v>
      </c>
      <c r="I68" s="300">
        <v>0</v>
      </c>
      <c r="J68" s="300">
        <v>0</v>
      </c>
      <c r="K68" s="300">
        <v>3.5912929744343565</v>
      </c>
      <c r="L68" s="300">
        <v>3.6478307765444065</v>
      </c>
      <c r="M68" s="300">
        <v>3.7052586544823534</v>
      </c>
      <c r="N68" s="300">
        <v>3.7635906207309908</v>
      </c>
      <c r="O68" s="300">
        <v>3.8228409083719335</v>
      </c>
      <c r="P68" s="300">
        <v>3.8830239745585011</v>
      </c>
      <c r="Q68" s="300">
        <v>3.9441545040432899</v>
      </c>
      <c r="R68" s="300">
        <v>4.0062474127612653</v>
      </c>
      <c r="S68" s="300">
        <v>4.069317851469286</v>
      </c>
      <c r="T68" s="300">
        <v>4.1333812094428879</v>
      </c>
      <c r="U68" s="300">
        <v>4.1984531182313063</v>
      </c>
      <c r="V68" s="300">
        <v>4.2645494554715917</v>
      </c>
      <c r="W68" s="300">
        <v>4.3316863487627764</v>
      </c>
      <c r="X68" s="300">
        <v>4.3998801796010234</v>
      </c>
      <c r="Y68" s="300">
        <v>4.4691475873767423</v>
      </c>
      <c r="Z68" s="300">
        <v>4.5395054734346196</v>
      </c>
      <c r="AA68" s="300">
        <v>4.6109710051975838</v>
      </c>
      <c r="AB68" s="300">
        <v>4.683561620355654</v>
      </c>
      <c r="AC68" s="300">
        <v>4.7572950311207833</v>
      </c>
      <c r="AD68" s="301">
        <v>4.8321892285486605</v>
      </c>
      <c r="AE68" s="17"/>
      <c r="AF68" s="17"/>
      <c r="AG68" s="17"/>
      <c r="AH68" s="17"/>
      <c r="AI68" s="17"/>
      <c r="AJ68" s="17"/>
      <c r="AK68" s="17"/>
    </row>
    <row r="69" spans="2:37" ht="21.95" customHeight="1" x14ac:dyDescent="0.2">
      <c r="B69" s="277" t="s">
        <v>36</v>
      </c>
      <c r="C69" s="143"/>
      <c r="D69" s="522">
        <f t="shared" si="0"/>
        <v>205.68183198682493</v>
      </c>
      <c r="E69" s="300" cm="1">
        <f t="array" ref="E69:AD69">IF(year &gt; endYear, (_xlfn.ANCHORARRAY(E24)) - (_xlfn.ANCHORARRAY(E46)), 0)</f>
        <v>0</v>
      </c>
      <c r="F69" s="300">
        <v>0</v>
      </c>
      <c r="G69" s="300">
        <v>0</v>
      </c>
      <c r="H69" s="300">
        <v>0</v>
      </c>
      <c r="I69" s="300">
        <v>0</v>
      </c>
      <c r="J69" s="300">
        <v>0</v>
      </c>
      <c r="K69" s="300">
        <v>8.8299680472330948</v>
      </c>
      <c r="L69" s="300">
        <v>8.9689784230633123</v>
      </c>
      <c r="M69" s="300">
        <v>9.1101772422134886</v>
      </c>
      <c r="N69" s="300">
        <v>9.2535989573936277</v>
      </c>
      <c r="O69" s="300">
        <v>9.3992785637034686</v>
      </c>
      <c r="P69" s="300">
        <v>9.5472516071713613</v>
      </c>
      <c r="Q69" s="300">
        <v>9.6975541934275356</v>
      </c>
      <c r="R69" s="300">
        <v>9.850222996513935</v>
      </c>
      <c r="S69" s="300">
        <v>10.005295267832736</v>
      </c>
      <c r="T69" s="300">
        <v>10.162808845235716</v>
      </c>
      <c r="U69" s="300">
        <v>10.322802162256785</v>
      </c>
      <c r="V69" s="300">
        <v>10.48531425748979</v>
      </c>
      <c r="W69" s="300">
        <v>10.650384784113982</v>
      </c>
      <c r="X69" s="300">
        <v>10.818054019569487</v>
      </c>
      <c r="Y69" s="300">
        <v>10.988362875385015</v>
      </c>
      <c r="Z69" s="300">
        <v>11.161352907160349</v>
      </c>
      <c r="AA69" s="300">
        <v>11.337066324705987</v>
      </c>
      <c r="AB69" s="300">
        <v>11.515546002342333</v>
      </c>
      <c r="AC69" s="300">
        <v>11.696835489361192</v>
      </c>
      <c r="AD69" s="301">
        <v>11.88097902065175</v>
      </c>
      <c r="AE69" s="17"/>
      <c r="AF69" s="17"/>
      <c r="AG69" s="17"/>
      <c r="AH69" s="17"/>
      <c r="AI69" s="17"/>
      <c r="AJ69" s="17"/>
      <c r="AK69" s="17"/>
    </row>
    <row r="70" spans="2:37" ht="21.95" customHeight="1" x14ac:dyDescent="0.2">
      <c r="B70" s="613" t="s">
        <v>28</v>
      </c>
      <c r="C70" s="614"/>
      <c r="D70" s="535">
        <f t="shared" si="0"/>
        <v>291.63841848878167</v>
      </c>
      <c r="E70" s="615" cm="1">
        <f t="array" ref="E70:AD70">_xlfn.ANCHORARRAY(E67) +_xlfn.ANCHORARRAY( E68) +_xlfn.ANCHORARRAY( E69)</f>
        <v>0</v>
      </c>
      <c r="F70" s="615">
        <v>0</v>
      </c>
      <c r="G70" s="615">
        <v>0</v>
      </c>
      <c r="H70" s="615">
        <v>0</v>
      </c>
      <c r="I70" s="615">
        <v>0</v>
      </c>
      <c r="J70" s="615">
        <v>0</v>
      </c>
      <c r="K70" s="615">
        <v>12.520103947569314</v>
      </c>
      <c r="L70" s="615">
        <v>12.717208211806188</v>
      </c>
      <c r="M70" s="615">
        <v>12.917415492690768</v>
      </c>
      <c r="N70" s="615">
        <v>13.120774641080517</v>
      </c>
      <c r="O70" s="615">
        <v>13.327335276892978</v>
      </c>
      <c r="P70" s="615">
        <v>13.537147801213123</v>
      </c>
      <c r="Q70" s="615">
        <v>13.750263408591284</v>
      </c>
      <c r="R70" s="615">
        <v>13.966734099534683</v>
      </c>
      <c r="S70" s="615">
        <v>14.186612693195672</v>
      </c>
      <c r="T70" s="615">
        <v>14.409952840259601</v>
      </c>
      <c r="U70" s="615">
        <v>14.636809036035743</v>
      </c>
      <c r="V70" s="615">
        <v>14.867236633754178</v>
      </c>
      <c r="W70" s="615">
        <v>15.101291858072063</v>
      </c>
      <c r="X70" s="615">
        <v>15.339031818792558</v>
      </c>
      <c r="Y70" s="615">
        <v>15.58051452479965</v>
      </c>
      <c r="Z70" s="615">
        <v>15.825798898212437</v>
      </c>
      <c r="AA70" s="615">
        <v>16.07494478876222</v>
      </c>
      <c r="AB70" s="615">
        <v>16.328012988395848</v>
      </c>
      <c r="AC70" s="615">
        <v>16.585065246109153</v>
      </c>
      <c r="AD70" s="616">
        <v>16.846164283013678</v>
      </c>
      <c r="AE70" s="59"/>
      <c r="AF70" s="59"/>
      <c r="AG70" s="59"/>
      <c r="AH70" s="59"/>
      <c r="AI70" s="59"/>
      <c r="AJ70" s="59"/>
      <c r="AK70" s="59"/>
    </row>
    <row r="71" spans="2:37" ht="21.95" customHeight="1" x14ac:dyDescent="0.2">
      <c r="C71" s="8"/>
      <c r="D71" s="8"/>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row>
    <row r="72" spans="2:37" ht="21.95" customHeight="1" x14ac:dyDescent="0.2">
      <c r="B72" s="369" t="s">
        <v>623</v>
      </c>
      <c r="C72" s="8"/>
      <c r="D72" s="8"/>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row>
    <row r="73" spans="2:37" ht="21.95" customHeight="1" x14ac:dyDescent="0.2">
      <c r="B73" s="411" t="s">
        <v>21</v>
      </c>
      <c r="C73" s="410"/>
      <c r="D73" s="410" t="s">
        <v>186</v>
      </c>
      <c r="E73" s="410" cm="1">
        <f t="array" ref="E73:AD73">year</f>
        <v>2022</v>
      </c>
      <c r="F73" s="410">
        <v>2023</v>
      </c>
      <c r="G73" s="410">
        <v>2024</v>
      </c>
      <c r="H73" s="410">
        <v>2025</v>
      </c>
      <c r="I73" s="410">
        <v>2026</v>
      </c>
      <c r="J73" s="410">
        <v>2027</v>
      </c>
      <c r="K73" s="410">
        <v>2028</v>
      </c>
      <c r="L73" s="410">
        <v>2029</v>
      </c>
      <c r="M73" s="410">
        <v>2030</v>
      </c>
      <c r="N73" s="410">
        <v>2031</v>
      </c>
      <c r="O73" s="410">
        <v>2032</v>
      </c>
      <c r="P73" s="410">
        <v>2033</v>
      </c>
      <c r="Q73" s="410">
        <v>2034</v>
      </c>
      <c r="R73" s="410">
        <v>2035</v>
      </c>
      <c r="S73" s="410">
        <v>2036</v>
      </c>
      <c r="T73" s="410">
        <v>2037</v>
      </c>
      <c r="U73" s="410">
        <v>2038</v>
      </c>
      <c r="V73" s="410">
        <v>2039</v>
      </c>
      <c r="W73" s="410">
        <v>2040</v>
      </c>
      <c r="X73" s="410">
        <v>2041</v>
      </c>
      <c r="Y73" s="410">
        <v>2042</v>
      </c>
      <c r="Z73" s="410">
        <v>2043</v>
      </c>
      <c r="AA73" s="410">
        <v>2044</v>
      </c>
      <c r="AB73" s="410">
        <v>2045</v>
      </c>
      <c r="AC73" s="410">
        <v>2046</v>
      </c>
      <c r="AD73" s="547">
        <v>2047</v>
      </c>
      <c r="AE73" s="35"/>
      <c r="AF73" s="35"/>
      <c r="AG73" s="35"/>
      <c r="AH73" s="35"/>
      <c r="AI73" s="35"/>
      <c r="AJ73" s="35"/>
      <c r="AK73" s="35"/>
    </row>
    <row r="74" spans="2:37" ht="21.95" customHeight="1" x14ac:dyDescent="0.2">
      <c r="B74" s="601" t="s">
        <v>505</v>
      </c>
      <c r="C74" s="365"/>
      <c r="D74" s="275" cm="1">
        <f t="array" ref="D74">SUM(_xlfn.ANCHORARRAY(E74) * discountAnnual)</f>
        <v>16743177.625827663</v>
      </c>
      <c r="E74" s="278" cm="1">
        <f t="array" ref="E74:AD74">IF(year &gt; endYear,_xlfn.ANCHORARRAY( E33) -_xlfn.ANCHORARRAY( E55), 0)</f>
        <v>0</v>
      </c>
      <c r="F74" s="278">
        <v>0</v>
      </c>
      <c r="G74" s="278">
        <v>0</v>
      </c>
      <c r="H74" s="278">
        <v>0</v>
      </c>
      <c r="I74" s="278">
        <v>0</v>
      </c>
      <c r="J74" s="278">
        <v>0</v>
      </c>
      <c r="K74" s="278">
        <v>1969843.9650624245</v>
      </c>
      <c r="L74" s="278">
        <v>2000855.2607370466</v>
      </c>
      <c r="M74" s="278">
        <v>2032354.7679027691</v>
      </c>
      <c r="N74" s="278">
        <v>2064350.1724835392</v>
      </c>
      <c r="O74" s="278">
        <v>2096849.2814029679</v>
      </c>
      <c r="P74" s="278">
        <v>2129860.0244892351</v>
      </c>
      <c r="Q74" s="278">
        <v>2163390.4564099703</v>
      </c>
      <c r="R74" s="278">
        <v>2197448.7586376071</v>
      </c>
      <c r="S74" s="278">
        <v>2232043.2414456792</v>
      </c>
      <c r="T74" s="278">
        <v>2267182.3459365387</v>
      </c>
      <c r="U74" s="278">
        <v>2302874.6461009793</v>
      </c>
      <c r="V74" s="278">
        <v>2339128.8509103246</v>
      </c>
      <c r="W74" s="278">
        <v>2375953.8064414226</v>
      </c>
      <c r="X74" s="278">
        <v>2413358.4980350863</v>
      </c>
      <c r="Y74" s="278">
        <v>2451352.0524885487</v>
      </c>
      <c r="Z74" s="278">
        <v>2489943.7402824108</v>
      </c>
      <c r="AA74" s="278">
        <v>2529142.9778426494</v>
      </c>
      <c r="AB74" s="278">
        <v>2568959.3298382126</v>
      </c>
      <c r="AC74" s="278">
        <v>2609402.5115148723</v>
      </c>
      <c r="AD74" s="279">
        <v>2650482.3910656981</v>
      </c>
      <c r="AE74" s="22"/>
      <c r="AF74" s="22"/>
      <c r="AG74" s="22"/>
      <c r="AH74" s="22"/>
      <c r="AI74" s="22"/>
      <c r="AJ74" s="22"/>
      <c r="AK74" s="22"/>
    </row>
    <row r="75" spans="2:37" ht="21.95" customHeight="1" x14ac:dyDescent="0.2">
      <c r="B75" s="277"/>
      <c r="C75" s="143"/>
      <c r="D75" s="278"/>
      <c r="E75" s="278"/>
      <c r="F75" s="278"/>
      <c r="G75" s="278"/>
      <c r="H75" s="278"/>
      <c r="I75" s="278"/>
      <c r="J75" s="278"/>
      <c r="K75" s="278"/>
      <c r="L75" s="278"/>
      <c r="M75" s="278"/>
      <c r="N75" s="278"/>
      <c r="O75" s="278"/>
      <c r="P75" s="278"/>
      <c r="Q75" s="278"/>
      <c r="R75" s="278"/>
      <c r="S75" s="278"/>
      <c r="T75" s="278"/>
      <c r="U75" s="278"/>
      <c r="V75" s="278"/>
      <c r="W75" s="278"/>
      <c r="X75" s="278"/>
      <c r="Y75" s="278"/>
      <c r="Z75" s="278"/>
      <c r="AA75" s="278"/>
      <c r="AB75" s="278"/>
      <c r="AC75" s="278"/>
      <c r="AD75" s="279"/>
      <c r="AE75" s="22"/>
      <c r="AF75" s="22"/>
      <c r="AG75" s="22"/>
      <c r="AH75" s="22"/>
      <c r="AI75" s="22"/>
      <c r="AJ75" s="22"/>
      <c r="AK75" s="22"/>
    </row>
    <row r="76" spans="2:37" ht="21.95" customHeight="1" x14ac:dyDescent="0.2">
      <c r="B76" s="613" t="s">
        <v>28</v>
      </c>
      <c r="C76" s="614"/>
      <c r="D76" s="617" cm="1">
        <f t="array" ref="D76">SUM(_xlfn.ANCHORARRAY(E76) * 'Results Summary'!$D$16)</f>
        <v>3211934.3955319594</v>
      </c>
      <c r="E76" s="577" cm="1">
        <f t="array" ref="E76:AD76">_xlfn.ANCHORARRAY(E74)</f>
        <v>0</v>
      </c>
      <c r="F76" s="577">
        <v>0</v>
      </c>
      <c r="G76" s="577">
        <v>0</v>
      </c>
      <c r="H76" s="577">
        <v>0</v>
      </c>
      <c r="I76" s="577">
        <v>0</v>
      </c>
      <c r="J76" s="577">
        <v>0</v>
      </c>
      <c r="K76" s="577">
        <v>1969843.9650624245</v>
      </c>
      <c r="L76" s="577">
        <v>2000855.2607370466</v>
      </c>
      <c r="M76" s="577">
        <v>2032354.7679027691</v>
      </c>
      <c r="N76" s="577">
        <v>2064350.1724835392</v>
      </c>
      <c r="O76" s="577">
        <v>2096849.2814029679</v>
      </c>
      <c r="P76" s="577">
        <v>2129860.0244892351</v>
      </c>
      <c r="Q76" s="577">
        <v>2163390.4564099703</v>
      </c>
      <c r="R76" s="577">
        <v>2197448.7586376071</v>
      </c>
      <c r="S76" s="577">
        <v>2232043.2414456792</v>
      </c>
      <c r="T76" s="577">
        <v>2267182.3459365387</v>
      </c>
      <c r="U76" s="577">
        <v>2302874.6461009793</v>
      </c>
      <c r="V76" s="577">
        <v>2339128.8509103246</v>
      </c>
      <c r="W76" s="577">
        <v>2375953.8064414226</v>
      </c>
      <c r="X76" s="577">
        <v>2413358.4980350863</v>
      </c>
      <c r="Y76" s="577">
        <v>2451352.0524885487</v>
      </c>
      <c r="Z76" s="577">
        <v>2489943.7402824108</v>
      </c>
      <c r="AA76" s="577">
        <v>2529142.9778426494</v>
      </c>
      <c r="AB76" s="577">
        <v>2568959.3298382126</v>
      </c>
      <c r="AC76" s="577">
        <v>2609402.5115148723</v>
      </c>
      <c r="AD76" s="578">
        <v>2650482.3910656981</v>
      </c>
      <c r="AE76" s="61"/>
      <c r="AF76" s="61"/>
      <c r="AG76" s="61"/>
      <c r="AH76" s="61"/>
      <c r="AI76" s="61"/>
      <c r="AJ76" s="61"/>
      <c r="AK76" s="61"/>
    </row>
    <row r="78" spans="2:37" ht="21.95" customHeight="1" x14ac:dyDescent="0.2">
      <c r="B78" s="369" t="s">
        <v>624</v>
      </c>
      <c r="C78" s="8"/>
      <c r="D78" s="8"/>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row>
    <row r="79" spans="2:37" ht="21.95" customHeight="1" x14ac:dyDescent="0.2">
      <c r="B79" s="411" t="s">
        <v>21</v>
      </c>
      <c r="C79" s="410"/>
      <c r="D79" s="410" t="s">
        <v>186</v>
      </c>
      <c r="E79" s="410" cm="1">
        <f t="array" ref="E79:AD79">year</f>
        <v>2022</v>
      </c>
      <c r="F79" s="410">
        <v>2023</v>
      </c>
      <c r="G79" s="410">
        <v>2024</v>
      </c>
      <c r="H79" s="410">
        <v>2025</v>
      </c>
      <c r="I79" s="410">
        <v>2026</v>
      </c>
      <c r="J79" s="410">
        <v>2027</v>
      </c>
      <c r="K79" s="410">
        <v>2028</v>
      </c>
      <c r="L79" s="410">
        <v>2029</v>
      </c>
      <c r="M79" s="410">
        <v>2030</v>
      </c>
      <c r="N79" s="410">
        <v>2031</v>
      </c>
      <c r="O79" s="410">
        <v>2032</v>
      </c>
      <c r="P79" s="410">
        <v>2033</v>
      </c>
      <c r="Q79" s="410">
        <v>2034</v>
      </c>
      <c r="R79" s="410">
        <v>2035</v>
      </c>
      <c r="S79" s="410">
        <v>2036</v>
      </c>
      <c r="T79" s="410">
        <v>2037</v>
      </c>
      <c r="U79" s="410">
        <v>2038</v>
      </c>
      <c r="V79" s="410">
        <v>2039</v>
      </c>
      <c r="W79" s="410">
        <v>2040</v>
      </c>
      <c r="X79" s="410">
        <v>2041</v>
      </c>
      <c r="Y79" s="410">
        <v>2042</v>
      </c>
      <c r="Z79" s="410">
        <v>2043</v>
      </c>
      <c r="AA79" s="410">
        <v>2044</v>
      </c>
      <c r="AB79" s="410">
        <v>2045</v>
      </c>
      <c r="AC79" s="410">
        <v>2046</v>
      </c>
      <c r="AD79" s="547">
        <v>2047</v>
      </c>
      <c r="AE79" s="35"/>
      <c r="AF79" s="35"/>
      <c r="AG79" s="35"/>
      <c r="AH79" s="35"/>
      <c r="AI79" s="35"/>
      <c r="AJ79" s="35"/>
      <c r="AK79" s="35"/>
    </row>
    <row r="80" spans="2:37" ht="21.95" customHeight="1" x14ac:dyDescent="0.2">
      <c r="B80" s="277" t="s">
        <v>38</v>
      </c>
      <c r="C80" s="365"/>
      <c r="D80" s="275" cm="1">
        <f t="array" ref="D80">SUM(_xlfn.ANCHORARRAY(E80) * discountAnnual)</f>
        <v>9913651.7401629984</v>
      </c>
      <c r="E80" s="278" cm="1">
        <f t="array" ref="E80:AD80">_xlfn.ANCHORARRAY(E67) * costLife</f>
        <v>0</v>
      </c>
      <c r="F80" s="278">
        <v>0</v>
      </c>
      <c r="G80" s="278">
        <v>0</v>
      </c>
      <c r="H80" s="278">
        <v>0</v>
      </c>
      <c r="I80" s="278">
        <v>0</v>
      </c>
      <c r="J80" s="278">
        <v>0</v>
      </c>
      <c r="K80" s="278">
        <v>1166346.5256419827</v>
      </c>
      <c r="L80" s="278">
        <v>1184708.3439419451</v>
      </c>
      <c r="M80" s="278">
        <v>1203359.2327401401</v>
      </c>
      <c r="N80" s="278">
        <v>1222303.7428796054</v>
      </c>
      <c r="O80" s="278">
        <v>1241546.4968473979</v>
      </c>
      <c r="P80" s="278">
        <v>1261092.189902486</v>
      </c>
      <c r="Q80" s="278">
        <v>1280945.591221398</v>
      </c>
      <c r="R80" s="278">
        <v>1301111.5450619154</v>
      </c>
      <c r="S80" s="278">
        <v>1321594.97194507</v>
      </c>
      <c r="T80" s="278">
        <v>1342400.8698557627</v>
      </c>
      <c r="U80" s="278">
        <v>1363534.3154622768</v>
      </c>
      <c r="V80" s="278">
        <v>1385000.4653549946</v>
      </c>
      <c r="W80" s="278">
        <v>1406804.5573046084</v>
      </c>
      <c r="X80" s="278">
        <v>1428951.9115401483</v>
      </c>
      <c r="Y80" s="278">
        <v>1451447.932047125</v>
      </c>
      <c r="Z80" s="278">
        <v>1474298.107886106</v>
      </c>
      <c r="AA80" s="278">
        <v>1497508.014532059</v>
      </c>
      <c r="AB80" s="278">
        <v>1521083.3152347722</v>
      </c>
      <c r="AC80" s="278">
        <v>1545029.7624006951</v>
      </c>
      <c r="AD80" s="279">
        <v>1569353.1989965371</v>
      </c>
      <c r="AE80" s="22"/>
      <c r="AF80" s="22"/>
      <c r="AG80" s="22"/>
      <c r="AH80" s="22"/>
      <c r="AI80" s="22"/>
      <c r="AJ80" s="22"/>
      <c r="AK80" s="22"/>
    </row>
    <row r="81" spans="2:37" ht="21.95" customHeight="1" x14ac:dyDescent="0.2">
      <c r="B81" s="277" t="s">
        <v>39</v>
      </c>
      <c r="C81" s="365"/>
      <c r="D81" s="275" cm="1">
        <f t="array" ref="D81">SUM(_xlfn.ANCHORARRAY(E81) * discountAnnual)</f>
        <v>6529315.8668665076</v>
      </c>
      <c r="E81" s="278" cm="1">
        <f t="array" ref="E81:AD81">_xlfn.ANCHORARRAY(E68) * costInjury</f>
        <v>0</v>
      </c>
      <c r="F81" s="278">
        <v>0</v>
      </c>
      <c r="G81" s="278">
        <v>0</v>
      </c>
      <c r="H81" s="278">
        <v>0</v>
      </c>
      <c r="I81" s="278">
        <v>0</v>
      </c>
      <c r="J81" s="278">
        <v>0</v>
      </c>
      <c r="K81" s="278">
        <v>768177.5672315089</v>
      </c>
      <c r="L81" s="278">
        <v>780271.00310284854</v>
      </c>
      <c r="M81" s="278">
        <v>792554.8261937754</v>
      </c>
      <c r="N81" s="278">
        <v>805032.03377435892</v>
      </c>
      <c r="O81" s="278">
        <v>817705.67030075658</v>
      </c>
      <c r="P81" s="278">
        <v>830578.82815806335</v>
      </c>
      <c r="Q81" s="278">
        <v>843654.64841485966</v>
      </c>
      <c r="R81" s="278">
        <v>856936.32158963464</v>
      </c>
      <c r="S81" s="278">
        <v>870427.08842928032</v>
      </c>
      <c r="T81" s="278">
        <v>884130.24069983372</v>
      </c>
      <c r="U81" s="278">
        <v>898049.12198967638</v>
      </c>
      <c r="V81" s="278">
        <v>912187.12852537341</v>
      </c>
      <c r="W81" s="278">
        <v>926547.71000035782</v>
      </c>
      <c r="X81" s="278">
        <v>941134.37041665893</v>
      </c>
      <c r="Y81" s="278">
        <v>955950.66893988522</v>
      </c>
      <c r="Z81" s="278">
        <v>971000.22076766519</v>
      </c>
      <c r="AA81" s="278">
        <v>986286.69801176316</v>
      </c>
      <c r="AB81" s="278">
        <v>1001813.8305940744</v>
      </c>
      <c r="AC81" s="278">
        <v>1017585.4071567355</v>
      </c>
      <c r="AD81" s="279">
        <v>1033605.2759865585</v>
      </c>
      <c r="AE81" s="22"/>
      <c r="AF81" s="22"/>
      <c r="AG81" s="22"/>
      <c r="AH81" s="22"/>
      <c r="AI81" s="22"/>
      <c r="AJ81" s="22"/>
      <c r="AK81" s="22"/>
    </row>
    <row r="82" spans="2:37" ht="21.95" customHeight="1" x14ac:dyDescent="0.2">
      <c r="B82" s="277" t="s">
        <v>36</v>
      </c>
      <c r="C82" s="143"/>
      <c r="D82" s="278" cm="1">
        <f t="array" ref="D82">SUM(_xlfn.ANCHORARRAY(E82) * discountAnnual)</f>
        <v>300210.01879815635</v>
      </c>
      <c r="E82" s="278" cm="1">
        <f t="array" ref="E82:AD82">_xlfn.ANCHORARRAY(E69) * costPDO</f>
        <v>0</v>
      </c>
      <c r="F82" s="278">
        <v>0</v>
      </c>
      <c r="G82" s="278">
        <v>0</v>
      </c>
      <c r="H82" s="278">
        <v>0</v>
      </c>
      <c r="I82" s="278">
        <v>0</v>
      </c>
      <c r="J82" s="278">
        <v>0</v>
      </c>
      <c r="K82" s="278">
        <v>35319.872188932379</v>
      </c>
      <c r="L82" s="278">
        <v>35875.913692253249</v>
      </c>
      <c r="M82" s="278">
        <v>36440.708968853956</v>
      </c>
      <c r="N82" s="278">
        <v>37014.395829574511</v>
      </c>
      <c r="O82" s="278">
        <v>37597.114254813874</v>
      </c>
      <c r="P82" s="278">
        <v>38189.006428685447</v>
      </c>
      <c r="Q82" s="278">
        <v>38790.216773710141</v>
      </c>
      <c r="R82" s="278">
        <v>39400.891986055736</v>
      </c>
      <c r="S82" s="278">
        <v>40021.181071330946</v>
      </c>
      <c r="T82" s="278">
        <v>40651.235380942868</v>
      </c>
      <c r="U82" s="278">
        <v>41291.208649027139</v>
      </c>
      <c r="V82" s="278">
        <v>41941.257029959161</v>
      </c>
      <c r="W82" s="278">
        <v>42601.539136455925</v>
      </c>
      <c r="X82" s="278">
        <v>43272.216078277947</v>
      </c>
      <c r="Y82" s="278">
        <v>43953.451501540061</v>
      </c>
      <c r="Z82" s="278">
        <v>44645.411628641399</v>
      </c>
      <c r="AA82" s="278">
        <v>45348.26529882395</v>
      </c>
      <c r="AB82" s="278">
        <v>46062.184009369332</v>
      </c>
      <c r="AC82" s="278">
        <v>46787.341957444769</v>
      </c>
      <c r="AD82" s="279">
        <v>47523.916082607</v>
      </c>
      <c r="AE82" s="22"/>
      <c r="AF82" s="22"/>
      <c r="AG82" s="22"/>
      <c r="AH82" s="22"/>
      <c r="AI82" s="22"/>
      <c r="AJ82" s="22"/>
      <c r="AK82" s="22"/>
    </row>
    <row r="83" spans="2:37" ht="21.95" customHeight="1" x14ac:dyDescent="0.2">
      <c r="B83" s="613" t="s">
        <v>28</v>
      </c>
      <c r="C83" s="614"/>
      <c r="D83" s="618" cm="1">
        <f t="array" ref="D83">_xlfn.ANCHORARRAY(D80) +_xlfn.ANCHORARRAY( D81) +_xlfn.ANCHORARRAY( D82)</f>
        <v>16743177.625827661</v>
      </c>
      <c r="E83" s="577" cm="1">
        <f t="array" ref="E83:AD83">_xlfn.ANCHORARRAY(E80) +_xlfn.ANCHORARRAY( E82)</f>
        <v>0</v>
      </c>
      <c r="F83" s="577">
        <v>0</v>
      </c>
      <c r="G83" s="577">
        <v>0</v>
      </c>
      <c r="H83" s="577">
        <v>0</v>
      </c>
      <c r="I83" s="577">
        <v>0</v>
      </c>
      <c r="J83" s="577">
        <v>0</v>
      </c>
      <c r="K83" s="577">
        <v>1201666.3978309152</v>
      </c>
      <c r="L83" s="577">
        <v>1220584.2576341983</v>
      </c>
      <c r="M83" s="577">
        <v>1239799.9417089941</v>
      </c>
      <c r="N83" s="577">
        <v>1259318.1387091798</v>
      </c>
      <c r="O83" s="577">
        <v>1279143.6111022118</v>
      </c>
      <c r="P83" s="577">
        <v>1299281.1963311716</v>
      </c>
      <c r="Q83" s="577">
        <v>1319735.8079951082</v>
      </c>
      <c r="R83" s="577">
        <v>1340512.4370479712</v>
      </c>
      <c r="S83" s="577">
        <v>1361616.153016401</v>
      </c>
      <c r="T83" s="577">
        <v>1383052.1052367056</v>
      </c>
      <c r="U83" s="577">
        <v>1404825.524111304</v>
      </c>
      <c r="V83" s="577">
        <v>1426941.7223849539</v>
      </c>
      <c r="W83" s="577">
        <v>1449406.0964410643</v>
      </c>
      <c r="X83" s="577">
        <v>1472224.1276184262</v>
      </c>
      <c r="Y83" s="577">
        <v>1495401.3835486651</v>
      </c>
      <c r="Z83" s="577">
        <v>1518943.5195147474</v>
      </c>
      <c r="AA83" s="577">
        <v>1542856.279830883</v>
      </c>
      <c r="AB83" s="577">
        <v>1567145.4992441414</v>
      </c>
      <c r="AC83" s="577">
        <v>1591817.1043581399</v>
      </c>
      <c r="AD83" s="578">
        <v>1616877.115079144</v>
      </c>
      <c r="AE83" s="61"/>
      <c r="AF83" s="61"/>
      <c r="AG83" s="61"/>
      <c r="AH83" s="61"/>
      <c r="AI83" s="61"/>
      <c r="AJ83" s="61"/>
      <c r="AK83" s="61"/>
    </row>
    <row r="88" spans="2:37" ht="21.95" customHeight="1" x14ac:dyDescent="0.2">
      <c r="E88" s="16"/>
    </row>
    <row r="90" spans="2:37" ht="21.95" customHeight="1" x14ac:dyDescent="0.2">
      <c r="E90" s="16"/>
    </row>
  </sheetData>
  <pageMargins left="0.7" right="0.7" top="0.75" bottom="0.75" header="0.3" footer="0.3"/>
  <pageSetup orientation="portrait" horizontalDpi="90" verticalDpi="9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CF7D5-4FC2-4AEE-A734-816805E55AC4}">
  <sheetPr>
    <tabColor theme="9"/>
    <pageSetUpPr fitToPage="1"/>
  </sheetPr>
  <dimension ref="A2:AA68"/>
  <sheetViews>
    <sheetView showGridLines="0" topLeftCell="A49" zoomScale="115" zoomScaleNormal="115" workbookViewId="0">
      <selection activeCell="D6" sqref="D6"/>
    </sheetView>
  </sheetViews>
  <sheetFormatPr defaultColWidth="10.625" defaultRowHeight="21.95" customHeight="1" x14ac:dyDescent="0.2"/>
  <cols>
    <col min="1" max="1" width="3.375" customWidth="1"/>
    <col min="2" max="2" width="28.5" bestFit="1" customWidth="1"/>
    <col min="3" max="3" width="16.75" customWidth="1"/>
    <col min="4" max="6" width="16.75" style="12" customWidth="1"/>
    <col min="7" max="7" width="19.75" style="12" bestFit="1" customWidth="1"/>
    <col min="8" max="9" width="16.75" style="12" customWidth="1"/>
    <col min="10" max="10" width="15.5" style="12" bestFit="1" customWidth="1"/>
    <col min="11" max="27" width="12.25" style="12" customWidth="1"/>
    <col min="28" max="38" width="12.25" customWidth="1"/>
  </cols>
  <sheetData>
    <row r="2" spans="1:27" ht="23.25" x14ac:dyDescent="0.2">
      <c r="B2" s="242" t="s">
        <v>231</v>
      </c>
      <c r="C2" s="111"/>
    </row>
    <row r="3" spans="1:27" ht="23.25" x14ac:dyDescent="0.2">
      <c r="B3" s="114" t="s">
        <v>230</v>
      </c>
      <c r="C3" s="111"/>
    </row>
    <row r="4" spans="1:27" ht="23.25" x14ac:dyDescent="0.2">
      <c r="B4" s="114"/>
      <c r="C4" s="111"/>
      <c r="F4" s="108"/>
    </row>
    <row r="5" spans="1:27" ht="23.25" x14ac:dyDescent="0.2">
      <c r="B5" s="183" t="s">
        <v>593</v>
      </c>
      <c r="C5" s="111"/>
    </row>
    <row r="6" spans="1:27" ht="23.25" x14ac:dyDescent="0.2">
      <c r="B6" s="114"/>
      <c r="C6" s="111"/>
    </row>
    <row r="7" spans="1:27" ht="23.25" x14ac:dyDescent="0.2">
      <c r="A7" s="619"/>
      <c r="B7" s="619" t="s">
        <v>64</v>
      </c>
      <c r="C7" s="111"/>
    </row>
    <row r="9" spans="1:27" ht="40.5" customHeight="1" x14ac:dyDescent="0.2">
      <c r="B9" s="635" t="s">
        <v>222</v>
      </c>
      <c r="C9" s="636" t="s">
        <v>223</v>
      </c>
      <c r="D9" s="636" t="s">
        <v>224</v>
      </c>
      <c r="E9" s="636" t="s">
        <v>225</v>
      </c>
      <c r="F9" s="637" t="s">
        <v>598</v>
      </c>
      <c r="G9" s="635" t="s">
        <v>226</v>
      </c>
      <c r="H9" s="722" t="s">
        <v>597</v>
      </c>
    </row>
    <row r="10" spans="1:27" ht="21.95" customHeight="1" x14ac:dyDescent="0.25">
      <c r="A10" s="14"/>
      <c r="B10" s="277"/>
      <c r="C10" s="621"/>
      <c r="D10" s="821" t="s">
        <v>228</v>
      </c>
      <c r="E10" s="821"/>
      <c r="F10" s="710"/>
      <c r="G10" s="715" t="s">
        <v>229</v>
      </c>
      <c r="H10" s="716"/>
    </row>
    <row r="11" spans="1:27" ht="21.95" customHeight="1" x14ac:dyDescent="0.25">
      <c r="A11" s="14"/>
      <c r="B11" s="622" t="s">
        <v>638</v>
      </c>
      <c r="C11" s="621"/>
      <c r="D11" s="705">
        <v>11596000</v>
      </c>
      <c r="E11" s="705">
        <f>ROUND((D11*0.06),0)</f>
        <v>695760</v>
      </c>
      <c r="F11" s="711">
        <f>ROUND((D11*0.15),0)</f>
        <v>1739400</v>
      </c>
      <c r="G11" s="717">
        <f>ROUND((D11*0.09),0)</f>
        <v>1043640</v>
      </c>
      <c r="H11" s="620">
        <f>1050600+855700</f>
        <v>1906300</v>
      </c>
      <c r="Q11"/>
      <c r="R11"/>
      <c r="S11"/>
      <c r="T11"/>
      <c r="U11"/>
      <c r="V11"/>
      <c r="W11"/>
      <c r="X11"/>
      <c r="Y11"/>
      <c r="Z11"/>
      <c r="AA11"/>
    </row>
    <row r="12" spans="1:27" ht="21.95" customHeight="1" x14ac:dyDescent="0.25">
      <c r="B12" s="622" t="s">
        <v>640</v>
      </c>
      <c r="C12" s="621">
        <v>2</v>
      </c>
      <c r="D12" s="705">
        <v>18560619</v>
      </c>
      <c r="E12" s="705">
        <f>ROUNDDOWN((D12*0.06),0)</f>
        <v>1113637</v>
      </c>
      <c r="F12" s="711">
        <f t="shared" ref="F12:F13" si="0">ROUND((D12*0.15),0)</f>
        <v>2784093</v>
      </c>
      <c r="G12" s="717">
        <f>ROUND((D12*0.09),0)</f>
        <v>1670456</v>
      </c>
      <c r="H12" s="620">
        <v>200000</v>
      </c>
      <c r="Q12"/>
      <c r="R12"/>
      <c r="S12"/>
      <c r="T12"/>
      <c r="U12"/>
      <c r="V12"/>
      <c r="W12"/>
      <c r="X12"/>
      <c r="Y12"/>
      <c r="Z12"/>
      <c r="AA12"/>
    </row>
    <row r="13" spans="1:27" s="4" customFormat="1" ht="21.95" customHeight="1" x14ac:dyDescent="0.25">
      <c r="A13"/>
      <c r="B13" s="622" t="s">
        <v>639</v>
      </c>
      <c r="C13" s="621">
        <v>4.2</v>
      </c>
      <c r="D13" s="705">
        <v>34388836</v>
      </c>
      <c r="E13" s="705">
        <f>ROUND((D13*0.06),0)</f>
        <v>2063330</v>
      </c>
      <c r="F13" s="711">
        <f t="shared" si="0"/>
        <v>5158325</v>
      </c>
      <c r="G13" s="717">
        <f>1112769+161000</f>
        <v>1273769</v>
      </c>
      <c r="H13" s="623">
        <v>500000</v>
      </c>
      <c r="J13" s="12"/>
      <c r="K13" s="13"/>
      <c r="L13" s="13"/>
      <c r="M13" s="13"/>
      <c r="N13" s="13"/>
      <c r="O13" s="13"/>
      <c r="P13" s="13"/>
    </row>
    <row r="14" spans="1:27" ht="21.95" customHeight="1" x14ac:dyDescent="0.2">
      <c r="B14" s="277"/>
      <c r="C14" s="621"/>
      <c r="D14" s="706"/>
      <c r="E14" s="706"/>
      <c r="F14" s="711"/>
      <c r="G14" s="718"/>
      <c r="H14" s="620"/>
      <c r="Q14"/>
      <c r="R14"/>
      <c r="S14"/>
      <c r="T14"/>
      <c r="U14"/>
      <c r="V14"/>
      <c r="W14"/>
      <c r="X14"/>
      <c r="Y14"/>
      <c r="Z14"/>
      <c r="AA14"/>
    </row>
    <row r="15" spans="1:27" ht="21.95" customHeight="1" x14ac:dyDescent="0.2">
      <c r="B15" s="277"/>
      <c r="C15" s="621"/>
      <c r="D15" s="706"/>
      <c r="E15" s="706"/>
      <c r="F15" s="712"/>
      <c r="G15" s="718"/>
      <c r="H15" s="623"/>
      <c r="Q15"/>
      <c r="R15"/>
      <c r="S15"/>
      <c r="T15"/>
      <c r="U15"/>
      <c r="V15"/>
      <c r="W15"/>
      <c r="X15"/>
      <c r="Y15"/>
      <c r="Z15"/>
      <c r="AA15"/>
    </row>
    <row r="16" spans="1:27" ht="21.95" customHeight="1" x14ac:dyDescent="0.2">
      <c r="B16" s="277"/>
      <c r="C16" s="621"/>
      <c r="D16" s="706"/>
      <c r="E16" s="706"/>
      <c r="F16" s="711"/>
      <c r="G16" s="718"/>
      <c r="H16" s="620"/>
      <c r="Q16"/>
      <c r="R16"/>
      <c r="S16"/>
      <c r="T16"/>
      <c r="U16"/>
      <c r="V16"/>
      <c r="W16"/>
      <c r="X16"/>
      <c r="Y16"/>
      <c r="Z16"/>
      <c r="AA16"/>
    </row>
    <row r="17" spans="1:27" ht="21.95" customHeight="1" x14ac:dyDescent="0.25">
      <c r="B17" s="273" t="s">
        <v>28</v>
      </c>
      <c r="C17" s="621"/>
      <c r="D17" s="707">
        <f>SUM(D11:D13)</f>
        <v>64545455</v>
      </c>
      <c r="E17" s="707">
        <f>SUM(E11:E13)</f>
        <v>3872727</v>
      </c>
      <c r="F17" s="713">
        <f>SUM(F11:F13)</f>
        <v>9681818</v>
      </c>
      <c r="G17" s="719">
        <f>SUM(G11:G13)</f>
        <v>3987865</v>
      </c>
      <c r="H17" s="624">
        <f>SUM(H11:H13)</f>
        <v>2606300</v>
      </c>
      <c r="Q17"/>
      <c r="R17"/>
      <c r="S17"/>
      <c r="T17"/>
      <c r="U17"/>
      <c r="V17"/>
      <c r="W17"/>
      <c r="X17"/>
      <c r="Y17"/>
      <c r="Z17"/>
      <c r="AA17"/>
    </row>
    <row r="18" spans="1:27" ht="21.95" customHeight="1" x14ac:dyDescent="0.55000000000000004">
      <c r="B18" s="625"/>
      <c r="C18" s="626"/>
      <c r="D18" s="708"/>
      <c r="E18" s="709">
        <f>SUM(D17+E17+F17)</f>
        <v>78100000</v>
      </c>
      <c r="F18" s="714"/>
      <c r="G18" s="720">
        <f>G17+H17</f>
        <v>6594165</v>
      </c>
      <c r="H18" s="721"/>
      <c r="I18" s="627">
        <f>SUM(E18+G18)</f>
        <v>84694165</v>
      </c>
      <c r="Q18"/>
      <c r="R18"/>
      <c r="S18"/>
      <c r="T18"/>
      <c r="U18"/>
      <c r="V18"/>
      <c r="W18"/>
      <c r="X18"/>
      <c r="Y18"/>
      <c r="Z18"/>
      <c r="AA18"/>
    </row>
    <row r="19" spans="1:27" ht="21.95" customHeight="1" x14ac:dyDescent="0.25">
      <c r="B19" s="48"/>
      <c r="C19" s="48"/>
      <c r="D19" s="48"/>
      <c r="E19" s="48"/>
      <c r="F19" s="48"/>
      <c r="G19" s="48"/>
      <c r="H19" s="113"/>
      <c r="Q19"/>
      <c r="R19"/>
      <c r="S19"/>
      <c r="T19"/>
      <c r="U19"/>
      <c r="V19"/>
      <c r="W19"/>
      <c r="X19"/>
      <c r="Y19"/>
      <c r="Z19"/>
      <c r="AA19"/>
    </row>
    <row r="21" spans="1:27" ht="21.95" customHeight="1" x14ac:dyDescent="0.2">
      <c r="A21" s="619"/>
      <c r="B21" s="628" t="s">
        <v>315</v>
      </c>
    </row>
    <row r="23" spans="1:27" ht="21.95" customHeight="1" x14ac:dyDescent="0.2">
      <c r="B23" s="48"/>
      <c r="C23" s="48"/>
      <c r="D23" s="48"/>
      <c r="E23" s="48"/>
      <c r="F23" s="48"/>
      <c r="G23" s="48"/>
      <c r="H23" s="48"/>
      <c r="I23" s="48"/>
      <c r="J23" s="48"/>
    </row>
    <row r="24" spans="1:27" ht="21.95" customHeight="1" x14ac:dyDescent="0.2">
      <c r="B24" s="48"/>
      <c r="C24" s="822" t="s">
        <v>10</v>
      </c>
      <c r="D24" s="822"/>
      <c r="E24" s="822"/>
      <c r="F24" s="822"/>
      <c r="G24" s="48"/>
      <c r="H24" s="822" t="s">
        <v>175</v>
      </c>
      <c r="I24" s="822"/>
      <c r="J24" s="822"/>
      <c r="T24"/>
      <c r="U24"/>
      <c r="V24"/>
      <c r="W24"/>
      <c r="X24"/>
      <c r="Y24"/>
      <c r="Z24"/>
      <c r="AA24"/>
    </row>
    <row r="25" spans="1:27" ht="35.450000000000003" customHeight="1" x14ac:dyDescent="0.2">
      <c r="B25" s="48"/>
      <c r="C25" s="629" t="s">
        <v>64</v>
      </c>
      <c r="D25" s="629" t="s">
        <v>302</v>
      </c>
      <c r="E25" s="629" t="s">
        <v>303</v>
      </c>
      <c r="F25" s="629" t="s">
        <v>28</v>
      </c>
      <c r="G25" s="140"/>
      <c r="H25" s="629" t="s">
        <v>302</v>
      </c>
      <c r="I25" s="629" t="s">
        <v>303</v>
      </c>
      <c r="J25" s="629" t="s">
        <v>28</v>
      </c>
      <c r="T25"/>
      <c r="U25"/>
      <c r="V25"/>
      <c r="W25"/>
      <c r="X25"/>
      <c r="Y25"/>
      <c r="Z25"/>
      <c r="AA25"/>
    </row>
    <row r="26" spans="1:27" ht="21.95" customHeight="1" x14ac:dyDescent="0.2">
      <c r="B26" s="48">
        <v>2025</v>
      </c>
      <c r="C26" s="630">
        <v>25502024</v>
      </c>
      <c r="D26" s="631"/>
      <c r="E26" s="631"/>
      <c r="F26" s="631">
        <f>SUM(C26:E26)</f>
        <v>25502024</v>
      </c>
      <c r="G26" s="48"/>
      <c r="H26" s="631"/>
      <c r="I26" s="631"/>
      <c r="J26" s="631">
        <f>SUM(H26:I26)</f>
        <v>0</v>
      </c>
      <c r="T26"/>
      <c r="U26"/>
      <c r="V26"/>
      <c r="W26"/>
      <c r="X26"/>
      <c r="Y26"/>
      <c r="Z26"/>
      <c r="AA26"/>
    </row>
    <row r="27" spans="1:27" ht="21.95" customHeight="1" x14ac:dyDescent="0.2">
      <c r="B27" s="48">
        <f>B26+1</f>
        <v>2026</v>
      </c>
      <c r="C27" s="630">
        <v>25502024</v>
      </c>
      <c r="D27" s="631"/>
      <c r="E27" s="631"/>
      <c r="F27" s="631">
        <f t="shared" ref="F27:F48" si="1">SUM(C27:E27)</f>
        <v>25502024</v>
      </c>
      <c r="G27" s="48"/>
      <c r="H27" s="631"/>
      <c r="I27" s="631"/>
      <c r="J27" s="631">
        <f t="shared" ref="J27:J45" si="2">SUM(H27:I27)</f>
        <v>0</v>
      </c>
      <c r="T27"/>
      <c r="U27"/>
      <c r="V27"/>
      <c r="W27"/>
      <c r="X27"/>
      <c r="Y27"/>
      <c r="Z27"/>
      <c r="AA27"/>
    </row>
    <row r="28" spans="1:27" ht="21.95" customHeight="1" x14ac:dyDescent="0.2">
      <c r="B28" s="48">
        <f t="shared" ref="B28:B48" si="3">B27+1</f>
        <v>2027</v>
      </c>
      <c r="C28" s="630">
        <v>25502024</v>
      </c>
      <c r="D28" s="631"/>
      <c r="E28" s="631"/>
      <c r="F28" s="631">
        <f t="shared" si="1"/>
        <v>25502024</v>
      </c>
      <c r="G28" s="48"/>
      <c r="H28" s="631"/>
      <c r="I28" s="631"/>
      <c r="J28" s="631">
        <f t="shared" si="2"/>
        <v>0</v>
      </c>
      <c r="T28"/>
      <c r="U28"/>
      <c r="V28"/>
      <c r="W28"/>
      <c r="X28"/>
      <c r="Y28"/>
      <c r="Z28"/>
      <c r="AA28"/>
    </row>
    <row r="29" spans="1:27" ht="21.95" customHeight="1" x14ac:dyDescent="0.2">
      <c r="B29" s="48">
        <f t="shared" si="3"/>
        <v>2028</v>
      </c>
      <c r="C29" s="631"/>
      <c r="D29" s="632"/>
      <c r="E29" s="631">
        <v>143077</v>
      </c>
      <c r="F29" s="631">
        <f t="shared" si="1"/>
        <v>143077</v>
      </c>
      <c r="G29" s="48"/>
      <c r="H29" s="631"/>
      <c r="I29" s="631"/>
      <c r="J29" s="631">
        <f t="shared" si="2"/>
        <v>0</v>
      </c>
      <c r="T29"/>
      <c r="U29"/>
      <c r="V29"/>
      <c r="W29"/>
      <c r="X29"/>
      <c r="Y29"/>
      <c r="Z29"/>
      <c r="AA29"/>
    </row>
    <row r="30" spans="1:27" ht="21.95" customHeight="1" x14ac:dyDescent="0.2">
      <c r="B30" s="48">
        <f t="shared" si="3"/>
        <v>2029</v>
      </c>
      <c r="C30" s="631"/>
      <c r="D30" s="631"/>
      <c r="E30" s="631"/>
      <c r="F30" s="631">
        <f t="shared" si="1"/>
        <v>0</v>
      </c>
      <c r="G30" s="48"/>
      <c r="H30" s="631">
        <v>11923</v>
      </c>
      <c r="I30" s="631"/>
      <c r="J30" s="631">
        <f t="shared" si="2"/>
        <v>11923</v>
      </c>
      <c r="T30"/>
      <c r="U30"/>
      <c r="V30"/>
      <c r="W30"/>
      <c r="X30"/>
      <c r="Y30"/>
      <c r="Z30"/>
      <c r="AA30"/>
    </row>
    <row r="31" spans="1:27" ht="21.95" customHeight="1" x14ac:dyDescent="0.2">
      <c r="B31" s="48">
        <f t="shared" si="3"/>
        <v>2030</v>
      </c>
      <c r="C31" s="631"/>
      <c r="D31" s="631"/>
      <c r="E31" s="631"/>
      <c r="F31" s="631">
        <f t="shared" si="1"/>
        <v>0</v>
      </c>
      <c r="G31" s="48"/>
      <c r="H31" s="631">
        <v>2241538</v>
      </c>
      <c r="I31" s="631"/>
      <c r="J31" s="631">
        <f t="shared" si="2"/>
        <v>2241538</v>
      </c>
      <c r="T31"/>
      <c r="U31"/>
      <c r="V31"/>
      <c r="W31"/>
      <c r="X31"/>
      <c r="Y31"/>
      <c r="Z31"/>
      <c r="AA31"/>
    </row>
    <row r="32" spans="1:27" ht="21.95" customHeight="1" x14ac:dyDescent="0.2">
      <c r="B32" s="48">
        <f t="shared" si="3"/>
        <v>2031</v>
      </c>
      <c r="C32" s="631"/>
      <c r="D32" s="631"/>
      <c r="E32" s="631"/>
      <c r="F32" s="631">
        <f t="shared" si="1"/>
        <v>0</v>
      </c>
      <c r="G32" s="48"/>
      <c r="H32" s="631"/>
      <c r="I32" s="631"/>
      <c r="J32" s="631">
        <f t="shared" si="2"/>
        <v>0</v>
      </c>
      <c r="T32"/>
      <c r="U32"/>
      <c r="V32"/>
      <c r="W32"/>
      <c r="X32"/>
      <c r="Y32"/>
      <c r="Z32"/>
      <c r="AA32"/>
    </row>
    <row r="33" spans="2:27" ht="21.95" customHeight="1" x14ac:dyDescent="0.2">
      <c r="B33" s="48">
        <f t="shared" si="3"/>
        <v>2032</v>
      </c>
      <c r="C33" s="631"/>
      <c r="D33" s="631">
        <v>59615</v>
      </c>
      <c r="E33" s="631"/>
      <c r="F33" s="631">
        <f t="shared" si="1"/>
        <v>59615</v>
      </c>
      <c r="G33" s="48"/>
      <c r="H33" s="631"/>
      <c r="I33" s="631">
        <v>476923</v>
      </c>
      <c r="J33" s="631">
        <f t="shared" si="2"/>
        <v>476923</v>
      </c>
      <c r="T33"/>
      <c r="U33"/>
      <c r="V33"/>
      <c r="W33"/>
      <c r="X33"/>
      <c r="Y33"/>
      <c r="Z33"/>
      <c r="AA33"/>
    </row>
    <row r="34" spans="2:27" ht="21.95" customHeight="1" x14ac:dyDescent="0.2">
      <c r="B34" s="48">
        <f t="shared" si="3"/>
        <v>2033</v>
      </c>
      <c r="C34" s="631"/>
      <c r="D34" s="631"/>
      <c r="E34" s="631"/>
      <c r="F34" s="631">
        <f t="shared" si="1"/>
        <v>0</v>
      </c>
      <c r="G34" s="48"/>
      <c r="H34" s="631"/>
      <c r="I34" s="631"/>
      <c r="J34" s="631">
        <f t="shared" si="2"/>
        <v>0</v>
      </c>
      <c r="T34"/>
      <c r="U34"/>
      <c r="V34"/>
      <c r="W34"/>
      <c r="X34"/>
      <c r="Y34"/>
      <c r="Z34"/>
      <c r="AA34"/>
    </row>
    <row r="35" spans="2:27" ht="21.95" customHeight="1" x14ac:dyDescent="0.2">
      <c r="B35" s="48">
        <f t="shared" si="3"/>
        <v>2034</v>
      </c>
      <c r="C35" s="631"/>
      <c r="D35" s="631"/>
      <c r="E35" s="631"/>
      <c r="F35" s="631">
        <f t="shared" si="1"/>
        <v>0</v>
      </c>
      <c r="G35" s="48"/>
      <c r="H35" s="631">
        <v>11923</v>
      </c>
      <c r="I35" s="631"/>
      <c r="J35" s="631">
        <f t="shared" si="2"/>
        <v>11923</v>
      </c>
      <c r="O35"/>
      <c r="P35"/>
      <c r="Q35"/>
      <c r="R35"/>
      <c r="S35"/>
      <c r="T35"/>
      <c r="U35"/>
      <c r="V35"/>
      <c r="W35"/>
      <c r="X35"/>
      <c r="Y35"/>
      <c r="Z35"/>
      <c r="AA35"/>
    </row>
    <row r="36" spans="2:27" ht="21.95" customHeight="1" x14ac:dyDescent="0.2">
      <c r="B36" s="48">
        <f t="shared" si="3"/>
        <v>2035</v>
      </c>
      <c r="C36" s="631"/>
      <c r="D36" s="631"/>
      <c r="E36" s="631"/>
      <c r="F36" s="631">
        <f t="shared" si="1"/>
        <v>0</v>
      </c>
      <c r="G36" s="48"/>
      <c r="H36" s="631"/>
      <c r="I36" s="631"/>
      <c r="J36" s="631">
        <f t="shared" si="2"/>
        <v>0</v>
      </c>
      <c r="O36"/>
      <c r="P36"/>
      <c r="Q36"/>
      <c r="R36"/>
      <c r="S36"/>
      <c r="T36"/>
      <c r="U36"/>
      <c r="V36"/>
      <c r="W36"/>
      <c r="X36"/>
      <c r="Y36"/>
      <c r="Z36"/>
      <c r="AA36"/>
    </row>
    <row r="37" spans="2:27" ht="21.95" customHeight="1" x14ac:dyDescent="0.2">
      <c r="B37" s="48">
        <f t="shared" si="3"/>
        <v>2036</v>
      </c>
      <c r="C37" s="631"/>
      <c r="D37" s="631"/>
      <c r="E37" s="631"/>
      <c r="F37" s="631">
        <f t="shared" si="1"/>
        <v>0</v>
      </c>
      <c r="G37" s="48"/>
      <c r="H37" s="631"/>
      <c r="I37" s="631"/>
      <c r="J37" s="631">
        <f t="shared" si="2"/>
        <v>0</v>
      </c>
      <c r="O37"/>
      <c r="P37"/>
      <c r="Q37"/>
      <c r="R37"/>
      <c r="S37"/>
      <c r="T37"/>
      <c r="U37"/>
      <c r="V37"/>
      <c r="W37"/>
      <c r="X37"/>
      <c r="Y37"/>
      <c r="Z37"/>
      <c r="AA37"/>
    </row>
    <row r="38" spans="2:27" ht="21.95" customHeight="1" x14ac:dyDescent="0.2">
      <c r="B38" s="48">
        <f t="shared" si="3"/>
        <v>2037</v>
      </c>
      <c r="C38" s="631"/>
      <c r="D38" s="631">
        <v>3398077</v>
      </c>
      <c r="E38" s="631"/>
      <c r="F38" s="631">
        <f t="shared" si="1"/>
        <v>3398077</v>
      </c>
      <c r="G38" s="48"/>
      <c r="H38" s="631">
        <v>2241538</v>
      </c>
      <c r="I38" s="631">
        <v>476923</v>
      </c>
      <c r="J38" s="631">
        <f t="shared" si="2"/>
        <v>2718461</v>
      </c>
      <c r="O38"/>
      <c r="P38"/>
      <c r="Q38"/>
      <c r="R38"/>
      <c r="S38"/>
      <c r="T38"/>
      <c r="U38"/>
      <c r="V38"/>
      <c r="W38"/>
      <c r="X38"/>
      <c r="Y38"/>
      <c r="Z38"/>
      <c r="AA38"/>
    </row>
    <row r="39" spans="2:27" ht="21.95" customHeight="1" x14ac:dyDescent="0.2">
      <c r="B39" s="48">
        <f t="shared" si="3"/>
        <v>2038</v>
      </c>
      <c r="C39" s="631"/>
      <c r="D39" s="631"/>
      <c r="E39" s="631"/>
      <c r="F39" s="631">
        <f t="shared" si="1"/>
        <v>0</v>
      </c>
      <c r="G39" s="48"/>
      <c r="H39" s="631"/>
      <c r="I39" s="631"/>
      <c r="J39" s="631">
        <f t="shared" si="2"/>
        <v>0</v>
      </c>
      <c r="O39"/>
      <c r="P39"/>
      <c r="Q39"/>
      <c r="R39"/>
      <c r="S39"/>
      <c r="T39"/>
      <c r="U39"/>
      <c r="V39"/>
      <c r="W39"/>
      <c r="X39"/>
      <c r="Y39"/>
      <c r="Z39"/>
      <c r="AA39"/>
    </row>
    <row r="40" spans="2:27" ht="21.95" customHeight="1" x14ac:dyDescent="0.2">
      <c r="B40" s="48">
        <f t="shared" si="3"/>
        <v>2039</v>
      </c>
      <c r="C40" s="631"/>
      <c r="D40" s="631"/>
      <c r="E40" s="631"/>
      <c r="F40" s="631">
        <f t="shared" si="1"/>
        <v>0</v>
      </c>
      <c r="G40" s="48"/>
      <c r="H40" s="631">
        <v>11923</v>
      </c>
      <c r="I40" s="631"/>
      <c r="J40" s="631">
        <f t="shared" si="2"/>
        <v>11923</v>
      </c>
      <c r="O40"/>
      <c r="P40"/>
      <c r="Q40"/>
      <c r="R40"/>
      <c r="S40"/>
      <c r="T40"/>
      <c r="U40"/>
      <c r="V40"/>
      <c r="W40"/>
      <c r="X40"/>
      <c r="Y40"/>
      <c r="Z40"/>
      <c r="AA40"/>
    </row>
    <row r="41" spans="2:27" ht="21.95" customHeight="1" x14ac:dyDescent="0.2">
      <c r="B41" s="48">
        <f t="shared" si="3"/>
        <v>2040</v>
      </c>
      <c r="C41" s="631"/>
      <c r="D41" s="631"/>
      <c r="E41" s="631"/>
      <c r="F41" s="631">
        <f t="shared" si="1"/>
        <v>0</v>
      </c>
      <c r="G41" s="48"/>
      <c r="H41" s="631"/>
      <c r="I41" s="631"/>
      <c r="J41" s="631">
        <f t="shared" si="2"/>
        <v>0</v>
      </c>
      <c r="O41"/>
      <c r="P41"/>
      <c r="Q41"/>
      <c r="R41"/>
      <c r="S41"/>
      <c r="T41"/>
      <c r="U41"/>
      <c r="V41"/>
      <c r="W41"/>
      <c r="X41"/>
      <c r="Y41"/>
      <c r="Z41"/>
      <c r="AA41"/>
    </row>
    <row r="42" spans="2:27" ht="21.95" customHeight="1" x14ac:dyDescent="0.2">
      <c r="B42" s="48">
        <f t="shared" si="3"/>
        <v>2041</v>
      </c>
      <c r="C42" s="631"/>
      <c r="D42" s="631"/>
      <c r="E42" s="631"/>
      <c r="F42" s="631">
        <f t="shared" si="1"/>
        <v>0</v>
      </c>
      <c r="G42" s="48"/>
      <c r="H42" s="631"/>
      <c r="I42" s="631"/>
      <c r="J42" s="631">
        <f t="shared" si="2"/>
        <v>0</v>
      </c>
      <c r="O42"/>
      <c r="P42"/>
      <c r="Q42"/>
      <c r="R42"/>
      <c r="S42"/>
      <c r="T42"/>
      <c r="U42"/>
      <c r="V42"/>
      <c r="W42"/>
      <c r="X42"/>
      <c r="Y42"/>
      <c r="Z42"/>
      <c r="AA42"/>
    </row>
    <row r="43" spans="2:27" ht="21.95" customHeight="1" x14ac:dyDescent="0.2">
      <c r="B43" s="48">
        <f t="shared" si="3"/>
        <v>2042</v>
      </c>
      <c r="C43" s="631"/>
      <c r="D43" s="631">
        <v>59615</v>
      </c>
      <c r="E43" s="631"/>
      <c r="F43" s="631">
        <f t="shared" si="1"/>
        <v>59615</v>
      </c>
      <c r="G43" s="48"/>
      <c r="H43" s="631"/>
      <c r="I43" s="631"/>
      <c r="J43" s="631">
        <f t="shared" si="2"/>
        <v>0</v>
      </c>
      <c r="O43"/>
      <c r="P43"/>
      <c r="Q43"/>
      <c r="R43"/>
      <c r="S43"/>
      <c r="T43"/>
      <c r="U43"/>
      <c r="V43"/>
      <c r="W43"/>
      <c r="X43"/>
      <c r="Y43"/>
      <c r="Z43"/>
      <c r="AA43"/>
    </row>
    <row r="44" spans="2:27" ht="21.95" customHeight="1" x14ac:dyDescent="0.2">
      <c r="B44" s="48">
        <f t="shared" si="3"/>
        <v>2043</v>
      </c>
      <c r="C44" s="631"/>
      <c r="D44" s="631"/>
      <c r="E44" s="631"/>
      <c r="F44" s="631">
        <f t="shared" si="1"/>
        <v>0</v>
      </c>
      <c r="G44" s="48"/>
      <c r="H44" s="631"/>
      <c r="I44" s="631"/>
      <c r="J44" s="631">
        <f t="shared" si="2"/>
        <v>0</v>
      </c>
      <c r="O44"/>
      <c r="P44"/>
      <c r="Q44"/>
      <c r="R44"/>
      <c r="S44"/>
      <c r="T44"/>
      <c r="U44"/>
      <c r="V44"/>
      <c r="W44"/>
      <c r="X44"/>
      <c r="Y44"/>
      <c r="Z44"/>
      <c r="AA44"/>
    </row>
    <row r="45" spans="2:27" ht="21.95" customHeight="1" x14ac:dyDescent="0.2">
      <c r="B45" s="48">
        <f t="shared" si="3"/>
        <v>2044</v>
      </c>
      <c r="C45" s="631"/>
      <c r="D45" s="631">
        <v>6676923</v>
      </c>
      <c r="E45" s="631"/>
      <c r="F45" s="631">
        <f t="shared" si="1"/>
        <v>6676923</v>
      </c>
      <c r="G45" s="48"/>
      <c r="H45" s="631">
        <v>8930385</v>
      </c>
      <c r="I45" s="631"/>
      <c r="J45" s="631">
        <f t="shared" si="2"/>
        <v>8930385</v>
      </c>
      <c r="O45"/>
      <c r="P45"/>
      <c r="Q45"/>
      <c r="R45"/>
      <c r="S45"/>
      <c r="T45"/>
      <c r="U45"/>
      <c r="V45"/>
      <c r="W45"/>
      <c r="X45"/>
      <c r="Y45"/>
      <c r="Z45"/>
      <c r="AA45"/>
    </row>
    <row r="46" spans="2:27" ht="21.95" customHeight="1" x14ac:dyDescent="0.2">
      <c r="B46" s="48">
        <f t="shared" si="3"/>
        <v>2045</v>
      </c>
      <c r="C46" s="631"/>
      <c r="D46" s="631"/>
      <c r="E46" s="631"/>
      <c r="F46" s="631">
        <f t="shared" si="1"/>
        <v>0</v>
      </c>
      <c r="G46" s="48"/>
      <c r="H46" s="631"/>
      <c r="I46" s="631"/>
      <c r="J46" s="631">
        <f>SUM(H46:I46)</f>
        <v>0</v>
      </c>
      <c r="O46"/>
      <c r="P46"/>
      <c r="Q46"/>
      <c r="R46"/>
      <c r="S46"/>
      <c r="T46"/>
      <c r="U46"/>
      <c r="V46"/>
      <c r="W46"/>
      <c r="X46"/>
      <c r="Y46"/>
      <c r="Z46"/>
      <c r="AA46"/>
    </row>
    <row r="47" spans="2:27" ht="21.95" customHeight="1" x14ac:dyDescent="0.2">
      <c r="B47" s="48">
        <f t="shared" si="3"/>
        <v>2046</v>
      </c>
      <c r="C47" s="631"/>
      <c r="D47" s="631"/>
      <c r="E47" s="631"/>
      <c r="F47" s="631">
        <f t="shared" si="1"/>
        <v>0</v>
      </c>
      <c r="G47" s="48"/>
      <c r="H47" s="631"/>
      <c r="I47" s="631"/>
      <c r="J47" s="631">
        <f t="shared" ref="J47:J48" si="4">SUM(H47:I47)</f>
        <v>0</v>
      </c>
      <c r="O47"/>
      <c r="P47"/>
      <c r="Q47"/>
      <c r="R47"/>
      <c r="S47"/>
      <c r="T47"/>
      <c r="U47"/>
      <c r="V47"/>
      <c r="W47"/>
      <c r="X47"/>
      <c r="Y47"/>
      <c r="Z47"/>
      <c r="AA47"/>
    </row>
    <row r="48" spans="2:27" ht="21.95" customHeight="1" x14ac:dyDescent="0.2">
      <c r="B48" s="48">
        <f t="shared" si="3"/>
        <v>2047</v>
      </c>
      <c r="C48" s="631"/>
      <c r="D48" s="631">
        <v>3398077</v>
      </c>
      <c r="E48" s="631"/>
      <c r="F48" s="631">
        <f t="shared" si="1"/>
        <v>3398077</v>
      </c>
      <c r="G48" s="48"/>
      <c r="H48" s="631"/>
      <c r="I48" s="631"/>
      <c r="J48" s="631">
        <f t="shared" si="4"/>
        <v>0</v>
      </c>
      <c r="O48"/>
      <c r="P48"/>
      <c r="Q48"/>
      <c r="R48"/>
      <c r="S48"/>
      <c r="T48"/>
      <c r="U48"/>
      <c r="V48"/>
      <c r="W48"/>
      <c r="X48"/>
      <c r="Y48"/>
      <c r="Z48"/>
      <c r="AA48"/>
    </row>
    <row r="49" spans="2:27" ht="21.95" customHeight="1" x14ac:dyDescent="0.2">
      <c r="B49" s="48">
        <f t="shared" ref="B49" si="5">B48+1</f>
        <v>2048</v>
      </c>
      <c r="C49" s="631"/>
      <c r="D49" s="631"/>
      <c r="E49" s="631"/>
      <c r="F49" s="631">
        <f t="shared" ref="F49" si="6">SUM(C49:E49)</f>
        <v>0</v>
      </c>
      <c r="G49" s="48"/>
      <c r="H49" s="631"/>
      <c r="I49" s="631"/>
      <c r="J49" s="631">
        <f t="shared" ref="J49" si="7">SUM(H49:I49)</f>
        <v>0</v>
      </c>
      <c r="O49"/>
      <c r="P49"/>
      <c r="Q49"/>
      <c r="R49"/>
      <c r="S49"/>
      <c r="T49"/>
      <c r="U49"/>
      <c r="V49"/>
      <c r="W49"/>
      <c r="X49"/>
      <c r="Y49"/>
      <c r="Z49"/>
      <c r="AA49"/>
    </row>
    <row r="50" spans="2:27" ht="21.95" customHeight="1" x14ac:dyDescent="0.2">
      <c r="B50" s="48"/>
      <c r="C50" s="621"/>
      <c r="D50" s="621"/>
      <c r="E50" s="621"/>
      <c r="F50" s="633">
        <f>SUM(F26:F49)-SUM(C26:C28)</f>
        <v>13735384</v>
      </c>
      <c r="G50" s="48"/>
      <c r="H50" s="621"/>
      <c r="I50" s="621"/>
      <c r="J50" s="634">
        <f>SUM(J26:J49)</f>
        <v>14403076</v>
      </c>
      <c r="O50"/>
      <c r="P50"/>
      <c r="Q50"/>
      <c r="R50"/>
      <c r="S50"/>
      <c r="T50"/>
      <c r="U50"/>
      <c r="V50"/>
      <c r="W50"/>
      <c r="X50"/>
      <c r="Y50"/>
      <c r="Z50"/>
      <c r="AA50"/>
    </row>
    <row r="51" spans="2:27" ht="21.95" customHeight="1" x14ac:dyDescent="0.2">
      <c r="B51" s="48"/>
      <c r="C51" s="48"/>
      <c r="D51" s="48" t="s">
        <v>304</v>
      </c>
      <c r="E51" s="48"/>
      <c r="F51" s="48"/>
      <c r="G51" s="48"/>
      <c r="H51" s="48" t="s">
        <v>305</v>
      </c>
      <c r="I51" s="48"/>
      <c r="J51" s="48"/>
      <c r="S51"/>
      <c r="T51"/>
      <c r="U51"/>
      <c r="V51"/>
      <c r="W51"/>
      <c r="X51"/>
      <c r="Y51"/>
      <c r="Z51"/>
      <c r="AA51"/>
    </row>
    <row r="52" spans="2:27" ht="21.95" customHeight="1" x14ac:dyDescent="0.2">
      <c r="B52" s="48"/>
      <c r="C52" s="48"/>
      <c r="D52" s="48" t="s">
        <v>306</v>
      </c>
      <c r="E52" s="48"/>
      <c r="F52" s="48"/>
      <c r="G52" s="48"/>
      <c r="H52" s="48" t="s">
        <v>306</v>
      </c>
      <c r="I52" s="48"/>
      <c r="J52" s="48"/>
      <c r="S52"/>
      <c r="T52"/>
      <c r="U52"/>
      <c r="V52"/>
      <c r="W52"/>
      <c r="X52"/>
      <c r="Y52"/>
      <c r="Z52"/>
      <c r="AA52"/>
    </row>
    <row r="53" spans="2:27" ht="21.95" customHeight="1" x14ac:dyDescent="0.2">
      <c r="B53" s="48"/>
      <c r="C53" s="48"/>
      <c r="D53" s="48" t="s">
        <v>307</v>
      </c>
      <c r="E53" s="48"/>
      <c r="F53" s="48"/>
      <c r="G53" s="48"/>
      <c r="H53" s="48" t="s">
        <v>308</v>
      </c>
      <c r="I53" s="48"/>
      <c r="J53" s="48"/>
      <c r="S53"/>
      <c r="T53"/>
      <c r="U53"/>
      <c r="V53"/>
      <c r="W53"/>
      <c r="X53"/>
      <c r="Y53"/>
      <c r="Z53"/>
      <c r="AA53"/>
    </row>
    <row r="54" spans="2:27" ht="21.95" customHeight="1" x14ac:dyDescent="0.2">
      <c r="B54" s="48"/>
      <c r="C54" s="48"/>
      <c r="D54" s="48"/>
      <c r="E54" s="48" t="s">
        <v>309</v>
      </c>
      <c r="F54" s="48"/>
      <c r="G54" s="48"/>
      <c r="H54" s="48" t="s">
        <v>310</v>
      </c>
      <c r="I54" s="48"/>
      <c r="J54" s="48"/>
      <c r="S54"/>
      <c r="T54"/>
      <c r="U54"/>
      <c r="V54"/>
      <c r="W54"/>
      <c r="X54"/>
      <c r="Y54"/>
      <c r="Z54"/>
      <c r="AA54"/>
    </row>
    <row r="55" spans="2:27" ht="21.95" customHeight="1" x14ac:dyDescent="0.2">
      <c r="B55" s="48"/>
      <c r="C55" s="48"/>
      <c r="D55" s="48"/>
      <c r="E55" s="48"/>
      <c r="F55" s="48"/>
      <c r="G55" s="48"/>
      <c r="H55" s="48"/>
      <c r="I55" s="48" t="s">
        <v>311</v>
      </c>
      <c r="J55" s="48"/>
      <c r="S55"/>
      <c r="T55"/>
      <c r="U55"/>
      <c r="V55"/>
      <c r="W55"/>
      <c r="X55"/>
      <c r="Y55"/>
      <c r="Z55"/>
      <c r="AA55"/>
    </row>
    <row r="56" spans="2:27" ht="21.95" customHeight="1" x14ac:dyDescent="0.2">
      <c r="B56" s="48"/>
      <c r="C56" s="48"/>
      <c r="D56" s="48"/>
      <c r="E56" s="48"/>
      <c r="F56" s="48"/>
      <c r="G56" s="48"/>
      <c r="H56" s="48"/>
      <c r="I56" s="48" t="s">
        <v>312</v>
      </c>
      <c r="J56" s="48"/>
      <c r="S56"/>
      <c r="T56"/>
      <c r="U56"/>
      <c r="V56"/>
      <c r="W56"/>
      <c r="X56"/>
      <c r="Y56"/>
      <c r="Z56"/>
      <c r="AA56"/>
    </row>
    <row r="57" spans="2:27" ht="21.95" customHeight="1" x14ac:dyDescent="0.2">
      <c r="B57" s="48"/>
      <c r="C57" s="48"/>
      <c r="D57" s="48"/>
      <c r="E57" s="48"/>
      <c r="F57" s="48"/>
      <c r="G57" s="48"/>
      <c r="H57" s="48"/>
      <c r="I57" s="48"/>
      <c r="J57" s="48"/>
      <c r="S57"/>
      <c r="T57"/>
      <c r="U57"/>
      <c r="V57"/>
      <c r="W57"/>
      <c r="X57"/>
      <c r="Y57"/>
      <c r="Z57"/>
      <c r="AA57"/>
    </row>
    <row r="58" spans="2:27" ht="21.95" customHeight="1" x14ac:dyDescent="0.2">
      <c r="B58" s="48"/>
      <c r="C58" s="48"/>
      <c r="D58" s="48" t="s">
        <v>313</v>
      </c>
      <c r="E58" s="48"/>
      <c r="F58" s="156">
        <v>271370</v>
      </c>
      <c r="G58" s="48"/>
      <c r="H58" s="48" t="s">
        <v>313</v>
      </c>
      <c r="I58" s="48"/>
      <c r="J58" s="156">
        <v>254823</v>
      </c>
      <c r="S58"/>
      <c r="T58"/>
      <c r="U58"/>
      <c r="V58"/>
      <c r="W58"/>
      <c r="X58"/>
      <c r="Y58"/>
      <c r="Z58"/>
      <c r="AA58"/>
    </row>
    <row r="59" spans="2:27" ht="21.95" customHeight="1" x14ac:dyDescent="0.2">
      <c r="S59"/>
      <c r="T59"/>
      <c r="U59"/>
      <c r="V59"/>
      <c r="W59"/>
      <c r="X59"/>
      <c r="Y59"/>
      <c r="Z59"/>
      <c r="AA59"/>
    </row>
    <row r="60" spans="2:27" ht="21.95" customHeight="1" x14ac:dyDescent="0.2">
      <c r="S60"/>
      <c r="T60"/>
      <c r="U60"/>
      <c r="V60"/>
      <c r="W60"/>
      <c r="X60"/>
      <c r="Y60"/>
      <c r="Z60"/>
      <c r="AA60"/>
    </row>
    <row r="61" spans="2:27" ht="21.95" customHeight="1" x14ac:dyDescent="0.2">
      <c r="S61"/>
      <c r="T61"/>
      <c r="U61"/>
      <c r="V61"/>
      <c r="W61"/>
      <c r="X61"/>
      <c r="Y61"/>
      <c r="Z61"/>
      <c r="AA61"/>
    </row>
    <row r="62" spans="2:27" ht="21.95" customHeight="1" x14ac:dyDescent="0.2">
      <c r="S62"/>
      <c r="T62"/>
      <c r="U62"/>
      <c r="V62"/>
      <c r="W62"/>
      <c r="X62"/>
      <c r="Y62"/>
      <c r="Z62"/>
      <c r="AA62"/>
    </row>
    <row r="63" spans="2:27" ht="21.95" customHeight="1" x14ac:dyDescent="0.2">
      <c r="S63"/>
      <c r="T63"/>
      <c r="U63"/>
      <c r="V63"/>
      <c r="W63"/>
      <c r="X63"/>
      <c r="Y63"/>
      <c r="Z63"/>
      <c r="AA63"/>
    </row>
    <row r="64" spans="2:27" ht="21.95" customHeight="1" x14ac:dyDescent="0.2">
      <c r="S64"/>
      <c r="T64"/>
      <c r="U64"/>
      <c r="V64"/>
      <c r="W64"/>
      <c r="X64"/>
      <c r="Y64"/>
      <c r="Z64"/>
      <c r="AA64"/>
    </row>
    <row r="65" spans="19:27" ht="21.95" customHeight="1" x14ac:dyDescent="0.2">
      <c r="S65"/>
      <c r="T65"/>
      <c r="U65"/>
      <c r="V65"/>
      <c r="W65"/>
      <c r="X65"/>
      <c r="Y65"/>
      <c r="Z65"/>
      <c r="AA65"/>
    </row>
    <row r="66" spans="19:27" ht="21.95" customHeight="1" x14ac:dyDescent="0.2">
      <c r="S66"/>
      <c r="T66"/>
      <c r="U66"/>
      <c r="V66"/>
      <c r="W66"/>
      <c r="X66"/>
      <c r="Y66"/>
      <c r="Z66"/>
      <c r="AA66"/>
    </row>
    <row r="67" spans="19:27" ht="21.95" customHeight="1" x14ac:dyDescent="0.2">
      <c r="S67"/>
      <c r="T67"/>
      <c r="U67"/>
      <c r="V67"/>
      <c r="W67"/>
      <c r="X67"/>
      <c r="Y67"/>
      <c r="Z67"/>
      <c r="AA67"/>
    </row>
    <row r="68" spans="19:27" ht="21.95" customHeight="1" x14ac:dyDescent="0.2">
      <c r="S68"/>
      <c r="T68"/>
      <c r="U68"/>
      <c r="V68"/>
      <c r="W68"/>
      <c r="X68"/>
      <c r="Y68"/>
      <c r="Z68"/>
      <c r="AA68"/>
    </row>
  </sheetData>
  <mergeCells count="3">
    <mergeCell ref="D10:E10"/>
    <mergeCell ref="C24:F24"/>
    <mergeCell ref="H24:J24"/>
  </mergeCells>
  <pageMargins left="0.7" right="0.7" top="0.75" bottom="0.75" header="0.3" footer="0.3"/>
  <pageSetup scale="41" orientation="landscape" horizontalDpi="90" verticalDpi="90" r:id="rId1"/>
  <ignoredErrors>
    <ignoredError sqref="F26" formulaRange="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Processed xmlns="f40aa4e5-11f0-47b3-bb66-a9479c39c64d">false</Processed>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5732FAF92C6BD43913D1B8554C5CA89" ma:contentTypeVersion="18" ma:contentTypeDescription="Create a new document." ma:contentTypeScope="" ma:versionID="765281045f871ba0e4adc21a69a77e40">
  <xsd:schema xmlns:xsd="http://www.w3.org/2001/XMLSchema" xmlns:xs="http://www.w3.org/2001/XMLSchema" xmlns:p="http://schemas.microsoft.com/office/2006/metadata/properties" xmlns:ns1="http://schemas.microsoft.com/sharepoint/v3" xmlns:ns2="f40aa4e5-11f0-47b3-bb66-a9479c39c64d" xmlns:ns3="44259822-5f70-4047-b4aa-84c0187a967b" targetNamespace="http://schemas.microsoft.com/office/2006/metadata/properties" ma:root="true" ma:fieldsID="b4c9b4399ca725b51fe4871b0f1b942c" ns1:_="" ns2:_="" ns3:_="">
    <xsd:import namespace="http://schemas.microsoft.com/sharepoint/v3"/>
    <xsd:import namespace="f40aa4e5-11f0-47b3-bb66-a9479c39c64d"/>
    <xsd:import namespace="44259822-5f70-4047-b4aa-84c0187a967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MediaServiceAutoKeyPoints" minOccurs="0"/>
                <xsd:element ref="ns2:MediaServiceKeyPoints" minOccurs="0"/>
                <xsd:element ref="ns2:Processed"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40aa4e5-11f0-47b3-bb66-a9479c39c6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Processed" ma:index="22" nillable="true" ma:displayName="Processed" ma:default="0" ma:internalName="Processed">
      <xsd:simpleType>
        <xsd:restriction base="dms:Boolean"/>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259822-5f70-4047-b4aa-84c0187a967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28D490-AFDC-4D0A-B9AF-3A9AD1123F07}">
  <ds:schemaRefs>
    <ds:schemaRef ds:uri="http://schemas.microsoft.com/sharepoint/v3/contenttype/forms"/>
  </ds:schemaRefs>
</ds:datastoreItem>
</file>

<file path=customXml/itemProps2.xml><?xml version="1.0" encoding="utf-8"?>
<ds:datastoreItem xmlns:ds="http://schemas.openxmlformats.org/officeDocument/2006/customXml" ds:itemID="{C878C8D8-EA52-4B3C-AC93-45E5866DB26E}">
  <ds:schemaRefs>
    <ds:schemaRef ds:uri="http://purl.org/dc/elements/1.1/"/>
    <ds:schemaRef ds:uri="http://schemas.microsoft.com/office/infopath/2007/PartnerControls"/>
    <ds:schemaRef ds:uri="http://purl.org/dc/dcmitype/"/>
    <ds:schemaRef ds:uri="44259822-5f70-4047-b4aa-84c0187a967b"/>
    <ds:schemaRef ds:uri="http://purl.org/dc/terms/"/>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f40aa4e5-11f0-47b3-bb66-a9479c39c64d"/>
    <ds:schemaRef ds:uri="http://schemas.microsoft.com/sharepoint/v3"/>
  </ds:schemaRefs>
</ds:datastoreItem>
</file>

<file path=customXml/itemProps3.xml><?xml version="1.0" encoding="utf-8"?>
<ds:datastoreItem xmlns:ds="http://schemas.openxmlformats.org/officeDocument/2006/customXml" ds:itemID="{7E5441C5-7C5B-436B-8416-5877E49F4C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40aa4e5-11f0-47b3-bb66-a9479c39c64d"/>
    <ds:schemaRef ds:uri="44259822-5f70-4047-b4aa-84c0187a96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30</vt:i4>
      </vt:variant>
    </vt:vector>
  </HeadingPairs>
  <TitlesOfParts>
    <vt:vector size="46" baseType="lpstr">
      <vt:lpstr>READ ME</vt:lpstr>
      <vt:lpstr>Results Summary</vt:lpstr>
      <vt:lpstr>Inputs</vt:lpstr>
      <vt:lpstr>Reporting Tables</vt:lpstr>
      <vt:lpstr>Volume and Speed</vt:lpstr>
      <vt:lpstr>Travel Time</vt:lpstr>
      <vt:lpstr>Emissions</vt:lpstr>
      <vt:lpstr>Safety</vt:lpstr>
      <vt:lpstr>Project Cost Data</vt:lpstr>
      <vt:lpstr>O&amp;M</vt:lpstr>
      <vt:lpstr>Residual Value</vt:lpstr>
      <vt:lpstr>Project Costs</vt:lpstr>
      <vt:lpstr>Price Deflators</vt:lpstr>
      <vt:lpstr>Accident Data</vt:lpstr>
      <vt:lpstr>Speed</vt:lpstr>
      <vt:lpstr>Emissions Data</vt:lpstr>
      <vt:lpstr>adjust2022to2020</vt:lpstr>
      <vt:lpstr>annualizationFactor</vt:lpstr>
      <vt:lpstr>baseYear</vt:lpstr>
      <vt:lpstr>'READ ME'!Client.Name</vt:lpstr>
      <vt:lpstr>constructionDuration</vt:lpstr>
      <vt:lpstr>costInjury</vt:lpstr>
      <vt:lpstr>costLife</vt:lpstr>
      <vt:lpstr>costPDO</vt:lpstr>
      <vt:lpstr>discount</vt:lpstr>
      <vt:lpstr>discountCO2</vt:lpstr>
      <vt:lpstr>endYear</vt:lpstr>
      <vt:lpstr>feetToMiles</vt:lpstr>
      <vt:lpstr>'READ ME'!Grant.Name</vt:lpstr>
      <vt:lpstr>nonpeakHours</vt:lpstr>
      <vt:lpstr>occupancyAutos</vt:lpstr>
      <vt:lpstr>occupancyTrucks</vt:lpstr>
      <vt:lpstr>peakHoursAM</vt:lpstr>
      <vt:lpstr>peakHoursPM</vt:lpstr>
      <vt:lpstr>percentAutos</vt:lpstr>
      <vt:lpstr>percentPeak</vt:lpstr>
      <vt:lpstr>percentTrucks</vt:lpstr>
      <vt:lpstr>'READ ME'!Project.Name</vt:lpstr>
      <vt:lpstr>proxySpeed</vt:lpstr>
      <vt:lpstr>startYear</vt:lpstr>
      <vt:lpstr>studyDuration</vt:lpstr>
      <vt:lpstr>tonsToGrams</vt:lpstr>
      <vt:lpstr>usefulLife</vt:lpstr>
      <vt:lpstr>VTTSAutos</vt:lpstr>
      <vt:lpstr>VTTSTrucks</vt:lpstr>
      <vt:lpstr>yearsOfBenefits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Jessica</dc:creator>
  <cp:lastModifiedBy>Karla Diaz-Corro</cp:lastModifiedBy>
  <cp:lastPrinted>2023-08-09T21:02:19Z</cp:lastPrinted>
  <dcterms:created xsi:type="dcterms:W3CDTF">2021-10-22T16:54:34Z</dcterms:created>
  <dcterms:modified xsi:type="dcterms:W3CDTF">2023-08-17T19:31:28Z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0x010100F5732FAF92C6BD43913D1B8554C5CA89</vt:lpwstr>
  </property>
</Properties>
</file>