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jacobsengineering.sharepoint.com/sites/CPWFXR6800/Shared Documents/TO5_MPDG_Hochatown/Final Submission/"/>
    </mc:Choice>
  </mc:AlternateContent>
  <xr:revisionPtr revIDLastSave="262" documentId="8_{77D669F6-C67A-4179-A942-F8EBC19C69A1}" xr6:coauthVersionLast="47" xr6:coauthVersionMax="47" xr10:uidLastSave="{6234C614-F030-47B4-A207-1EBE4AF0AC51}"/>
  <bookViews>
    <workbookView minimized="1" xWindow="4200" yWindow="3975" windowWidth="21600" windowHeight="11325" tabRatio="835" activeTab="4" xr2:uid="{CA034C6F-46CB-462C-B0ED-6F3EFFA462CA}"/>
  </bookViews>
  <sheets>
    <sheet name="Cover" sheetId="47" r:id="rId1"/>
    <sheet name="Assumptions" sheetId="33" r:id="rId2"/>
    <sheet name="Safety" sheetId="32" r:id="rId3"/>
    <sheet name="PedBike" sheetId="24" r:id="rId4"/>
    <sheet name="Reduced VMT" sheetId="15" r:id="rId5"/>
    <sheet name="Time Savings" sheetId="39" r:id="rId6"/>
    <sheet name="Costs" sheetId="38" r:id="rId7"/>
    <sheet name="Factors" sheetId="34" r:id="rId8"/>
    <sheet name="BCA - 5 lane" sheetId="11" r:id="rId9"/>
    <sheet name="BCA - 3 lane" sheetId="44" r:id="rId10"/>
    <sheet name="Summary" sheetId="45" r:id="rId11"/>
  </sheets>
  <definedNames>
    <definedName name="_Key1" hidden="1">#REF!</definedName>
    <definedName name="_Key2" hidden="1">#REF!</definedName>
    <definedName name="_Order1" hidden="1">255</definedName>
    <definedName name="_Order2" hidden="1">255</definedName>
    <definedName name="_Regression_Out" hidden="1">#REF!</definedName>
    <definedName name="_Regression_X" hidden="1">#REF!</definedName>
    <definedName name="_Sort" hidden="1">#REF!</definedName>
    <definedName name="DataSources">#REF!</definedName>
    <definedName name="filename">#REF!</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KMtoMile">#REF!</definedName>
    <definedName name="nOne">#REF!</definedName>
    <definedName name="nOnek">#REF!</definedName>
    <definedName name="nOneM">#REF!</definedName>
    <definedName name="nSixty">#REF!</definedName>
    <definedName name="nThirteen">#REF!</definedName>
    <definedName name="nTwelve">#REF!</definedName>
    <definedName name="nTwentyFour">#REF!</definedName>
    <definedName name="nZero">#REF!</definedName>
    <definedName name="Sources">#REF!</definedName>
    <definedName name="strBlan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8" l="1"/>
  <c r="D33" i="32"/>
  <c r="L11" i="32"/>
  <c r="K11" i="32"/>
  <c r="AA25" i="39"/>
  <c r="Z25" i="39"/>
  <c r="Y25" i="39"/>
  <c r="X25" i="39"/>
  <c r="W25" i="39"/>
  <c r="V25" i="39"/>
  <c r="U25" i="39"/>
  <c r="T25" i="39"/>
  <c r="S25" i="39"/>
  <c r="R25" i="39"/>
  <c r="Q25" i="39"/>
  <c r="P25" i="39"/>
  <c r="O25" i="39"/>
  <c r="N25" i="39"/>
  <c r="M25" i="39"/>
  <c r="L25" i="39"/>
  <c r="K25" i="39"/>
  <c r="J25" i="39"/>
  <c r="I25" i="39"/>
  <c r="H25" i="39"/>
  <c r="AA17" i="39"/>
  <c r="Z17" i="39"/>
  <c r="Y17" i="39"/>
  <c r="X17" i="39"/>
  <c r="W17" i="39"/>
  <c r="V17" i="39"/>
  <c r="U17" i="39"/>
  <c r="T17" i="39"/>
  <c r="S17" i="39"/>
  <c r="R17" i="39"/>
  <c r="Q17" i="39"/>
  <c r="P17" i="39"/>
  <c r="O17" i="39"/>
  <c r="N17" i="39"/>
  <c r="M17" i="39"/>
  <c r="L17" i="39"/>
  <c r="K17" i="39"/>
  <c r="J17" i="39"/>
  <c r="I17" i="39"/>
  <c r="H17" i="39"/>
  <c r="AA12" i="39"/>
  <c r="Z12" i="39"/>
  <c r="Y12" i="39"/>
  <c r="X12" i="39"/>
  <c r="W12" i="39"/>
  <c r="V12" i="39"/>
  <c r="U12" i="39"/>
  <c r="T12" i="39"/>
  <c r="S12" i="39"/>
  <c r="R12" i="39"/>
  <c r="Q12" i="39"/>
  <c r="P12" i="39"/>
  <c r="O12" i="39"/>
  <c r="N12" i="39"/>
  <c r="M12" i="39"/>
  <c r="L12" i="39"/>
  <c r="K12" i="39"/>
  <c r="J12" i="39"/>
  <c r="I12" i="39"/>
  <c r="H12" i="39"/>
  <c r="G12" i="39"/>
  <c r="F12" i="39"/>
  <c r="E12" i="39"/>
  <c r="D12" i="39"/>
  <c r="C12" i="39"/>
  <c r="AA8" i="39"/>
  <c r="Z8" i="39"/>
  <c r="Y8" i="39"/>
  <c r="X8" i="39"/>
  <c r="W8" i="39"/>
  <c r="V8" i="39"/>
  <c r="U8" i="39"/>
  <c r="T8" i="39"/>
  <c r="S8" i="39"/>
  <c r="R8" i="39"/>
  <c r="Q8" i="39"/>
  <c r="P8" i="39"/>
  <c r="O8" i="39"/>
  <c r="N8" i="39"/>
  <c r="M8" i="39"/>
  <c r="L8" i="39"/>
  <c r="K8" i="39"/>
  <c r="J8" i="39"/>
  <c r="I8" i="39"/>
  <c r="H8" i="39"/>
  <c r="G8" i="39"/>
  <c r="F8" i="39"/>
  <c r="E8" i="39"/>
  <c r="D8" i="39"/>
  <c r="C8" i="39"/>
  <c r="Q7" i="15"/>
  <c r="Q8" i="15"/>
  <c r="Q9" i="15"/>
  <c r="Q10" i="15"/>
  <c r="Q11" i="15"/>
  <c r="Q12" i="15"/>
  <c r="Q13" i="15"/>
  <c r="Q14" i="15"/>
  <c r="Q15" i="15"/>
  <c r="Q16" i="15"/>
  <c r="Q17" i="15"/>
  <c r="Q18" i="15"/>
  <c r="Q19" i="15"/>
  <c r="Q20" i="15"/>
  <c r="Q21" i="15"/>
  <c r="Q22" i="15"/>
  <c r="Q23" i="15"/>
  <c r="Q24" i="15"/>
  <c r="Q25" i="15"/>
  <c r="Q26" i="15"/>
  <c r="Q27" i="15"/>
  <c r="Q28" i="15"/>
  <c r="Q29" i="15"/>
  <c r="Q30" i="15"/>
  <c r="Q6" i="15"/>
  <c r="B132" i="33"/>
  <c r="B133" i="33" s="1"/>
  <c r="B134" i="33" s="1"/>
  <c r="B135" i="33" s="1"/>
  <c r="B136" i="33" s="1"/>
  <c r="B137" i="33" s="1"/>
  <c r="B138" i="33" s="1"/>
  <c r="B139" i="33" s="1"/>
  <c r="B140" i="33" s="1"/>
  <c r="B141" i="33" s="1"/>
  <c r="B142" i="33" s="1"/>
  <c r="B143" i="33" s="1"/>
  <c r="B144" i="33" s="1"/>
  <c r="B145" i="33" s="1"/>
  <c r="B146" i="33" s="1"/>
  <c r="B147" i="33" s="1"/>
  <c r="B148" i="33" s="1"/>
  <c r="B149" i="33" s="1"/>
  <c r="B150" i="33" s="1"/>
  <c r="B151" i="33" s="1"/>
  <c r="B152" i="33" s="1"/>
  <c r="B153" i="33" s="1"/>
  <c r="B154" i="33" s="1"/>
  <c r="B155" i="33" s="1"/>
  <c r="P7" i="15" l="1"/>
  <c r="P8" i="15"/>
  <c r="P9" i="15"/>
  <c r="P10" i="15"/>
  <c r="P11" i="15"/>
  <c r="P12" i="15"/>
  <c r="P13" i="15"/>
  <c r="P14" i="15"/>
  <c r="P15" i="15"/>
  <c r="P16" i="15"/>
  <c r="P17" i="15"/>
  <c r="P18" i="15"/>
  <c r="P19" i="15"/>
  <c r="P20" i="15"/>
  <c r="P21" i="15"/>
  <c r="P22" i="15"/>
  <c r="P23" i="15"/>
  <c r="P24" i="15"/>
  <c r="P25" i="15"/>
  <c r="P26" i="15"/>
  <c r="P27" i="15"/>
  <c r="P28" i="15"/>
  <c r="P29" i="15"/>
  <c r="P30" i="15"/>
  <c r="P6" i="15"/>
  <c r="I17" i="38"/>
  <c r="C6" i="15"/>
  <c r="C17" i="39"/>
  <c r="D17" i="39"/>
  <c r="J50" i="34" l="1"/>
  <c r="H50" i="34"/>
  <c r="D25" i="39"/>
  <c r="D27" i="39" s="1"/>
  <c r="D18" i="39"/>
  <c r="C19" i="39"/>
  <c r="S6" i="15" s="1"/>
  <c r="V6" i="15" s="1"/>
  <c r="AC6" i="15" s="1"/>
  <c r="C25" i="39"/>
  <c r="C27" i="39" s="1"/>
  <c r="T6" i="15" s="1"/>
  <c r="W6" i="15" s="1"/>
  <c r="AD6" i="15" s="1"/>
  <c r="D14" i="39"/>
  <c r="D19" i="39"/>
  <c r="C14" i="39"/>
  <c r="D13" i="39"/>
  <c r="C13" i="39"/>
  <c r="C18" i="39"/>
  <c r="C26" i="39" l="1"/>
  <c r="D26" i="39"/>
  <c r="D28" i="39"/>
  <c r="D29" i="39" s="1"/>
  <c r="D30" i="39" s="1"/>
  <c r="D31" i="39" s="1"/>
  <c r="D20" i="39"/>
  <c r="D21" i="39" s="1"/>
  <c r="D22" i="39" s="1"/>
  <c r="D23" i="39" s="1"/>
  <c r="R6" i="15"/>
  <c r="U6" i="15" s="1"/>
  <c r="AB6" i="15" s="1"/>
  <c r="C28" i="39"/>
  <c r="C29" i="39" s="1"/>
  <c r="C30" i="39" s="1"/>
  <c r="C31" i="39" s="1"/>
  <c r="C20" i="39"/>
  <c r="C21" i="39" s="1"/>
  <c r="C22" i="39" s="1"/>
  <c r="C23" i="39" s="1"/>
  <c r="E33" i="33" l="1"/>
  <c r="M31" i="24"/>
  <c r="N31" i="24"/>
  <c r="O31" i="24"/>
  <c r="P31" i="24"/>
  <c r="E17" i="32"/>
  <c r="F17" i="32"/>
  <c r="G17" i="32"/>
  <c r="H17" i="32"/>
  <c r="I17" i="32"/>
  <c r="D17" i="32"/>
  <c r="E33" i="32"/>
  <c r="E35" i="32" s="1"/>
  <c r="F33" i="32"/>
  <c r="F35" i="32" s="1"/>
  <c r="G33" i="32"/>
  <c r="H33" i="32"/>
  <c r="I33" i="32"/>
  <c r="I35" i="32" s="1"/>
  <c r="K12" i="32"/>
  <c r="K13" i="32"/>
  <c r="K14" i="32"/>
  <c r="K15" i="32"/>
  <c r="G35" i="32"/>
  <c r="H35" i="32"/>
  <c r="K17" i="32" l="1"/>
  <c r="L12" i="32"/>
  <c r="M12" i="32" s="1"/>
  <c r="L15" i="32"/>
  <c r="M15" i="32" s="1"/>
  <c r="D35" i="32"/>
  <c r="K35" i="32" s="1"/>
  <c r="L14" i="32"/>
  <c r="M14" i="32" s="1"/>
  <c r="L13" i="32"/>
  <c r="M13" i="32" s="1"/>
  <c r="G26" i="34"/>
  <c r="G27" i="34" s="1"/>
  <c r="G28" i="34" s="1"/>
  <c r="F26" i="34"/>
  <c r="F27" i="34" s="1"/>
  <c r="F28" i="34" s="1"/>
  <c r="D7" i="24"/>
  <c r="O7" i="24" s="1"/>
  <c r="D8" i="24"/>
  <c r="O8" i="24" s="1"/>
  <c r="D9" i="24"/>
  <c r="O9" i="24" s="1"/>
  <c r="D10" i="24"/>
  <c r="O10" i="24" s="1"/>
  <c r="D11" i="24"/>
  <c r="D12" i="24"/>
  <c r="O12" i="24" s="1"/>
  <c r="D13" i="24"/>
  <c r="O13" i="24" s="1"/>
  <c r="D14" i="24"/>
  <c r="O14" i="24" s="1"/>
  <c r="D15" i="24"/>
  <c r="O15" i="24" s="1"/>
  <c r="D16" i="24"/>
  <c r="O16" i="24" s="1"/>
  <c r="D17" i="24"/>
  <c r="O17" i="24" s="1"/>
  <c r="D18" i="24"/>
  <c r="O18" i="24" s="1"/>
  <c r="D19" i="24"/>
  <c r="O19" i="24" s="1"/>
  <c r="D20" i="24"/>
  <c r="O20" i="24" s="1"/>
  <c r="D21" i="24"/>
  <c r="O21" i="24" s="1"/>
  <c r="D22" i="24"/>
  <c r="O22" i="24" s="1"/>
  <c r="D23" i="24"/>
  <c r="O23" i="24" s="1"/>
  <c r="D24" i="24"/>
  <c r="O24" i="24" s="1"/>
  <c r="D25" i="24"/>
  <c r="O25" i="24" s="1"/>
  <c r="D26" i="24"/>
  <c r="O26" i="24" s="1"/>
  <c r="D27" i="24"/>
  <c r="O27" i="24" s="1"/>
  <c r="D28" i="24"/>
  <c r="O28" i="24" s="1"/>
  <c r="D29" i="24"/>
  <c r="O29" i="24" s="1"/>
  <c r="D30" i="24"/>
  <c r="O30" i="24" s="1"/>
  <c r="D6" i="24"/>
  <c r="O6" i="24" s="1"/>
  <c r="N11" i="32" l="1"/>
  <c r="L17" i="32"/>
  <c r="N17" i="32" s="1"/>
  <c r="O11" i="24"/>
  <c r="F8" i="38" l="1"/>
  <c r="F9" i="38"/>
  <c r="F10" i="38"/>
  <c r="F11" i="38"/>
  <c r="F12" i="38"/>
  <c r="F13" i="38"/>
  <c r="F14" i="38"/>
  <c r="F15" i="38"/>
  <c r="F16" i="38"/>
  <c r="F17" i="38"/>
  <c r="F18" i="38"/>
  <c r="F19" i="38"/>
  <c r="F20" i="38"/>
  <c r="F21" i="38"/>
  <c r="F22" i="38"/>
  <c r="F23" i="38"/>
  <c r="F24" i="38"/>
  <c r="F25" i="38"/>
  <c r="F26" i="38"/>
  <c r="F27" i="38"/>
  <c r="F28" i="38"/>
  <c r="F29" i="38"/>
  <c r="F30" i="38"/>
  <c r="F7" i="38"/>
  <c r="G27" i="39"/>
  <c r="F27" i="39"/>
  <c r="G19" i="39"/>
  <c r="F19" i="39"/>
  <c r="E17" i="39"/>
  <c r="F17" i="39"/>
  <c r="G17" i="39"/>
  <c r="J10" i="38"/>
  <c r="J9" i="38"/>
  <c r="J11" i="38"/>
  <c r="J12" i="38"/>
  <c r="J13" i="38"/>
  <c r="J14" i="38"/>
  <c r="J8" i="38"/>
  <c r="B8" i="44"/>
  <c r="B9" i="44" s="1"/>
  <c r="B10" i="44" s="1"/>
  <c r="B11" i="44" s="1"/>
  <c r="D9" i="38"/>
  <c r="D8" i="38"/>
  <c r="B9" i="24"/>
  <c r="M9" i="24" s="1"/>
  <c r="B6" i="24"/>
  <c r="M6" i="24" s="1"/>
  <c r="F25" i="39" l="1"/>
  <c r="F26" i="39" s="1"/>
  <c r="E25" i="39"/>
  <c r="E26" i="39" s="1"/>
  <c r="G25" i="39"/>
  <c r="G26" i="39" s="1"/>
  <c r="N12" i="32"/>
  <c r="E13" i="39"/>
  <c r="E27" i="39"/>
  <c r="F13" i="39"/>
  <c r="G18" i="39"/>
  <c r="F18" i="39"/>
  <c r="G13" i="39"/>
  <c r="E18" i="39"/>
  <c r="E19" i="39"/>
  <c r="G14" i="39"/>
  <c r="F14" i="39"/>
  <c r="E14" i="39"/>
  <c r="J16" i="38"/>
  <c r="J17" i="38" s="1"/>
  <c r="J7" i="38"/>
  <c r="B12" i="44"/>
  <c r="G20" i="39" l="1"/>
  <c r="G21" i="39" s="1"/>
  <c r="G28" i="39"/>
  <c r="G29" i="39" s="1"/>
  <c r="E20" i="39"/>
  <c r="E21" i="39" s="1"/>
  <c r="E28" i="39"/>
  <c r="E29" i="39" s="1"/>
  <c r="F20" i="39"/>
  <c r="F21" i="39" s="1"/>
  <c r="F28" i="39"/>
  <c r="F29" i="39" s="1"/>
  <c r="E9" i="38"/>
  <c r="E8" i="38"/>
  <c r="B13" i="44"/>
  <c r="AA27" i="39"/>
  <c r="Z27" i="39"/>
  <c r="Y27" i="39"/>
  <c r="X27" i="39"/>
  <c r="W27" i="39"/>
  <c r="V27" i="39"/>
  <c r="U27" i="39"/>
  <c r="T27" i="39"/>
  <c r="S27" i="39"/>
  <c r="R27" i="39"/>
  <c r="Q27" i="39"/>
  <c r="T20" i="15" s="1"/>
  <c r="P27" i="39"/>
  <c r="O27" i="39"/>
  <c r="N27" i="39"/>
  <c r="M27" i="39"/>
  <c r="L27" i="39"/>
  <c r="T15" i="15" s="1"/>
  <c r="K27" i="39"/>
  <c r="J27" i="39"/>
  <c r="I27" i="39"/>
  <c r="H27" i="39"/>
  <c r="H19" i="39"/>
  <c r="I19" i="39"/>
  <c r="J19" i="39"/>
  <c r="K19" i="39"/>
  <c r="L19" i="39"/>
  <c r="M19" i="39"/>
  <c r="N19" i="39"/>
  <c r="O19" i="39"/>
  <c r="P19" i="39"/>
  <c r="Q19" i="39"/>
  <c r="R19" i="39"/>
  <c r="S19" i="39"/>
  <c r="T19" i="39"/>
  <c r="U19" i="39"/>
  <c r="V19" i="39"/>
  <c r="W19" i="39"/>
  <c r="X19" i="39"/>
  <c r="Y19" i="39"/>
  <c r="Z19" i="39"/>
  <c r="AA19" i="39"/>
  <c r="X14" i="39"/>
  <c r="Y14" i="39"/>
  <c r="Z14" i="39"/>
  <c r="AA14" i="39"/>
  <c r="H14" i="39"/>
  <c r="I14" i="39"/>
  <c r="J14" i="39"/>
  <c r="K14" i="39"/>
  <c r="L14" i="39"/>
  <c r="M14" i="39"/>
  <c r="N14" i="39"/>
  <c r="O14" i="39"/>
  <c r="P14" i="39"/>
  <c r="Q14" i="39"/>
  <c r="R14" i="39"/>
  <c r="S14" i="39"/>
  <c r="T14" i="39"/>
  <c r="U14" i="39"/>
  <c r="V14" i="39"/>
  <c r="W14" i="39"/>
  <c r="Q20" i="39" l="1"/>
  <c r="Q28" i="39"/>
  <c r="P20" i="39"/>
  <c r="P28" i="39"/>
  <c r="J20" i="39"/>
  <c r="J28" i="39"/>
  <c r="W20" i="39"/>
  <c r="W28" i="39"/>
  <c r="AA28" i="39"/>
  <c r="AA20" i="39"/>
  <c r="O20" i="39"/>
  <c r="O28" i="39"/>
  <c r="N20" i="39"/>
  <c r="N28" i="39"/>
  <c r="Z28" i="39"/>
  <c r="Z20" i="39"/>
  <c r="S28" i="39"/>
  <c r="S20" i="39"/>
  <c r="I28" i="39"/>
  <c r="I20" i="39"/>
  <c r="V20" i="39"/>
  <c r="V28" i="39"/>
  <c r="M20" i="39"/>
  <c r="M28" i="39"/>
  <c r="K28" i="39"/>
  <c r="K20" i="39"/>
  <c r="R28" i="39"/>
  <c r="R20" i="39"/>
  <c r="H20" i="39"/>
  <c r="H28" i="39"/>
  <c r="U20" i="39"/>
  <c r="U28" i="39"/>
  <c r="Y28" i="39"/>
  <c r="Y20" i="39"/>
  <c r="T20" i="39"/>
  <c r="T28" i="39"/>
  <c r="L28" i="39"/>
  <c r="L20" i="39"/>
  <c r="X20" i="39"/>
  <c r="X28" i="39"/>
  <c r="E31" i="38"/>
  <c r="E22" i="39"/>
  <c r="E23" i="39" s="1"/>
  <c r="E30" i="39"/>
  <c r="E31" i="39" s="1"/>
  <c r="F22" i="39"/>
  <c r="F23" i="39" s="1"/>
  <c r="G22" i="39"/>
  <c r="G23" i="39" s="1"/>
  <c r="F30" i="39"/>
  <c r="F31" i="39" s="1"/>
  <c r="G30" i="39"/>
  <c r="G31" i="39" s="1"/>
  <c r="B14" i="44"/>
  <c r="S13" i="39"/>
  <c r="H26" i="39"/>
  <c r="B15" i="44" l="1"/>
  <c r="J18" i="39"/>
  <c r="Q13" i="39"/>
  <c r="I13" i="39"/>
  <c r="R18" i="39"/>
  <c r="P18" i="39"/>
  <c r="M13" i="39"/>
  <c r="K13" i="39"/>
  <c r="M11" i="32"/>
  <c r="M17" i="32" s="1"/>
  <c r="H13" i="39"/>
  <c r="H18" i="39"/>
  <c r="P13" i="39"/>
  <c r="I26" i="39"/>
  <c r="P26" i="39"/>
  <c r="Q26" i="39"/>
  <c r="Y18" i="39"/>
  <c r="Y26" i="39"/>
  <c r="L26" i="39"/>
  <c r="L18" i="39"/>
  <c r="T26" i="39"/>
  <c r="T18" i="39"/>
  <c r="N18" i="39"/>
  <c r="N26" i="39"/>
  <c r="N13" i="39"/>
  <c r="X18" i="39"/>
  <c r="X13" i="39"/>
  <c r="X26" i="39"/>
  <c r="J26" i="39"/>
  <c r="R13" i="39"/>
  <c r="L13" i="39"/>
  <c r="S18" i="39"/>
  <c r="S26" i="39"/>
  <c r="V26" i="39"/>
  <c r="V13" i="39"/>
  <c r="V18" i="39"/>
  <c r="U18" i="39"/>
  <c r="U26" i="39"/>
  <c r="Z18" i="39"/>
  <c r="Z26" i="39"/>
  <c r="Z13" i="39"/>
  <c r="J13" i="39"/>
  <c r="I18" i="39"/>
  <c r="O26" i="39"/>
  <c r="O13" i="39"/>
  <c r="O18" i="39"/>
  <c r="K26" i="39"/>
  <c r="K18" i="39"/>
  <c r="R26" i="39"/>
  <c r="Q18" i="39"/>
  <c r="W13" i="39"/>
  <c r="W18" i="39"/>
  <c r="W26" i="39"/>
  <c r="Y13" i="39"/>
  <c r="AA13" i="39"/>
  <c r="AA18" i="39"/>
  <c r="AA26" i="39"/>
  <c r="U13" i="39"/>
  <c r="M26" i="39"/>
  <c r="M18" i="39"/>
  <c r="T13" i="39"/>
  <c r="N15" i="32" l="1"/>
  <c r="N14" i="32"/>
  <c r="N13" i="32"/>
  <c r="B16" i="44"/>
  <c r="K21" i="39"/>
  <c r="S21" i="39"/>
  <c r="M21" i="39"/>
  <c r="I21" i="39"/>
  <c r="J21" i="39"/>
  <c r="P21" i="39"/>
  <c r="H29" i="39"/>
  <c r="Q21" i="39"/>
  <c r="R21" i="39"/>
  <c r="M29" i="39"/>
  <c r="O29" i="39"/>
  <c r="I29" i="39"/>
  <c r="AA29" i="39"/>
  <c r="R29" i="39"/>
  <c r="V29" i="39"/>
  <c r="T29" i="39"/>
  <c r="S29" i="39"/>
  <c r="X29" i="39"/>
  <c r="L29" i="39"/>
  <c r="Z29" i="39"/>
  <c r="K29" i="39"/>
  <c r="Y29" i="39"/>
  <c r="P29" i="39"/>
  <c r="W29" i="39"/>
  <c r="U29" i="39"/>
  <c r="N29" i="39"/>
  <c r="J29" i="39"/>
  <c r="Q29" i="39"/>
  <c r="H21" i="39"/>
  <c r="U21" i="39"/>
  <c r="O21" i="39"/>
  <c r="AA21" i="39"/>
  <c r="Z21" i="39"/>
  <c r="W21" i="39"/>
  <c r="X21" i="39"/>
  <c r="T21" i="39"/>
  <c r="Y21" i="39"/>
  <c r="V21" i="39"/>
  <c r="L21" i="39"/>
  <c r="N21" i="39"/>
  <c r="A7" i="15"/>
  <c r="C7" i="15" l="1"/>
  <c r="S7" i="15"/>
  <c r="V7" i="15" s="1"/>
  <c r="AC7" i="15" s="1"/>
  <c r="T7" i="15"/>
  <c r="W7" i="15" s="1"/>
  <c r="AD7" i="15" s="1"/>
  <c r="R7" i="15"/>
  <c r="U7" i="15" s="1"/>
  <c r="AB7" i="15" s="1"/>
  <c r="AC29" i="39"/>
  <c r="U22" i="39"/>
  <c r="O30" i="39"/>
  <c r="Y22" i="39"/>
  <c r="N30" i="39"/>
  <c r="X30" i="39"/>
  <c r="M30" i="39"/>
  <c r="P22" i="39"/>
  <c r="J30" i="39"/>
  <c r="T22" i="39"/>
  <c r="S30" i="39"/>
  <c r="J22" i="39"/>
  <c r="U30" i="39"/>
  <c r="H22" i="39"/>
  <c r="H23" i="39" s="1"/>
  <c r="I23" i="39" s="1"/>
  <c r="J23" i="39" s="1"/>
  <c r="K23" i="39" s="1"/>
  <c r="L23" i="39" s="1"/>
  <c r="M23" i="39" s="1"/>
  <c r="N23" i="39" s="1"/>
  <c r="O23" i="39" s="1"/>
  <c r="P23" i="39" s="1"/>
  <c r="Q23" i="39" s="1"/>
  <c r="R23" i="39" s="1"/>
  <c r="S23" i="39" s="1"/>
  <c r="T23" i="39" s="1"/>
  <c r="U23" i="39" s="1"/>
  <c r="V23" i="39" s="1"/>
  <c r="W23" i="39" s="1"/>
  <c r="X23" i="39" s="1"/>
  <c r="Y23" i="39" s="1"/>
  <c r="Z23" i="39" s="1"/>
  <c r="AA23" i="39" s="1"/>
  <c r="W30" i="39"/>
  <c r="T30" i="39"/>
  <c r="I22" i="39"/>
  <c r="L30" i="39"/>
  <c r="X22" i="39"/>
  <c r="W22" i="39"/>
  <c r="P30" i="39"/>
  <c r="V30" i="39"/>
  <c r="M22" i="39"/>
  <c r="Z22" i="39"/>
  <c r="Y30" i="39"/>
  <c r="R30" i="39"/>
  <c r="R22" i="39"/>
  <c r="S22" i="39"/>
  <c r="AA22" i="39"/>
  <c r="K30" i="39"/>
  <c r="K22" i="39"/>
  <c r="N22" i="39"/>
  <c r="L22" i="39"/>
  <c r="AA30" i="39"/>
  <c r="V22" i="39"/>
  <c r="O22" i="39"/>
  <c r="Q30" i="39"/>
  <c r="Z30" i="39"/>
  <c r="I30" i="39"/>
  <c r="Q22" i="39"/>
  <c r="B17" i="44"/>
  <c r="H30" i="39"/>
  <c r="H31" i="39" s="1"/>
  <c r="I31" i="39" s="1"/>
  <c r="J31" i="39" s="1"/>
  <c r="K31" i="39" s="1"/>
  <c r="L31" i="39" s="1"/>
  <c r="M31" i="39" s="1"/>
  <c r="N31" i="39" s="1"/>
  <c r="O31" i="39" s="1"/>
  <c r="P31" i="39" s="1"/>
  <c r="Q31" i="39" s="1"/>
  <c r="R31" i="39" s="1"/>
  <c r="S31" i="39" s="1"/>
  <c r="T31" i="39" s="1"/>
  <c r="U31" i="39" s="1"/>
  <c r="V31" i="39" s="1"/>
  <c r="W31" i="39" s="1"/>
  <c r="X31" i="39" s="1"/>
  <c r="Y31" i="39" s="1"/>
  <c r="Z31" i="39" s="1"/>
  <c r="AA31" i="39" s="1"/>
  <c r="B18" i="44" l="1"/>
  <c r="E40" i="33"/>
  <c r="E43" i="33" l="1"/>
  <c r="B19" i="44"/>
  <c r="B20" i="44" l="1"/>
  <c r="E9" i="24"/>
  <c r="E6" i="24"/>
  <c r="C9" i="24"/>
  <c r="N9" i="24" s="1"/>
  <c r="C6" i="24"/>
  <c r="N6" i="24" s="1"/>
  <c r="K9" i="24" l="1"/>
  <c r="P9" i="24"/>
  <c r="K6" i="24"/>
  <c r="P6" i="24"/>
  <c r="B21" i="44"/>
  <c r="E6" i="15"/>
  <c r="G6" i="24"/>
  <c r="J6" i="24"/>
  <c r="G9" i="24"/>
  <c r="E9" i="15"/>
  <c r="J9" i="24"/>
  <c r="H6" i="24"/>
  <c r="H9" i="24"/>
  <c r="B22" i="44" l="1"/>
  <c r="B23" i="44" l="1"/>
  <c r="B31" i="38"/>
  <c r="D31" i="38"/>
  <c r="C31" i="38"/>
  <c r="B24" i="44" l="1"/>
  <c r="B25" i="44" l="1"/>
  <c r="B26" i="44" l="1"/>
  <c r="E10" i="24"/>
  <c r="K10" i="24" l="1"/>
  <c r="P10" i="24"/>
  <c r="B27" i="44"/>
  <c r="H10" i="24"/>
  <c r="E11" i="24"/>
  <c r="C10" i="24"/>
  <c r="B10" i="24"/>
  <c r="M10" i="24" s="1"/>
  <c r="E10" i="15" l="1"/>
  <c r="N10" i="24"/>
  <c r="K11" i="24"/>
  <c r="P11" i="24"/>
  <c r="B28" i="44"/>
  <c r="G10" i="24"/>
  <c r="J10" i="24"/>
  <c r="E12" i="24"/>
  <c r="C11" i="24"/>
  <c r="B11" i="24"/>
  <c r="M11" i="24" l="1"/>
  <c r="K12" i="24"/>
  <c r="P12" i="24"/>
  <c r="E11" i="15"/>
  <c r="N11" i="24"/>
  <c r="B29" i="44"/>
  <c r="G11" i="24"/>
  <c r="J11" i="24"/>
  <c r="E13" i="24"/>
  <c r="B12" i="24"/>
  <c r="M12" i="24" s="1"/>
  <c r="C12" i="24"/>
  <c r="E12" i="15" l="1"/>
  <c r="N12" i="24"/>
  <c r="K13" i="24"/>
  <c r="P13" i="24"/>
  <c r="B30" i="44"/>
  <c r="G12" i="24"/>
  <c r="J12" i="24"/>
  <c r="E14" i="24"/>
  <c r="B13" i="24"/>
  <c r="M13" i="24" s="1"/>
  <c r="C13" i="24"/>
  <c r="E8" i="44"/>
  <c r="K14" i="24" l="1"/>
  <c r="P14" i="24"/>
  <c r="E13" i="15"/>
  <c r="N13" i="24"/>
  <c r="D8" i="44"/>
  <c r="G8" i="44" s="1"/>
  <c r="D8" i="11"/>
  <c r="H8" i="44"/>
  <c r="J8" i="44"/>
  <c r="G13" i="24"/>
  <c r="J13" i="24"/>
  <c r="E15" i="24"/>
  <c r="C14" i="24"/>
  <c r="B14" i="24"/>
  <c r="M14" i="24" s="1"/>
  <c r="F29" i="34"/>
  <c r="G29" i="34"/>
  <c r="E9" i="44" s="1"/>
  <c r="E8" i="11"/>
  <c r="D26" i="34"/>
  <c r="B8" i="11"/>
  <c r="D25" i="34"/>
  <c r="D24" i="34"/>
  <c r="D23" i="34"/>
  <c r="D22" i="34"/>
  <c r="D21" i="34"/>
  <c r="D20" i="34"/>
  <c r="D19" i="34"/>
  <c r="D18" i="34"/>
  <c r="D17" i="34"/>
  <c r="D16" i="34"/>
  <c r="D15" i="34"/>
  <c r="D14" i="34"/>
  <c r="D13" i="34"/>
  <c r="D12" i="34"/>
  <c r="D11" i="34"/>
  <c r="D10" i="34"/>
  <c r="D9" i="34"/>
  <c r="D8" i="34"/>
  <c r="D7" i="34"/>
  <c r="D6" i="34"/>
  <c r="D5" i="34"/>
  <c r="H64" i="34" l="1"/>
  <c r="H56" i="34"/>
  <c r="H49" i="34"/>
  <c r="H41" i="34"/>
  <c r="H33" i="34"/>
  <c r="H25" i="34"/>
  <c r="H27" i="34"/>
  <c r="H63" i="34"/>
  <c r="H55" i="34"/>
  <c r="H48" i="34"/>
  <c r="H40" i="34"/>
  <c r="H32" i="34"/>
  <c r="H62" i="34"/>
  <c r="H54" i="34"/>
  <c r="H47" i="34"/>
  <c r="H39" i="34"/>
  <c r="H31" i="34"/>
  <c r="H35" i="34"/>
  <c r="H61" i="34"/>
  <c r="H53" i="34"/>
  <c r="H46" i="34"/>
  <c r="H38" i="34"/>
  <c r="H30" i="34"/>
  <c r="H60" i="34"/>
  <c r="H52" i="34"/>
  <c r="H45" i="34"/>
  <c r="H37" i="34"/>
  <c r="H29" i="34"/>
  <c r="H58" i="34"/>
  <c r="H59" i="34"/>
  <c r="H51" i="34"/>
  <c r="H44" i="34"/>
  <c r="H36" i="34"/>
  <c r="H28" i="34"/>
  <c r="H43" i="34"/>
  <c r="H57" i="34"/>
  <c r="H42" i="34"/>
  <c r="H34" i="34"/>
  <c r="H26" i="34"/>
  <c r="E23" i="34"/>
  <c r="E31" i="34"/>
  <c r="E39" i="34"/>
  <c r="E47" i="34"/>
  <c r="E55" i="34"/>
  <c r="E63" i="34"/>
  <c r="E61" i="34"/>
  <c r="E24" i="34"/>
  <c r="E32" i="34"/>
  <c r="E40" i="34"/>
  <c r="E48" i="34"/>
  <c r="E56" i="34"/>
  <c r="E64" i="34"/>
  <c r="E25" i="34"/>
  <c r="E33" i="34"/>
  <c r="E41" i="34"/>
  <c r="E49" i="34"/>
  <c r="E57" i="34"/>
  <c r="E45" i="34"/>
  <c r="E26" i="34"/>
  <c r="E34" i="34"/>
  <c r="E42" i="34"/>
  <c r="E50" i="34"/>
  <c r="E58" i="34"/>
  <c r="E29" i="34"/>
  <c r="E27" i="34"/>
  <c r="E35" i="34"/>
  <c r="E43" i="34"/>
  <c r="E51" i="34"/>
  <c r="E59" i="34"/>
  <c r="E37" i="34"/>
  <c r="E28" i="34"/>
  <c r="E36" i="34"/>
  <c r="E44" i="34"/>
  <c r="E52" i="34"/>
  <c r="E60" i="34"/>
  <c r="E53" i="34"/>
  <c r="E30" i="34"/>
  <c r="E38" i="34"/>
  <c r="E46" i="34"/>
  <c r="E54" i="34"/>
  <c r="E62" i="34"/>
  <c r="E14" i="15"/>
  <c r="N14" i="24"/>
  <c r="K15" i="24"/>
  <c r="P15" i="24"/>
  <c r="D9" i="44"/>
  <c r="H9" i="44" s="1"/>
  <c r="D9" i="11"/>
  <c r="G8" i="11"/>
  <c r="H8" i="11"/>
  <c r="J8" i="11"/>
  <c r="E33" i="39"/>
  <c r="G14" i="24"/>
  <c r="J14" i="24"/>
  <c r="E16" i="24"/>
  <c r="C15" i="24"/>
  <c r="B15" i="24"/>
  <c r="M15" i="24" s="1"/>
  <c r="G30" i="34"/>
  <c r="E10" i="44" s="1"/>
  <c r="E9" i="11"/>
  <c r="F30" i="34"/>
  <c r="C23" i="44" l="1"/>
  <c r="J9" i="44"/>
  <c r="G9" i="44"/>
  <c r="K16" i="24"/>
  <c r="P16" i="24"/>
  <c r="E15" i="15"/>
  <c r="N15" i="24"/>
  <c r="D10" i="44"/>
  <c r="H10" i="44" s="1"/>
  <c r="D10" i="11"/>
  <c r="G15" i="24"/>
  <c r="J15" i="24"/>
  <c r="E17" i="24"/>
  <c r="C16" i="24"/>
  <c r="B16" i="24"/>
  <c r="M16" i="24" s="1"/>
  <c r="F31" i="34"/>
  <c r="G31" i="34"/>
  <c r="E11" i="44" s="1"/>
  <c r="E10" i="11"/>
  <c r="C23" i="11"/>
  <c r="B7" i="15"/>
  <c r="B6" i="15"/>
  <c r="G10" i="44" l="1"/>
  <c r="C30" i="44"/>
  <c r="C8" i="44"/>
  <c r="K8" i="44" s="1"/>
  <c r="C12" i="44"/>
  <c r="C10" i="44"/>
  <c r="K10" i="44" s="1"/>
  <c r="C24" i="44"/>
  <c r="C28" i="44"/>
  <c r="C16" i="44"/>
  <c r="C13" i="44"/>
  <c r="C11" i="44"/>
  <c r="C19" i="44"/>
  <c r="C9" i="44"/>
  <c r="K9" i="44" s="1"/>
  <c r="C20" i="44"/>
  <c r="C22" i="44"/>
  <c r="C29" i="44"/>
  <c r="C21" i="44"/>
  <c r="C26" i="44"/>
  <c r="C15" i="44"/>
  <c r="C25" i="44"/>
  <c r="C18" i="44"/>
  <c r="C17" i="44"/>
  <c r="C14" i="44"/>
  <c r="C27" i="44"/>
  <c r="E16" i="15"/>
  <c r="N16" i="24"/>
  <c r="K17" i="24"/>
  <c r="P17" i="24"/>
  <c r="J10" i="44"/>
  <c r="D11" i="44"/>
  <c r="D11" i="11"/>
  <c r="G16" i="24"/>
  <c r="J16" i="24"/>
  <c r="E18" i="24"/>
  <c r="C17" i="24"/>
  <c r="B17" i="24"/>
  <c r="M17" i="24" s="1"/>
  <c r="G32" i="34"/>
  <c r="E12" i="44" s="1"/>
  <c r="E11" i="11"/>
  <c r="F32" i="34"/>
  <c r="C25" i="11"/>
  <c r="C21" i="11"/>
  <c r="C11" i="11"/>
  <c r="C19" i="11"/>
  <c r="C13" i="11"/>
  <c r="C26" i="11"/>
  <c r="C27" i="11"/>
  <c r="C14" i="11"/>
  <c r="C15" i="11"/>
  <c r="C9" i="11"/>
  <c r="C10" i="11"/>
  <c r="C28" i="11"/>
  <c r="C16" i="11"/>
  <c r="C20" i="11"/>
  <c r="C29" i="11"/>
  <c r="C22" i="11"/>
  <c r="C30" i="11"/>
  <c r="C17" i="11"/>
  <c r="C18" i="11"/>
  <c r="C8" i="11"/>
  <c r="K8" i="11" s="1"/>
  <c r="C12" i="11"/>
  <c r="C24" i="11"/>
  <c r="E7" i="24"/>
  <c r="R8" i="44" l="1"/>
  <c r="N11" i="44"/>
  <c r="N10" i="44"/>
  <c r="R10" i="44"/>
  <c r="O9" i="44"/>
  <c r="R9" i="44"/>
  <c r="N9" i="44"/>
  <c r="J11" i="44"/>
  <c r="H11" i="44"/>
  <c r="O10" i="44"/>
  <c r="K7" i="24"/>
  <c r="P7" i="24"/>
  <c r="K18" i="24"/>
  <c r="P18" i="24"/>
  <c r="E17" i="15"/>
  <c r="N17" i="24"/>
  <c r="G11" i="44"/>
  <c r="R11" i="44"/>
  <c r="K11" i="44"/>
  <c r="D12" i="44"/>
  <c r="K12" i="44" s="1"/>
  <c r="D12" i="11"/>
  <c r="O10" i="11"/>
  <c r="O9" i="11"/>
  <c r="G17" i="24"/>
  <c r="J17" i="24"/>
  <c r="H7" i="24"/>
  <c r="E8" i="24"/>
  <c r="C7" i="24"/>
  <c r="G7" i="24" s="1"/>
  <c r="B7" i="24"/>
  <c r="M7" i="24" s="1"/>
  <c r="E19" i="24"/>
  <c r="C18" i="24"/>
  <c r="B18" i="24"/>
  <c r="M18" i="24" s="1"/>
  <c r="R10" i="11"/>
  <c r="R9" i="11"/>
  <c r="R8" i="11"/>
  <c r="R11" i="11"/>
  <c r="N11" i="11"/>
  <c r="G33" i="34"/>
  <c r="E13" i="44" s="1"/>
  <c r="E12" i="11"/>
  <c r="F33" i="34"/>
  <c r="N12" i="44" l="1"/>
  <c r="J12" i="44"/>
  <c r="R12" i="44"/>
  <c r="E18" i="15"/>
  <c r="F18" i="15" s="1"/>
  <c r="H18" i="15" s="1"/>
  <c r="N18" i="24"/>
  <c r="E7" i="15"/>
  <c r="N7" i="24"/>
  <c r="K19" i="24"/>
  <c r="P19" i="24"/>
  <c r="K8" i="24"/>
  <c r="P8" i="24"/>
  <c r="D13" i="44"/>
  <c r="H13" i="44" s="1"/>
  <c r="D13" i="11"/>
  <c r="H12" i="44"/>
  <c r="G12" i="44"/>
  <c r="G13" i="44"/>
  <c r="R12" i="11"/>
  <c r="J7" i="24"/>
  <c r="G18" i="24"/>
  <c r="J18" i="24"/>
  <c r="H8" i="24"/>
  <c r="E20" i="24"/>
  <c r="C19" i="24"/>
  <c r="B19" i="24"/>
  <c r="M19" i="24" s="1"/>
  <c r="C8" i="24"/>
  <c r="B8" i="24"/>
  <c r="M8" i="24" s="1"/>
  <c r="N12" i="11"/>
  <c r="H12" i="24"/>
  <c r="H14" i="24"/>
  <c r="N9" i="11"/>
  <c r="H16" i="24"/>
  <c r="H19" i="24"/>
  <c r="H11" i="24"/>
  <c r="H18" i="24"/>
  <c r="H15" i="24"/>
  <c r="H17" i="24"/>
  <c r="N10" i="11"/>
  <c r="H13" i="24"/>
  <c r="F9" i="15"/>
  <c r="F14" i="15"/>
  <c r="H14" i="15" s="1"/>
  <c r="F15" i="15"/>
  <c r="H15" i="15" s="1"/>
  <c r="F17" i="15"/>
  <c r="H17" i="15" s="1"/>
  <c r="F16" i="15"/>
  <c r="H16" i="15" s="1"/>
  <c r="F10" i="15"/>
  <c r="H10" i="15" s="1"/>
  <c r="L10" i="44" s="1"/>
  <c r="F13" i="15"/>
  <c r="H13" i="15" s="1"/>
  <c r="L13" i="44" s="1"/>
  <c r="F11" i="15"/>
  <c r="H11" i="15" s="1"/>
  <c r="L11" i="44" s="1"/>
  <c r="F12" i="15"/>
  <c r="H12" i="15" s="1"/>
  <c r="L12" i="44" s="1"/>
  <c r="F34" i="34"/>
  <c r="G34" i="34"/>
  <c r="E14" i="44" s="1"/>
  <c r="E13" i="11"/>
  <c r="H9" i="15" l="1"/>
  <c r="L9" i="44" s="1"/>
  <c r="K9" i="15"/>
  <c r="J13" i="44"/>
  <c r="O13" i="44"/>
  <c r="N13" i="44"/>
  <c r="R13" i="44"/>
  <c r="K13" i="44"/>
  <c r="E8" i="15"/>
  <c r="F8" i="15" s="1"/>
  <c r="N8" i="24"/>
  <c r="E19" i="15"/>
  <c r="F19" i="15" s="1"/>
  <c r="H19" i="15" s="1"/>
  <c r="N19" i="24"/>
  <c r="K20" i="24"/>
  <c r="P20" i="24"/>
  <c r="D14" i="44"/>
  <c r="K14" i="44" s="1"/>
  <c r="D14" i="11"/>
  <c r="N13" i="11"/>
  <c r="O12" i="11"/>
  <c r="O12" i="44"/>
  <c r="O11" i="11"/>
  <c r="O11" i="44"/>
  <c r="O13" i="11"/>
  <c r="AK16" i="15"/>
  <c r="AQ16" i="15" s="1"/>
  <c r="AL16" i="15"/>
  <c r="AR16" i="15" s="1"/>
  <c r="AM16" i="15"/>
  <c r="AS16" i="15" s="1"/>
  <c r="AK17" i="15"/>
  <c r="AQ17" i="15" s="1"/>
  <c r="AL17" i="15"/>
  <c r="AR17" i="15" s="1"/>
  <c r="AM17" i="15"/>
  <c r="AS17" i="15" s="1"/>
  <c r="AK11" i="15"/>
  <c r="AQ11" i="15" s="1"/>
  <c r="AL11" i="15"/>
  <c r="AR11" i="15" s="1"/>
  <c r="AM11" i="15"/>
  <c r="AS11" i="15" s="1"/>
  <c r="AK15" i="15"/>
  <c r="AQ15" i="15" s="1"/>
  <c r="AL15" i="15"/>
  <c r="AR15" i="15" s="1"/>
  <c r="AM15" i="15"/>
  <c r="AS15" i="15" s="1"/>
  <c r="AK12" i="15"/>
  <c r="AQ12" i="15" s="1"/>
  <c r="AL12" i="15"/>
  <c r="AR12" i="15" s="1"/>
  <c r="AM12" i="15"/>
  <c r="AS12" i="15" s="1"/>
  <c r="AK14" i="15"/>
  <c r="AQ14" i="15" s="1"/>
  <c r="AL14" i="15"/>
  <c r="AR14" i="15" s="1"/>
  <c r="AM14" i="15"/>
  <c r="AS14" i="15" s="1"/>
  <c r="AK13" i="15"/>
  <c r="AQ13" i="15" s="1"/>
  <c r="AL13" i="15"/>
  <c r="AR13" i="15" s="1"/>
  <c r="AM13" i="15"/>
  <c r="AS13" i="15" s="1"/>
  <c r="AK18" i="15"/>
  <c r="AQ18" i="15" s="1"/>
  <c r="AL18" i="15"/>
  <c r="AR18" i="15" s="1"/>
  <c r="AM18" i="15"/>
  <c r="AS18" i="15" s="1"/>
  <c r="AK10" i="15"/>
  <c r="AQ10" i="15" s="1"/>
  <c r="AL10" i="15"/>
  <c r="AR10" i="15" s="1"/>
  <c r="AM10" i="15"/>
  <c r="AS10" i="15" s="1"/>
  <c r="AK9" i="15"/>
  <c r="AQ9" i="15" s="1"/>
  <c r="AL9" i="15"/>
  <c r="AR9" i="15" s="1"/>
  <c r="AM9" i="15"/>
  <c r="AS9" i="15" s="1"/>
  <c r="G19" i="24"/>
  <c r="J19" i="24"/>
  <c r="J8" i="24"/>
  <c r="N8" i="11" s="1"/>
  <c r="G8" i="24"/>
  <c r="O8" i="11" s="1"/>
  <c r="E21" i="24"/>
  <c r="C20" i="24"/>
  <c r="B20" i="24"/>
  <c r="M20" i="24" s="1"/>
  <c r="N18" i="15"/>
  <c r="N17" i="15"/>
  <c r="N13" i="15"/>
  <c r="N14" i="15"/>
  <c r="N16" i="15"/>
  <c r="N11" i="15"/>
  <c r="N15" i="15"/>
  <c r="N12" i="15"/>
  <c r="N9" i="15"/>
  <c r="N10" i="15"/>
  <c r="R13" i="11"/>
  <c r="J17" i="15"/>
  <c r="K17" i="15"/>
  <c r="L17" i="15"/>
  <c r="J14" i="15"/>
  <c r="K14" i="15"/>
  <c r="L14" i="15"/>
  <c r="L9" i="11"/>
  <c r="J9" i="15"/>
  <c r="L9" i="15"/>
  <c r="L13" i="15"/>
  <c r="J13" i="15"/>
  <c r="K13" i="15"/>
  <c r="L10" i="11"/>
  <c r="J10" i="15"/>
  <c r="K10" i="15"/>
  <c r="L10" i="15"/>
  <c r="J12" i="15"/>
  <c r="K12" i="15"/>
  <c r="L12" i="15"/>
  <c r="J15" i="15"/>
  <c r="K15" i="15"/>
  <c r="L15" i="15"/>
  <c r="K11" i="15"/>
  <c r="L11" i="15"/>
  <c r="J11" i="15"/>
  <c r="L16" i="15"/>
  <c r="K16" i="15"/>
  <c r="J16" i="15"/>
  <c r="J18" i="15"/>
  <c r="K18" i="15"/>
  <c r="L18" i="15"/>
  <c r="F7" i="15"/>
  <c r="D7" i="15" s="1"/>
  <c r="AN7" i="15" s="1"/>
  <c r="AU7" i="15" s="1"/>
  <c r="F6" i="15"/>
  <c r="D6" i="15" s="1"/>
  <c r="AN6" i="15" s="1"/>
  <c r="AU6" i="15" s="1"/>
  <c r="G35" i="34"/>
  <c r="E15" i="44" s="1"/>
  <c r="E14" i="11"/>
  <c r="F35" i="34"/>
  <c r="H8" i="15" l="1"/>
  <c r="L8" i="44" s="1"/>
  <c r="AO6" i="15"/>
  <c r="AT6" i="15" s="1"/>
  <c r="AO7" i="15"/>
  <c r="AT7" i="15" s="1"/>
  <c r="H7" i="15"/>
  <c r="H6" i="15"/>
  <c r="N14" i="44"/>
  <c r="G14" i="44"/>
  <c r="H14" i="44"/>
  <c r="R14" i="44"/>
  <c r="O14" i="44"/>
  <c r="L14" i="44"/>
  <c r="P14" i="44"/>
  <c r="J14" i="44"/>
  <c r="E20" i="15"/>
  <c r="F20" i="15" s="1"/>
  <c r="H20" i="15" s="1"/>
  <c r="N20" i="24"/>
  <c r="K21" i="24"/>
  <c r="P21" i="24"/>
  <c r="Q13" i="11"/>
  <c r="Q11" i="11"/>
  <c r="Q14" i="11"/>
  <c r="Q12" i="11"/>
  <c r="D15" i="44"/>
  <c r="L15" i="44" s="1"/>
  <c r="D15" i="11"/>
  <c r="Q15" i="11" s="1"/>
  <c r="N19" i="15"/>
  <c r="Q13" i="44"/>
  <c r="P12" i="11"/>
  <c r="P12" i="44"/>
  <c r="P11" i="11"/>
  <c r="P11" i="44"/>
  <c r="O8" i="44"/>
  <c r="Q14" i="44"/>
  <c r="Q12" i="44"/>
  <c r="Q11" i="44"/>
  <c r="P13" i="11"/>
  <c r="P13" i="44"/>
  <c r="N8" i="44"/>
  <c r="K19" i="15"/>
  <c r="L19" i="15"/>
  <c r="J19" i="15"/>
  <c r="N14" i="11"/>
  <c r="AK6" i="15"/>
  <c r="AQ6" i="15" s="1"/>
  <c r="AL6" i="15"/>
  <c r="AR6" i="15" s="1"/>
  <c r="AM6" i="15"/>
  <c r="AS6" i="15" s="1"/>
  <c r="L8" i="11"/>
  <c r="AK8" i="15"/>
  <c r="AQ8" i="15" s="1"/>
  <c r="AL8" i="15"/>
  <c r="AR8" i="15" s="1"/>
  <c r="AM8" i="15"/>
  <c r="AS8" i="15" s="1"/>
  <c r="AK7" i="15"/>
  <c r="AQ7" i="15" s="1"/>
  <c r="AL7" i="15"/>
  <c r="AR7" i="15" s="1"/>
  <c r="AM7" i="15"/>
  <c r="AS7" i="15" s="1"/>
  <c r="N8" i="15"/>
  <c r="AK19" i="15"/>
  <c r="AQ19" i="15" s="1"/>
  <c r="AL19" i="15"/>
  <c r="AR19" i="15" s="1"/>
  <c r="AM19" i="15"/>
  <c r="AS19" i="15" s="1"/>
  <c r="O14" i="11"/>
  <c r="K8" i="15"/>
  <c r="J8" i="15"/>
  <c r="L8" i="15"/>
  <c r="G20" i="24"/>
  <c r="J20" i="24"/>
  <c r="H20" i="24"/>
  <c r="E22" i="24"/>
  <c r="B21" i="24"/>
  <c r="M21" i="24" s="1"/>
  <c r="C21" i="24"/>
  <c r="N7" i="15"/>
  <c r="N6" i="15"/>
  <c r="R14" i="11"/>
  <c r="P14" i="11"/>
  <c r="J6" i="15"/>
  <c r="K6" i="15"/>
  <c r="L6" i="15"/>
  <c r="J7" i="15"/>
  <c r="K7" i="15"/>
  <c r="L7" i="15"/>
  <c r="G36" i="34"/>
  <c r="E16" i="44" s="1"/>
  <c r="E15" i="11"/>
  <c r="F36" i="34"/>
  <c r="N15" i="44" l="1"/>
  <c r="K15" i="44"/>
  <c r="G15" i="44"/>
  <c r="O15" i="44"/>
  <c r="P15" i="44"/>
  <c r="Q15" i="44"/>
  <c r="R15" i="44"/>
  <c r="J15" i="44"/>
  <c r="H15" i="44"/>
  <c r="Q9" i="11"/>
  <c r="K22" i="24"/>
  <c r="P22" i="24"/>
  <c r="E21" i="15"/>
  <c r="F21" i="15" s="1"/>
  <c r="H21" i="15" s="1"/>
  <c r="N21" i="24"/>
  <c r="Q8" i="11"/>
  <c r="Q10" i="11"/>
  <c r="D16" i="44"/>
  <c r="L16" i="44" s="1"/>
  <c r="D16" i="11"/>
  <c r="Q16" i="11" s="1"/>
  <c r="Q10" i="44"/>
  <c r="Q8" i="44"/>
  <c r="P8" i="11"/>
  <c r="P8" i="44"/>
  <c r="Q9" i="44"/>
  <c r="P9" i="11"/>
  <c r="P9" i="44"/>
  <c r="P10" i="11"/>
  <c r="P10" i="44"/>
  <c r="AK20" i="15"/>
  <c r="AQ20" i="15" s="1"/>
  <c r="AL20" i="15"/>
  <c r="AR20" i="15" s="1"/>
  <c r="AM20" i="15"/>
  <c r="AS20" i="15" s="1"/>
  <c r="N15" i="11"/>
  <c r="O15" i="11"/>
  <c r="G21" i="24"/>
  <c r="J21" i="24"/>
  <c r="E23" i="24"/>
  <c r="B22" i="24"/>
  <c r="M22" i="24" s="1"/>
  <c r="C22" i="24"/>
  <c r="K20" i="15"/>
  <c r="L20" i="15"/>
  <c r="N20" i="15"/>
  <c r="J20" i="15"/>
  <c r="H21" i="24"/>
  <c r="R15" i="11"/>
  <c r="P15" i="11"/>
  <c r="F37" i="34"/>
  <c r="G37" i="34"/>
  <c r="E17" i="44" s="1"/>
  <c r="E16" i="11"/>
  <c r="G16" i="44" l="1"/>
  <c r="N16" i="44"/>
  <c r="O16" i="44"/>
  <c r="P16" i="44"/>
  <c r="Q16" i="44"/>
  <c r="J16" i="44"/>
  <c r="K16" i="44"/>
  <c r="R16" i="44"/>
  <c r="H16" i="44"/>
  <c r="E22" i="15"/>
  <c r="F22" i="15" s="1"/>
  <c r="H22" i="15" s="1"/>
  <c r="N22" i="24"/>
  <c r="K23" i="24"/>
  <c r="P23" i="24"/>
  <c r="D17" i="44"/>
  <c r="R17" i="44" s="1"/>
  <c r="D17" i="11"/>
  <c r="Q17" i="11" s="1"/>
  <c r="J17" i="44"/>
  <c r="AK21" i="15"/>
  <c r="AQ21" i="15" s="1"/>
  <c r="AL21" i="15"/>
  <c r="AR21" i="15" s="1"/>
  <c r="AM21" i="15"/>
  <c r="AS21" i="15" s="1"/>
  <c r="N16" i="11"/>
  <c r="O16" i="11"/>
  <c r="G22" i="24"/>
  <c r="J22" i="24"/>
  <c r="E24" i="24"/>
  <c r="C23" i="24"/>
  <c r="B23" i="24"/>
  <c r="M23" i="24" s="1"/>
  <c r="H22" i="24"/>
  <c r="K21" i="15"/>
  <c r="N21" i="15"/>
  <c r="J21" i="15"/>
  <c r="L21" i="15"/>
  <c r="R16" i="11"/>
  <c r="P16" i="11"/>
  <c r="F38" i="34"/>
  <c r="G38" i="34"/>
  <c r="E18" i="44" s="1"/>
  <c r="E17" i="11"/>
  <c r="N17" i="44" l="1"/>
  <c r="L17" i="44"/>
  <c r="E23" i="15"/>
  <c r="F23" i="15" s="1"/>
  <c r="H23" i="15" s="1"/>
  <c r="N23" i="24"/>
  <c r="K24" i="24"/>
  <c r="P24" i="24"/>
  <c r="K17" i="44"/>
  <c r="P17" i="44"/>
  <c r="G17" i="44"/>
  <c r="H17" i="44"/>
  <c r="D18" i="44"/>
  <c r="N18" i="44" s="1"/>
  <c r="D18" i="11"/>
  <c r="Q18" i="11" s="1"/>
  <c r="Q17" i="44"/>
  <c r="O17" i="44"/>
  <c r="J18" i="44"/>
  <c r="AK22" i="15"/>
  <c r="AQ22" i="15" s="1"/>
  <c r="AL22" i="15"/>
  <c r="AR22" i="15" s="1"/>
  <c r="AM22" i="15"/>
  <c r="AS22" i="15" s="1"/>
  <c r="N17" i="11"/>
  <c r="O17" i="11"/>
  <c r="G23" i="24"/>
  <c r="J23" i="24"/>
  <c r="H23" i="24"/>
  <c r="E25" i="24"/>
  <c r="C24" i="24"/>
  <c r="B24" i="24"/>
  <c r="M24" i="24" s="1"/>
  <c r="N22" i="15"/>
  <c r="K22" i="15"/>
  <c r="L22" i="15"/>
  <c r="J22" i="15"/>
  <c r="R17" i="11"/>
  <c r="P17" i="11"/>
  <c r="G39" i="34"/>
  <c r="E19" i="44" s="1"/>
  <c r="E18" i="11"/>
  <c r="F39" i="34"/>
  <c r="K18" i="44" l="1"/>
  <c r="P18" i="44"/>
  <c r="O18" i="44"/>
  <c r="Q18" i="44"/>
  <c r="R18" i="44"/>
  <c r="L18" i="44"/>
  <c r="H18" i="44"/>
  <c r="K25" i="24"/>
  <c r="P25" i="24"/>
  <c r="E24" i="15"/>
  <c r="F24" i="15" s="1"/>
  <c r="H24" i="15" s="1"/>
  <c r="N24" i="24"/>
  <c r="G18" i="44"/>
  <c r="D19" i="44"/>
  <c r="L19" i="44" s="1"/>
  <c r="D19" i="11"/>
  <c r="Q19" i="11" s="1"/>
  <c r="G19" i="44"/>
  <c r="H19" i="44"/>
  <c r="AK23" i="15"/>
  <c r="AQ23" i="15" s="1"/>
  <c r="AL23" i="15"/>
  <c r="AR23" i="15" s="1"/>
  <c r="AM23" i="15"/>
  <c r="AS23" i="15" s="1"/>
  <c r="N18" i="11"/>
  <c r="O18" i="11"/>
  <c r="G24" i="24"/>
  <c r="J24" i="24"/>
  <c r="E26" i="24"/>
  <c r="C25" i="24"/>
  <c r="B25" i="24"/>
  <c r="M25" i="24" s="1"/>
  <c r="J23" i="15"/>
  <c r="N23" i="15"/>
  <c r="K23" i="15"/>
  <c r="L23" i="15"/>
  <c r="H24" i="24"/>
  <c r="R18" i="11"/>
  <c r="P18" i="11"/>
  <c r="G40" i="34"/>
  <c r="E20" i="44" s="1"/>
  <c r="E19" i="11"/>
  <c r="F40" i="34"/>
  <c r="K19" i="44" l="1"/>
  <c r="Q19" i="44"/>
  <c r="O19" i="44"/>
  <c r="N19" i="44"/>
  <c r="P19" i="44"/>
  <c r="J19" i="44"/>
  <c r="R19" i="44"/>
  <c r="E25" i="15"/>
  <c r="F25" i="15" s="1"/>
  <c r="H25" i="15" s="1"/>
  <c r="N25" i="24"/>
  <c r="K26" i="24"/>
  <c r="P26" i="24"/>
  <c r="D20" i="44"/>
  <c r="R20" i="44" s="1"/>
  <c r="D20" i="11"/>
  <c r="Q20" i="11" s="1"/>
  <c r="AK24" i="15"/>
  <c r="AQ24" i="15" s="1"/>
  <c r="AL24" i="15"/>
  <c r="AR24" i="15" s="1"/>
  <c r="AM24" i="15"/>
  <c r="AS24" i="15" s="1"/>
  <c r="O19" i="11"/>
  <c r="N19" i="11"/>
  <c r="G25" i="24"/>
  <c r="J25" i="24"/>
  <c r="E27" i="24"/>
  <c r="C26" i="24"/>
  <c r="B26" i="24"/>
  <c r="M26" i="24" s="1"/>
  <c r="K24" i="15"/>
  <c r="J24" i="15"/>
  <c r="N24" i="15"/>
  <c r="L24" i="15"/>
  <c r="H25" i="24"/>
  <c r="R19" i="11"/>
  <c r="P19" i="11"/>
  <c r="F41" i="34"/>
  <c r="G41" i="34"/>
  <c r="E21" i="44" s="1"/>
  <c r="E20" i="11"/>
  <c r="Q20" i="44" l="1"/>
  <c r="L20" i="44"/>
  <c r="E26" i="15"/>
  <c r="F26" i="15" s="1"/>
  <c r="H26" i="15" s="1"/>
  <c r="N26" i="24"/>
  <c r="K27" i="24"/>
  <c r="P27" i="24"/>
  <c r="J20" i="44"/>
  <c r="K20" i="44"/>
  <c r="H20" i="44"/>
  <c r="O20" i="44"/>
  <c r="G20" i="44"/>
  <c r="N20" i="44"/>
  <c r="D21" i="44"/>
  <c r="D21" i="11"/>
  <c r="Q21" i="11" s="1"/>
  <c r="P20" i="44"/>
  <c r="AK25" i="15"/>
  <c r="AQ25" i="15" s="1"/>
  <c r="AL25" i="15"/>
  <c r="AR25" i="15" s="1"/>
  <c r="AM25" i="15"/>
  <c r="AS25" i="15" s="1"/>
  <c r="O20" i="11"/>
  <c r="N20" i="11"/>
  <c r="G26" i="24"/>
  <c r="J26" i="24"/>
  <c r="H26" i="24"/>
  <c r="E28" i="24"/>
  <c r="C27" i="24"/>
  <c r="B27" i="24"/>
  <c r="M27" i="24" s="1"/>
  <c r="K25" i="15"/>
  <c r="L25" i="15"/>
  <c r="N25" i="15"/>
  <c r="J25" i="15"/>
  <c r="R20" i="11"/>
  <c r="P20" i="11"/>
  <c r="F42" i="34"/>
  <c r="G42" i="34"/>
  <c r="E22" i="44" s="1"/>
  <c r="E21" i="11"/>
  <c r="Q21" i="44" l="1"/>
  <c r="L21" i="44"/>
  <c r="P21" i="44"/>
  <c r="R21" i="44"/>
  <c r="J21" i="44"/>
  <c r="H21" i="44"/>
  <c r="K28" i="24"/>
  <c r="P28" i="24"/>
  <c r="E27" i="15"/>
  <c r="F27" i="15" s="1"/>
  <c r="H27" i="15" s="1"/>
  <c r="N27" i="24"/>
  <c r="K21" i="44"/>
  <c r="G21" i="44"/>
  <c r="O21" i="44"/>
  <c r="N21" i="44"/>
  <c r="D22" i="44"/>
  <c r="G22" i="44" s="1"/>
  <c r="D22" i="11"/>
  <c r="Q22" i="11" s="1"/>
  <c r="AK26" i="15"/>
  <c r="AQ26" i="15" s="1"/>
  <c r="AL26" i="15"/>
  <c r="AR26" i="15" s="1"/>
  <c r="AM26" i="15"/>
  <c r="AS26" i="15" s="1"/>
  <c r="N21" i="11"/>
  <c r="O21" i="11"/>
  <c r="G27" i="24"/>
  <c r="J27" i="24"/>
  <c r="E29" i="24"/>
  <c r="B28" i="24"/>
  <c r="M28" i="24" s="1"/>
  <c r="C28" i="24"/>
  <c r="K26" i="15"/>
  <c r="N26" i="15"/>
  <c r="J26" i="15"/>
  <c r="L26" i="15"/>
  <c r="H27" i="24"/>
  <c r="R21" i="11"/>
  <c r="P21" i="11"/>
  <c r="A8" i="15"/>
  <c r="F43" i="34"/>
  <c r="G43" i="34"/>
  <c r="E23" i="44" s="1"/>
  <c r="E22" i="11"/>
  <c r="B9" i="11"/>
  <c r="C8" i="15" l="1"/>
  <c r="S8" i="15"/>
  <c r="V8" i="15" s="1"/>
  <c r="AC8" i="15" s="1"/>
  <c r="O22" i="44"/>
  <c r="Q22" i="44"/>
  <c r="N22" i="44"/>
  <c r="P22" i="44"/>
  <c r="J22" i="44"/>
  <c r="K9" i="11"/>
  <c r="B8" i="15"/>
  <c r="T8" i="15"/>
  <c r="W8" i="15" s="1"/>
  <c r="AD8" i="15" s="1"/>
  <c r="R8" i="15"/>
  <c r="U8" i="15" s="1"/>
  <c r="AB8" i="15" s="1"/>
  <c r="K22" i="44"/>
  <c r="H22" i="44"/>
  <c r="R22" i="44"/>
  <c r="L22" i="44"/>
  <c r="E28" i="15"/>
  <c r="F28" i="15" s="1"/>
  <c r="H28" i="15" s="1"/>
  <c r="N28" i="24"/>
  <c r="K29" i="24"/>
  <c r="P29" i="24"/>
  <c r="D23" i="44"/>
  <c r="L23" i="44" s="1"/>
  <c r="D23" i="11"/>
  <c r="Q23" i="11" s="1"/>
  <c r="G9" i="11"/>
  <c r="H9" i="11"/>
  <c r="H23" i="44"/>
  <c r="J9" i="11"/>
  <c r="F33" i="39"/>
  <c r="AK27" i="15"/>
  <c r="AQ27" i="15" s="1"/>
  <c r="AL27" i="15"/>
  <c r="AR27" i="15" s="1"/>
  <c r="AM27" i="15"/>
  <c r="AS27" i="15" s="1"/>
  <c r="O22" i="11"/>
  <c r="N22" i="11"/>
  <c r="G28" i="24"/>
  <c r="J28" i="24"/>
  <c r="L27" i="15"/>
  <c r="J27" i="15"/>
  <c r="N27" i="15"/>
  <c r="K27" i="15"/>
  <c r="H28" i="24"/>
  <c r="E30" i="24"/>
  <c r="C29" i="24"/>
  <c r="B29" i="24"/>
  <c r="M29" i="24" s="1"/>
  <c r="R22" i="11"/>
  <c r="P22" i="11"/>
  <c r="A9" i="15"/>
  <c r="G44" i="34"/>
  <c r="E24" i="44" s="1"/>
  <c r="E23" i="11"/>
  <c r="F44" i="34"/>
  <c r="B10" i="11"/>
  <c r="K10" i="11" s="1"/>
  <c r="N23" i="44" l="1"/>
  <c r="J23" i="44"/>
  <c r="D8" i="15"/>
  <c r="AN8" i="15" s="1"/>
  <c r="AU8" i="15" s="1"/>
  <c r="M8" i="44" s="1"/>
  <c r="C9" i="15"/>
  <c r="S9" i="15"/>
  <c r="V9" i="15" s="1"/>
  <c r="AC9" i="15" s="1"/>
  <c r="G23" i="44"/>
  <c r="Q23" i="44"/>
  <c r="P23" i="44"/>
  <c r="R23" i="44"/>
  <c r="O23" i="44"/>
  <c r="K23" i="44"/>
  <c r="B9" i="15"/>
  <c r="T9" i="15"/>
  <c r="W9" i="15" s="1"/>
  <c r="AD9" i="15" s="1"/>
  <c r="R9" i="15"/>
  <c r="U9" i="15" s="1"/>
  <c r="AB9" i="15" s="1"/>
  <c r="E29" i="15"/>
  <c r="F29" i="15" s="1"/>
  <c r="H29" i="15" s="1"/>
  <c r="N29" i="24"/>
  <c r="K30" i="24"/>
  <c r="P30" i="24"/>
  <c r="G10" i="11"/>
  <c r="H10" i="11"/>
  <c r="D24" i="44"/>
  <c r="L24" i="44" s="1"/>
  <c r="D24" i="11"/>
  <c r="Q24" i="11" s="1"/>
  <c r="J10" i="11"/>
  <c r="G33" i="39"/>
  <c r="AK28" i="15"/>
  <c r="AQ28" i="15" s="1"/>
  <c r="AL28" i="15"/>
  <c r="AR28" i="15" s="1"/>
  <c r="AM28" i="15"/>
  <c r="AS28" i="15" s="1"/>
  <c r="N23" i="11"/>
  <c r="O23" i="11"/>
  <c r="G29" i="24"/>
  <c r="J29" i="24"/>
  <c r="B30" i="24"/>
  <c r="M30" i="24" s="1"/>
  <c r="C30" i="24"/>
  <c r="N28" i="15"/>
  <c r="K28" i="15"/>
  <c r="L28" i="15"/>
  <c r="J28" i="15"/>
  <c r="H29" i="24"/>
  <c r="R23" i="11"/>
  <c r="P23" i="11"/>
  <c r="A10" i="15"/>
  <c r="G45" i="34"/>
  <c r="E25" i="44" s="1"/>
  <c r="E24" i="11"/>
  <c r="F45" i="34"/>
  <c r="B11" i="11"/>
  <c r="AO8" i="15" l="1"/>
  <c r="AT8" i="15" s="1"/>
  <c r="M8" i="11" s="1"/>
  <c r="D9" i="15"/>
  <c r="AO9" i="15" s="1"/>
  <c r="AT9" i="15" s="1"/>
  <c r="C10" i="15"/>
  <c r="S10" i="15"/>
  <c r="V10" i="15" s="1"/>
  <c r="AC10" i="15" s="1"/>
  <c r="J24" i="44"/>
  <c r="R24" i="44"/>
  <c r="P24" i="44"/>
  <c r="K11" i="11"/>
  <c r="B10" i="15"/>
  <c r="T10" i="15"/>
  <c r="W10" i="15" s="1"/>
  <c r="AD10" i="15" s="1"/>
  <c r="R10" i="15"/>
  <c r="U10" i="15" s="1"/>
  <c r="AB10" i="15" s="1"/>
  <c r="K24" i="44"/>
  <c r="O24" i="44"/>
  <c r="N24" i="44"/>
  <c r="H24" i="44"/>
  <c r="Q24" i="44"/>
  <c r="G24" i="44"/>
  <c r="E30" i="15"/>
  <c r="F30" i="15" s="1"/>
  <c r="H30" i="15" s="1"/>
  <c r="N30" i="24"/>
  <c r="G11" i="11"/>
  <c r="H11" i="11"/>
  <c r="D25" i="44"/>
  <c r="L25" i="44" s="1"/>
  <c r="D25" i="11"/>
  <c r="Q25" i="11" s="1"/>
  <c r="J11" i="11"/>
  <c r="AK29" i="15"/>
  <c r="AQ29" i="15" s="1"/>
  <c r="AL29" i="15"/>
  <c r="AR29" i="15" s="1"/>
  <c r="AM29" i="15"/>
  <c r="AS29" i="15" s="1"/>
  <c r="N24" i="11"/>
  <c r="O24" i="11"/>
  <c r="G30" i="24"/>
  <c r="J30" i="24"/>
  <c r="K29" i="15"/>
  <c r="L29" i="15"/>
  <c r="N29" i="15"/>
  <c r="J29" i="15"/>
  <c r="H30" i="24"/>
  <c r="R24" i="11"/>
  <c r="P24" i="11"/>
  <c r="H33" i="39"/>
  <c r="A11" i="15"/>
  <c r="F46" i="34"/>
  <c r="G46" i="34"/>
  <c r="E26" i="44" s="1"/>
  <c r="E25" i="11"/>
  <c r="B12" i="11"/>
  <c r="K12" i="11" s="1"/>
  <c r="AN9" i="15" l="1"/>
  <c r="AU9" i="15" s="1"/>
  <c r="M9" i="44" s="1"/>
  <c r="D10" i="15"/>
  <c r="AN10" i="15" s="1"/>
  <c r="AU10" i="15" s="1"/>
  <c r="M10" i="44" s="1"/>
  <c r="M9" i="11"/>
  <c r="C11" i="15"/>
  <c r="S11" i="15"/>
  <c r="V11" i="15" s="1"/>
  <c r="AC11" i="15" s="1"/>
  <c r="P25" i="44"/>
  <c r="B11" i="15"/>
  <c r="R11" i="15"/>
  <c r="U11" i="15" s="1"/>
  <c r="AB11" i="15" s="1"/>
  <c r="T11" i="15"/>
  <c r="W11" i="15" s="1"/>
  <c r="AD11" i="15" s="1"/>
  <c r="Q25" i="44"/>
  <c r="R25" i="44"/>
  <c r="J25" i="44"/>
  <c r="K25" i="44"/>
  <c r="O25" i="44"/>
  <c r="G25" i="44"/>
  <c r="N25" i="44"/>
  <c r="H25" i="44"/>
  <c r="D26" i="44"/>
  <c r="L26" i="44" s="1"/>
  <c r="D26" i="11"/>
  <c r="Q26" i="11" s="1"/>
  <c r="G12" i="11"/>
  <c r="H12" i="11"/>
  <c r="J12" i="11"/>
  <c r="AK30" i="15"/>
  <c r="AQ30" i="15" s="1"/>
  <c r="AL30" i="15"/>
  <c r="AR30" i="15" s="1"/>
  <c r="AM30" i="15"/>
  <c r="AS30" i="15" s="1"/>
  <c r="N25" i="11"/>
  <c r="O25" i="11"/>
  <c r="K30" i="15"/>
  <c r="N30" i="15"/>
  <c r="J30" i="15"/>
  <c r="L30" i="15"/>
  <c r="R25" i="11"/>
  <c r="P25" i="11"/>
  <c r="I33" i="39"/>
  <c r="A12" i="15"/>
  <c r="F47" i="34"/>
  <c r="G47" i="34"/>
  <c r="E27" i="44" s="1"/>
  <c r="E26" i="11"/>
  <c r="B13" i="11"/>
  <c r="K13" i="11" s="1"/>
  <c r="AO10" i="15" l="1"/>
  <c r="AT10" i="15" s="1"/>
  <c r="M10" i="11" s="1"/>
  <c r="D11" i="15"/>
  <c r="AN11" i="15" s="1"/>
  <c r="AU11" i="15" s="1"/>
  <c r="M11" i="44" s="1"/>
  <c r="C12" i="15"/>
  <c r="S12" i="15"/>
  <c r="V12" i="15" s="1"/>
  <c r="AC12" i="15" s="1"/>
  <c r="J26" i="44"/>
  <c r="O26" i="44"/>
  <c r="N26" i="44"/>
  <c r="H26" i="44"/>
  <c r="Q26" i="44"/>
  <c r="K26" i="44"/>
  <c r="G26" i="44"/>
  <c r="P26" i="44"/>
  <c r="R26" i="44"/>
  <c r="B12" i="15"/>
  <c r="T12" i="15"/>
  <c r="W12" i="15" s="1"/>
  <c r="AD12" i="15" s="1"/>
  <c r="R12" i="15"/>
  <c r="U12" i="15" s="1"/>
  <c r="AB12" i="15" s="1"/>
  <c r="G13" i="11"/>
  <c r="H13" i="11"/>
  <c r="D27" i="44"/>
  <c r="H27" i="44" s="1"/>
  <c r="D27" i="11"/>
  <c r="Q27" i="11" s="1"/>
  <c r="J13" i="11"/>
  <c r="N26" i="11"/>
  <c r="O26" i="11"/>
  <c r="R26" i="11"/>
  <c r="P26" i="11"/>
  <c r="J33" i="39"/>
  <c r="A13" i="15"/>
  <c r="G48" i="34"/>
  <c r="E28" i="44" s="1"/>
  <c r="E27" i="11"/>
  <c r="F48" i="34"/>
  <c r="B14" i="11"/>
  <c r="K14" i="11" s="1"/>
  <c r="D12" i="15" l="1"/>
  <c r="AN12" i="15" s="1"/>
  <c r="AU12" i="15" s="1"/>
  <c r="M12" i="44" s="1"/>
  <c r="AO11" i="15"/>
  <c r="AT11" i="15" s="1"/>
  <c r="M11" i="11" s="1"/>
  <c r="C13" i="15"/>
  <c r="D13" i="15" s="1"/>
  <c r="S13" i="15"/>
  <c r="V13" i="15" s="1"/>
  <c r="AC13" i="15" s="1"/>
  <c r="B13" i="15"/>
  <c r="T13" i="15"/>
  <c r="W13" i="15" s="1"/>
  <c r="AD13" i="15" s="1"/>
  <c r="R13" i="15"/>
  <c r="U13" i="15" s="1"/>
  <c r="AB13" i="15" s="1"/>
  <c r="P27" i="44"/>
  <c r="K27" i="44"/>
  <c r="J27" i="44"/>
  <c r="L27" i="44"/>
  <c r="O27" i="44"/>
  <c r="N27" i="44"/>
  <c r="G27" i="44"/>
  <c r="Q27" i="44"/>
  <c r="R27" i="44"/>
  <c r="D28" i="44"/>
  <c r="K28" i="44" s="1"/>
  <c r="D28" i="11"/>
  <c r="Q28" i="11" s="1"/>
  <c r="G14" i="11"/>
  <c r="H14" i="11"/>
  <c r="J14" i="11"/>
  <c r="N27" i="11"/>
  <c r="O27" i="11"/>
  <c r="R27" i="11"/>
  <c r="P27" i="11"/>
  <c r="K33" i="39"/>
  <c r="A14" i="15"/>
  <c r="F49" i="34"/>
  <c r="G49" i="34"/>
  <c r="E29" i="44" s="1"/>
  <c r="E28" i="11"/>
  <c r="B15" i="11"/>
  <c r="K15" i="11" s="1"/>
  <c r="AO12" i="15" l="1"/>
  <c r="AT12" i="15" s="1"/>
  <c r="AN13" i="15"/>
  <c r="AU13" i="15" s="1"/>
  <c r="M13" i="44" s="1"/>
  <c r="M12" i="11"/>
  <c r="C14" i="15"/>
  <c r="D14" i="15" s="1"/>
  <c r="S14" i="15"/>
  <c r="V14" i="15" s="1"/>
  <c r="AC14" i="15" s="1"/>
  <c r="H28" i="44"/>
  <c r="R28" i="44"/>
  <c r="O28" i="44"/>
  <c r="Q28" i="44"/>
  <c r="J28" i="44"/>
  <c r="AO13" i="15"/>
  <c r="AT13" i="15" s="1"/>
  <c r="M13" i="11" s="1"/>
  <c r="G28" i="44"/>
  <c r="N28" i="44"/>
  <c r="B14" i="15"/>
  <c r="T14" i="15"/>
  <c r="W14" i="15" s="1"/>
  <c r="AD14" i="15" s="1"/>
  <c r="R14" i="15"/>
  <c r="U14" i="15" s="1"/>
  <c r="AB14" i="15" s="1"/>
  <c r="P28" i="44"/>
  <c r="L28" i="44"/>
  <c r="H15" i="11"/>
  <c r="G15" i="11"/>
  <c r="D29" i="44"/>
  <c r="K29" i="44" s="1"/>
  <c r="D29" i="11"/>
  <c r="Q29" i="11" s="1"/>
  <c r="J15" i="11"/>
  <c r="N28" i="11"/>
  <c r="O28" i="11"/>
  <c r="R28" i="11"/>
  <c r="P28" i="11"/>
  <c r="A15" i="15"/>
  <c r="G50" i="34"/>
  <c r="E30" i="44" s="1"/>
  <c r="E29" i="11"/>
  <c r="F50" i="34"/>
  <c r="B16" i="11"/>
  <c r="K16" i="11" s="1"/>
  <c r="AN14" i="15" l="1"/>
  <c r="AU14" i="15" s="1"/>
  <c r="M14" i="44" s="1"/>
  <c r="C15" i="15"/>
  <c r="S15" i="15"/>
  <c r="V15" i="15" s="1"/>
  <c r="AC15" i="15" s="1"/>
  <c r="AO14" i="15"/>
  <c r="AT14" i="15" s="1"/>
  <c r="M14" i="11" s="1"/>
  <c r="B15" i="15"/>
  <c r="W15" i="15"/>
  <c r="AD15" i="15" s="1"/>
  <c r="R15" i="15"/>
  <c r="U15" i="15" s="1"/>
  <c r="AB15" i="15" s="1"/>
  <c r="O29" i="44"/>
  <c r="L29" i="44"/>
  <c r="N29" i="44"/>
  <c r="G29" i="44"/>
  <c r="Q29" i="44"/>
  <c r="P29" i="44"/>
  <c r="R29" i="44"/>
  <c r="G16" i="11"/>
  <c r="H16" i="11"/>
  <c r="D30" i="44"/>
  <c r="H30" i="44" s="1"/>
  <c r="D30" i="11"/>
  <c r="Q30" i="11" s="1"/>
  <c r="H29" i="44"/>
  <c r="J29" i="44"/>
  <c r="J16" i="11"/>
  <c r="N29" i="11"/>
  <c r="O29" i="11"/>
  <c r="R29" i="11"/>
  <c r="P29" i="11"/>
  <c r="A16" i="15"/>
  <c r="F51" i="34"/>
  <c r="G51" i="34"/>
  <c r="E30" i="11"/>
  <c r="B17" i="11"/>
  <c r="K17" i="11" s="1"/>
  <c r="D15" i="15" l="1"/>
  <c r="AN15" i="15" s="1"/>
  <c r="AU15" i="15" s="1"/>
  <c r="M15" i="44" s="1"/>
  <c r="C16" i="15"/>
  <c r="D16" i="15" s="1"/>
  <c r="S16" i="15"/>
  <c r="V16" i="15" s="1"/>
  <c r="AC16" i="15" s="1"/>
  <c r="G30" i="44"/>
  <c r="G32" i="44" s="1"/>
  <c r="B16" i="15"/>
  <c r="T16" i="15"/>
  <c r="W16" i="15" s="1"/>
  <c r="AD16" i="15" s="1"/>
  <c r="R16" i="15"/>
  <c r="U16" i="15" s="1"/>
  <c r="AB16" i="15" s="1"/>
  <c r="O30" i="44"/>
  <c r="O32" i="44" s="1"/>
  <c r="G41" i="44" s="1"/>
  <c r="L30" i="44"/>
  <c r="L32" i="44" s="1"/>
  <c r="H32" i="44"/>
  <c r="G50" i="44" s="1"/>
  <c r="N30" i="44"/>
  <c r="N32" i="44" s="1"/>
  <c r="G40" i="44" s="1"/>
  <c r="Q30" i="44"/>
  <c r="Q32" i="44" s="1"/>
  <c r="G45" i="44" s="1"/>
  <c r="P30" i="44"/>
  <c r="P32" i="44" s="1"/>
  <c r="G44" i="44" s="1"/>
  <c r="K30" i="44"/>
  <c r="K32" i="44" s="1"/>
  <c r="G38" i="44" s="1"/>
  <c r="R30" i="44"/>
  <c r="R32" i="44" s="1"/>
  <c r="G46" i="44" s="1"/>
  <c r="J30" i="44"/>
  <c r="J32" i="44" s="1"/>
  <c r="G39" i="44" s="1"/>
  <c r="G17" i="11"/>
  <c r="H17" i="11"/>
  <c r="J17" i="11"/>
  <c r="N30" i="11"/>
  <c r="O30" i="11"/>
  <c r="O32" i="11" s="1"/>
  <c r="G41" i="11" s="1"/>
  <c r="F11" i="45" s="1"/>
  <c r="R30" i="11"/>
  <c r="P30" i="11"/>
  <c r="A17" i="15"/>
  <c r="F52" i="34"/>
  <c r="F53" i="34" s="1"/>
  <c r="F54" i="34" s="1"/>
  <c r="F55" i="34" s="1"/>
  <c r="F56" i="34" s="1"/>
  <c r="F57" i="34" s="1"/>
  <c r="F58" i="34" s="1"/>
  <c r="F59" i="34" s="1"/>
  <c r="F60" i="34" s="1"/>
  <c r="F61" i="34" s="1"/>
  <c r="F62" i="34" s="1"/>
  <c r="F63" i="34" s="1"/>
  <c r="F64" i="34" s="1"/>
  <c r="G52" i="34"/>
  <c r="G53" i="34" s="1"/>
  <c r="G54" i="34" s="1"/>
  <c r="G55" i="34" s="1"/>
  <c r="G56" i="34" s="1"/>
  <c r="G57" i="34" s="1"/>
  <c r="G58" i="34" s="1"/>
  <c r="G59" i="34" s="1"/>
  <c r="G60" i="34" s="1"/>
  <c r="G61" i="34" s="1"/>
  <c r="G62" i="34" s="1"/>
  <c r="G63" i="34" s="1"/>
  <c r="G64" i="34" s="1"/>
  <c r="B18" i="11"/>
  <c r="K18" i="11" s="1"/>
  <c r="AO15" i="15" l="1"/>
  <c r="AT15" i="15" s="1"/>
  <c r="M15" i="11" s="1"/>
  <c r="G49" i="44"/>
  <c r="G48" i="44"/>
  <c r="AN16" i="15"/>
  <c r="AU16" i="15" s="1"/>
  <c r="M16" i="44" s="1"/>
  <c r="C17" i="15"/>
  <c r="D17" i="15" s="1"/>
  <c r="S17" i="15"/>
  <c r="V17" i="15" s="1"/>
  <c r="AC17" i="15" s="1"/>
  <c r="G42" i="44"/>
  <c r="AO16" i="15"/>
  <c r="AT16" i="15" s="1"/>
  <c r="M16" i="11" s="1"/>
  <c r="B17" i="15"/>
  <c r="T17" i="15"/>
  <c r="W17" i="15" s="1"/>
  <c r="AD17" i="15" s="1"/>
  <c r="R17" i="15"/>
  <c r="U17" i="15" s="1"/>
  <c r="AB17" i="15" s="1"/>
  <c r="G18" i="11"/>
  <c r="H18" i="11"/>
  <c r="J18" i="11"/>
  <c r="A18" i="15"/>
  <c r="R32" i="11"/>
  <c r="B19" i="11"/>
  <c r="K19" i="11" s="1"/>
  <c r="G46" i="11" l="1"/>
  <c r="F16" i="45" s="1"/>
  <c r="AN17" i="15"/>
  <c r="AU17" i="15" s="1"/>
  <c r="M17" i="44" s="1"/>
  <c r="C18" i="15"/>
  <c r="S18" i="15"/>
  <c r="V18" i="15" s="1"/>
  <c r="AC18" i="15" s="1"/>
  <c r="AO17" i="15"/>
  <c r="AT17" i="15" s="1"/>
  <c r="M17" i="11" s="1"/>
  <c r="B18" i="15"/>
  <c r="R18" i="15"/>
  <c r="U18" i="15" s="1"/>
  <c r="AB18" i="15" s="1"/>
  <c r="T18" i="15"/>
  <c r="W18" i="15" s="1"/>
  <c r="AD18" i="15" s="1"/>
  <c r="H19" i="11"/>
  <c r="G19" i="11"/>
  <c r="J19" i="11"/>
  <c r="A19" i="15"/>
  <c r="B20" i="11"/>
  <c r="K20" i="11" s="1"/>
  <c r="D18" i="15" l="1"/>
  <c r="AN18" i="15" s="1"/>
  <c r="AU18" i="15" s="1"/>
  <c r="M18" i="44" s="1"/>
  <c r="C19" i="15"/>
  <c r="D19" i="15" s="1"/>
  <c r="S19" i="15"/>
  <c r="V19" i="15" s="1"/>
  <c r="AC19" i="15" s="1"/>
  <c r="B19" i="15"/>
  <c r="R19" i="15"/>
  <c r="U19" i="15" s="1"/>
  <c r="AB19" i="15" s="1"/>
  <c r="T19" i="15"/>
  <c r="W19" i="15" s="1"/>
  <c r="AD19" i="15" s="1"/>
  <c r="G20" i="11"/>
  <c r="H20" i="11"/>
  <c r="J20" i="11"/>
  <c r="A20" i="15"/>
  <c r="B21" i="11"/>
  <c r="K21" i="11" s="1"/>
  <c r="AO18" i="15" l="1"/>
  <c r="AT18" i="15" s="1"/>
  <c r="M18" i="11" s="1"/>
  <c r="AN19" i="15"/>
  <c r="AU19" i="15" s="1"/>
  <c r="M19" i="44" s="1"/>
  <c r="C20" i="15"/>
  <c r="D20" i="15" s="1"/>
  <c r="S20" i="15"/>
  <c r="V20" i="15" s="1"/>
  <c r="AC20" i="15" s="1"/>
  <c r="AO19" i="15"/>
  <c r="AT19" i="15" s="1"/>
  <c r="M19" i="11" s="1"/>
  <c r="B20" i="15"/>
  <c r="W20" i="15"/>
  <c r="AD20" i="15" s="1"/>
  <c r="R20" i="15"/>
  <c r="U20" i="15" s="1"/>
  <c r="AB20" i="15" s="1"/>
  <c r="G21" i="11"/>
  <c r="H21" i="11"/>
  <c r="J21" i="11"/>
  <c r="A21" i="15"/>
  <c r="B22" i="11"/>
  <c r="K22" i="11" s="1"/>
  <c r="AN20" i="15" l="1"/>
  <c r="AU20" i="15" s="1"/>
  <c r="M20" i="44" s="1"/>
  <c r="C21" i="15"/>
  <c r="D21" i="15" s="1"/>
  <c r="S21" i="15"/>
  <c r="V21" i="15" s="1"/>
  <c r="AC21" i="15" s="1"/>
  <c r="AO20" i="15"/>
  <c r="AT20" i="15" s="1"/>
  <c r="M20" i="11" s="1"/>
  <c r="B21" i="15"/>
  <c r="T21" i="15"/>
  <c r="W21" i="15" s="1"/>
  <c r="AD21" i="15" s="1"/>
  <c r="R21" i="15"/>
  <c r="U21" i="15" s="1"/>
  <c r="AB21" i="15" s="1"/>
  <c r="H22" i="11"/>
  <c r="G22" i="11"/>
  <c r="J22" i="11"/>
  <c r="A22" i="15"/>
  <c r="B23" i="11"/>
  <c r="K23" i="11" s="1"/>
  <c r="AN21" i="15" l="1"/>
  <c r="AU21" i="15" s="1"/>
  <c r="M21" i="44" s="1"/>
  <c r="C22" i="15"/>
  <c r="D22" i="15" s="1"/>
  <c r="S22" i="15"/>
  <c r="V22" i="15" s="1"/>
  <c r="AC22" i="15" s="1"/>
  <c r="AO21" i="15"/>
  <c r="AT21" i="15" s="1"/>
  <c r="M21" i="11" s="1"/>
  <c r="B22" i="15"/>
  <c r="T22" i="15"/>
  <c r="W22" i="15" s="1"/>
  <c r="AD22" i="15" s="1"/>
  <c r="R22" i="15"/>
  <c r="U22" i="15" s="1"/>
  <c r="AB22" i="15" s="1"/>
  <c r="G23" i="11"/>
  <c r="H23" i="11"/>
  <c r="J23" i="11"/>
  <c r="A23" i="15"/>
  <c r="B24" i="11"/>
  <c r="K24" i="11" s="1"/>
  <c r="AN22" i="15" l="1"/>
  <c r="AU22" i="15" s="1"/>
  <c r="M22" i="44" s="1"/>
  <c r="C23" i="15"/>
  <c r="S23" i="15"/>
  <c r="V23" i="15" s="1"/>
  <c r="AC23" i="15" s="1"/>
  <c r="AO22" i="15"/>
  <c r="AT22" i="15" s="1"/>
  <c r="M22" i="11" s="1"/>
  <c r="B23" i="15"/>
  <c r="T23" i="15"/>
  <c r="W23" i="15" s="1"/>
  <c r="AD23" i="15" s="1"/>
  <c r="R23" i="15"/>
  <c r="U23" i="15" s="1"/>
  <c r="AB23" i="15" s="1"/>
  <c r="G24" i="11"/>
  <c r="H24" i="11"/>
  <c r="J24" i="11"/>
  <c r="A24" i="15"/>
  <c r="B25" i="11"/>
  <c r="K25" i="11" s="1"/>
  <c r="D23" i="15" l="1"/>
  <c r="AN23" i="15" s="1"/>
  <c r="AU23" i="15" s="1"/>
  <c r="M23" i="44" s="1"/>
  <c r="C24" i="15"/>
  <c r="S24" i="15"/>
  <c r="V24" i="15" s="1"/>
  <c r="AC24" i="15" s="1"/>
  <c r="AO23" i="15"/>
  <c r="AT23" i="15" s="1"/>
  <c r="B24" i="15"/>
  <c r="T24" i="15"/>
  <c r="W24" i="15" s="1"/>
  <c r="AD24" i="15" s="1"/>
  <c r="R24" i="15"/>
  <c r="U24" i="15" s="1"/>
  <c r="AB24" i="15" s="1"/>
  <c r="G25" i="11"/>
  <c r="H25" i="11"/>
  <c r="J25" i="11"/>
  <c r="A25" i="15"/>
  <c r="B26" i="11"/>
  <c r="K26" i="11" s="1"/>
  <c r="D24" i="15" l="1"/>
  <c r="AN24" i="15" s="1"/>
  <c r="AU24" i="15" s="1"/>
  <c r="M24" i="44" s="1"/>
  <c r="M23" i="11"/>
  <c r="C25" i="15"/>
  <c r="D25" i="15" s="1"/>
  <c r="S25" i="15"/>
  <c r="V25" i="15" s="1"/>
  <c r="AC25" i="15" s="1"/>
  <c r="B25" i="15"/>
  <c r="T25" i="15"/>
  <c r="W25" i="15" s="1"/>
  <c r="AD25" i="15" s="1"/>
  <c r="R25" i="15"/>
  <c r="U25" i="15" s="1"/>
  <c r="AB25" i="15" s="1"/>
  <c r="G26" i="11"/>
  <c r="H26" i="11"/>
  <c r="J26" i="11"/>
  <c r="A26" i="15"/>
  <c r="B27" i="11"/>
  <c r="K27" i="11" s="1"/>
  <c r="AO24" i="15" l="1"/>
  <c r="AT24" i="15" s="1"/>
  <c r="M24" i="11" s="1"/>
  <c r="AN25" i="15"/>
  <c r="AU25" i="15" s="1"/>
  <c r="M25" i="44" s="1"/>
  <c r="C26" i="15"/>
  <c r="D26" i="15" s="1"/>
  <c r="S26" i="15"/>
  <c r="V26" i="15" s="1"/>
  <c r="AC26" i="15" s="1"/>
  <c r="AO25" i="15"/>
  <c r="AT25" i="15" s="1"/>
  <c r="M25" i="11" s="1"/>
  <c r="B26" i="15"/>
  <c r="T26" i="15"/>
  <c r="W26" i="15" s="1"/>
  <c r="AD26" i="15" s="1"/>
  <c r="R26" i="15"/>
  <c r="U26" i="15" s="1"/>
  <c r="AB26" i="15" s="1"/>
  <c r="H27" i="11"/>
  <c r="G27" i="11"/>
  <c r="J27" i="11"/>
  <c r="A27" i="15"/>
  <c r="B28" i="11"/>
  <c r="K28" i="11" s="1"/>
  <c r="AN26" i="15" l="1"/>
  <c r="AU26" i="15" s="1"/>
  <c r="M26" i="44" s="1"/>
  <c r="C27" i="15"/>
  <c r="D27" i="15" s="1"/>
  <c r="S27" i="15"/>
  <c r="V27" i="15" s="1"/>
  <c r="AC27" i="15" s="1"/>
  <c r="AO26" i="15"/>
  <c r="AT26" i="15" s="1"/>
  <c r="M26" i="11" s="1"/>
  <c r="B27" i="15"/>
  <c r="R27" i="15"/>
  <c r="U27" i="15" s="1"/>
  <c r="AB27" i="15" s="1"/>
  <c r="T27" i="15"/>
  <c r="W27" i="15" s="1"/>
  <c r="AD27" i="15" s="1"/>
  <c r="G28" i="11"/>
  <c r="H28" i="11"/>
  <c r="J28" i="11"/>
  <c r="A28" i="15"/>
  <c r="B29" i="11"/>
  <c r="K29" i="11" s="1"/>
  <c r="AN27" i="15" l="1"/>
  <c r="AU27" i="15" s="1"/>
  <c r="M27" i="44" s="1"/>
  <c r="C28" i="15"/>
  <c r="S28" i="15"/>
  <c r="V28" i="15" s="1"/>
  <c r="AC28" i="15" s="1"/>
  <c r="AO27" i="15"/>
  <c r="AT27" i="15" s="1"/>
  <c r="M27" i="11" s="1"/>
  <c r="B28" i="15"/>
  <c r="T28" i="15"/>
  <c r="W28" i="15" s="1"/>
  <c r="AD28" i="15" s="1"/>
  <c r="R28" i="15"/>
  <c r="U28" i="15" s="1"/>
  <c r="AB28" i="15" s="1"/>
  <c r="G29" i="11"/>
  <c r="H29" i="11"/>
  <c r="J29" i="11"/>
  <c r="A29" i="15"/>
  <c r="B30" i="11"/>
  <c r="D28" i="15" l="1"/>
  <c r="AN28" i="15" s="1"/>
  <c r="AU28" i="15" s="1"/>
  <c r="M28" i="44" s="1"/>
  <c r="C29" i="15"/>
  <c r="D29" i="15" s="1"/>
  <c r="S29" i="15"/>
  <c r="V29" i="15" s="1"/>
  <c r="AC29" i="15" s="1"/>
  <c r="K30" i="11"/>
  <c r="K32" i="11" s="1"/>
  <c r="B29" i="15"/>
  <c r="T29" i="15"/>
  <c r="W29" i="15" s="1"/>
  <c r="AD29" i="15" s="1"/>
  <c r="R29" i="15"/>
  <c r="U29" i="15" s="1"/>
  <c r="AB29" i="15" s="1"/>
  <c r="G30" i="11"/>
  <c r="G32" i="11" s="1"/>
  <c r="H30" i="11"/>
  <c r="H32" i="11" s="1"/>
  <c r="G50" i="11" s="1"/>
  <c r="F20" i="45" s="1"/>
  <c r="J30" i="11"/>
  <c r="L33" i="39"/>
  <c r="U33" i="39"/>
  <c r="P33" i="39"/>
  <c r="X33" i="39"/>
  <c r="W33" i="39"/>
  <c r="M33" i="39"/>
  <c r="S33" i="39"/>
  <c r="Z33" i="39"/>
  <c r="V33" i="39"/>
  <c r="R33" i="39"/>
  <c r="Y33" i="39"/>
  <c r="N33" i="39"/>
  <c r="Q33" i="39"/>
  <c r="AA33" i="39"/>
  <c r="T33" i="39"/>
  <c r="O33" i="39"/>
  <c r="A30" i="15"/>
  <c r="AO28" i="15" l="1"/>
  <c r="AT28" i="15" s="1"/>
  <c r="M28" i="11" s="1"/>
  <c r="G38" i="11"/>
  <c r="F8" i="45" s="1"/>
  <c r="G49" i="11"/>
  <c r="F19" i="45" s="1"/>
  <c r="AN29" i="15"/>
  <c r="AU29" i="15" s="1"/>
  <c r="M29" i="44" s="1"/>
  <c r="C30" i="15"/>
  <c r="D30" i="15" s="1"/>
  <c r="S30" i="15"/>
  <c r="V30" i="15" s="1"/>
  <c r="AC30" i="15" s="1"/>
  <c r="AO29" i="15"/>
  <c r="AT29" i="15" s="1"/>
  <c r="M29" i="11" s="1"/>
  <c r="B30" i="15"/>
  <c r="AQ32" i="15" s="1"/>
  <c r="T30" i="15"/>
  <c r="W30" i="15" s="1"/>
  <c r="AD30" i="15" s="1"/>
  <c r="R30" i="15"/>
  <c r="U30" i="15" s="1"/>
  <c r="AB30" i="15" s="1"/>
  <c r="G48" i="11"/>
  <c r="F18" i="45" s="1"/>
  <c r="AC23" i="39"/>
  <c r="AC31" i="39"/>
  <c r="AC22" i="39"/>
  <c r="AC30" i="39"/>
  <c r="J32" i="11"/>
  <c r="G39" i="11" s="1"/>
  <c r="F9" i="45" s="1"/>
  <c r="AN30" i="15" l="1"/>
  <c r="AU30" i="15" s="1"/>
  <c r="M30" i="44" s="1"/>
  <c r="AO30" i="15"/>
  <c r="AR32" i="15"/>
  <c r="AS32" i="15"/>
  <c r="N32" i="11"/>
  <c r="G40" i="11" s="1"/>
  <c r="F10" i="45" s="1"/>
  <c r="AT30" i="15" l="1"/>
  <c r="AO32" i="15"/>
  <c r="AT32" i="15"/>
  <c r="M30" i="11" l="1"/>
  <c r="M32" i="11" s="1"/>
  <c r="M32" i="44"/>
  <c r="G37" i="44" s="1"/>
  <c r="L30" i="11"/>
  <c r="L22" i="11"/>
  <c r="L18" i="11"/>
  <c r="L26" i="11"/>
  <c r="L17" i="11"/>
  <c r="L14" i="11"/>
  <c r="L16" i="11"/>
  <c r="L25" i="11"/>
  <c r="L24" i="11"/>
  <c r="G43" i="11" l="1"/>
  <c r="F13" i="45" s="1"/>
  <c r="G43" i="44"/>
  <c r="G34" i="44"/>
  <c r="G35" i="44"/>
  <c r="L19" i="11"/>
  <c r="L13" i="11"/>
  <c r="L28" i="11"/>
  <c r="L11" i="11"/>
  <c r="L12" i="11"/>
  <c r="L29" i="11"/>
  <c r="L27" i="11"/>
  <c r="L20" i="11"/>
  <c r="L15" i="11"/>
  <c r="L21" i="11"/>
  <c r="L23" i="11"/>
  <c r="P32" i="11" l="1"/>
  <c r="G44" i="11" s="1"/>
  <c r="F14" i="45" s="1"/>
  <c r="L32" i="11"/>
  <c r="G42" i="11" s="1"/>
  <c r="F12" i="45" s="1"/>
  <c r="Q32" i="11" l="1"/>
  <c r="G45" i="11" l="1"/>
  <c r="F15" i="45" s="1"/>
  <c r="G37" i="11"/>
  <c r="F7" i="45" s="1"/>
  <c r="G34" i="11" l="1"/>
  <c r="F4" i="45" s="1"/>
  <c r="G35" i="11"/>
  <c r="F5"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Freeman, Sarah</author>
  </authors>
  <commentList>
    <comment ref="G45" authorId="0" shapeId="0" xr:uid="{59EC7A97-794A-499D-9909-D6C5767C439F}">
      <text>
        <r>
          <rPr>
            <sz val="9"/>
            <color indexed="81"/>
            <rFont val="Tahoma"/>
            <family val="2"/>
          </rPr>
          <t>"For the mile-based benefits, the estimated value per user should be capped at 0.86 miles, the average length of a walking trip in the 2017 National Household Travel Survey"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Freeman, Sarah</author>
  </authors>
  <commentList>
    <comment ref="Y3" authorId="0" shapeId="0" xr:uid="{BC795864-F6A3-4233-B40F-F2B51A26FDBF}">
      <text>
        <r>
          <rPr>
            <sz val="9"/>
            <color indexed="81"/>
            <rFont val="Tahoma"/>
            <family val="2"/>
          </rPr>
          <t xml:space="preserve">Note: Auto emissions factors are based on California Air Resources Board's EMFAC2017 Mobile Emissions Inventory for 2024 and 2044, with other years calculated based on the CAGR between those years. The emission rates for years after 2044 are assumed to be constant to the value in 2044. The emissions rates for years before 2024 are based on the California Air Resources Board's EMFAC2017 Mobile Emissions Inventory for 2020 and 2040.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Freeman, Sarah</author>
  </authors>
  <commentList>
    <comment ref="D26" authorId="0" shapeId="0" xr:uid="{14FA75BA-1F8A-425B-9004-1261FF9583EA}">
      <text>
        <r>
          <rPr>
            <b/>
            <sz val="9"/>
            <color indexed="81"/>
            <rFont val="Tahoma"/>
            <family val="2"/>
          </rPr>
          <t>Applied to convert costs from 2022 to 2021 $</t>
        </r>
      </text>
    </comment>
  </commentList>
</comments>
</file>

<file path=xl/sharedStrings.xml><?xml version="1.0" encoding="utf-8"?>
<sst xmlns="http://schemas.openxmlformats.org/spreadsheetml/2006/main" count="511" uniqueCount="271">
  <si>
    <t>General Project Details</t>
  </si>
  <si>
    <t>Discount Rate (all impacts except c02 emissions)</t>
  </si>
  <si>
    <t>percent</t>
  </si>
  <si>
    <t>Co2 emissions discount rate</t>
  </si>
  <si>
    <t>Design/Construction Start Date</t>
  </si>
  <si>
    <t>year</t>
  </si>
  <si>
    <t>Design/Construction End Date</t>
  </si>
  <si>
    <t>years</t>
  </si>
  <si>
    <t>Project Opening</t>
  </si>
  <si>
    <t>Last Year in Operations Period</t>
  </si>
  <si>
    <t>Operations Period</t>
  </si>
  <si>
    <t>Analysis Length (Including Construction)</t>
  </si>
  <si>
    <t xml:space="preserve">Useful Service Life of Project-Roadway
</t>
  </si>
  <si>
    <t>CAPEX</t>
  </si>
  <si>
    <t>Assumption</t>
  </si>
  <si>
    <t>%</t>
  </si>
  <si>
    <t>Total AADT Trips in 2021</t>
  </si>
  <si>
    <t>All purposes travel time</t>
  </si>
  <si>
    <t>Grams of c02 emitted per gallon of gasoline</t>
  </si>
  <si>
    <t xml:space="preserve">based on factors provided by the EPA fact sheet EPA-420-F-14-040. </t>
  </si>
  <si>
    <t>grams</t>
  </si>
  <si>
    <t>Grams to tonnes conversion</t>
  </si>
  <si>
    <t>conversion factor</t>
  </si>
  <si>
    <t>persons</t>
  </si>
  <si>
    <t>daily trips</t>
  </si>
  <si>
    <t>per mile per foot added</t>
  </si>
  <si>
    <t>Additional Width of as part of intervention</t>
  </si>
  <si>
    <t>ft</t>
  </si>
  <si>
    <t>Average vehicle occupany factor</t>
  </si>
  <si>
    <t>person miles daily</t>
  </si>
  <si>
    <t>Vehicle Fuel Savings Undiscounted</t>
  </si>
  <si>
    <t>Factor</t>
  </si>
  <si>
    <t>Annual</t>
  </si>
  <si>
    <t>No Injury - O</t>
  </si>
  <si>
    <t>Possible Injury - C</t>
  </si>
  <si>
    <t>Non Incapacitating - B</t>
  </si>
  <si>
    <t>Incapacitating - A</t>
  </si>
  <si>
    <t>Killed - K</t>
  </si>
  <si>
    <t>Injured Severity Unknown</t>
  </si>
  <si>
    <t>No. years of crash data</t>
  </si>
  <si>
    <t>Crash Reduction Factors</t>
  </si>
  <si>
    <t>Overall CRF</t>
  </si>
  <si>
    <t>Remaining Capital Value in Final Year</t>
  </si>
  <si>
    <t>Capital Costs</t>
  </si>
  <si>
    <t>Year</t>
  </si>
  <si>
    <t>Construction</t>
  </si>
  <si>
    <t>Source: US DOT BCA Guidance for Discretionary Grant Programs, January 2023</t>
  </si>
  <si>
    <t>Multiplier to Adjust to Real 2021$</t>
  </si>
  <si>
    <t>Implicit Price Deflator for GDP</t>
  </si>
  <si>
    <t>Years</t>
  </si>
  <si>
    <t>Operations Period Flag</t>
  </si>
  <si>
    <t>Discount rate c02</t>
  </si>
  <si>
    <t>Net Present Value</t>
  </si>
  <si>
    <t>TOTAL  BENEFITS (Discounted)</t>
  </si>
  <si>
    <t>Safety Benefits</t>
  </si>
  <si>
    <t>Time Savings</t>
  </si>
  <si>
    <t>Residual Value</t>
  </si>
  <si>
    <t>TOTAL  COSTS (discounted)</t>
  </si>
  <si>
    <t>Maintenance</t>
  </si>
  <si>
    <t>Discounted Costs</t>
  </si>
  <si>
    <t>Operation Phase Flag</t>
  </si>
  <si>
    <t>Maintenance Costs</t>
  </si>
  <si>
    <t xml:space="preserve">Year </t>
  </si>
  <si>
    <t>NO-BUILD</t>
  </si>
  <si>
    <t>BUILD</t>
  </si>
  <si>
    <t>Maint &amp; Rehab Costs for US-259</t>
  </si>
  <si>
    <t xml:space="preserve"> Capital Costs </t>
  </si>
  <si>
    <t>TOTAL</t>
  </si>
  <si>
    <t>Speed Limit</t>
  </si>
  <si>
    <t>S=sf/(1+a(v/c)^b)</t>
  </si>
  <si>
    <t>Capacity</t>
  </si>
  <si>
    <t>V/C Ratio</t>
  </si>
  <si>
    <t>Hours saved per year</t>
  </si>
  <si>
    <t>sf</t>
  </si>
  <si>
    <t>free flow speed</t>
  </si>
  <si>
    <t>a</t>
  </si>
  <si>
    <t>b</t>
  </si>
  <si>
    <t>V</t>
  </si>
  <si>
    <t>Vehicle Per Day</t>
  </si>
  <si>
    <t>C</t>
  </si>
  <si>
    <t>AADT Base Year</t>
  </si>
  <si>
    <t>mpg</t>
  </si>
  <si>
    <t>USEIA 2013</t>
  </si>
  <si>
    <t>Resident population (excluding visitors)</t>
  </si>
  <si>
    <t>Average day population (residents and visitors)</t>
  </si>
  <si>
    <t>Daily pedestrian trips (baseline)</t>
  </si>
  <si>
    <t>Annual visitors</t>
  </si>
  <si>
    <t>Pedestrian within health benefits age range</t>
  </si>
  <si>
    <t>Cyclists within health benefits age range</t>
  </si>
  <si>
    <t>Walking reduced mortality benefits</t>
  </si>
  <si>
    <t>Cycling reduced mortality benfits</t>
  </si>
  <si>
    <t>Daily pedestrian trips (Build)</t>
  </si>
  <si>
    <t>Average Daily Person Trips per Person - Age range 21 - 65</t>
  </si>
  <si>
    <t>Mode share - Walk</t>
  </si>
  <si>
    <t>Mode share - Cycle</t>
  </si>
  <si>
    <t>Value of additional Width of Sidewalk (feet)</t>
  </si>
  <si>
    <t>Daily bike trips (baseline)</t>
  </si>
  <si>
    <t>Daily bike trips (Build)</t>
  </si>
  <si>
    <t>Average distance per trip - Walk</t>
  </si>
  <si>
    <t>Average distance per trip - Bike</t>
  </si>
  <si>
    <t>$ value of time saved</t>
  </si>
  <si>
    <t>2 lane</t>
  </si>
  <si>
    <t>Actual speed</t>
  </si>
  <si>
    <t>State of good repair</t>
  </si>
  <si>
    <t>Roadway Maintenance Cost Savings per VMT</t>
  </si>
  <si>
    <t>Value of dedicated cycle land (per cycling mile)</t>
  </si>
  <si>
    <t>External Costs</t>
  </si>
  <si>
    <t>Light-Duty Vehicles - Rural</t>
  </si>
  <si>
    <t>Buses and Trucks - Rural</t>
  </si>
  <si>
    <t>Congestion</t>
  </si>
  <si>
    <t>Noise</t>
  </si>
  <si>
    <t>Safety</t>
  </si>
  <si>
    <t>Table A-14: External Highway Use Costs (US DOT BCA Guidance)</t>
  </si>
  <si>
    <t>External Highway Use Costs</t>
  </si>
  <si>
    <t>$ per hour</t>
  </si>
  <si>
    <t>Time savings per veh (s)</t>
  </si>
  <si>
    <t>Crash History</t>
  </si>
  <si>
    <t>Net Change</t>
  </si>
  <si>
    <t>Active Travel Health Benefits</t>
  </si>
  <si>
    <t>Install TWLTL (two-way left turn lane) on two lane road</t>
  </si>
  <si>
    <t>Annual Value of Crash Reduction</t>
  </si>
  <si>
    <t>Roadway</t>
  </si>
  <si>
    <t>Multiuse Trail</t>
  </si>
  <si>
    <t>Sidewalk</t>
  </si>
  <si>
    <t>Signing/Stirping</t>
  </si>
  <si>
    <t>Signalization</t>
  </si>
  <si>
    <t>Lighting</t>
  </si>
  <si>
    <t>Mobilization/MOT</t>
  </si>
  <si>
    <t>Project Total</t>
  </si>
  <si>
    <t>Discount Rate (all impacts except co2 at 7%)</t>
  </si>
  <si>
    <t>Change in External Highway Use Costs</t>
  </si>
  <si>
    <t>S0x</t>
  </si>
  <si>
    <t>N0x</t>
  </si>
  <si>
    <t>PM2.5</t>
  </si>
  <si>
    <t>Co2</t>
  </si>
  <si>
    <t>Emissions cost (2021$ / metric ton)</t>
  </si>
  <si>
    <t>Value of emissions saved ($)</t>
  </si>
  <si>
    <t>Emissions saved (metric ton)</t>
  </si>
  <si>
    <t>Pedestrian Miles Induced</t>
  </si>
  <si>
    <t>Reduction in vehicle Miles</t>
  </si>
  <si>
    <t>Pedestrians</t>
  </si>
  <si>
    <t>Mortality Benefits</t>
  </si>
  <si>
    <t>User Benefits</t>
  </si>
  <si>
    <t>Pedestrian Trips (Baseline)</t>
  </si>
  <si>
    <t>Net Change in Pedestrians</t>
  </si>
  <si>
    <t>Net Change in Bikes</t>
  </si>
  <si>
    <t>Cyclists</t>
  </si>
  <si>
    <t>Discount Factor - 7%</t>
  </si>
  <si>
    <t>Discount Factor - 3%</t>
  </si>
  <si>
    <t>Discounted Benefits (2021 $)</t>
  </si>
  <si>
    <t>Time Saving Benefits</t>
  </si>
  <si>
    <t>Emissions</t>
  </si>
  <si>
    <t>Active travel user benefits</t>
  </si>
  <si>
    <t>Residual Values</t>
  </si>
  <si>
    <t>Emissions Reduction</t>
  </si>
  <si>
    <t>Fuel Cost Saving</t>
  </si>
  <si>
    <t>2021 $ per trip</t>
  </si>
  <si>
    <t>Emissions assumptions</t>
  </si>
  <si>
    <t>Active Travel and Mode Shift Assumptions</t>
  </si>
  <si>
    <t>Emissions (grams / vmt) - light duty vehicle</t>
  </si>
  <si>
    <t>Benefit Cost Ratio</t>
  </si>
  <si>
    <t>Project area - length of roadway</t>
  </si>
  <si>
    <t>Estimating avg speed based on daily traffic volumes and road capacity with 2, 3 or 5 lanes</t>
  </si>
  <si>
    <t>Install a traffic signal</t>
  </si>
  <si>
    <t>Install lighting</t>
  </si>
  <si>
    <t>Increase triangle sight distance</t>
  </si>
  <si>
    <t>3 lane estimate</t>
  </si>
  <si>
    <t>Contingency (20%)</t>
  </si>
  <si>
    <t>Forecast annual growth in traffic and resident/visitor population</t>
  </si>
  <si>
    <t>Traffic Assumptions</t>
  </si>
  <si>
    <t>Final year of crash data</t>
  </si>
  <si>
    <t>Disruption during construction</t>
  </si>
  <si>
    <t>No Build - 2 Lanes</t>
  </si>
  <si>
    <t>Build - 3 Lanes</t>
  </si>
  <si>
    <t>Build - 5 Lanes</t>
  </si>
  <si>
    <t>Lower posted speed limit during construction</t>
  </si>
  <si>
    <t>Crashes</t>
  </si>
  <si>
    <t>BUILD - 5 lanes</t>
  </si>
  <si>
    <t>BUILD - 3 lanes</t>
  </si>
  <si>
    <t>$2022</t>
  </si>
  <si>
    <t>Lower posted speed limits</t>
  </si>
  <si>
    <t>Vehicle Operating Costs</t>
  </si>
  <si>
    <t>Cost per mile for Light Duty Vehicles</t>
  </si>
  <si>
    <t>Table A-5: Vehicle Operating Costs (US DOT BCA Guidance)</t>
  </si>
  <si>
    <t>Vehicle Operating Cost Saving</t>
  </si>
  <si>
    <t>Vehicle Cost Savings</t>
  </si>
  <si>
    <t>Value of Fatality/Injury (2021$)</t>
  </si>
  <si>
    <t>Table A-1: Vehicle Operating Costs (US DOT BCA Guidance)</t>
  </si>
  <si>
    <t>BikeTrips (Baseline)</t>
  </si>
  <si>
    <t>TWLTL</t>
  </si>
  <si>
    <t xml:space="preserve">Lighting			</t>
  </si>
  <si>
    <t>Total Crashes</t>
  </si>
  <si>
    <t>No Injury</t>
  </si>
  <si>
    <t>Possible Injury</t>
  </si>
  <si>
    <t>Minor Injury</t>
  </si>
  <si>
    <t>Major Injury</t>
  </si>
  <si>
    <t>Fatal Injury</t>
  </si>
  <si>
    <t>Signal</t>
  </si>
  <si>
    <t>Sight</t>
  </si>
  <si>
    <t>Signal improvement / Sight Distance</t>
  </si>
  <si>
    <t>Visitors to Beaver Bend State Park in 2021</t>
  </si>
  <si>
    <t>Grams of CO2 Emissions Per Gallon of Gasoline</t>
  </si>
  <si>
    <t>US DOT BCA Guidance 2023</t>
  </si>
  <si>
    <t>5 lane</t>
  </si>
  <si>
    <t>Speed</t>
  </si>
  <si>
    <t>Fuel efficiency factor</t>
  </si>
  <si>
    <t>Vehicle miles</t>
  </si>
  <si>
    <t>Active Travel Journey Quality Benefits</t>
  </si>
  <si>
    <t>US DOT BCA Guidance 2023 - Table A9</t>
  </si>
  <si>
    <t>US DOT BCA Guidance 2023 - Table A8</t>
  </si>
  <si>
    <t>Maintenance and operating costs</t>
  </si>
  <si>
    <t>Construction Management</t>
  </si>
  <si>
    <t>Hochatown Community Access and Pedestrian Safety Project</t>
  </si>
  <si>
    <t>February 2023</t>
  </si>
  <si>
    <t>Source and notes</t>
  </si>
  <si>
    <t>Project defined</t>
  </si>
  <si>
    <t>Source: ODOT_CollisionData</t>
  </si>
  <si>
    <t>Source: Clearinghouse Crash Modification Factors database</t>
  </si>
  <si>
    <t>Reduction</t>
  </si>
  <si>
    <t>Number of crashes which can be attributed to:</t>
  </si>
  <si>
    <t>Signal = crashes that occured within 250-foot buffer from intersection which will be signalized</t>
  </si>
  <si>
    <t>Sight = crashes that occured within 200-foot buffer from an intersection which will have sight distance improvements</t>
  </si>
  <si>
    <t>Lighting = crashes that occurred within 100-foot buffer from where lighting will be installed</t>
  </si>
  <si>
    <t>ID</t>
  </si>
  <si>
    <t>CRF Description</t>
  </si>
  <si>
    <t>CRF Value (percentage reduction in crashes)</t>
  </si>
  <si>
    <t>Benefit $</t>
  </si>
  <si>
    <t>Number of Trips - Annual</t>
  </si>
  <si>
    <t>Number of Trips - Daily</t>
  </si>
  <si>
    <t>EPA, Emissions Factors for GHG Inventories, 2022</t>
  </si>
  <si>
    <t>US EIA Annual Energy Outlook 2022</t>
  </si>
  <si>
    <t>Fuel efficiency (mpg)</t>
  </si>
  <si>
    <t>Fuel efficiency (mpg) by year</t>
  </si>
  <si>
    <t>Minimum speed in the speed-flow curve calc</t>
  </si>
  <si>
    <t>Hochatown Community Access and Pedestrian Safety Project BCA</t>
  </si>
  <si>
    <t>Construction Costs</t>
  </si>
  <si>
    <t>Freese and Nichols, Community Outreach Presentation, 2022</t>
  </si>
  <si>
    <t>55 between 259A-S and entrance to Hochtown just south of 259A-N intersection), 45 mph north from here until Carson Creek Road</t>
  </si>
  <si>
    <t>Capacity - 2 way AADT</t>
  </si>
  <si>
    <t>3 lane</t>
  </si>
  <si>
    <t>Highway Capacity Manual - 20% reduction on 17,100 because no left turn lane</t>
  </si>
  <si>
    <t xml:space="preserve">Highway Capacity Manual - Capacity of 2 lane road with center turn lane </t>
  </si>
  <si>
    <t>Highway Capacity Manual - Capacity of 5 lane arterial with center turn lane</t>
  </si>
  <si>
    <t>Streetlight BigData Analytics data</t>
  </si>
  <si>
    <t>NHTS 2017 Table 13 - Value for rural areas</t>
  </si>
  <si>
    <t>NHTS 2017</t>
  </si>
  <si>
    <t>Source: ODOT Cost Estimates</t>
  </si>
  <si>
    <t>3 lane sensitivity - 60% of road capex</t>
  </si>
  <si>
    <t xml:space="preserve"> Co2 emissions per gallon</t>
  </si>
  <si>
    <t xml:space="preserve">Co2 emissions </t>
  </si>
  <si>
    <t>Construction Costs - 5 lanes</t>
  </si>
  <si>
    <t>RAISE Grant Application for the Oklahoma Department of Transportation</t>
  </si>
  <si>
    <t>Opening Year</t>
  </si>
  <si>
    <t>(two-way AADT)</t>
  </si>
  <si>
    <t>Traffic Volumes - VPD</t>
  </si>
  <si>
    <t>$</t>
  </si>
  <si>
    <t>MPH</t>
  </si>
  <si>
    <t>Autos Fuel Efficiency Factors for different speeds</t>
  </si>
  <si>
    <t>Project information</t>
  </si>
  <si>
    <t>Benefit Cost Analysis Model</t>
  </si>
  <si>
    <t>Light Yellow Cell Shading = User Input Value</t>
  </si>
  <si>
    <t>TWLTL = Crashes occuring on the main corridor where a Two Way Left Turn Lane will be provided</t>
  </si>
  <si>
    <t>TOTAL COSTS (discounted)</t>
  </si>
  <si>
    <t>TOTAL BENEFITS (discounted)</t>
  </si>
  <si>
    <t>mph</t>
  </si>
  <si>
    <t>#</t>
  </si>
  <si>
    <t>Number of lanes switch:</t>
  </si>
  <si>
    <t>miles</t>
  </si>
  <si>
    <t>UK TAG Databook A5.4.2. Converted to miles, converted to $ and adjusted for inflation</t>
  </si>
  <si>
    <t>Vehicle miles No Build</t>
  </si>
  <si>
    <t>Vehicle miles 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</si>
</sst>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3" formatCode="_-* #,##0.00_-;\-* #,##0.00_-;_-* &quot;-&quot;??_-;_-@_-"/>
    <numFmt numFmtId="164" formatCode="&quot;$&quot;#,##0_);[Red]\(&quot;$&quot;#,##0\)"/>
    <numFmt numFmtId="165" formatCode="_(&quot;$&quot;* #,##0.00_);_(&quot;$&quot;* \(#,##0.00\);_(&quot;$&quot;* &quot;-&quot;??_);_(@_)"/>
    <numFmt numFmtId="166" formatCode="_(* #,##0.00_);_(* \(#,##0.00\);_(* &quot;-&quot;??_);_(@_)"/>
    <numFmt numFmtId="167" formatCode="0.0%"/>
    <numFmt numFmtId="168" formatCode="&quot;$&quot;#,##0"/>
    <numFmt numFmtId="169" formatCode="_(* #,##0_);_(* \(#,##0\);_(* &quot;-&quot;??_);_(@_)"/>
    <numFmt numFmtId="170" formatCode="_(&quot;$&quot;* #,##0_);_(&quot;$&quot;* \(#,##0\);_(&quot;$&quot;* &quot;-&quot;??_);_(@_)"/>
    <numFmt numFmtId="171" formatCode="[$-409]mmmm\ d\,\ yyyy;@"/>
    <numFmt numFmtId="172" formatCode="#,##0_);\(#,##0\);&quot;-  &quot;;&quot; &quot;@"/>
    <numFmt numFmtId="173" formatCode="#,##0.0000_);\(#,##0.0000\);&quot;-  &quot;;&quot; &quot;@"/>
    <numFmt numFmtId="174" formatCode="#,##0.00_);\(#,##0.00\);&quot;-  &quot;;&quot; &quot;@"/>
    <numFmt numFmtId="175" formatCode="0.0000"/>
    <numFmt numFmtId="176" formatCode="0.0"/>
    <numFmt numFmtId="177" formatCode="_-* #,##0_-;\-* #,##0_-;_-* &quot;-&quot;?_-;_-@_-"/>
    <numFmt numFmtId="178" formatCode="[$$-1409]#,##0"/>
    <numFmt numFmtId="179" formatCode="_-[$$-3C09]* #,##0.00_-;\-[$$-3C09]* #,##0.00_-;_-[$$-3C09]* &quot;-&quot;??_-;_-@_-"/>
    <numFmt numFmtId="180" formatCode="#,##0.0000"/>
    <numFmt numFmtId="181" formatCode="[Red]&quot;E: &quot;#,##0;[Red]&quot;E: &quot;\-#,##0;[Blue]&quot;OK&quot;"/>
    <numFmt numFmtId="182" formatCode="_-[$$-409]* #,##0.00_ ;_-[$$-409]* \-#,##0.00\ ;_-[$$-409]* &quot;-&quot;??_ ;_-@_ "/>
    <numFmt numFmtId="183" formatCode="#,##0.0;\-#,##0.0"/>
    <numFmt numFmtId="184" formatCode="_-* #,##0.0_-;\-* #,##0.0_-;_-* &quot;-&quot;??_-;_-@_-"/>
    <numFmt numFmtId="185" formatCode="_-* #,##0_-;\-* #,##0_-;_-* &quot;-&quot;????_-;_-@_-"/>
    <numFmt numFmtId="186" formatCode="_-* #,##0_-;\-* #,##0_-;_-* &quot;-&quot;??_-;_-@_-"/>
    <numFmt numFmtId="187" formatCode="[$$-3C09]#,##0;\-[$$-3C09]#,##0"/>
    <numFmt numFmtId="188" formatCode="0.000"/>
    <numFmt numFmtId="189" formatCode="0.000000"/>
    <numFmt numFmtId="190" formatCode="0.0000000"/>
    <numFmt numFmtId="191" formatCode="0.000000000"/>
    <numFmt numFmtId="192" formatCode="#,##0.000000;\-#,##0.000000"/>
    <numFmt numFmtId="193" formatCode="#,##0.000;\-#,##0.000"/>
    <numFmt numFmtId="194" formatCode="[$$-409]#,##0"/>
    <numFmt numFmtId="195" formatCode="0.00000"/>
    <numFmt numFmtId="196" formatCode="#,##0.000_);[Red]\(#,##0.000\);\-_)"/>
    <numFmt numFmtId="197" formatCode="_(* #,##0_);[Red]_(* \(#,##0\);_(* &quot;-&quot;??_);_(@_)"/>
    <numFmt numFmtId="198" formatCode="#,##0.0"/>
    <numFmt numFmtId="199" formatCode="[$$-45C]#,##0"/>
    <numFmt numFmtId="200" formatCode="_-[$$-409]* #,##0_ ;_-[$$-409]* \-#,##0\ ;_-[$$-409]* &quot;-&quot;??_ ;_-@_ "/>
  </numFmts>
  <fonts count="54"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sz val="11"/>
      <name val="Calibri"/>
      <family val="2"/>
      <scheme val="minor"/>
    </font>
    <font>
      <b/>
      <sz val="11"/>
      <name val="Calibri"/>
      <family val="2"/>
      <scheme val="minor"/>
    </font>
    <font>
      <i/>
      <sz val="11"/>
      <color theme="1"/>
      <name val="Calibri"/>
      <family val="2"/>
      <scheme val="minor"/>
    </font>
    <font>
      <sz val="10"/>
      <color theme="1"/>
      <name val="Arial Narrow"/>
      <family val="2"/>
    </font>
    <font>
      <sz val="10"/>
      <name val="Arial"/>
      <family val="2"/>
    </font>
    <font>
      <b/>
      <u/>
      <sz val="11"/>
      <color theme="1"/>
      <name val="Calibri"/>
      <family val="2"/>
      <scheme val="minor"/>
    </font>
    <font>
      <i/>
      <sz val="11"/>
      <name val="Calibri"/>
      <family val="2"/>
      <scheme val="minor"/>
    </font>
    <font>
      <sz val="11"/>
      <color rgb="FF000000"/>
      <name val="Calibri"/>
      <family val="2"/>
      <scheme val="minor"/>
    </font>
    <font>
      <b/>
      <u/>
      <sz val="11"/>
      <color rgb="FF000000"/>
      <name val="Calibri"/>
      <family val="2"/>
      <scheme val="minor"/>
    </font>
    <font>
      <i/>
      <sz val="11"/>
      <color rgb="FF000000"/>
      <name val="Calibri"/>
      <family val="2"/>
      <scheme val="minor"/>
    </font>
    <font>
      <u/>
      <sz val="11"/>
      <color theme="10"/>
      <name val="Calibri"/>
      <family val="2"/>
      <scheme val="minor"/>
    </font>
    <font>
      <b/>
      <i/>
      <u/>
      <sz val="11"/>
      <color rgb="FFFF0000"/>
      <name val="Calibri"/>
      <family val="2"/>
      <scheme val="minor"/>
    </font>
    <font>
      <sz val="9"/>
      <color theme="1"/>
      <name val="Calibri"/>
      <family val="2"/>
      <scheme val="minor"/>
    </font>
    <font>
      <sz val="11"/>
      <color theme="1"/>
      <name val="Arial"/>
      <family val="2"/>
    </font>
    <font>
      <b/>
      <sz val="12"/>
      <color rgb="FF7030A0"/>
      <name val="Arial"/>
      <family val="2"/>
    </font>
    <font>
      <sz val="8"/>
      <color theme="1"/>
      <name val="Calibri"/>
      <family val="2"/>
      <scheme val="minor"/>
    </font>
    <font>
      <b/>
      <sz val="12"/>
      <color theme="0"/>
      <name val="Jacobs Chronos"/>
      <family val="2"/>
    </font>
    <font>
      <sz val="13"/>
      <color theme="0"/>
      <name val="Jacobs Chronos"/>
      <family val="2"/>
    </font>
    <font>
      <i/>
      <sz val="11"/>
      <color theme="1"/>
      <name val="Jacobs Chronos"/>
      <family val="2"/>
    </font>
    <font>
      <b/>
      <sz val="20"/>
      <color theme="0"/>
      <name val="Jacobs Chronos"/>
      <family val="2"/>
    </font>
    <font>
      <sz val="10"/>
      <name val="Jacobs Chronos"/>
      <family val="2"/>
    </font>
    <font>
      <sz val="8"/>
      <name val="Calibri"/>
      <family val="2"/>
      <scheme val="minor"/>
    </font>
    <font>
      <u/>
      <sz val="8"/>
      <color theme="10"/>
      <name val="Calibri"/>
      <family val="2"/>
      <scheme val="minor"/>
    </font>
    <font>
      <b/>
      <sz val="11"/>
      <color rgb="FFFFFFFF"/>
      <name val="Calibri"/>
      <family val="2"/>
      <scheme val="minor"/>
    </font>
    <font>
      <sz val="11"/>
      <color rgb="FFFF0000"/>
      <name val="Calibri"/>
      <family val="2"/>
      <scheme val="minor"/>
    </font>
    <font>
      <b/>
      <u/>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sz val="10"/>
      <name val="Calibri"/>
      <family val="2"/>
      <scheme val="minor"/>
    </font>
    <font>
      <sz val="10"/>
      <color theme="1"/>
      <name val="Calibri"/>
      <family val="2"/>
      <scheme val="minor"/>
    </font>
    <font>
      <b/>
      <sz val="9"/>
      <color indexed="81"/>
      <name val="Tahoma"/>
      <family val="2"/>
    </font>
    <font>
      <sz val="11"/>
      <name val="Jacobs Chronos"/>
      <family val="2"/>
    </font>
    <font>
      <sz val="11"/>
      <color theme="1"/>
      <name val="Calibri"/>
      <family val="2"/>
    </font>
    <font>
      <sz val="11"/>
      <color rgb="FF444444"/>
      <name val="Calibri"/>
      <family val="2"/>
    </font>
    <font>
      <sz val="9"/>
      <color theme="0" tint="-0.34998626667073579"/>
      <name val="Calibri"/>
      <family val="2"/>
      <scheme val="minor"/>
    </font>
    <font>
      <b/>
      <sz val="11"/>
      <color theme="0"/>
      <name val="Calibri"/>
      <family val="2"/>
      <scheme val="minor"/>
    </font>
    <font>
      <sz val="11"/>
      <color theme="0"/>
      <name val="Calibri"/>
      <family val="2"/>
      <scheme val="minor"/>
    </font>
    <font>
      <sz val="14"/>
      <color theme="1"/>
      <name val="Calibri"/>
      <family val="2"/>
      <scheme val="minor"/>
    </font>
    <font>
      <b/>
      <u/>
      <sz val="11"/>
      <name val="Calibri"/>
      <family val="2"/>
      <scheme val="minor"/>
    </font>
    <font>
      <sz val="9"/>
      <name val="Calibri"/>
      <family val="2"/>
      <scheme val="minor"/>
    </font>
    <font>
      <i/>
      <sz val="9"/>
      <color theme="1"/>
      <name val="Calibri"/>
      <family val="2"/>
      <scheme val="minor"/>
    </font>
    <font>
      <b/>
      <sz val="11"/>
      <color theme="0" tint="-0.14999847407452621"/>
      <name val="Calibri"/>
      <family val="2"/>
      <scheme val="minor"/>
    </font>
    <font>
      <sz val="11"/>
      <color theme="0" tint="-0.14999847407452621"/>
      <name val="Calibri"/>
      <family val="2"/>
      <scheme val="minor"/>
    </font>
    <font>
      <u/>
      <sz val="9"/>
      <color theme="10"/>
      <name val="Calibri"/>
      <family val="2"/>
      <scheme val="minor"/>
    </font>
    <font>
      <sz val="10"/>
      <color rgb="FF000000"/>
      <name val="Arial"/>
      <family val="2"/>
    </font>
    <font>
      <b/>
      <sz val="10"/>
      <color rgb="FF000000"/>
      <name val="Arial"/>
      <family val="2"/>
    </font>
    <font>
      <sz val="9"/>
      <color theme="0" tint="-0.14999847407452621"/>
      <name val="Calibri"/>
      <family val="2"/>
      <scheme val="minor"/>
    </font>
    <font>
      <sz val="11"/>
      <color indexed="12"/>
      <name val="Calibri"/>
      <family val="2"/>
      <scheme val="minor"/>
    </font>
    <font>
      <sz val="11"/>
      <color indexed="10"/>
      <name val="Calibri"/>
      <family val="2"/>
      <scheme val="minor"/>
    </font>
    <font>
      <b/>
      <sz val="16"/>
      <color theme="0"/>
      <name val="Calibri"/>
      <family val="2"/>
      <scheme val="minor"/>
    </font>
  </fonts>
  <fills count="1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FFFFFF"/>
        <bgColor rgb="FF000000"/>
      </patternFill>
    </fill>
    <fill>
      <patternFill patternType="solid">
        <fgColor rgb="FF757575"/>
        <bgColor indexed="64"/>
      </patternFill>
    </fill>
    <fill>
      <patternFill patternType="solid">
        <fgColor rgb="FF333333"/>
        <bgColor indexed="64"/>
      </patternFill>
    </fill>
    <fill>
      <patternFill patternType="solid">
        <fgColor theme="0" tint="-0.14996795556505021"/>
        <bgColor indexed="64"/>
      </patternFill>
    </fill>
    <fill>
      <patternFill patternType="solid">
        <fgColor theme="1"/>
        <bgColor indexed="64"/>
      </patternFill>
    </fill>
    <fill>
      <patternFill patternType="solid">
        <fgColor rgb="FF007D55"/>
        <bgColor indexed="64"/>
      </patternFill>
    </fill>
    <fill>
      <patternFill patternType="solid">
        <fgColor rgb="FFFFEDB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dotted">
        <color auto="1"/>
      </left>
      <right style="thin">
        <color theme="0"/>
      </right>
      <top style="dotted">
        <color auto="1"/>
      </top>
      <bottom style="thin">
        <color theme="0"/>
      </bottom>
      <diagonal/>
    </border>
    <border>
      <left/>
      <right/>
      <top style="dotted">
        <color auto="1"/>
      </top>
      <bottom/>
      <diagonal/>
    </border>
    <border>
      <left style="thin">
        <color theme="0"/>
      </left>
      <right style="dotted">
        <color auto="1"/>
      </right>
      <top style="dotted">
        <color auto="1"/>
      </top>
      <bottom style="thin">
        <color theme="0"/>
      </bottom>
      <diagonal/>
    </border>
    <border>
      <left style="dotted">
        <color auto="1"/>
      </left>
      <right style="thin">
        <color theme="0"/>
      </right>
      <top style="thin">
        <color theme="0"/>
      </top>
      <bottom style="thin">
        <color theme="0"/>
      </bottom>
      <diagonal/>
    </border>
    <border>
      <left style="thin">
        <color theme="0"/>
      </left>
      <right style="dotted">
        <color auto="1"/>
      </right>
      <top style="thin">
        <color theme="0"/>
      </top>
      <bottom style="thin">
        <color theme="0"/>
      </bottom>
      <diagonal/>
    </border>
    <border>
      <left style="dotted">
        <color auto="1"/>
      </left>
      <right style="thin">
        <color theme="0"/>
      </right>
      <top style="thin">
        <color theme="0"/>
      </top>
      <bottom style="dotted">
        <color auto="1"/>
      </bottom>
      <diagonal/>
    </border>
    <border>
      <left/>
      <right/>
      <top/>
      <bottom style="dotted">
        <color auto="1"/>
      </bottom>
      <diagonal/>
    </border>
    <border>
      <left style="thin">
        <color theme="0"/>
      </left>
      <right style="dotted">
        <color auto="1"/>
      </right>
      <top style="thin">
        <color theme="0"/>
      </top>
      <bottom style="dotted">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style="thin">
        <color auto="1"/>
      </top>
      <bottom/>
      <diagonal/>
    </border>
    <border>
      <left/>
      <right/>
      <top/>
      <bottom style="thin">
        <color auto="1"/>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s>
  <cellStyleXfs count="15">
    <xf numFmtId="0" fontId="0" fillId="0" borderId="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7" fillId="0" borderId="0"/>
    <xf numFmtId="173" fontId="8" fillId="0" borderId="0" applyFont="0" applyFill="0" applyBorder="0" applyAlignment="0" applyProtection="0"/>
    <xf numFmtId="0" fontId="14" fillId="0" borderId="0" applyNumberFormat="0" applyFill="0" applyBorder="0" applyAlignment="0" applyProtection="0"/>
    <xf numFmtId="0" fontId="20" fillId="6" borderId="0" applyNumberFormat="0" applyProtection="0"/>
    <xf numFmtId="0" fontId="21" fillId="7" borderId="0" applyNumberFormat="0" applyProtection="0"/>
    <xf numFmtId="0" fontId="22" fillId="8" borderId="0"/>
    <xf numFmtId="0" fontId="23" fillId="9" borderId="0" applyNumberFormat="0" applyProtection="0"/>
    <xf numFmtId="181" fontId="24" fillId="0" borderId="0">
      <alignment horizontal="center" vertical="center"/>
    </xf>
    <xf numFmtId="0" fontId="20" fillId="10" borderId="0"/>
    <xf numFmtId="196" fontId="35" fillId="11" borderId="6" applyNumberFormat="0">
      <alignment vertical="top"/>
    </xf>
    <xf numFmtId="197" fontId="36" fillId="0" borderId="0"/>
  </cellStyleXfs>
  <cellXfs count="437">
    <xf numFmtId="0" fontId="0" fillId="0" borderId="0" xfId="0"/>
    <xf numFmtId="0" fontId="4" fillId="0" borderId="0" xfId="0" applyFont="1"/>
    <xf numFmtId="0" fontId="0" fillId="0" borderId="6" xfId="0" applyBorder="1"/>
    <xf numFmtId="0" fontId="4" fillId="4" borderId="6" xfId="0" applyFont="1" applyFill="1" applyBorder="1" applyAlignment="1">
      <alignment horizontal="center"/>
    </xf>
    <xf numFmtId="171" fontId="0" fillId="3" borderId="6" xfId="0" applyNumberFormat="1" applyFill="1" applyBorder="1" applyAlignment="1">
      <alignment vertical="center" wrapText="1"/>
    </xf>
    <xf numFmtId="167" fontId="4" fillId="4" borderId="6" xfId="0" applyNumberFormat="1" applyFont="1" applyFill="1" applyBorder="1" applyAlignment="1">
      <alignment horizontal="center"/>
    </xf>
    <xf numFmtId="0" fontId="0" fillId="3" borderId="6" xfId="0" applyFill="1" applyBorder="1"/>
    <xf numFmtId="0" fontId="9" fillId="0" borderId="6" xfId="0" applyFont="1" applyBorder="1"/>
    <xf numFmtId="0" fontId="0" fillId="0" borderId="0" xfId="0" applyAlignment="1">
      <alignment horizontal="left"/>
    </xf>
    <xf numFmtId="2" fontId="4" fillId="0" borderId="0" xfId="0" applyNumberFormat="1" applyFont="1" applyAlignment="1">
      <alignment horizontal="left"/>
    </xf>
    <xf numFmtId="0" fontId="5" fillId="0" borderId="0" xfId="0" applyFont="1"/>
    <xf numFmtId="0" fontId="4" fillId="0" borderId="0" xfId="0" applyFont="1" applyAlignment="1">
      <alignment horizontal="left"/>
    </xf>
    <xf numFmtId="167" fontId="4" fillId="0" borderId="0" xfId="0" applyNumberFormat="1" applyFont="1" applyAlignment="1">
      <alignment horizontal="left"/>
    </xf>
    <xf numFmtId="0" fontId="0" fillId="2" borderId="6" xfId="0" applyFill="1" applyBorder="1" applyAlignment="1">
      <alignment horizontal="center" vertical="center"/>
    </xf>
    <xf numFmtId="0" fontId="12" fillId="5" borderId="7" xfId="0" applyFont="1" applyFill="1" applyBorder="1"/>
    <xf numFmtId="0" fontId="0" fillId="3" borderId="0" xfId="0" applyFill="1"/>
    <xf numFmtId="0" fontId="0" fillId="3" borderId="0" xfId="0" applyFill="1" applyAlignment="1">
      <alignment horizontal="center" vertical="center"/>
    </xf>
    <xf numFmtId="0" fontId="0" fillId="0" borderId="6" xfId="0" applyBorder="1" applyAlignment="1">
      <alignment horizontal="center" vertical="center"/>
    </xf>
    <xf numFmtId="0" fontId="0" fillId="0" borderId="6" xfId="0" applyBorder="1" applyAlignment="1">
      <alignment horizontal="left" vertical="center"/>
    </xf>
    <xf numFmtId="0" fontId="0" fillId="3" borderId="6" xfId="0" applyFill="1" applyBorder="1" applyAlignment="1">
      <alignment horizontal="left" vertical="center"/>
    </xf>
    <xf numFmtId="0" fontId="0" fillId="3" borderId="0" xfId="0" applyFill="1" applyAlignment="1">
      <alignment horizontal="left" vertical="center"/>
    </xf>
    <xf numFmtId="0" fontId="0" fillId="3" borderId="0" xfId="0" applyFill="1" applyAlignment="1">
      <alignment horizontal="left"/>
    </xf>
    <xf numFmtId="0" fontId="0" fillId="3" borderId="0" xfId="0" applyFill="1" applyAlignment="1">
      <alignment horizontal="left" vertical="top"/>
    </xf>
    <xf numFmtId="0" fontId="12" fillId="5" borderId="0" xfId="0" applyFont="1" applyFill="1"/>
    <xf numFmtId="171" fontId="0" fillId="3" borderId="0" xfId="0" applyNumberFormat="1" applyFill="1" applyAlignment="1">
      <alignment vertical="center" wrapText="1"/>
    </xf>
    <xf numFmtId="2" fontId="0" fillId="3" borderId="0" xfId="0" applyNumberFormat="1" applyFill="1" applyAlignment="1">
      <alignment horizontal="center" vertical="center"/>
    </xf>
    <xf numFmtId="39" fontId="4" fillId="3" borderId="6" xfId="0" applyNumberFormat="1" applyFont="1" applyFill="1" applyBorder="1" applyAlignment="1">
      <alignment horizontal="center"/>
    </xf>
    <xf numFmtId="37" fontId="0" fillId="4" borderId="6" xfId="0" applyNumberFormat="1" applyFill="1" applyBorder="1" applyAlignment="1">
      <alignment horizontal="center"/>
    </xf>
    <xf numFmtId="0" fontId="16" fillId="3" borderId="0" xfId="0" applyFont="1" applyFill="1" applyAlignment="1">
      <alignment horizontal="left" vertical="center"/>
    </xf>
    <xf numFmtId="0" fontId="0" fillId="0" borderId="0" xfId="0" applyFill="1"/>
    <xf numFmtId="0" fontId="4" fillId="0" borderId="6" xfId="0" applyFont="1" applyBorder="1" applyAlignment="1">
      <alignment horizontal="left"/>
    </xf>
    <xf numFmtId="171" fontId="4" fillId="3" borderId="6" xfId="0" applyNumberFormat="1" applyFont="1" applyFill="1" applyBorder="1" applyAlignment="1">
      <alignment vertical="center"/>
    </xf>
    <xf numFmtId="171" fontId="0" fillId="3" borderId="0" xfId="0" applyNumberFormat="1" applyFill="1" applyBorder="1" applyAlignment="1">
      <alignment vertical="center" wrapText="1"/>
    </xf>
    <xf numFmtId="0" fontId="0" fillId="3" borderId="0" xfId="0" applyFill="1" applyAlignment="1">
      <alignment horizontal="left" indent="1"/>
    </xf>
    <xf numFmtId="39" fontId="0" fillId="4" borderId="6" xfId="0" applyNumberFormat="1" applyFill="1" applyBorder="1" applyAlignment="1">
      <alignment horizontal="center"/>
    </xf>
    <xf numFmtId="1" fontId="0" fillId="3" borderId="0" xfId="0" applyNumberFormat="1" applyFill="1" applyAlignment="1">
      <alignment horizontal="center" vertical="center"/>
    </xf>
    <xf numFmtId="1" fontId="4" fillId="4" borderId="6" xfId="0" applyNumberFormat="1" applyFont="1" applyFill="1" applyBorder="1" applyAlignment="1">
      <alignment horizontal="center"/>
    </xf>
    <xf numFmtId="0" fontId="16" fillId="0" borderId="6" xfId="0" applyFont="1" applyBorder="1" applyAlignment="1">
      <alignment horizontal="left" vertical="center"/>
    </xf>
    <xf numFmtId="0" fontId="16" fillId="3" borderId="6" xfId="0" applyFont="1" applyFill="1" applyBorder="1" applyAlignment="1">
      <alignment horizontal="left" vertical="center"/>
    </xf>
    <xf numFmtId="171" fontId="16" fillId="3" borderId="6" xfId="0" applyNumberFormat="1" applyFont="1" applyFill="1" applyBorder="1" applyAlignment="1">
      <alignment horizontal="left" vertical="center" wrapText="1"/>
    </xf>
    <xf numFmtId="171" fontId="16" fillId="3" borderId="0" xfId="0" applyNumberFormat="1" applyFont="1" applyFill="1" applyAlignment="1">
      <alignment horizontal="left" vertical="center" wrapText="1"/>
    </xf>
    <xf numFmtId="0" fontId="11" fillId="0" borderId="0" xfId="0" applyFont="1"/>
    <xf numFmtId="9" fontId="0" fillId="4" borderId="6" xfId="1" applyFont="1" applyFill="1" applyBorder="1" applyAlignment="1">
      <alignment horizontal="center"/>
    </xf>
    <xf numFmtId="183" fontId="0" fillId="4" borderId="6" xfId="0" applyNumberFormat="1" applyFill="1" applyBorder="1" applyAlignment="1">
      <alignment horizontal="center"/>
    </xf>
    <xf numFmtId="0" fontId="0" fillId="0" borderId="6" xfId="0" applyFill="1" applyBorder="1" applyAlignment="1">
      <alignment horizontal="center" vertical="center"/>
    </xf>
    <xf numFmtId="0" fontId="12" fillId="5" borderId="0" xfId="0" applyFont="1" applyFill="1" applyBorder="1"/>
    <xf numFmtId="0" fontId="19" fillId="3" borderId="0" xfId="0" applyFont="1" applyFill="1" applyAlignment="1">
      <alignment horizontal="left" vertical="center"/>
    </xf>
    <xf numFmtId="171" fontId="25" fillId="3" borderId="0" xfId="0" applyNumberFormat="1" applyFont="1" applyFill="1" applyAlignment="1">
      <alignment horizontal="left" vertical="center"/>
    </xf>
    <xf numFmtId="0" fontId="26" fillId="3" borderId="0" xfId="6" applyFont="1" applyFill="1" applyAlignment="1">
      <alignment horizontal="left" vertical="center"/>
    </xf>
    <xf numFmtId="0" fontId="16" fillId="3" borderId="0" xfId="0" applyFont="1" applyFill="1" applyAlignment="1">
      <alignment vertical="center"/>
    </xf>
    <xf numFmtId="0" fontId="0" fillId="3" borderId="0" xfId="0" applyFont="1" applyFill="1" applyAlignment="1">
      <alignment horizontal="left" vertical="center"/>
    </xf>
    <xf numFmtId="0" fontId="0" fillId="3" borderId="0" xfId="0" applyFont="1" applyFill="1" applyAlignment="1">
      <alignment horizontal="left"/>
    </xf>
    <xf numFmtId="0" fontId="0" fillId="3" borderId="0" xfId="0" applyFont="1" applyFill="1" applyAlignment="1">
      <alignment horizontal="left" indent="1"/>
    </xf>
    <xf numFmtId="0" fontId="0" fillId="0" borderId="0" xfId="0" applyFill="1" applyAlignment="1">
      <alignment horizontal="center" vertical="center"/>
    </xf>
    <xf numFmtId="10" fontId="0" fillId="0" borderId="6" xfId="0" applyNumberFormat="1"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9" fontId="0" fillId="0" borderId="0" xfId="1" applyFont="1" applyFill="1" applyBorder="1" applyAlignment="1">
      <alignment horizontal="center"/>
    </xf>
    <xf numFmtId="37" fontId="0" fillId="0" borderId="0" xfId="0" applyNumberFormat="1" applyFill="1" applyBorder="1" applyAlignment="1">
      <alignment horizontal="center"/>
    </xf>
    <xf numFmtId="183" fontId="0" fillId="0" borderId="0" xfId="0" applyNumberFormat="1" applyFill="1" applyBorder="1" applyAlignment="1">
      <alignment horizontal="center"/>
    </xf>
    <xf numFmtId="39" fontId="4" fillId="0" borderId="0" xfId="0" applyNumberFormat="1" applyFont="1" applyFill="1" applyBorder="1" applyAlignment="1">
      <alignment horizontal="center"/>
    </xf>
    <xf numFmtId="1" fontId="4" fillId="0" borderId="0" xfId="0" applyNumberFormat="1" applyFont="1" applyFill="1" applyBorder="1" applyAlignment="1">
      <alignment horizontal="center"/>
    </xf>
    <xf numFmtId="1" fontId="0" fillId="0" borderId="0" xfId="0" applyNumberFormat="1" applyFill="1" applyAlignment="1">
      <alignment horizontal="center" vertical="center"/>
    </xf>
    <xf numFmtId="2" fontId="0" fillId="0" borderId="0" xfId="0" applyNumberFormat="1" applyFill="1" applyAlignment="1">
      <alignment horizontal="center" vertical="center"/>
    </xf>
    <xf numFmtId="0" fontId="4" fillId="0" borderId="0" xfId="0" applyFont="1" applyFill="1" applyBorder="1" applyAlignment="1">
      <alignment horizontal="center"/>
    </xf>
    <xf numFmtId="182" fontId="0" fillId="0" borderId="0" xfId="0" applyNumberFormat="1" applyFill="1" applyAlignment="1">
      <alignment horizontal="center" vertical="center"/>
    </xf>
    <xf numFmtId="9" fontId="0" fillId="0" borderId="0" xfId="0" applyNumberFormat="1" applyFill="1" applyAlignment="1">
      <alignment horizontal="center" vertical="center"/>
    </xf>
    <xf numFmtId="182" fontId="11" fillId="0" borderId="0" xfId="0" applyNumberFormat="1" applyFont="1" applyFill="1" applyAlignment="1">
      <alignment horizontal="center"/>
    </xf>
    <xf numFmtId="0" fontId="0" fillId="0" borderId="0" xfId="0" applyFill="1" applyAlignment="1">
      <alignment horizontal="left" vertical="center"/>
    </xf>
    <xf numFmtId="0" fontId="0" fillId="0" borderId="0" xfId="0" applyFill="1" applyAlignment="1">
      <alignment horizontal="left"/>
    </xf>
    <xf numFmtId="0" fontId="16" fillId="0" borderId="0" xfId="0" applyFont="1" applyFill="1" applyAlignment="1">
      <alignment horizontal="left" vertical="center"/>
    </xf>
    <xf numFmtId="0" fontId="16" fillId="0" borderId="0" xfId="0" applyFont="1" applyFill="1" applyAlignment="1">
      <alignment vertical="center"/>
    </xf>
    <xf numFmtId="0" fontId="19" fillId="0" borderId="0" xfId="0" applyFont="1" applyFill="1" applyAlignment="1">
      <alignment horizontal="left" vertical="center"/>
    </xf>
    <xf numFmtId="0" fontId="2" fillId="0" borderId="0" xfId="0" applyFont="1" applyAlignment="1">
      <alignment horizontal="left"/>
    </xf>
    <xf numFmtId="0" fontId="4" fillId="0" borderId="0" xfId="0" applyFont="1" applyFill="1" applyAlignment="1">
      <alignment horizontal="left"/>
    </xf>
    <xf numFmtId="167" fontId="4" fillId="0" borderId="0" xfId="0" applyNumberFormat="1" applyFont="1" applyFill="1" applyAlignment="1">
      <alignment horizontal="left"/>
    </xf>
    <xf numFmtId="187" fontId="1" fillId="0" borderId="0" xfId="3" applyNumberFormat="1" applyFont="1" applyBorder="1" applyAlignment="1">
      <alignment horizontal="right" wrapText="1"/>
    </xf>
    <xf numFmtId="167" fontId="4" fillId="0" borderId="0" xfId="1" applyNumberFormat="1" applyFont="1" applyAlignment="1">
      <alignment horizontal="right"/>
    </xf>
    <xf numFmtId="0" fontId="0" fillId="0" borderId="0" xfId="0" applyAlignment="1">
      <alignment horizontal="right"/>
    </xf>
    <xf numFmtId="174" fontId="4" fillId="0" borderId="0" xfId="5" applyNumberFormat="1" applyFont="1" applyFill="1" applyBorder="1" applyAlignment="1">
      <alignment horizontal="center" vertical="center" wrapText="1"/>
    </xf>
    <xf numFmtId="0" fontId="4" fillId="0" borderId="0" xfId="0" applyFont="1" applyBorder="1"/>
    <xf numFmtId="0" fontId="0" fillId="0" borderId="0" xfId="0" applyFont="1" applyFill="1" applyBorder="1"/>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Border="1"/>
    <xf numFmtId="172" fontId="4" fillId="0" borderId="0" xfId="5" applyNumberFormat="1" applyFont="1" applyFill="1" applyBorder="1" applyAlignment="1">
      <alignment horizontal="center" vertical="center" wrapText="1"/>
    </xf>
    <xf numFmtId="174" fontId="5" fillId="0" borderId="0" xfId="5"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0" fillId="0" borderId="2" xfId="0" applyFont="1" applyFill="1" applyBorder="1" applyAlignment="1">
      <alignment horizontal="left"/>
    </xf>
    <xf numFmtId="0" fontId="0" fillId="0" borderId="9" xfId="0" applyFont="1" applyFill="1" applyBorder="1" applyAlignment="1">
      <alignment horizontal="center"/>
    </xf>
    <xf numFmtId="0" fontId="0" fillId="0" borderId="3" xfId="0" applyFont="1" applyFill="1" applyBorder="1" applyAlignment="1">
      <alignment horizontal="center"/>
    </xf>
    <xf numFmtId="169" fontId="1" fillId="0" borderId="1" xfId="2" applyNumberFormat="1" applyFont="1" applyFill="1" applyBorder="1"/>
    <xf numFmtId="0" fontId="4" fillId="0" borderId="0" xfId="0" applyFont="1" applyFill="1" applyBorder="1" applyAlignment="1"/>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wrapText="1"/>
    </xf>
    <xf numFmtId="0" fontId="0" fillId="0" borderId="6" xfId="0" applyFill="1" applyBorder="1" applyAlignment="1">
      <alignment vertical="center" wrapText="1"/>
    </xf>
    <xf numFmtId="0" fontId="4" fillId="0" borderId="0" xfId="0" applyFont="1" applyBorder="1" applyAlignment="1"/>
    <xf numFmtId="179" fontId="0" fillId="0" borderId="0" xfId="2" applyNumberFormat="1" applyFont="1" applyFill="1" applyBorder="1" applyAlignment="1" applyProtection="1">
      <protection locked="0"/>
    </xf>
    <xf numFmtId="179" fontId="0" fillId="0" borderId="0" xfId="3" applyNumberFormat="1" applyFont="1" applyFill="1" applyBorder="1" applyAlignment="1" applyProtection="1">
      <alignment horizontal="center" wrapText="1"/>
      <protection locked="0"/>
    </xf>
    <xf numFmtId="169" fontId="5" fillId="0" borderId="0" xfId="2" applyNumberFormat="1" applyFont="1" applyFill="1" applyBorder="1" applyAlignment="1"/>
    <xf numFmtId="170" fontId="5" fillId="0" borderId="0" xfId="3" applyNumberFormat="1" applyFont="1" applyFill="1" applyBorder="1" applyAlignment="1"/>
    <xf numFmtId="0" fontId="4" fillId="0" borderId="0" xfId="0" applyFont="1" applyFill="1" applyBorder="1" applyAlignment="1">
      <alignment horizontal="right" wrapText="1"/>
    </xf>
    <xf numFmtId="0" fontId="5" fillId="0" borderId="0" xfId="0" applyFont="1" applyFill="1" applyBorder="1" applyAlignment="1">
      <alignment horizontal="right" wrapText="1"/>
    </xf>
    <xf numFmtId="0" fontId="0" fillId="0" borderId="0" xfId="0" applyFont="1" applyFill="1" applyBorder="1" applyAlignment="1"/>
    <xf numFmtId="0" fontId="5" fillId="0" borderId="2" xfId="0" applyFont="1" applyFill="1" applyBorder="1" applyAlignment="1">
      <alignment vertical="center"/>
    </xf>
    <xf numFmtId="0" fontId="5" fillId="0" borderId="3" xfId="0" applyFont="1" applyFill="1" applyBorder="1" applyAlignment="1">
      <alignment horizontal="left" vertical="center"/>
    </xf>
    <xf numFmtId="0" fontId="5" fillId="0" borderId="9" xfId="0" applyFont="1" applyFill="1" applyBorder="1" applyAlignment="1">
      <alignment horizontal="left" vertical="center"/>
    </xf>
    <xf numFmtId="0" fontId="4" fillId="0" borderId="9" xfId="0" applyFont="1" applyFill="1" applyBorder="1" applyAlignment="1"/>
    <xf numFmtId="0" fontId="15" fillId="0" borderId="0" xfId="0" applyFont="1" applyFill="1" applyBorder="1" applyAlignment="1"/>
    <xf numFmtId="192" fontId="0" fillId="4" borderId="6" xfId="0" applyNumberFormat="1" applyFill="1" applyBorder="1" applyAlignment="1">
      <alignment horizontal="center"/>
    </xf>
    <xf numFmtId="171" fontId="0" fillId="3" borderId="6" xfId="0" applyNumberFormat="1" applyFill="1" applyBorder="1" applyAlignment="1">
      <alignment vertical="center"/>
    </xf>
    <xf numFmtId="2" fontId="4" fillId="4" borderId="6" xfId="0" applyNumberFormat="1" applyFont="1" applyFill="1" applyBorder="1" applyAlignment="1">
      <alignment horizontal="center"/>
    </xf>
    <xf numFmtId="9" fontId="4" fillId="4" borderId="6" xfId="1" applyFont="1" applyFill="1" applyBorder="1" applyAlignment="1">
      <alignment horizontal="center"/>
    </xf>
    <xf numFmtId="167" fontId="0" fillId="2" borderId="6" xfId="1" applyNumberFormat="1" applyFont="1" applyFill="1" applyBorder="1" applyAlignment="1">
      <alignment horizontal="center" vertical="center"/>
    </xf>
    <xf numFmtId="0" fontId="0" fillId="0" borderId="0" xfId="0" applyFont="1" applyFill="1" applyBorder="1" applyAlignment="1">
      <alignment horizontal="center"/>
    </xf>
    <xf numFmtId="166" fontId="2" fillId="0" borderId="10" xfId="2" applyFont="1" applyFill="1" applyBorder="1" applyAlignment="1"/>
    <xf numFmtId="0" fontId="0" fillId="0" borderId="11" xfId="0" applyFont="1" applyFill="1" applyBorder="1" applyAlignment="1"/>
    <xf numFmtId="166" fontId="0" fillId="0" borderId="13" xfId="2" applyFont="1" applyFill="1" applyBorder="1" applyAlignment="1"/>
    <xf numFmtId="164" fontId="0" fillId="0" borderId="14" xfId="2" applyNumberFormat="1" applyFont="1" applyFill="1" applyBorder="1" applyAlignment="1"/>
    <xf numFmtId="166" fontId="2" fillId="0" borderId="13" xfId="2" applyFont="1" applyFill="1" applyBorder="1" applyAlignment="1"/>
    <xf numFmtId="10" fontId="4" fillId="0" borderId="14" xfId="1" applyNumberFormat="1" applyFont="1" applyFill="1" applyBorder="1" applyAlignment="1"/>
    <xf numFmtId="166" fontId="0" fillId="0" borderId="15" xfId="2" applyFont="1" applyFill="1" applyBorder="1" applyAlignment="1"/>
    <xf numFmtId="0" fontId="0" fillId="0" borderId="16" xfId="0" applyFont="1" applyFill="1" applyBorder="1" applyAlignment="1">
      <alignment horizontal="center"/>
    </xf>
    <xf numFmtId="0" fontId="0" fillId="0" borderId="16" xfId="0" applyFont="1" applyFill="1" applyBorder="1" applyAlignment="1"/>
    <xf numFmtId="0" fontId="0" fillId="4" borderId="6" xfId="0" applyNumberFormat="1" applyFill="1" applyBorder="1" applyAlignment="1">
      <alignment horizontal="center"/>
    </xf>
    <xf numFmtId="0" fontId="0" fillId="4" borderId="0" xfId="0" applyNumberFormat="1" applyFill="1" applyBorder="1" applyAlignment="1">
      <alignment horizontal="center" vertical="center"/>
    </xf>
    <xf numFmtId="0" fontId="0" fillId="0" borderId="0" xfId="0" applyBorder="1"/>
    <xf numFmtId="0" fontId="9" fillId="0" borderId="0" xfId="0" applyFont="1" applyBorder="1" applyAlignment="1">
      <alignment horizontal="right"/>
    </xf>
    <xf numFmtId="0" fontId="0" fillId="0" borderId="0" xfId="0" applyBorder="1" applyAlignment="1">
      <alignment horizontal="right"/>
    </xf>
    <xf numFmtId="0" fontId="29" fillId="0" borderId="0" xfId="0" applyFont="1" applyBorder="1" applyAlignment="1">
      <alignment horizontal="right"/>
    </xf>
    <xf numFmtId="164" fontId="31" fillId="0" borderId="0" xfId="2" applyNumberFormat="1" applyFont="1" applyFill="1" applyBorder="1" applyAlignment="1">
      <alignment horizontal="right"/>
    </xf>
    <xf numFmtId="0" fontId="31" fillId="0" borderId="0" xfId="0" applyFont="1" applyBorder="1" applyAlignment="1">
      <alignment horizontal="right"/>
    </xf>
    <xf numFmtId="0" fontId="31" fillId="0" borderId="0" xfId="0" applyFont="1" applyAlignment="1">
      <alignment horizontal="right"/>
    </xf>
    <xf numFmtId="0" fontId="4" fillId="4" borderId="0" xfId="0" applyFont="1" applyFill="1" applyBorder="1" applyAlignment="1">
      <alignment horizontal="center"/>
    </xf>
    <xf numFmtId="0" fontId="33" fillId="0" borderId="0" xfId="0" applyFont="1" applyFill="1" applyBorder="1"/>
    <xf numFmtId="194" fontId="4" fillId="2" borderId="6" xfId="2" applyNumberFormat="1" applyFont="1" applyFill="1" applyBorder="1" applyAlignment="1">
      <alignment horizontal="left"/>
    </xf>
    <xf numFmtId="194" fontId="4" fillId="4" borderId="6" xfId="2" applyNumberFormat="1" applyFont="1" applyFill="1" applyBorder="1" applyAlignment="1">
      <alignment horizontal="left"/>
    </xf>
    <xf numFmtId="166" fontId="4" fillId="4" borderId="6" xfId="2" applyNumberFormat="1" applyFont="1" applyFill="1" applyBorder="1" applyAlignment="1">
      <alignment horizontal="left"/>
    </xf>
    <xf numFmtId="0" fontId="0" fillId="4" borderId="6" xfId="0" applyFill="1" applyBorder="1" applyAlignment="1">
      <alignment horizontal="center" vertical="center"/>
    </xf>
    <xf numFmtId="167" fontId="0" fillId="4" borderId="6" xfId="1" applyNumberFormat="1" applyFont="1" applyFill="1" applyBorder="1" applyAlignment="1">
      <alignment horizontal="center" vertical="center"/>
    </xf>
    <xf numFmtId="4" fontId="18" fillId="0" borderId="0" xfId="0" applyNumberFormat="1" applyFont="1" applyFill="1"/>
    <xf numFmtId="0" fontId="17" fillId="0" borderId="0" xfId="0" applyFont="1" applyFill="1"/>
    <xf numFmtId="0" fontId="11" fillId="0" borderId="0" xfId="0" applyFont="1" applyFill="1"/>
    <xf numFmtId="0" fontId="9" fillId="3" borderId="0" xfId="0" applyFont="1" applyFill="1"/>
    <xf numFmtId="169" fontId="4" fillId="0" borderId="0" xfId="2"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0" fontId="5" fillId="0" borderId="0" xfId="0" applyFont="1" applyFill="1" applyBorder="1"/>
    <xf numFmtId="187" fontId="0" fillId="0" borderId="0" xfId="3" applyNumberFormat="1" applyFont="1" applyFill="1" applyBorder="1" applyAlignment="1">
      <alignment horizontal="center" wrapText="1"/>
    </xf>
    <xf numFmtId="0" fontId="6" fillId="0" borderId="0" xfId="0" applyFont="1" applyAlignment="1">
      <alignment horizontal="left"/>
    </xf>
    <xf numFmtId="0" fontId="37" fillId="0" borderId="0" xfId="0" quotePrefix="1" applyFont="1" applyAlignment="1">
      <alignment horizontal="left"/>
    </xf>
    <xf numFmtId="0" fontId="11" fillId="0" borderId="0" xfId="0" applyFont="1" applyFill="1" applyAlignment="1">
      <alignment horizontal="left"/>
    </xf>
    <xf numFmtId="0" fontId="0" fillId="0" borderId="0" xfId="0" applyAlignment="1"/>
    <xf numFmtId="0" fontId="0" fillId="0" borderId="0" xfId="0" applyFill="1" applyAlignment="1"/>
    <xf numFmtId="0" fontId="2" fillId="0" borderId="0" xfId="0" applyFont="1" applyAlignment="1"/>
    <xf numFmtId="0" fontId="4" fillId="0" borderId="0" xfId="0" applyFont="1" applyAlignment="1"/>
    <xf numFmtId="0" fontId="5" fillId="0" borderId="0" xfId="0" applyFont="1" applyAlignment="1"/>
    <xf numFmtId="187" fontId="1" fillId="0" borderId="0" xfId="3" applyNumberFormat="1" applyFont="1" applyBorder="1" applyAlignment="1">
      <alignment wrapText="1"/>
    </xf>
    <xf numFmtId="176" fontId="0" fillId="0" borderId="0" xfId="0" applyNumberFormat="1" applyFill="1" applyAlignment="1">
      <alignment horizontal="left"/>
    </xf>
    <xf numFmtId="177" fontId="0" fillId="0" borderId="0" xfId="0" applyNumberFormat="1" applyFill="1" applyAlignment="1">
      <alignment horizontal="left"/>
    </xf>
    <xf numFmtId="0" fontId="5" fillId="0" borderId="0" xfId="0" applyFont="1" applyFill="1" applyAlignment="1">
      <alignment horizontal="left"/>
    </xf>
    <xf numFmtId="167" fontId="4" fillId="2" borderId="6" xfId="1" applyNumberFormat="1" applyFont="1" applyFill="1" applyBorder="1" applyAlignment="1">
      <alignment horizontal="left"/>
    </xf>
    <xf numFmtId="167" fontId="5" fillId="0" borderId="0" xfId="1" applyNumberFormat="1" applyFont="1" applyFill="1" applyAlignment="1">
      <alignment horizontal="left"/>
    </xf>
    <xf numFmtId="187" fontId="1" fillId="0" borderId="0" xfId="3" applyNumberFormat="1" applyFont="1" applyFill="1" applyBorder="1" applyAlignment="1">
      <alignment horizontal="left" wrapText="1"/>
    </xf>
    <xf numFmtId="1" fontId="4" fillId="2" borderId="6" xfId="1" applyNumberFormat="1" applyFont="1" applyFill="1" applyBorder="1" applyAlignment="1">
      <alignment horizontal="left"/>
    </xf>
    <xf numFmtId="43" fontId="4" fillId="0" borderId="0" xfId="0" applyNumberFormat="1" applyFont="1" applyBorder="1"/>
    <xf numFmtId="166" fontId="30" fillId="0" borderId="0" xfId="2" applyFont="1" applyFill="1" applyBorder="1" applyAlignment="1">
      <alignment horizontal="right"/>
    </xf>
    <xf numFmtId="164" fontId="30" fillId="0" borderId="0" xfId="5" applyNumberFormat="1" applyFont="1" applyFill="1" applyBorder="1" applyAlignment="1">
      <alignment horizontal="right"/>
    </xf>
    <xf numFmtId="164" fontId="31" fillId="0" borderId="0" xfId="5" applyNumberFormat="1" applyFont="1" applyFill="1" applyBorder="1" applyAlignment="1">
      <alignment horizontal="right"/>
    </xf>
    <xf numFmtId="164" fontId="30" fillId="0" borderId="0" xfId="2" applyNumberFormat="1" applyFont="1" applyFill="1" applyBorder="1" applyAlignment="1">
      <alignment horizontal="right"/>
    </xf>
    <xf numFmtId="39" fontId="0" fillId="0" borderId="6" xfId="0" applyNumberFormat="1" applyFill="1" applyBorder="1" applyAlignment="1">
      <alignment horizontal="center"/>
    </xf>
    <xf numFmtId="167" fontId="4" fillId="0" borderId="6" xfId="0" applyNumberFormat="1" applyFont="1" applyFill="1" applyBorder="1" applyAlignment="1">
      <alignment horizontal="center"/>
    </xf>
    <xf numFmtId="1" fontId="4" fillId="0" borderId="6" xfId="0" applyNumberFormat="1" applyFont="1" applyFill="1" applyBorder="1" applyAlignment="1">
      <alignment horizontal="center"/>
    </xf>
    <xf numFmtId="169" fontId="0" fillId="0" borderId="0" xfId="2" applyNumberFormat="1" applyFont="1" applyFill="1" applyAlignment="1">
      <alignment vertical="center"/>
    </xf>
    <xf numFmtId="0" fontId="31" fillId="0" borderId="0" xfId="0" applyFont="1" applyFill="1"/>
    <xf numFmtId="169" fontId="1" fillId="0" borderId="0" xfId="2" applyNumberFormat="1" applyFont="1" applyFill="1" applyBorder="1"/>
    <xf numFmtId="169" fontId="0" fillId="0" borderId="0" xfId="2" applyNumberFormat="1" applyFont="1" applyFill="1" applyBorder="1"/>
    <xf numFmtId="2" fontId="0" fillId="0" borderId="0" xfId="0" applyNumberFormat="1" applyAlignment="1">
      <alignment horizontal="left"/>
    </xf>
    <xf numFmtId="0" fontId="4" fillId="0" borderId="0" xfId="0" applyFont="1" applyFill="1"/>
    <xf numFmtId="3" fontId="4" fillId="0" borderId="0" xfId="0" applyNumberFormat="1" applyFont="1" applyFill="1" applyBorder="1" applyAlignment="1">
      <alignment horizontal="center" vertical="center"/>
    </xf>
    <xf numFmtId="0" fontId="4" fillId="0" borderId="9" xfId="0" applyFont="1" applyFill="1" applyBorder="1" applyAlignment="1">
      <alignment horizontal="left" vertical="center"/>
    </xf>
    <xf numFmtId="0" fontId="0" fillId="0" borderId="3" xfId="0" applyFont="1" applyFill="1" applyBorder="1"/>
    <xf numFmtId="169" fontId="1" fillId="0" borderId="2" xfId="2" applyNumberFormat="1" applyFont="1" applyFill="1" applyBorder="1"/>
    <xf numFmtId="37" fontId="0" fillId="0" borderId="6" xfId="0" applyNumberFormat="1" applyFill="1" applyBorder="1" applyAlignment="1">
      <alignment horizontal="center"/>
    </xf>
    <xf numFmtId="0" fontId="40" fillId="12" borderId="0" xfId="0" applyFont="1" applyFill="1"/>
    <xf numFmtId="0" fontId="39" fillId="12" borderId="0" xfId="0" applyFont="1" applyFill="1" applyAlignment="1">
      <alignment horizontal="left" vertical="center"/>
    </xf>
    <xf numFmtId="0" fontId="39" fillId="12" borderId="0" xfId="0" applyFont="1" applyFill="1" applyAlignment="1">
      <alignment horizontal="center" vertical="center"/>
    </xf>
    <xf numFmtId="0" fontId="42" fillId="5" borderId="7" xfId="0" applyFont="1" applyFill="1" applyBorder="1"/>
    <xf numFmtId="0" fontId="43" fillId="0" borderId="7" xfId="0" applyFont="1" applyBorder="1" applyAlignment="1">
      <alignment horizontal="left" vertical="center"/>
    </xf>
    <xf numFmtId="187" fontId="2" fillId="0" borderId="0" xfId="3" applyNumberFormat="1" applyFont="1" applyFill="1" applyBorder="1" applyAlignment="1">
      <alignment horizontal="right" wrapText="1"/>
    </xf>
    <xf numFmtId="0" fontId="10" fillId="0" borderId="0" xfId="0" applyFont="1"/>
    <xf numFmtId="0" fontId="39" fillId="12" borderId="0" xfId="0" applyFont="1" applyFill="1" applyAlignment="1">
      <alignment vertical="center"/>
    </xf>
    <xf numFmtId="0" fontId="44" fillId="0" borderId="0" xfId="0" applyFont="1" applyAlignment="1">
      <alignment horizontal="left"/>
    </xf>
    <xf numFmtId="0" fontId="39" fillId="12" borderId="0" xfId="0" applyFont="1" applyFill="1" applyAlignment="1">
      <alignment horizontal="right" vertical="center"/>
    </xf>
    <xf numFmtId="9" fontId="0" fillId="0" borderId="0" xfId="1" applyFont="1" applyFill="1" applyAlignment="1">
      <alignment horizontal="right"/>
    </xf>
    <xf numFmtId="0" fontId="5" fillId="0" borderId="0" xfId="0" applyFont="1" applyFill="1" applyBorder="1" applyAlignment="1">
      <alignment horizontal="left"/>
    </xf>
    <xf numFmtId="0" fontId="2" fillId="0" borderId="2" xfId="0" applyFont="1" applyBorder="1" applyAlignment="1">
      <alignment horizontal="left"/>
    </xf>
    <xf numFmtId="0" fontId="2" fillId="0" borderId="9" xfId="0" applyFont="1" applyBorder="1" applyAlignment="1">
      <alignment horizontal="center"/>
    </xf>
    <xf numFmtId="0" fontId="2" fillId="0" borderId="3" xfId="0" applyFont="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0" xfId="0" applyFont="1" applyFill="1" applyBorder="1" applyAlignment="1"/>
    <xf numFmtId="0" fontId="5" fillId="0" borderId="2" xfId="0" applyFont="1" applyFill="1" applyBorder="1" applyAlignment="1">
      <alignment horizontal="left"/>
    </xf>
    <xf numFmtId="0" fontId="2" fillId="0" borderId="2" xfId="0" applyFont="1" applyBorder="1" applyAlignment="1"/>
    <xf numFmtId="0" fontId="2" fillId="0" borderId="9" xfId="0" applyFont="1" applyBorder="1" applyAlignment="1"/>
    <xf numFmtId="0" fontId="2" fillId="0" borderId="3" xfId="0" applyFont="1" applyBorder="1" applyAlignment="1"/>
    <xf numFmtId="0" fontId="4" fillId="8" borderId="6" xfId="0" applyFont="1" applyFill="1" applyBorder="1" applyAlignment="1">
      <alignment horizontal="center" vertical="center" wrapText="1"/>
    </xf>
    <xf numFmtId="0" fontId="4" fillId="8" borderId="6" xfId="0" applyFont="1" applyFill="1" applyBorder="1" applyAlignment="1">
      <alignment horizontal="left" vertical="center" wrapText="1"/>
    </xf>
    <xf numFmtId="3" fontId="4" fillId="0" borderId="0" xfId="0" applyNumberFormat="1" applyFont="1" applyFill="1" applyBorder="1"/>
    <xf numFmtId="43" fontId="0" fillId="0" borderId="0" xfId="0" applyNumberFormat="1" applyFont="1" applyFill="1" applyBorder="1"/>
    <xf numFmtId="174" fontId="4" fillId="0" borderId="0" xfId="0" applyNumberFormat="1" applyFont="1" applyFill="1" applyBorder="1" applyAlignment="1">
      <alignment horizontal="center" vertical="center"/>
    </xf>
    <xf numFmtId="172" fontId="4" fillId="0" borderId="0" xfId="0" applyNumberFormat="1" applyFont="1" applyFill="1" applyBorder="1" applyAlignment="1">
      <alignment horizontal="center" vertical="center"/>
    </xf>
    <xf numFmtId="180" fontId="4" fillId="0" borderId="0" xfId="0" applyNumberFormat="1" applyFont="1" applyFill="1" applyBorder="1" applyAlignment="1">
      <alignment horizontal="center" vertical="center"/>
    </xf>
    <xf numFmtId="0" fontId="0" fillId="0" borderId="0" xfId="0" applyFont="1" applyFill="1"/>
    <xf numFmtId="2" fontId="4" fillId="0" borderId="0" xfId="0" applyNumberFormat="1" applyFont="1" applyFill="1" applyBorder="1"/>
    <xf numFmtId="0" fontId="0" fillId="0" borderId="6" xfId="0" applyFill="1" applyBorder="1"/>
    <xf numFmtId="198" fontId="4" fillId="0" borderId="0" xfId="0" applyNumberFormat="1" applyFont="1" applyFill="1" applyBorder="1"/>
    <xf numFmtId="3" fontId="0" fillId="0" borderId="0" xfId="0" applyNumberFormat="1" applyFont="1" applyFill="1"/>
    <xf numFmtId="0" fontId="0" fillId="0" borderId="0" xfId="0" applyFont="1" applyFill="1" applyAlignment="1">
      <alignment horizontal="right"/>
    </xf>
    <xf numFmtId="191" fontId="0" fillId="0" borderId="0" xfId="0" applyNumberFormat="1" applyFont="1" applyFill="1"/>
    <xf numFmtId="190" fontId="0" fillId="0" borderId="0" xfId="0" applyNumberFormat="1" applyFont="1" applyFill="1"/>
    <xf numFmtId="189" fontId="0" fillId="0" borderId="0" xfId="0" applyNumberFormat="1" applyFont="1" applyFill="1"/>
    <xf numFmtId="188" fontId="0" fillId="0" borderId="0" xfId="0" applyNumberFormat="1" applyFont="1" applyFill="1"/>
    <xf numFmtId="0" fontId="2" fillId="0" borderId="0" xfId="0" applyFont="1" applyFill="1"/>
    <xf numFmtId="0" fontId="4" fillId="0" borderId="0" xfId="0" applyFont="1" applyFill="1" applyBorder="1" applyAlignment="1">
      <alignment vertical="center"/>
    </xf>
    <xf numFmtId="169" fontId="5" fillId="0" borderId="0" xfId="2"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0" fillId="0" borderId="0" xfId="0" applyFill="1" applyAlignment="1">
      <alignment wrapText="1"/>
    </xf>
    <xf numFmtId="0" fontId="0" fillId="0" borderId="0" xfId="0" applyFont="1" applyFill="1" applyBorder="1" applyAlignment="1">
      <alignment horizontal="left"/>
    </xf>
    <xf numFmtId="168" fontId="0" fillId="0" borderId="0" xfId="0" applyNumberFormat="1" applyFill="1"/>
    <xf numFmtId="0" fontId="11" fillId="0" borderId="1" xfId="0" applyFont="1" applyFill="1" applyBorder="1" applyAlignment="1">
      <alignment horizontal="left"/>
    </xf>
    <xf numFmtId="0" fontId="13" fillId="0" borderId="1" xfId="0" applyFont="1" applyFill="1" applyBorder="1" applyAlignment="1">
      <alignment horizontal="left" indent="1"/>
    </xf>
    <xf numFmtId="0" fontId="11" fillId="0" borderId="8" xfId="0" applyFont="1" applyFill="1" applyBorder="1" applyAlignment="1">
      <alignment horizontal="left"/>
    </xf>
    <xf numFmtId="0" fontId="27" fillId="0" borderId="4" xfId="0" applyFont="1" applyFill="1" applyBorder="1" applyAlignment="1">
      <alignment horizontal="left"/>
    </xf>
    <xf numFmtId="4" fontId="5" fillId="0" borderId="4" xfId="0" applyNumberFormat="1" applyFont="1" applyFill="1" applyBorder="1"/>
    <xf numFmtId="9" fontId="13" fillId="0" borderId="5" xfId="0" applyNumberFormat="1" applyFont="1" applyFill="1" applyBorder="1"/>
    <xf numFmtId="168" fontId="17" fillId="0" borderId="0" xfId="0" applyNumberFormat="1" applyFont="1" applyFill="1"/>
    <xf numFmtId="0" fontId="2" fillId="0" borderId="6" xfId="0" applyFont="1" applyFill="1" applyBorder="1"/>
    <xf numFmtId="0" fontId="0" fillId="0" borderId="6" xfId="0" applyFill="1" applyBorder="1" applyAlignment="1">
      <alignment horizontal="center"/>
    </xf>
    <xf numFmtId="0" fontId="2" fillId="0" borderId="6" xfId="0" applyFont="1" applyFill="1" applyBorder="1" applyAlignment="1">
      <alignment horizontal="center" vertical="center"/>
    </xf>
    <xf numFmtId="175" fontId="0" fillId="0" borderId="6" xfId="0" applyNumberFormat="1" applyFill="1" applyBorder="1" applyAlignment="1">
      <alignment horizontal="center"/>
    </xf>
    <xf numFmtId="195" fontId="0" fillId="0" borderId="6" xfId="0" applyNumberFormat="1" applyFill="1" applyBorder="1" applyAlignment="1">
      <alignment horizontal="center"/>
    </xf>
    <xf numFmtId="169" fontId="0" fillId="0" borderId="6" xfId="2" applyNumberFormat="1" applyFont="1" applyFill="1" applyBorder="1" applyAlignment="1">
      <alignment horizontal="center" vertical="center"/>
    </xf>
    <xf numFmtId="169" fontId="0" fillId="0" borderId="6" xfId="2" applyNumberFormat="1" applyFont="1" applyFill="1" applyBorder="1"/>
    <xf numFmtId="0" fontId="39" fillId="0" borderId="0" xfId="0" applyFont="1" applyFill="1" applyAlignment="1">
      <alignment vertical="center"/>
    </xf>
    <xf numFmtId="0" fontId="39" fillId="0" borderId="0" xfId="0" applyFont="1" applyFill="1" applyAlignment="1">
      <alignment horizontal="left" vertical="center"/>
    </xf>
    <xf numFmtId="0" fontId="39" fillId="0" borderId="0" xfId="0" applyFont="1" applyFill="1" applyAlignment="1">
      <alignment horizontal="center" vertical="center"/>
    </xf>
    <xf numFmtId="0" fontId="45" fillId="12" borderId="0" xfId="0" applyFont="1" applyFill="1" applyAlignment="1">
      <alignment vertical="center"/>
    </xf>
    <xf numFmtId="0" fontId="46" fillId="0" borderId="0" xfId="0" applyFont="1" applyFill="1" applyBorder="1"/>
    <xf numFmtId="0" fontId="46" fillId="0" borderId="0" xfId="0" applyFont="1" applyFill="1"/>
    <xf numFmtId="0" fontId="30" fillId="12" borderId="0" xfId="0" applyFont="1" applyFill="1" applyAlignment="1">
      <alignment vertical="center"/>
    </xf>
    <xf numFmtId="0" fontId="31" fillId="0" borderId="0" xfId="0" applyFont="1" applyFill="1" applyBorder="1"/>
    <xf numFmtId="169" fontId="31" fillId="0" borderId="0" xfId="0" applyNumberFormat="1" applyFont="1" applyFill="1"/>
    <xf numFmtId="169" fontId="31" fillId="0" borderId="0" xfId="2" applyNumberFormat="1" applyFont="1" applyFill="1"/>
    <xf numFmtId="9" fontId="31" fillId="0" borderId="0" xfId="1" applyFont="1" applyFill="1"/>
    <xf numFmtId="43" fontId="31" fillId="0" borderId="0" xfId="0" applyNumberFormat="1" applyFont="1" applyFill="1"/>
    <xf numFmtId="169" fontId="30" fillId="0" borderId="0" xfId="0" applyNumberFormat="1" applyFont="1" applyFill="1"/>
    <xf numFmtId="0" fontId="45" fillId="0" borderId="0" xfId="0" applyFont="1" applyFill="1" applyAlignment="1">
      <alignment vertical="center"/>
    </xf>
    <xf numFmtId="0" fontId="30" fillId="0" borderId="0" xfId="0" applyFont="1" applyFill="1" applyAlignment="1">
      <alignment vertical="center"/>
    </xf>
    <xf numFmtId="169" fontId="0" fillId="0" borderId="0" xfId="2" applyNumberFormat="1" applyFont="1" applyFill="1" applyBorder="1" applyAlignment="1">
      <alignment horizontal="right"/>
    </xf>
    <xf numFmtId="0" fontId="4" fillId="0" borderId="0" xfId="0" applyFont="1" applyFill="1" applyBorder="1" applyAlignment="1">
      <alignment horizontal="right"/>
    </xf>
    <xf numFmtId="0" fontId="0" fillId="0" borderId="0" xfId="0" applyFont="1" applyFill="1" applyBorder="1" applyAlignment="1">
      <alignment horizontal="right"/>
    </xf>
    <xf numFmtId="0" fontId="4" fillId="0" borderId="0" xfId="0" applyFont="1" applyFill="1" applyAlignment="1">
      <alignment horizontal="right"/>
    </xf>
    <xf numFmtId="169" fontId="4" fillId="0" borderId="0" xfId="2" applyNumberFormat="1" applyFont="1" applyFill="1" applyAlignment="1">
      <alignment horizontal="right"/>
    </xf>
    <xf numFmtId="1" fontId="4" fillId="0" borderId="0" xfId="0" applyNumberFormat="1" applyFont="1" applyFill="1" applyAlignment="1">
      <alignment horizontal="right"/>
    </xf>
    <xf numFmtId="0" fontId="4" fillId="0" borderId="25" xfId="0" applyFont="1" applyFill="1" applyBorder="1" applyAlignment="1">
      <alignment horizontal="right"/>
    </xf>
    <xf numFmtId="0" fontId="5" fillId="0" borderId="0" xfId="0" applyFont="1" applyFill="1" applyAlignment="1">
      <alignment horizontal="right" wrapText="1"/>
    </xf>
    <xf numFmtId="0" fontId="5" fillId="0" borderId="26" xfId="0" applyFont="1" applyFill="1" applyBorder="1" applyAlignment="1">
      <alignment horizontal="right" wrapText="1"/>
    </xf>
    <xf numFmtId="0" fontId="5" fillId="0" borderId="27" xfId="0" applyFont="1" applyFill="1" applyBorder="1" applyAlignment="1">
      <alignment horizontal="right" wrapText="1"/>
    </xf>
    <xf numFmtId="0" fontId="4" fillId="0" borderId="26" xfId="0" applyFont="1" applyFill="1" applyBorder="1" applyAlignment="1">
      <alignment horizontal="right"/>
    </xf>
    <xf numFmtId="0" fontId="4" fillId="0" borderId="27" xfId="0" applyFont="1" applyFill="1" applyBorder="1" applyAlignment="1">
      <alignment horizontal="right"/>
    </xf>
    <xf numFmtId="169" fontId="4" fillId="0" borderId="26" xfId="2" applyNumberFormat="1" applyFont="1" applyFill="1" applyBorder="1" applyAlignment="1">
      <alignment horizontal="right"/>
    </xf>
    <xf numFmtId="169" fontId="4" fillId="0" borderId="27" xfId="2" applyNumberFormat="1" applyFont="1" applyFill="1" applyBorder="1" applyAlignment="1">
      <alignment horizontal="right"/>
    </xf>
    <xf numFmtId="169" fontId="5" fillId="0" borderId="0" xfId="2" applyNumberFormat="1" applyFont="1" applyFill="1" applyAlignment="1">
      <alignment horizontal="right"/>
    </xf>
    <xf numFmtId="37" fontId="4" fillId="0" borderId="0" xfId="0" applyNumberFormat="1" applyFont="1" applyFill="1" applyAlignment="1">
      <alignment horizontal="right"/>
    </xf>
    <xf numFmtId="37" fontId="4" fillId="0" borderId="26" xfId="0" applyNumberFormat="1" applyFont="1" applyFill="1" applyBorder="1" applyAlignment="1">
      <alignment horizontal="right"/>
    </xf>
    <xf numFmtId="37" fontId="4" fillId="0" borderId="27" xfId="0" applyNumberFormat="1" applyFont="1" applyFill="1" applyBorder="1" applyAlignment="1">
      <alignment horizontal="right"/>
    </xf>
    <xf numFmtId="2" fontId="4" fillId="0" borderId="0" xfId="0" applyNumberFormat="1" applyFont="1" applyFill="1" applyAlignment="1">
      <alignment horizontal="right"/>
    </xf>
    <xf numFmtId="2" fontId="4" fillId="0" borderId="26" xfId="0" applyNumberFormat="1" applyFont="1" applyFill="1" applyBorder="1" applyAlignment="1">
      <alignment horizontal="right"/>
    </xf>
    <xf numFmtId="2" fontId="4" fillId="0" borderId="27" xfId="0" applyNumberFormat="1" applyFont="1" applyFill="1" applyBorder="1" applyAlignment="1">
      <alignment horizontal="right"/>
    </xf>
    <xf numFmtId="2" fontId="5" fillId="0" borderId="0" xfId="0" applyNumberFormat="1" applyFont="1" applyFill="1" applyAlignment="1">
      <alignment horizontal="right"/>
    </xf>
    <xf numFmtId="184" fontId="4" fillId="0" borderId="0" xfId="0" applyNumberFormat="1" applyFont="1" applyFill="1" applyAlignment="1">
      <alignment horizontal="right"/>
    </xf>
    <xf numFmtId="184" fontId="4" fillId="0" borderId="26" xfId="0" applyNumberFormat="1" applyFont="1" applyFill="1" applyBorder="1" applyAlignment="1">
      <alignment horizontal="right"/>
    </xf>
    <xf numFmtId="184" fontId="4" fillId="0" borderId="27" xfId="0" applyNumberFormat="1" applyFont="1" applyFill="1" applyBorder="1" applyAlignment="1">
      <alignment horizontal="right"/>
    </xf>
    <xf numFmtId="184" fontId="5" fillId="0" borderId="0" xfId="0" applyNumberFormat="1" applyFont="1" applyFill="1" applyAlignment="1">
      <alignment horizontal="right"/>
    </xf>
    <xf numFmtId="43" fontId="4" fillId="0" borderId="0" xfId="0" applyNumberFormat="1" applyFont="1" applyFill="1" applyAlignment="1">
      <alignment horizontal="right"/>
    </xf>
    <xf numFmtId="43" fontId="4" fillId="0" borderId="26" xfId="0" applyNumberFormat="1" applyFont="1" applyFill="1" applyBorder="1" applyAlignment="1">
      <alignment horizontal="right"/>
    </xf>
    <xf numFmtId="43" fontId="4" fillId="0" borderId="27" xfId="0" applyNumberFormat="1" applyFont="1" applyFill="1" applyBorder="1" applyAlignment="1">
      <alignment horizontal="right"/>
    </xf>
    <xf numFmtId="43" fontId="5" fillId="0" borderId="0" xfId="0" applyNumberFormat="1" applyFont="1" applyFill="1" applyAlignment="1">
      <alignment horizontal="right"/>
    </xf>
    <xf numFmtId="186" fontId="4" fillId="0" borderId="0" xfId="0" applyNumberFormat="1" applyFont="1" applyFill="1" applyAlignment="1">
      <alignment horizontal="right"/>
    </xf>
    <xf numFmtId="186" fontId="4" fillId="0" borderId="26" xfId="0" applyNumberFormat="1" applyFont="1" applyFill="1" applyBorder="1" applyAlignment="1">
      <alignment horizontal="right"/>
    </xf>
    <xf numFmtId="186" fontId="4" fillId="0" borderId="27" xfId="0" applyNumberFormat="1" applyFont="1" applyFill="1" applyBorder="1" applyAlignment="1">
      <alignment horizontal="right"/>
    </xf>
    <xf numFmtId="185" fontId="4" fillId="0" borderId="0" xfId="0" applyNumberFormat="1" applyFont="1" applyFill="1" applyAlignment="1">
      <alignment horizontal="right"/>
    </xf>
    <xf numFmtId="185" fontId="4" fillId="0" borderId="26" xfId="0" applyNumberFormat="1" applyFont="1" applyFill="1" applyBorder="1" applyAlignment="1">
      <alignment horizontal="right"/>
    </xf>
    <xf numFmtId="185" fontId="4" fillId="0" borderId="27" xfId="0" applyNumberFormat="1" applyFont="1" applyFill="1" applyBorder="1" applyAlignment="1">
      <alignment horizontal="right"/>
    </xf>
    <xf numFmtId="185" fontId="5" fillId="0" borderId="0" xfId="0" applyNumberFormat="1" applyFont="1" applyFill="1" applyAlignment="1">
      <alignment horizontal="right"/>
    </xf>
    <xf numFmtId="184" fontId="31" fillId="0" borderId="0" xfId="0" applyNumberFormat="1" applyFont="1" applyFill="1"/>
    <xf numFmtId="185" fontId="31" fillId="0" borderId="0" xfId="0" applyNumberFormat="1" applyFont="1" applyFill="1"/>
    <xf numFmtId="0" fontId="33" fillId="0" borderId="19" xfId="0" applyFont="1" applyFill="1" applyBorder="1"/>
    <xf numFmtId="0" fontId="33" fillId="0" borderId="21" xfId="0" applyFont="1" applyFill="1" applyBorder="1" applyAlignment="1">
      <alignment horizontal="left"/>
    </xf>
    <xf numFmtId="0" fontId="33" fillId="0" borderId="23" xfId="0" applyFont="1" applyFill="1" applyBorder="1" applyAlignment="1">
      <alignment horizontal="left"/>
    </xf>
    <xf numFmtId="0" fontId="33" fillId="0" borderId="20" xfId="0" applyFont="1" applyFill="1" applyBorder="1" applyAlignment="1">
      <alignment horizontal="center"/>
    </xf>
    <xf numFmtId="0" fontId="33" fillId="0" borderId="22" xfId="0" applyFont="1" applyFill="1" applyBorder="1" applyAlignment="1">
      <alignment horizontal="center"/>
    </xf>
    <xf numFmtId="186" fontId="4" fillId="0" borderId="28" xfId="0" applyNumberFormat="1" applyFont="1" applyFill="1" applyBorder="1" applyAlignment="1">
      <alignment horizontal="right"/>
    </xf>
    <xf numFmtId="186" fontId="4" fillId="0" borderId="29" xfId="0" applyNumberFormat="1" applyFont="1" applyFill="1" applyBorder="1" applyAlignment="1">
      <alignment horizontal="right"/>
    </xf>
    <xf numFmtId="0" fontId="43" fillId="0" borderId="24" xfId="0" applyFont="1" applyFill="1" applyBorder="1" applyAlignment="1">
      <alignment horizontal="left"/>
    </xf>
    <xf numFmtId="0" fontId="43" fillId="0" borderId="26" xfId="0" applyFont="1" applyFill="1" applyBorder="1" applyAlignment="1">
      <alignment horizontal="left"/>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0" fontId="0" fillId="0" borderId="6" xfId="0" applyFont="1" applyBorder="1" applyAlignment="1">
      <alignment vertical="center"/>
    </xf>
    <xf numFmtId="0" fontId="19" fillId="0" borderId="0" xfId="0" applyFont="1" applyBorder="1" applyAlignment="1">
      <alignment horizontal="left" vertical="center"/>
    </xf>
    <xf numFmtId="0" fontId="19" fillId="3" borderId="0" xfId="0" applyFont="1" applyFill="1" applyBorder="1" applyAlignment="1">
      <alignment horizontal="left" vertical="center"/>
    </xf>
    <xf numFmtId="0" fontId="25" fillId="0" borderId="0" xfId="0" applyFont="1" applyBorder="1" applyAlignment="1">
      <alignment horizontal="left" vertical="center"/>
    </xf>
    <xf numFmtId="0" fontId="32" fillId="0" borderId="0" xfId="0" applyFont="1" applyBorder="1"/>
    <xf numFmtId="171" fontId="43" fillId="3" borderId="0" xfId="0" applyNumberFormat="1" applyFont="1" applyFill="1" applyAlignment="1">
      <alignment horizontal="left" vertical="center"/>
    </xf>
    <xf numFmtId="0" fontId="47" fillId="3" borderId="0" xfId="6" applyFont="1" applyFill="1" applyAlignment="1">
      <alignment horizontal="left" vertical="center"/>
    </xf>
    <xf numFmtId="0" fontId="16" fillId="0" borderId="0" xfId="0" applyFont="1" applyAlignment="1">
      <alignment horizontal="left"/>
    </xf>
    <xf numFmtId="0" fontId="43" fillId="0" borderId="6" xfId="0" applyFont="1" applyBorder="1"/>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1" xfId="0" applyFont="1" applyFill="1" applyBorder="1" applyAlignment="1">
      <alignment horizontal="center" vertical="center"/>
    </xf>
    <xf numFmtId="168" fontId="49" fillId="0" borderId="1" xfId="0" applyNumberFormat="1" applyFont="1" applyFill="1" applyBorder="1" applyAlignment="1">
      <alignment vertical="center"/>
    </xf>
    <xf numFmtId="188" fontId="0" fillId="0" borderId="0" xfId="0" applyNumberFormat="1" applyFont="1" applyFill="1" applyBorder="1" applyAlignment="1">
      <alignment horizontal="center" vertical="center"/>
    </xf>
    <xf numFmtId="179" fontId="0" fillId="0" borderId="0" xfId="3" applyNumberFormat="1" applyFont="1" applyFill="1" applyBorder="1" applyAlignment="1">
      <alignment horizontal="center" wrapText="1"/>
    </xf>
    <xf numFmtId="179" fontId="0" fillId="0" borderId="0" xfId="3" applyNumberFormat="1" applyFont="1" applyFill="1" applyBorder="1" applyAlignment="1">
      <alignment horizontal="right" wrapText="1"/>
    </xf>
    <xf numFmtId="166" fontId="4" fillId="0" borderId="0" xfId="2" applyFont="1" applyFill="1" applyBorder="1" applyAlignment="1"/>
    <xf numFmtId="164" fontId="2" fillId="0" borderId="0" xfId="2" applyNumberFormat="1" applyFont="1" applyFill="1" applyBorder="1" applyAlignment="1">
      <alignment horizontal="center"/>
    </xf>
    <xf numFmtId="164" fontId="2" fillId="0" borderId="0" xfId="2" applyNumberFormat="1" applyFont="1" applyFill="1" applyBorder="1" applyAlignment="1"/>
    <xf numFmtId="166" fontId="5" fillId="0" borderId="0" xfId="0" applyNumberFormat="1" applyFont="1" applyFill="1" applyBorder="1" applyAlignment="1"/>
    <xf numFmtId="166" fontId="2" fillId="0" borderId="12" xfId="2" applyFont="1" applyFill="1" applyBorder="1" applyAlignment="1"/>
    <xf numFmtId="164" fontId="2" fillId="0" borderId="14" xfId="5" applyNumberFormat="1" applyFont="1" applyFill="1" applyBorder="1" applyAlignment="1"/>
    <xf numFmtId="164" fontId="0" fillId="0" borderId="14" xfId="5" applyNumberFormat="1" applyFont="1" applyFill="1" applyBorder="1" applyAlignment="1"/>
    <xf numFmtId="164" fontId="4" fillId="0" borderId="14" xfId="5" applyNumberFormat="1" applyFont="1" applyFill="1" applyBorder="1" applyAlignment="1"/>
    <xf numFmtId="164" fontId="2" fillId="0" borderId="14" xfId="2" applyNumberFormat="1" applyFont="1" applyFill="1" applyBorder="1" applyAlignment="1"/>
    <xf numFmtId="164" fontId="0" fillId="0" borderId="17" xfId="2" applyNumberFormat="1" applyFont="1" applyFill="1" applyBorder="1" applyAlignment="1"/>
    <xf numFmtId="9" fontId="28" fillId="0" borderId="0" xfId="0" applyNumberFormat="1" applyFont="1" applyFill="1" applyBorder="1" applyAlignment="1">
      <alignment horizontal="center"/>
    </xf>
    <xf numFmtId="9" fontId="28" fillId="0" borderId="0" xfId="0" applyNumberFormat="1" applyFont="1" applyFill="1" applyBorder="1" applyAlignment="1">
      <alignment horizontal="left"/>
    </xf>
    <xf numFmtId="169" fontId="1" fillId="0" borderId="9" xfId="2" applyNumberFormat="1" applyFont="1" applyFill="1" applyBorder="1"/>
    <xf numFmtId="0" fontId="4" fillId="8" borderId="32"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13" borderId="33" xfId="0" applyFont="1" applyFill="1" applyBorder="1" applyAlignment="1">
      <alignment horizontal="center" vertical="center" wrapText="1"/>
    </xf>
    <xf numFmtId="0" fontId="4" fillId="13" borderId="34" xfId="0" applyFont="1" applyFill="1" applyBorder="1" applyAlignment="1">
      <alignment horizontal="center" vertical="center" wrapText="1"/>
    </xf>
    <xf numFmtId="0" fontId="4" fillId="13" borderId="35" xfId="0" applyFont="1" applyFill="1" applyBorder="1" applyAlignment="1">
      <alignment horizontal="center" vertical="center" wrapText="1"/>
    </xf>
    <xf numFmtId="0" fontId="4" fillId="13" borderId="33" xfId="0" applyFont="1" applyFill="1" applyBorder="1" applyAlignment="1">
      <alignment horizontal="left" vertical="center"/>
    </xf>
    <xf numFmtId="0" fontId="0" fillId="0" borderId="9" xfId="0" applyFont="1" applyFill="1" applyBorder="1"/>
    <xf numFmtId="0" fontId="6" fillId="0" borderId="0" xfId="0" applyFont="1" applyFill="1"/>
    <xf numFmtId="0" fontId="33" fillId="0" borderId="18" xfId="0" applyFont="1" applyFill="1" applyBorder="1" applyAlignment="1">
      <alignment horizontal="left"/>
    </xf>
    <xf numFmtId="0" fontId="4" fillId="0" borderId="6" xfId="0" applyFont="1" applyFill="1" applyBorder="1" applyAlignment="1">
      <alignment horizontal="left" vertical="center" wrapText="1"/>
    </xf>
    <xf numFmtId="199" fontId="0" fillId="2" borderId="6" xfId="0" applyNumberFormat="1" applyFill="1" applyBorder="1" applyAlignment="1">
      <alignment horizontal="center" vertical="center"/>
    </xf>
    <xf numFmtId="0" fontId="16" fillId="0" borderId="0" xfId="0" applyFont="1" applyFill="1"/>
    <xf numFmtId="0" fontId="50" fillId="0" borderId="0" xfId="0" applyFont="1" applyFill="1"/>
    <xf numFmtId="0" fontId="38" fillId="0" borderId="0" xfId="0" applyFont="1" applyFill="1"/>
    <xf numFmtId="0" fontId="16" fillId="0" borderId="0" xfId="0" applyFont="1" applyFill="1" applyAlignment="1">
      <alignment horizontal="center"/>
    </xf>
    <xf numFmtId="0" fontId="31" fillId="0" borderId="0" xfId="0" applyFont="1" applyFill="1" applyAlignment="1">
      <alignment horizontal="right"/>
    </xf>
    <xf numFmtId="0" fontId="5" fillId="0" borderId="1" xfId="0" applyFont="1" applyFill="1" applyBorder="1" applyAlignment="1">
      <alignment horizontal="center"/>
    </xf>
    <xf numFmtId="0" fontId="0" fillId="0" borderId="30" xfId="0" applyBorder="1"/>
    <xf numFmtId="0" fontId="0" fillId="0" borderId="19" xfId="0" applyBorder="1"/>
    <xf numFmtId="0" fontId="0" fillId="0" borderId="21" xfId="0" applyBorder="1"/>
    <xf numFmtId="0" fontId="0" fillId="0" borderId="20" xfId="0" applyBorder="1"/>
    <xf numFmtId="0" fontId="0" fillId="0" borderId="22" xfId="0" quotePrefix="1" applyNumberFormat="1" applyFont="1" applyBorder="1" applyAlignment="1">
      <alignment horizontal="left"/>
    </xf>
    <xf numFmtId="0" fontId="0" fillId="0" borderId="31" xfId="0" applyBorder="1"/>
    <xf numFmtId="0" fontId="0" fillId="0" borderId="23" xfId="0" applyBorder="1"/>
    <xf numFmtId="0" fontId="41" fillId="0" borderId="18" xfId="0" applyFont="1" applyBorder="1"/>
    <xf numFmtId="0" fontId="41" fillId="0" borderId="20" xfId="0" applyFont="1" applyBorder="1"/>
    <xf numFmtId="0" fontId="32" fillId="0" borderId="36" xfId="0" applyFont="1" applyFill="1" applyBorder="1" applyAlignment="1">
      <alignment horizontal="left"/>
    </xf>
    <xf numFmtId="0" fontId="4" fillId="0" borderId="37" xfId="0" applyFont="1" applyFill="1" applyBorder="1" applyAlignment="1">
      <alignment horizontal="right"/>
    </xf>
    <xf numFmtId="0" fontId="5" fillId="0" borderId="37" xfId="0" applyFont="1" applyFill="1" applyBorder="1" applyAlignment="1">
      <alignment horizontal="right" wrapText="1"/>
    </xf>
    <xf numFmtId="169" fontId="4" fillId="0" borderId="37" xfId="2" applyNumberFormat="1" applyFont="1" applyFill="1" applyBorder="1" applyAlignment="1">
      <alignment horizontal="right"/>
    </xf>
    <xf numFmtId="37" fontId="4" fillId="0" borderId="37" xfId="0" applyNumberFormat="1" applyFont="1" applyFill="1" applyBorder="1" applyAlignment="1">
      <alignment horizontal="right"/>
    </xf>
    <xf numFmtId="2" fontId="4" fillId="0" borderId="37" xfId="0" applyNumberFormat="1" applyFont="1" applyFill="1" applyBorder="1" applyAlignment="1">
      <alignment horizontal="right"/>
    </xf>
    <xf numFmtId="184" fontId="4" fillId="0" borderId="37" xfId="0" applyNumberFormat="1" applyFont="1" applyFill="1" applyBorder="1" applyAlignment="1">
      <alignment horizontal="right"/>
    </xf>
    <xf numFmtId="43" fontId="4" fillId="0" borderId="37" xfId="0" applyNumberFormat="1" applyFont="1" applyFill="1" applyBorder="1" applyAlignment="1">
      <alignment horizontal="right"/>
    </xf>
    <xf numFmtId="186" fontId="4" fillId="0" borderId="37" xfId="0" applyNumberFormat="1" applyFont="1" applyFill="1" applyBorder="1" applyAlignment="1">
      <alignment horizontal="right"/>
    </xf>
    <xf numFmtId="185" fontId="5" fillId="0" borderId="37" xfId="0" applyNumberFormat="1" applyFont="1" applyFill="1" applyBorder="1" applyAlignment="1">
      <alignment horizontal="right"/>
    </xf>
    <xf numFmtId="186" fontId="5" fillId="0" borderId="37" xfId="0" applyNumberFormat="1" applyFont="1" applyFill="1" applyBorder="1" applyAlignment="1">
      <alignment horizontal="right"/>
    </xf>
    <xf numFmtId="186" fontId="4" fillId="0" borderId="38" xfId="0" applyNumberFormat="1" applyFont="1" applyFill="1" applyBorder="1" applyAlignment="1">
      <alignment horizontal="right"/>
    </xf>
    <xf numFmtId="188" fontId="31" fillId="0" borderId="0" xfId="0" applyNumberFormat="1" applyFont="1" applyFill="1"/>
    <xf numFmtId="188" fontId="31" fillId="0" borderId="0" xfId="0" applyNumberFormat="1" applyFont="1" applyFill="1" applyAlignment="1">
      <alignment horizontal="right"/>
    </xf>
    <xf numFmtId="188" fontId="31" fillId="0" borderId="0" xfId="0" applyNumberFormat="1" applyFont="1" applyFill="1" applyBorder="1" applyAlignment="1">
      <alignment horizontal="right"/>
    </xf>
    <xf numFmtId="0" fontId="4" fillId="3" borderId="0" xfId="0" applyFont="1" applyFill="1" applyBorder="1"/>
    <xf numFmtId="0" fontId="0" fillId="3" borderId="0" xfId="0" applyFont="1" applyFill="1" applyBorder="1" applyAlignment="1">
      <alignment horizontal="left"/>
    </xf>
    <xf numFmtId="0" fontId="5" fillId="3" borderId="0" xfId="0" applyFont="1" applyFill="1" applyBorder="1" applyAlignment="1">
      <alignment horizontal="left" vertical="center"/>
    </xf>
    <xf numFmtId="0" fontId="4" fillId="3" borderId="6" xfId="0" applyFont="1" applyFill="1" applyBorder="1" applyAlignment="1">
      <alignment horizontal="center" vertical="center" wrapText="1"/>
    </xf>
    <xf numFmtId="188" fontId="0" fillId="3" borderId="0" xfId="0" applyNumberFormat="1" applyFont="1" applyFill="1" applyBorder="1" applyAlignment="1">
      <alignment horizontal="center" vertical="center"/>
    </xf>
    <xf numFmtId="0" fontId="0" fillId="3" borderId="0" xfId="0" applyFont="1" applyFill="1" applyBorder="1" applyAlignment="1"/>
    <xf numFmtId="164" fontId="2" fillId="3" borderId="0" xfId="2" applyNumberFormat="1" applyFont="1" applyFill="1" applyBorder="1" applyAlignment="1"/>
    <xf numFmtId="0" fontId="0" fillId="3" borderId="11" xfId="0" applyFont="1" applyFill="1" applyBorder="1" applyAlignment="1"/>
    <xf numFmtId="0" fontId="0" fillId="3" borderId="16" xfId="0" applyFont="1" applyFill="1" applyBorder="1" applyAlignment="1"/>
    <xf numFmtId="0" fontId="42" fillId="5" borderId="0" xfId="0" applyFont="1" applyFill="1" applyBorder="1"/>
    <xf numFmtId="0" fontId="0" fillId="2" borderId="6" xfId="0" applyFill="1" applyBorder="1"/>
    <xf numFmtId="0" fontId="51" fillId="0" borderId="6" xfId="0" applyFont="1" applyBorder="1"/>
    <xf numFmtId="0" fontId="52" fillId="0" borderId="6" xfId="0" applyFont="1" applyBorder="1"/>
    <xf numFmtId="0" fontId="53" fillId="12" borderId="0" xfId="0" applyFont="1" applyFill="1"/>
    <xf numFmtId="166" fontId="2" fillId="0" borderId="18" xfId="2" applyFont="1" applyFill="1" applyBorder="1" applyAlignment="1"/>
    <xf numFmtId="0" fontId="0" fillId="0" borderId="30" xfId="0" applyFont="1" applyFill="1" applyBorder="1" applyAlignment="1"/>
    <xf numFmtId="166" fontId="2" fillId="0" borderId="19" xfId="2" applyFont="1" applyFill="1" applyBorder="1" applyAlignment="1">
      <alignment horizontal="right"/>
    </xf>
    <xf numFmtId="166" fontId="0" fillId="0" borderId="20" xfId="2" applyFont="1" applyFill="1" applyBorder="1" applyAlignment="1"/>
    <xf numFmtId="164" fontId="0" fillId="0" borderId="21" xfId="2" applyNumberFormat="1" applyFont="1" applyFill="1" applyBorder="1" applyAlignment="1">
      <alignment horizontal="right"/>
    </xf>
    <xf numFmtId="166" fontId="2" fillId="0" borderId="20" xfId="2" applyFont="1" applyFill="1" applyBorder="1" applyAlignment="1"/>
    <xf numFmtId="164" fontId="2" fillId="0" borderId="21" xfId="5" applyNumberFormat="1" applyFont="1" applyFill="1" applyBorder="1" applyAlignment="1">
      <alignment horizontal="right"/>
    </xf>
    <xf numFmtId="164" fontId="0" fillId="0" borderId="21" xfId="5" applyNumberFormat="1" applyFont="1" applyFill="1" applyBorder="1" applyAlignment="1">
      <alignment horizontal="right"/>
    </xf>
    <xf numFmtId="164" fontId="4" fillId="0" borderId="21" xfId="5" applyNumberFormat="1" applyFont="1" applyFill="1" applyBorder="1" applyAlignment="1">
      <alignment horizontal="right"/>
    </xf>
    <xf numFmtId="164" fontId="2" fillId="0" borderId="21" xfId="2" applyNumberFormat="1" applyFont="1" applyFill="1" applyBorder="1" applyAlignment="1">
      <alignment horizontal="right"/>
    </xf>
    <xf numFmtId="166" fontId="0" fillId="0" borderId="22" xfId="2" applyFont="1" applyFill="1" applyBorder="1" applyAlignment="1"/>
    <xf numFmtId="0" fontId="0" fillId="0" borderId="31" xfId="0" applyFont="1" applyFill="1" applyBorder="1" applyAlignment="1">
      <alignment horizontal="center"/>
    </xf>
    <xf numFmtId="0" fontId="0" fillId="0" borderId="31" xfId="0" applyFont="1" applyFill="1" applyBorder="1" applyAlignment="1"/>
    <xf numFmtId="164" fontId="0" fillId="0" borderId="23" xfId="2" applyNumberFormat="1" applyFont="1" applyFill="1" applyBorder="1" applyAlignment="1">
      <alignment horizontal="right"/>
    </xf>
    <xf numFmtId="164" fontId="9" fillId="0" borderId="0" xfId="2" applyNumberFormat="1" applyFont="1" applyFill="1" applyBorder="1" applyAlignment="1"/>
    <xf numFmtId="0" fontId="0" fillId="0" borderId="6" xfId="0" applyFont="1" applyBorder="1"/>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Border="1" applyAlignment="1">
      <alignment horizontal="center" wrapText="1"/>
    </xf>
    <xf numFmtId="0" fontId="15" fillId="3" borderId="0" xfId="0" applyFont="1" applyFill="1" applyBorder="1" applyAlignment="1"/>
    <xf numFmtId="0" fontId="16" fillId="14" borderId="0" xfId="0" applyFont="1" applyFill="1" applyAlignment="1">
      <alignment horizontal="left" vertical="center"/>
    </xf>
    <xf numFmtId="0" fontId="0" fillId="8" borderId="6" xfId="0" applyFont="1" applyFill="1" applyBorder="1" applyAlignment="1">
      <alignment horizontal="center" vertical="center" wrapText="1"/>
    </xf>
    <xf numFmtId="164" fontId="1" fillId="0" borderId="17" xfId="2" applyNumberFormat="1" applyFont="1" applyFill="1" applyBorder="1" applyAlignment="1"/>
    <xf numFmtId="0" fontId="2" fillId="0" borderId="0" xfId="0" applyFont="1" applyBorder="1"/>
    <xf numFmtId="169" fontId="4" fillId="0" borderId="0" xfId="2" applyNumberFormat="1" applyFont="1" applyFill="1" applyBorder="1" applyAlignment="1">
      <alignment vertical="center"/>
    </xf>
    <xf numFmtId="182" fontId="4" fillId="0" borderId="0" xfId="0" applyNumberFormat="1" applyFont="1" applyFill="1" applyBorder="1"/>
    <xf numFmtId="165" fontId="4" fillId="0" borderId="0" xfId="3" applyFont="1" applyFill="1" applyBorder="1"/>
    <xf numFmtId="165" fontId="0" fillId="0" borderId="0" xfId="3" applyFont="1" applyFill="1" applyBorder="1"/>
    <xf numFmtId="193" fontId="0" fillId="0" borderId="6" xfId="0" applyNumberFormat="1" applyFill="1" applyBorder="1" applyAlignment="1">
      <alignment horizontal="center"/>
    </xf>
    <xf numFmtId="200" fontId="0" fillId="0" borderId="6" xfId="0" applyNumberFormat="1" applyFill="1" applyBorder="1" applyAlignment="1">
      <alignment horizontal="center"/>
    </xf>
    <xf numFmtId="43" fontId="4" fillId="0" borderId="0" xfId="0" applyNumberFormat="1" applyFont="1" applyFill="1" applyBorder="1"/>
    <xf numFmtId="170" fontId="4" fillId="0" borderId="0" xfId="3" applyNumberFormat="1" applyFont="1" applyFill="1" applyBorder="1" applyAlignment="1">
      <alignment horizontal="center" vertical="center"/>
    </xf>
    <xf numFmtId="170" fontId="4" fillId="0" borderId="0" xfId="3" applyNumberFormat="1" applyFont="1" applyFill="1" applyBorder="1"/>
    <xf numFmtId="169" fontId="2" fillId="0" borderId="0" xfId="2" applyNumberFormat="1" applyFont="1" applyFill="1"/>
    <xf numFmtId="170" fontId="2" fillId="0" borderId="0" xfId="3" applyNumberFormat="1" applyFont="1" applyFill="1"/>
    <xf numFmtId="199" fontId="0" fillId="4" borderId="6" xfId="0" applyNumberFormat="1" applyFill="1" applyBorder="1" applyAlignment="1">
      <alignment horizontal="center" vertical="center"/>
    </xf>
    <xf numFmtId="0" fontId="8" fillId="0" borderId="1" xfId="0" applyFont="1" applyFill="1" applyBorder="1" applyAlignment="1">
      <alignment horizontal="center" vertical="center" wrapText="1"/>
    </xf>
    <xf numFmtId="43" fontId="0" fillId="3" borderId="0" xfId="0" applyNumberFormat="1" applyFill="1" applyAlignment="1">
      <alignment horizontal="center" vertical="center"/>
    </xf>
  </cellXfs>
  <cellStyles count="15">
    <cellStyle name="1. Error Check" xfId="11" xr:uid="{654ACD92-EB09-4B71-9F7F-D2F1F130415D}"/>
    <cellStyle name="Comma" xfId="2" builtinId="3"/>
    <cellStyle name="Comma 2" xfId="14" xr:uid="{FF3CA339-4D87-4E35-A198-6D16C027893C}"/>
    <cellStyle name="Currency" xfId="3" builtinId="4"/>
    <cellStyle name="Factor" xfId="5" xr:uid="{4634226D-E4A6-4F90-BD1E-14D909B98162}"/>
    <cellStyle name="Flag" xfId="9" xr:uid="{23280392-AD34-4025-83BA-E307A9EEAA89}"/>
    <cellStyle name="Heading 1 2" xfId="10" xr:uid="{863C59D3-E386-4C05-B274-76F0AE786303}"/>
    <cellStyle name="Heading 2 2" xfId="8" xr:uid="{0E5327E2-B6B0-4212-93F0-3D687736481B}"/>
    <cellStyle name="Heading 3 2" xfId="7" xr:uid="{553754E1-8028-4ADD-B3D6-3A1BE9F0E5D5}"/>
    <cellStyle name="Hyperlink" xfId="6" builtinId="8"/>
    <cellStyle name="Input 2" xfId="13" xr:uid="{2659A27A-EF63-4D9B-BEE4-E7CE722A000D}"/>
    <cellStyle name="Normal" xfId="0" builtinId="0"/>
    <cellStyle name="Normal 2" xfId="4" xr:uid="{2B339A5A-E9BE-416F-9F9B-CF4B0B76D21F}"/>
    <cellStyle name="Percent" xfId="1" builtinId="5"/>
    <cellStyle name="Table Header" xfId="12" xr:uid="{19736965-429A-4701-8991-939C469660EE}"/>
  </cellStyles>
  <dxfs count="0"/>
  <tableStyles count="0" defaultTableStyle="TableStyleMedium2" defaultPivotStyle="PivotStyleLight16"/>
  <colors>
    <mruColors>
      <color rgb="FFFFBDBD"/>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184711</xdr:colOff>
      <xdr:row>42</xdr:row>
      <xdr:rowOff>148851</xdr:rowOff>
    </xdr:from>
    <xdr:to>
      <xdr:col>6</xdr:col>
      <xdr:colOff>455893</xdr:colOff>
      <xdr:row>61</xdr:row>
      <xdr:rowOff>103740</xdr:rowOff>
    </xdr:to>
    <xdr:pic>
      <xdr:nvPicPr>
        <xdr:cNvPr id="3" name="Picture 2">
          <a:extLst>
            <a:ext uri="{FF2B5EF4-FFF2-40B4-BE49-F238E27FC236}">
              <a16:creationId xmlns:a16="http://schemas.microsoft.com/office/drawing/2014/main" id="{A8AE800A-C4E7-47CB-B2A3-877FCE700F81}"/>
            </a:ext>
          </a:extLst>
        </xdr:cNvPr>
        <xdr:cNvPicPr>
          <a:picLocks noChangeAspect="1"/>
        </xdr:cNvPicPr>
      </xdr:nvPicPr>
      <xdr:blipFill>
        <a:blip xmlns:r="http://schemas.openxmlformats.org/officeDocument/2006/relationships" r:embed="rId1"/>
        <a:stretch>
          <a:fillRect/>
        </a:stretch>
      </xdr:blipFill>
      <xdr:spPr>
        <a:xfrm>
          <a:off x="543299" y="8609292"/>
          <a:ext cx="5135469" cy="33614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0D18-B8A5-4144-951C-8BA4E2F20672}">
  <dimension ref="B2:K11"/>
  <sheetViews>
    <sheetView showGridLines="0" workbookViewId="0">
      <selection activeCell="C5" sqref="C5"/>
    </sheetView>
  </sheetViews>
  <sheetFormatPr defaultRowHeight="15" x14ac:dyDescent="0.25"/>
  <sheetData>
    <row r="2" spans="2:11" ht="21" x14ac:dyDescent="0.35">
      <c r="B2" s="398" t="s">
        <v>212</v>
      </c>
      <c r="C2" s="189"/>
      <c r="D2" s="189"/>
      <c r="E2" s="189"/>
      <c r="F2" s="189"/>
      <c r="G2" s="189"/>
      <c r="H2" s="189"/>
      <c r="I2" s="189"/>
      <c r="J2" s="189"/>
      <c r="K2" s="189"/>
    </row>
    <row r="3" spans="2:11" ht="18.75" x14ac:dyDescent="0.3">
      <c r="B3" s="368" t="s">
        <v>251</v>
      </c>
      <c r="C3" s="361"/>
      <c r="D3" s="361"/>
      <c r="E3" s="361"/>
      <c r="F3" s="361"/>
      <c r="G3" s="361"/>
      <c r="H3" s="361"/>
      <c r="I3" s="361"/>
      <c r="J3" s="361"/>
      <c r="K3" s="362"/>
    </row>
    <row r="4" spans="2:11" ht="18.75" x14ac:dyDescent="0.3">
      <c r="B4" s="369" t="s">
        <v>259</v>
      </c>
      <c r="C4" s="132"/>
      <c r="D4" s="132"/>
      <c r="E4" s="132"/>
      <c r="F4" s="132"/>
      <c r="G4" s="132"/>
      <c r="H4" s="132"/>
      <c r="I4" s="132"/>
      <c r="J4" s="132"/>
      <c r="K4" s="363"/>
    </row>
    <row r="5" spans="2:11" x14ac:dyDescent="0.25">
      <c r="B5" s="364"/>
      <c r="C5" s="132"/>
      <c r="D5" s="132"/>
      <c r="E5" s="132"/>
      <c r="F5" s="132"/>
      <c r="G5" s="132"/>
      <c r="H5" s="132"/>
      <c r="I5" s="132"/>
      <c r="J5" s="132"/>
      <c r="K5" s="363"/>
    </row>
    <row r="6" spans="2:11" x14ac:dyDescent="0.25">
      <c r="B6" s="365" t="s">
        <v>213</v>
      </c>
      <c r="C6" s="366"/>
      <c r="D6" s="366"/>
      <c r="E6" s="366"/>
      <c r="F6" s="366"/>
      <c r="G6" s="366"/>
      <c r="H6" s="366"/>
      <c r="I6" s="366"/>
      <c r="J6" s="366"/>
      <c r="K6" s="367"/>
    </row>
    <row r="8" spans="2:11" x14ac:dyDescent="0.25">
      <c r="B8" s="414"/>
      <c r="C8" s="2"/>
      <c r="D8" s="2"/>
      <c r="E8" s="2"/>
      <c r="F8" s="2"/>
      <c r="G8" s="2"/>
    </row>
    <row r="9" spans="2:11" ht="18" customHeight="1" x14ac:dyDescent="0.25">
      <c r="B9" s="395"/>
      <c r="C9" s="2" t="s">
        <v>260</v>
      </c>
      <c r="D9" s="2"/>
      <c r="E9" s="2"/>
      <c r="F9" s="2"/>
      <c r="G9" s="2"/>
    </row>
    <row r="10" spans="2:11" x14ac:dyDescent="0.25">
      <c r="B10" s="2"/>
      <c r="C10" s="2"/>
      <c r="D10" s="396"/>
      <c r="E10" s="2"/>
      <c r="F10" s="2"/>
      <c r="G10" s="2"/>
    </row>
    <row r="11" spans="2:11" x14ac:dyDescent="0.25">
      <c r="B11" s="2"/>
      <c r="C11" s="2"/>
      <c r="D11" s="397"/>
      <c r="E11" s="2"/>
      <c r="F11" s="2"/>
      <c r="G11"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A69A-A5A8-454F-886C-86C1ECE4F7E2}">
  <dimension ref="A1:W50"/>
  <sheetViews>
    <sheetView showGridLines="0" topLeftCell="A22" zoomScaleNormal="100" workbookViewId="0">
      <selection activeCell="G43" sqref="G43"/>
    </sheetView>
  </sheetViews>
  <sheetFormatPr defaultColWidth="9.28515625" defaultRowHeight="15" x14ac:dyDescent="0.25"/>
  <cols>
    <col min="1" max="1" width="2.85546875" style="96" customWidth="1"/>
    <col min="2" max="2" width="6.28515625" style="96" customWidth="1"/>
    <col min="3" max="3" width="12.28515625" style="120" customWidth="1"/>
    <col min="4" max="4" width="13.28515625" style="109" customWidth="1"/>
    <col min="5" max="5" width="14.28515625" style="109" customWidth="1"/>
    <col min="6" max="6" width="4" style="390" customWidth="1"/>
    <col min="7" max="7" width="16.28515625" style="96" bestFit="1" customWidth="1"/>
    <col min="8" max="8" width="16.7109375" style="96" customWidth="1"/>
    <col min="9" max="9" width="4.28515625" style="96" customWidth="1"/>
    <col min="10" max="13" width="16.7109375" style="96" customWidth="1"/>
    <col min="14" max="15" width="18.7109375" style="96" customWidth="1"/>
    <col min="16" max="16" width="17.42578125" style="96" customWidth="1"/>
    <col min="17" max="17" width="14.28515625" style="96" customWidth="1"/>
    <col min="18" max="18" width="16.7109375" style="96" customWidth="1"/>
    <col min="19" max="16384" width="9.28515625" style="96"/>
  </cols>
  <sheetData>
    <row r="1" spans="1:23" s="196" customFormat="1" x14ac:dyDescent="0.25">
      <c r="A1" s="190" t="s">
        <v>234</v>
      </c>
      <c r="C1" s="190"/>
      <c r="D1" s="190"/>
      <c r="E1" s="191"/>
      <c r="F1" s="191"/>
      <c r="G1" s="191"/>
      <c r="I1" s="190"/>
    </row>
    <row r="2" spans="1:23" s="89" customFormat="1" x14ac:dyDescent="0.25">
      <c r="A2" s="152"/>
      <c r="B2" s="152"/>
      <c r="C2" s="152"/>
      <c r="D2" s="152"/>
      <c r="F2" s="385"/>
      <c r="N2" s="81"/>
      <c r="O2" s="181"/>
      <c r="P2" s="181"/>
      <c r="Q2" s="181"/>
      <c r="R2" s="81"/>
      <c r="S2" s="81"/>
      <c r="T2" s="81"/>
      <c r="U2" s="81"/>
      <c r="V2" s="81"/>
      <c r="W2" s="81"/>
    </row>
    <row r="3" spans="1:23" x14ac:dyDescent="0.25">
      <c r="E3" s="233"/>
      <c r="F3" s="386"/>
      <c r="G3" s="342" t="s">
        <v>247</v>
      </c>
      <c r="R3" s="341">
        <v>0.6</v>
      </c>
    </row>
    <row r="4" spans="1:23" ht="14.25" customHeight="1" x14ac:dyDescent="0.25">
      <c r="A4" s="83"/>
      <c r="B4" s="83"/>
      <c r="C4" s="82"/>
      <c r="D4" s="83"/>
      <c r="E4" s="83"/>
      <c r="F4" s="387"/>
      <c r="G4" s="110" t="s">
        <v>59</v>
      </c>
      <c r="H4" s="111"/>
      <c r="I4" s="83"/>
      <c r="J4" s="110" t="s">
        <v>149</v>
      </c>
      <c r="K4" s="112"/>
      <c r="L4" s="112"/>
      <c r="M4" s="112"/>
      <c r="N4" s="112"/>
      <c r="O4" s="112"/>
      <c r="P4" s="113"/>
      <c r="Q4" s="113"/>
      <c r="R4" s="111"/>
    </row>
    <row r="5" spans="1:23" s="98" customFormat="1" ht="45" customHeight="1" x14ac:dyDescent="0.25">
      <c r="B5" s="211" t="s">
        <v>44</v>
      </c>
      <c r="C5" s="211" t="s">
        <v>60</v>
      </c>
      <c r="D5" s="211" t="s">
        <v>147</v>
      </c>
      <c r="E5" s="211" t="s">
        <v>148</v>
      </c>
      <c r="F5" s="388"/>
      <c r="G5" s="211" t="s">
        <v>13</v>
      </c>
      <c r="H5" s="211" t="s">
        <v>61</v>
      </c>
      <c r="I5" s="97"/>
      <c r="J5" s="211" t="s">
        <v>150</v>
      </c>
      <c r="K5" s="211" t="s">
        <v>54</v>
      </c>
      <c r="L5" s="211" t="s">
        <v>185</v>
      </c>
      <c r="M5" s="211" t="s">
        <v>151</v>
      </c>
      <c r="N5" s="211" t="s">
        <v>152</v>
      </c>
      <c r="O5" s="211" t="s">
        <v>118</v>
      </c>
      <c r="P5" s="211" t="s">
        <v>103</v>
      </c>
      <c r="Q5" s="211" t="s">
        <v>113</v>
      </c>
      <c r="R5" s="211" t="s">
        <v>153</v>
      </c>
      <c r="T5" s="114"/>
      <c r="U5" s="109"/>
    </row>
    <row r="6" spans="1:23" s="417" customFormat="1" ht="7.15" customHeight="1" x14ac:dyDescent="0.25">
      <c r="B6" s="416"/>
      <c r="C6" s="416"/>
      <c r="D6" s="416"/>
      <c r="E6" s="416"/>
      <c r="F6" s="416"/>
      <c r="G6" s="416"/>
      <c r="H6" s="416"/>
      <c r="I6" s="415"/>
      <c r="J6" s="416"/>
      <c r="K6" s="416"/>
      <c r="L6" s="416"/>
      <c r="M6" s="416"/>
      <c r="N6" s="416"/>
      <c r="O6" s="416"/>
      <c r="P6" s="416"/>
      <c r="Q6" s="416"/>
      <c r="R6" s="416"/>
      <c r="T6" s="418"/>
      <c r="U6" s="390"/>
    </row>
    <row r="7" spans="1:23" s="417" customFormat="1" ht="7.15" customHeight="1" x14ac:dyDescent="0.25">
      <c r="B7" s="416"/>
      <c r="C7" s="416"/>
      <c r="D7" s="416"/>
      <c r="E7" s="416"/>
      <c r="F7" s="416"/>
      <c r="G7" s="416"/>
      <c r="H7" s="416"/>
      <c r="I7" s="415"/>
      <c r="J7" s="416"/>
      <c r="K7" s="416"/>
      <c r="L7" s="416"/>
      <c r="M7" s="416"/>
      <c r="N7" s="416"/>
      <c r="O7" s="416"/>
      <c r="P7" s="416"/>
      <c r="Q7" s="416"/>
      <c r="R7" s="416"/>
      <c r="T7" s="418"/>
      <c r="U7" s="390"/>
    </row>
    <row r="8" spans="1:23" x14ac:dyDescent="0.25">
      <c r="A8" s="107"/>
      <c r="B8" s="96">
        <f>Assumptions!E7</f>
        <v>2024</v>
      </c>
      <c r="C8" s="64">
        <f>Factors!E28</f>
        <v>0</v>
      </c>
      <c r="D8" s="328">
        <f>Factors!F28</f>
        <v>0.81629787689085187</v>
      </c>
      <c r="E8" s="328">
        <f>Factors!G28</f>
        <v>0.9151416593531595</v>
      </c>
      <c r="F8" s="389"/>
      <c r="G8" s="153">
        <f>IFERROR(INDEX(Costs!E:E,MATCH($B8,Costs!$A:$A,0))*Factors!$D$26*D8,0)</f>
        <v>10579131.944872899</v>
      </c>
      <c r="H8" s="153">
        <f>IFERROR(INDEX(Costs!F:F,MATCH($B8,Costs!A:A,0))*Factors!$D$26*D8,0)</f>
        <v>-11445.735903941029</v>
      </c>
      <c r="I8" s="153"/>
      <c r="J8" s="153">
        <f>SUMIFS('Time Savings'!$E$21:$AA$21,'Time Savings'!$E$6:$AA$6,$B8)*Assumptions!$E$22*D8</f>
        <v>0</v>
      </c>
      <c r="K8" s="153">
        <f>Safety!$M$17*(1+Assumptions!$E$17)^(B8-Assumptions!$E$92)*C8*D8</f>
        <v>0</v>
      </c>
      <c r="L8" s="153">
        <f>'Reduced VMT'!H8*D8*C8</f>
        <v>0</v>
      </c>
      <c r="M8" s="153">
        <f>SUM('Reduced VMT'!AQ8:AS8,'Reduced VMT'!AU8)*C8*'BCA - 3 lane'!E8</f>
        <v>0</v>
      </c>
      <c r="N8" s="153">
        <f>SUM(PedBike!J8:K8)*'BCA - 3 lane'!C8*'BCA - 3 lane'!D8</f>
        <v>0</v>
      </c>
      <c r="O8" s="153">
        <f>SUM(PedBike!G8:H8)*'BCA - 3 lane'!C8*'BCA - 3 lane'!D8</f>
        <v>0</v>
      </c>
      <c r="P8" s="153">
        <f>'Reduced VMT'!N6*'BCA - 3 lane'!C8*'BCA - 3 lane'!D8</f>
        <v>0</v>
      </c>
      <c r="Q8" s="153">
        <f>SUM('Reduced VMT'!J6:L6)*'BCA - 3 lane'!D8*'BCA - 3 lane'!E8</f>
        <v>6134.8323900862697</v>
      </c>
      <c r="R8" s="153">
        <f>Factors!H28*'BCA - 3 lane'!C8*'BCA - 3 lane'!D8*$R$3</f>
        <v>0</v>
      </c>
    </row>
    <row r="9" spans="1:23" x14ac:dyDescent="0.25">
      <c r="A9" s="107"/>
      <c r="B9" s="96">
        <f t="shared" ref="B9:B30" si="0">B8+1</f>
        <v>2025</v>
      </c>
      <c r="C9" s="64">
        <f>Factors!E29</f>
        <v>0</v>
      </c>
      <c r="D9" s="328">
        <f>Factors!F29</f>
        <v>0.76289521204752508</v>
      </c>
      <c r="E9" s="328">
        <f>Factors!G29</f>
        <v>0.88848704791568878</v>
      </c>
      <c r="F9" s="389"/>
      <c r="G9" s="153">
        <f>IFERROR(INDEX(Costs!E:E,MATCH($B9,Costs!$A:$A,0))*Factors!$D$26*D9,0)</f>
        <v>9887039.2008157931</v>
      </c>
      <c r="H9" s="153">
        <f>IFERROR(INDEX(Costs!F:F,MATCH($B9,Costs!A:A,0))*Factors!$D$26*D9,0)</f>
        <v>0</v>
      </c>
      <c r="I9" s="153"/>
      <c r="J9" s="153">
        <f>SUMIFS('Time Savings'!$E$21:$AA$21,'Time Savings'!$E$6:$AA$6,$B9)*Assumptions!$E$22*D9</f>
        <v>-4220798.2068531448</v>
      </c>
      <c r="K9" s="153">
        <f>Safety!$M$17*(1+Assumptions!$E$17)^(B9-Assumptions!$E$92)*C9*D9</f>
        <v>0</v>
      </c>
      <c r="L9" s="153">
        <f>'Reduced VMT'!H9*D9*C9</f>
        <v>0</v>
      </c>
      <c r="M9" s="153">
        <f>SUM('Reduced VMT'!AQ9:AS9,'Reduced VMT'!AU9)*C9*'BCA - 3 lane'!E9</f>
        <v>0</v>
      </c>
      <c r="N9" s="153">
        <f>SUM(PedBike!J9:K9)*'BCA - 3 lane'!C9*'BCA - 3 lane'!D9</f>
        <v>0</v>
      </c>
      <c r="O9" s="153">
        <f>SUM(PedBike!G9:H9)*'BCA - 3 lane'!C9*'BCA - 3 lane'!D9</f>
        <v>0</v>
      </c>
      <c r="P9" s="153">
        <f>'Reduced VMT'!N7*'BCA - 3 lane'!C9*'BCA - 3 lane'!D9</f>
        <v>0</v>
      </c>
      <c r="Q9" s="153">
        <f>SUM('Reduced VMT'!J7:L7)*'BCA - 3 lane'!D9*'BCA - 3 lane'!E9</f>
        <v>5677.8232809073534</v>
      </c>
      <c r="R9" s="153">
        <f>Factors!H29*'BCA - 3 lane'!C9*'BCA - 3 lane'!D9*$R$3</f>
        <v>0</v>
      </c>
    </row>
    <row r="10" spans="1:23" x14ac:dyDescent="0.25">
      <c r="A10" s="107"/>
      <c r="B10" s="96">
        <f t="shared" si="0"/>
        <v>2026</v>
      </c>
      <c r="C10" s="64">
        <f>Factors!E30</f>
        <v>0</v>
      </c>
      <c r="D10" s="328">
        <f>Factors!F30</f>
        <v>0.71298617948366827</v>
      </c>
      <c r="E10" s="328">
        <f>Factors!G30</f>
        <v>0.86260878438416388</v>
      </c>
      <c r="F10" s="389"/>
      <c r="G10" s="153">
        <f>IFERROR(INDEX(Costs!E:E,MATCH($B10,Costs!$A:$A,0))*Factors!$D$26*D10,0)</f>
        <v>0</v>
      </c>
      <c r="H10" s="153">
        <f>IFERROR(INDEX(Costs!F:F,MATCH($B10,Costs!A:A,0))*Factors!$D$26*D10,0)</f>
        <v>-66647.660080595277</v>
      </c>
      <c r="I10" s="153"/>
      <c r="J10" s="153">
        <f>SUMIFS('Time Savings'!$E$21:$AA$21,'Time Savings'!$E$6:$AA$6,$B10)*Assumptions!$E$22*D10</f>
        <v>-3905319.8405150971</v>
      </c>
      <c r="K10" s="153">
        <f>Safety!$M$17*(1+Assumptions!$E$17)^(B10-Assumptions!$E$92)*C10*D10</f>
        <v>0</v>
      </c>
      <c r="L10" s="153">
        <f>'Reduced VMT'!H10*D10*C10</f>
        <v>0</v>
      </c>
      <c r="M10" s="153">
        <f>SUM('Reduced VMT'!AQ10:AS10,'Reduced VMT'!AU10)*C10*'BCA - 3 lane'!E10</f>
        <v>0</v>
      </c>
      <c r="N10" s="153">
        <f>SUM(PedBike!J10:K10)*'BCA - 3 lane'!C10*'BCA - 3 lane'!D10</f>
        <v>0</v>
      </c>
      <c r="O10" s="153">
        <f>SUM(PedBike!G10:H10)*'BCA - 3 lane'!C10*'BCA - 3 lane'!D10</f>
        <v>0</v>
      </c>
      <c r="P10" s="153">
        <f>'Reduced VMT'!N8*'BCA - 3 lane'!C10*'BCA - 3 lane'!D10</f>
        <v>0</v>
      </c>
      <c r="Q10" s="153">
        <f>SUM('Reduced VMT'!J8:L8)*'BCA - 3 lane'!D10*'BCA - 3 lane'!E10</f>
        <v>5254.8586757331468</v>
      </c>
      <c r="R10" s="153">
        <f>Factors!H30*'BCA - 3 lane'!C10*'BCA - 3 lane'!D10*$R$3</f>
        <v>0</v>
      </c>
    </row>
    <row r="11" spans="1:23" x14ac:dyDescent="0.25">
      <c r="A11" s="107"/>
      <c r="B11" s="96">
        <f t="shared" si="0"/>
        <v>2027</v>
      </c>
      <c r="C11" s="64">
        <f>Factors!E31</f>
        <v>1</v>
      </c>
      <c r="D11" s="328">
        <f>Factors!F31</f>
        <v>0.66634222381651231</v>
      </c>
      <c r="E11" s="328">
        <f>Factors!G31</f>
        <v>0.83748425668365423</v>
      </c>
      <c r="F11" s="389"/>
      <c r="G11" s="153">
        <f>IFERROR(INDEX(Costs!E:E,MATCH($B11,Costs!$A:$A,0))*Factors!$D$26*D11,0)</f>
        <v>0</v>
      </c>
      <c r="H11" s="153">
        <f>IFERROR(INDEX(Costs!F:F,MATCH($B11,Costs!A:A,0))*Factors!$D$26*D11,0)</f>
        <v>0</v>
      </c>
      <c r="I11" s="153"/>
      <c r="J11" s="153">
        <f>SUMIFS('Time Savings'!$E$21:$AA$21,'Time Savings'!$E$6:$AA$6,$B11)*Assumptions!$E$22*D11</f>
        <v>945909.32621330989</v>
      </c>
      <c r="K11" s="153">
        <f>Safety!$M$17*(1+Assumptions!$E$17)^(B11-Assumptions!$E$92)*C11*D11</f>
        <v>2506514.675476836</v>
      </c>
      <c r="L11" s="153">
        <f>'Reduced VMT'!H11*D11*C11</f>
        <v>25685.881381666157</v>
      </c>
      <c r="M11" s="153">
        <f>SUM('Reduced VMT'!AQ11:AS11,'Reduced VMT'!AU11)*C11*'BCA - 3 lane'!E11</f>
        <v>4832.4240653072638</v>
      </c>
      <c r="N11" s="153">
        <f>SUM(PedBike!J11:K11)*'BCA - 3 lane'!C11*'BCA - 3 lane'!D11</f>
        <v>206801.23202236101</v>
      </c>
      <c r="O11" s="153">
        <f>SUM(PedBike!G11:H11)*'BCA - 3 lane'!C11*'BCA - 3 lane'!D11</f>
        <v>617463.88096980716</v>
      </c>
      <c r="P11" s="153">
        <f>'Reduced VMT'!N9*'BCA - 3 lane'!C11*'BCA - 3 lane'!D11</f>
        <v>13417.645273173648</v>
      </c>
      <c r="Q11" s="153">
        <f>SUM('Reduced VMT'!J9:L9)*'BCA - 3 lane'!D11*'BCA - 3 lane'!E11</f>
        <v>4863.4024582595121</v>
      </c>
      <c r="R11" s="153">
        <f>Factors!H31*'BCA - 3 lane'!C11*'BCA - 3 lane'!D11*$R$3</f>
        <v>0</v>
      </c>
    </row>
    <row r="12" spans="1:23" x14ac:dyDescent="0.25">
      <c r="A12" s="107"/>
      <c r="B12" s="96">
        <f t="shared" si="0"/>
        <v>2028</v>
      </c>
      <c r="C12" s="64">
        <f>Factors!E32</f>
        <v>1</v>
      </c>
      <c r="D12" s="328">
        <f>Factors!F32</f>
        <v>0.62274974188459087</v>
      </c>
      <c r="E12" s="328">
        <f>Factors!G32</f>
        <v>0.81309151134335356</v>
      </c>
      <c r="F12" s="389"/>
      <c r="G12" s="153">
        <f>IFERROR(INDEX(Costs!E:E,MATCH($B12,Costs!$A:$A,0))*Factors!$D$26*D12,0)</f>
        <v>0</v>
      </c>
      <c r="H12" s="153">
        <f>IFERROR(INDEX(Costs!F:F,MATCH($B12,Costs!A:A,0))*Factors!$D$26*D12,0)</f>
        <v>-1164252.9492636083</v>
      </c>
      <c r="I12" s="153"/>
      <c r="J12" s="153">
        <f>SUMIFS('Time Savings'!$E$21:$AA$21,'Time Savings'!$E$6:$AA$6,$B12)*Assumptions!$E$22*D12</f>
        <v>976037.69031772087</v>
      </c>
      <c r="K12" s="153">
        <f>Safety!$M$17*(1+Assumptions!$E$17)^(B12-Assumptions!$E$92)*C12*D12</f>
        <v>2389387.8214825913</v>
      </c>
      <c r="L12" s="153">
        <f>'Reduced VMT'!H12*D12*C12</f>
        <v>24485.606550747169</v>
      </c>
      <c r="M12" s="153">
        <f>SUM('Reduced VMT'!AQ12:AS12,'Reduced VMT'!AU12)*C12*'BCA - 3 lane'!E12</f>
        <v>4792.0852566836011</v>
      </c>
      <c r="N12" s="153">
        <f>SUM(PedBike!J12:K12)*'BCA - 3 lane'!C12*'BCA - 3 lane'!D12</f>
        <v>197137.62304935348</v>
      </c>
      <c r="O12" s="153">
        <f>SUM(PedBike!G12:H12)*'BCA - 3 lane'!C12*'BCA - 3 lane'!D12</f>
        <v>588610.42858804041</v>
      </c>
      <c r="P12" s="153">
        <f>'Reduced VMT'!N10*'BCA - 3 lane'!C12*'BCA - 3 lane'!D12</f>
        <v>12790.652503399182</v>
      </c>
      <c r="Q12" s="153">
        <f>SUM('Reduced VMT'!J10:L10)*'BCA - 3 lane'!D12*'BCA - 3 lane'!E12</f>
        <v>4501.1074380044483</v>
      </c>
      <c r="R12" s="153">
        <f>Factors!H32*'BCA - 3 lane'!C12*'BCA - 3 lane'!D12*$R$3</f>
        <v>0</v>
      </c>
    </row>
    <row r="13" spans="1:23" x14ac:dyDescent="0.25">
      <c r="A13" s="107"/>
      <c r="B13" s="96">
        <f t="shared" si="0"/>
        <v>2029</v>
      </c>
      <c r="C13" s="64">
        <f>Factors!E33</f>
        <v>1</v>
      </c>
      <c r="D13" s="328">
        <f>Factors!F33</f>
        <v>0.58200910456503818</v>
      </c>
      <c r="E13" s="328">
        <f>Factors!G33</f>
        <v>0.7894092343139355</v>
      </c>
      <c r="F13" s="389"/>
      <c r="G13" s="153">
        <f>IFERROR(INDEX(Costs!E:E,MATCH($B13,Costs!$A:$A,0))*Factors!$D$26*D13,0)</f>
        <v>0</v>
      </c>
      <c r="H13" s="153">
        <f>IFERROR(INDEX(Costs!F:F,MATCH($B13,Costs!A:A,0))*Factors!$D$26*D13,0)</f>
        <v>0</v>
      </c>
      <c r="I13" s="153"/>
      <c r="J13" s="153">
        <f>SUMIFS('Time Savings'!$E$21:$AA$21,'Time Savings'!$E$6:$AA$6,$B13)*Assumptions!$E$22*D13</f>
        <v>1007125.6795135167</v>
      </c>
      <c r="K13" s="153">
        <f>Safety!$M$17*(1+Assumptions!$E$17)^(B13-Assumptions!$E$92)*C13*D13</f>
        <v>2277734.1849647122</v>
      </c>
      <c r="L13" s="153">
        <f>'Reduced VMT'!H13*D13*C13</f>
        <v>23341.419328749638</v>
      </c>
      <c r="M13" s="153">
        <f>SUM('Reduced VMT'!AQ13:AS13,'Reduced VMT'!AU13)*C13*'BCA - 3 lane'!E13</f>
        <v>8237.1006090974006</v>
      </c>
      <c r="N13" s="153">
        <f>SUM(PedBike!J13:K13)*'BCA - 3 lane'!C13*'BCA - 3 lane'!D13</f>
        <v>187925.58458910324</v>
      </c>
      <c r="O13" s="153">
        <f>SUM(PedBike!G13:H13)*'BCA - 3 lane'!C13*'BCA - 3 lane'!D13</f>
        <v>561105.26837364596</v>
      </c>
      <c r="P13" s="153">
        <f>'Reduced VMT'!N11*'BCA - 3 lane'!C13*'BCA - 3 lane'!D13</f>
        <v>12192.958461184264</v>
      </c>
      <c r="Q13" s="153">
        <f>SUM('Reduced VMT'!J11:L11)*'BCA - 3 lane'!D13*'BCA - 3 lane'!E13</f>
        <v>4165.801276440011</v>
      </c>
      <c r="R13" s="153">
        <f>Factors!H33*'BCA - 3 lane'!C13*'BCA - 3 lane'!D13*$R$3</f>
        <v>0</v>
      </c>
    </row>
    <row r="14" spans="1:23" x14ac:dyDescent="0.25">
      <c r="A14" s="107"/>
      <c r="B14" s="96">
        <f t="shared" si="0"/>
        <v>2030</v>
      </c>
      <c r="C14" s="64">
        <f>Factors!E34</f>
        <v>1</v>
      </c>
      <c r="D14" s="328">
        <f>Factors!F34</f>
        <v>0.54393374258414784</v>
      </c>
      <c r="E14" s="328">
        <f>Factors!G34</f>
        <v>0.76641673234362673</v>
      </c>
      <c r="F14" s="389"/>
      <c r="G14" s="153">
        <f>IFERROR(INDEX(Costs!E:E,MATCH($B14,Costs!$A:$A,0))*Factors!$D$26*D14,0)</f>
        <v>0</v>
      </c>
      <c r="H14" s="153">
        <f>IFERROR(INDEX(Costs!F:F,MATCH($B14,Costs!A:A,0))*Factors!$D$26*D14,0)</f>
        <v>0</v>
      </c>
      <c r="I14" s="153"/>
      <c r="J14" s="153">
        <f>SUMIFS('Time Savings'!$E$21:$AA$21,'Time Savings'!$E$6:$AA$6,$B14)*Assumptions!$E$22*D14</f>
        <v>1039203.859028626</v>
      </c>
      <c r="K14" s="153">
        <f>Safety!$M$17*(1+Assumptions!$E$17)^(B14-Assumptions!$E$92)*C14*D14</f>
        <v>2171298.0080972025</v>
      </c>
      <c r="L14" s="153">
        <f>'Reduced VMT'!H14*D14*C14</f>
        <v>22250.698799368816</v>
      </c>
      <c r="M14" s="153">
        <f>SUM('Reduced VMT'!AQ14:AS14,'Reduced VMT'!AU14)*C14*'BCA - 3 lane'!E14</f>
        <v>8312.0954927655675</v>
      </c>
      <c r="N14" s="153">
        <f>SUM(PedBike!J14:K14)*'BCA - 3 lane'!C14*'BCA - 3 lane'!D14</f>
        <v>179144.01521578073</v>
      </c>
      <c r="O14" s="153">
        <f>SUM(PedBike!G14:H14)*'BCA - 3 lane'!C14*'BCA - 3 lane'!D14</f>
        <v>534885.39601973735</v>
      </c>
      <c r="P14" s="153">
        <f>'Reduced VMT'!N12*'BCA - 3 lane'!C14*'BCA - 3 lane'!D14</f>
        <v>11623.194047110233</v>
      </c>
      <c r="Q14" s="153">
        <f>SUM('Reduced VMT'!J12:L12)*'BCA - 3 lane'!D14*'BCA - 3 lane'!E14</f>
        <v>3855.4734615450607</v>
      </c>
      <c r="R14" s="153">
        <f>Factors!H34*'BCA - 3 lane'!C14*'BCA - 3 lane'!D14*$R$3</f>
        <v>0</v>
      </c>
    </row>
    <row r="15" spans="1:23" x14ac:dyDescent="0.25">
      <c r="A15" s="107"/>
      <c r="B15" s="96">
        <f t="shared" si="0"/>
        <v>2031</v>
      </c>
      <c r="C15" s="64">
        <f>Factors!E35</f>
        <v>1</v>
      </c>
      <c r="D15" s="328">
        <f>Factors!F35</f>
        <v>0.50834929213471758</v>
      </c>
      <c r="E15" s="328">
        <f>Factors!G35</f>
        <v>0.74409391489672494</v>
      </c>
      <c r="F15" s="389"/>
      <c r="G15" s="153">
        <f>IFERROR(INDEX(Costs!E:E,MATCH($B15,Costs!$A:$A,0))*Factors!$D$26*D15,0)</f>
        <v>0</v>
      </c>
      <c r="H15" s="153">
        <f>IFERROR(INDEX(Costs!F:F,MATCH($B15,Costs!A:A,0))*Factors!$D$26*D15,0)</f>
        <v>0</v>
      </c>
      <c r="I15" s="153"/>
      <c r="J15" s="153">
        <f>SUMIFS('Time Savings'!$E$21:$AA$21,'Time Savings'!$E$6:$AA$6,$B15)*Assumptions!$E$22*D15</f>
        <v>1072303.7676307154</v>
      </c>
      <c r="K15" s="153">
        <f>Safety!$M$17*(1+Assumptions!$E$17)^(B15-Assumptions!$E$92)*C15*D15</f>
        <v>2069835.4843543426</v>
      </c>
      <c r="L15" s="153">
        <f>'Reduced VMT'!H15*D15*C15</f>
        <v>21210.946519024477</v>
      </c>
      <c r="M15" s="153">
        <f>SUM('Reduced VMT'!AQ15:AS15,'Reduced VMT'!AU15)*C15*'BCA - 3 lane'!E15</f>
        <v>11813.62767458499</v>
      </c>
      <c r="N15" s="153">
        <f>SUM(PedBike!J15:K15)*'BCA - 3 lane'!C15*'BCA - 3 lane'!D15</f>
        <v>170772.79955149189</v>
      </c>
      <c r="O15" s="153">
        <f>SUM(PedBike!G15:H15)*'BCA - 3 lane'!C15*'BCA - 3 lane'!D15</f>
        <v>509890.75134591782</v>
      </c>
      <c r="P15" s="153">
        <f>'Reduced VMT'!N13*'BCA - 3 lane'!C15*'BCA - 3 lane'!D15</f>
        <v>11080.054138366762</v>
      </c>
      <c r="Q15" s="153">
        <f>SUM('Reduced VMT'!J13:L13)*'BCA - 3 lane'!D15*'BCA - 3 lane'!E15</f>
        <v>3568.2632526775806</v>
      </c>
      <c r="R15" s="153">
        <f>Factors!H35*'BCA - 3 lane'!C15*'BCA - 3 lane'!D15*$R$3</f>
        <v>0</v>
      </c>
    </row>
    <row r="16" spans="1:23" x14ac:dyDescent="0.25">
      <c r="A16" s="107"/>
      <c r="B16" s="96">
        <f t="shared" si="0"/>
        <v>2032</v>
      </c>
      <c r="C16" s="64">
        <f>Factors!E36</f>
        <v>1</v>
      </c>
      <c r="D16" s="328">
        <f>Factors!F36</f>
        <v>0.4750927963875865</v>
      </c>
      <c r="E16" s="328">
        <f>Factors!G36</f>
        <v>0.7224212765987621</v>
      </c>
      <c r="F16" s="389"/>
      <c r="G16" s="153">
        <f>IFERROR(INDEX(Costs!E:E,MATCH($B16,Costs!$A:$A,0))*Factors!$D$26*D16,0)</f>
        <v>0</v>
      </c>
      <c r="H16" s="153">
        <f>IFERROR(INDEX(Costs!F:F,MATCH($B16,Costs!A:A,0))*Factors!$D$26*D16,0)</f>
        <v>-22205.075015135426</v>
      </c>
      <c r="I16" s="153"/>
      <c r="J16" s="153">
        <f>SUMIFS('Time Savings'!$E$21:$AA$21,'Time Savings'!$E$6:$AA$6,$B16)*Assumptions!$E$22*D16</f>
        <v>1106457.9486356105</v>
      </c>
      <c r="K16" s="153">
        <f>Safety!$M$17*(1+Assumptions!$E$17)^(B16-Assumptions!$E$92)*C16*D16</f>
        <v>1973114.2000387192</v>
      </c>
      <c r="L16" s="153">
        <f>'Reduced VMT'!H16*D16*C16</f>
        <v>20219.78079383642</v>
      </c>
      <c r="M16" s="153">
        <f>SUM('Reduced VMT'!AQ16:AS16,'Reduced VMT'!AU16)*C16*'BCA - 3 lane'!E16</f>
        <v>11821.367866295734</v>
      </c>
      <c r="N16" s="153">
        <f>SUM(PedBike!J16:K16)*'BCA - 3 lane'!C16*'BCA - 3 lane'!D16</f>
        <v>162792.76218927265</v>
      </c>
      <c r="O16" s="153">
        <f>SUM(PedBike!G16:H16)*'BCA - 3 lane'!C16*'BCA - 3 lane'!D16</f>
        <v>486064.08072227682</v>
      </c>
      <c r="P16" s="153">
        <f>'Reduced VMT'!N14*'BCA - 3 lane'!C16*'BCA - 3 lane'!D16</f>
        <v>10562.294599190747</v>
      </c>
      <c r="Q16" s="153">
        <f>SUM('Reduced VMT'!J14:L14)*'BCA - 3 lane'!D16*'BCA - 3 lane'!E16</f>
        <v>3302.4485234834701</v>
      </c>
      <c r="R16" s="153">
        <f>Factors!H36*'BCA - 3 lane'!C16*'BCA - 3 lane'!D16*$R$3</f>
        <v>0</v>
      </c>
    </row>
    <row r="17" spans="1:18" x14ac:dyDescent="0.25">
      <c r="A17" s="107"/>
      <c r="B17" s="96">
        <f t="shared" si="0"/>
        <v>2033</v>
      </c>
      <c r="C17" s="64">
        <f>Factors!E37</f>
        <v>1</v>
      </c>
      <c r="D17" s="328">
        <f>Factors!F37</f>
        <v>0.444011959240735</v>
      </c>
      <c r="E17" s="328">
        <f>Factors!G37</f>
        <v>0.70137988019297293</v>
      </c>
      <c r="F17" s="389"/>
      <c r="G17" s="153">
        <f>IFERROR(INDEX(Costs!E:E,MATCH($B17,Costs!$A:$A,0))*Factors!$D$26*D17,0)</f>
        <v>0</v>
      </c>
      <c r="H17" s="153">
        <f>IFERROR(INDEX(Costs!F:F,MATCH($B17,Costs!A:A,0))*Factors!$D$26*D17,0)</f>
        <v>0</v>
      </c>
      <c r="I17" s="153"/>
      <c r="J17" s="153">
        <f>SUMIFS('Time Savings'!$E$21:$AA$21,'Time Savings'!$E$6:$AA$6,$B17)*Assumptions!$E$22*D17</f>
        <v>1141699.9819033921</v>
      </c>
      <c r="K17" s="153">
        <f>Safety!$M$17*(1+Assumptions!$E$17)^(B17-Assumptions!$E$92)*C17*D17</f>
        <v>1880912.6019060682</v>
      </c>
      <c r="L17" s="153">
        <f>'Reduced VMT'!H17*D17*C17</f>
        <v>19274.931224030974</v>
      </c>
      <c r="M17" s="153">
        <f>SUM('Reduced VMT'!AQ17:AS17,'Reduced VMT'!AU17)*C17*'BCA - 3 lane'!E17</f>
        <v>15353.527837563748</v>
      </c>
      <c r="N17" s="153">
        <f>SUM(PedBike!J17:K17)*'BCA - 3 lane'!C17*'BCA - 3 lane'!D17</f>
        <v>155185.62376921315</v>
      </c>
      <c r="O17" s="153">
        <f>SUM(PedBike!G17:H17)*'BCA - 3 lane'!C17*'BCA - 3 lane'!D17</f>
        <v>463350.80592217023</v>
      </c>
      <c r="P17" s="153">
        <f>'Reduced VMT'!N15*'BCA - 3 lane'!C17*'BCA - 3 lane'!D17</f>
        <v>10068.72943100426</v>
      </c>
      <c r="Q17" s="153">
        <f>SUM('Reduced VMT'!J15:L15)*'BCA - 3 lane'!D17*'BCA - 3 lane'!E17</f>
        <v>3056.435435943326</v>
      </c>
      <c r="R17" s="153">
        <f>Factors!H37*'BCA - 3 lane'!C17*'BCA - 3 lane'!D17*$R$3</f>
        <v>0</v>
      </c>
    </row>
    <row r="18" spans="1:18" x14ac:dyDescent="0.25">
      <c r="A18" s="107"/>
      <c r="B18" s="96">
        <f t="shared" si="0"/>
        <v>2034</v>
      </c>
      <c r="C18" s="64">
        <f>Factors!E38</f>
        <v>1</v>
      </c>
      <c r="D18" s="328">
        <f>Factors!F38</f>
        <v>0.41496444788853737</v>
      </c>
      <c r="E18" s="328">
        <f>Factors!G38</f>
        <v>0.68095133999317758</v>
      </c>
      <c r="F18" s="389"/>
      <c r="G18" s="153">
        <f>IFERROR(INDEX(Costs!E:E,MATCH($B18,Costs!$A:$A,0))*Factors!$D$26*D18,0)</f>
        <v>0</v>
      </c>
      <c r="H18" s="153">
        <f>IFERROR(INDEX(Costs!F:F,MATCH($B18,Costs!A:A,0))*Factors!$D$26*D18,0)</f>
        <v>21334.249730674259</v>
      </c>
      <c r="I18" s="153"/>
      <c r="J18" s="153">
        <f>SUMIFS('Time Savings'!$E$21:$AA$21,'Time Savings'!$E$6:$AA$6,$B18)*Assumptions!$E$22*D18</f>
        <v>1178064.5168535726</v>
      </c>
      <c r="K18" s="153">
        <f>Safety!$M$17*(1+Assumptions!$E$17)^(B18-Assumptions!$E$92)*C18*D18</f>
        <v>1793019.4896674671</v>
      </c>
      <c r="L18" s="153">
        <f>'Reduced VMT'!H18*D18*C18</f>
        <v>18374.233503281866</v>
      </c>
      <c r="M18" s="153">
        <f>SUM('Reduced VMT'!AQ18:AS18,'Reduced VMT'!AU18)*C18*'BCA - 3 lane'!E18</f>
        <v>15311.315347534668</v>
      </c>
      <c r="N18" s="153">
        <f>SUM(PedBike!J18:K18)*'BCA - 3 lane'!C18*'BCA - 3 lane'!D18</f>
        <v>147933.95910710038</v>
      </c>
      <c r="O18" s="153">
        <f>SUM(PedBike!G18:H18)*'BCA - 3 lane'!C18*'BCA - 3 lane'!D18</f>
        <v>441698.89910337719</v>
      </c>
      <c r="P18" s="153">
        <f>'Reduced VMT'!N16*'BCA - 3 lane'!C18*'BCA - 3 lane'!D18</f>
        <v>9598.22805572369</v>
      </c>
      <c r="Q18" s="153">
        <f>SUM('Reduced VMT'!J16:L16)*'BCA - 3 lane'!D18*'BCA - 3 lane'!E18</f>
        <v>2828.7488836423126</v>
      </c>
      <c r="R18" s="153">
        <f>Factors!H38*'BCA - 3 lane'!C18*'BCA - 3 lane'!D18*$R$3</f>
        <v>0</v>
      </c>
    </row>
    <row r="19" spans="1:18" x14ac:dyDescent="0.25">
      <c r="A19" s="107"/>
      <c r="B19" s="96">
        <f t="shared" si="0"/>
        <v>2035</v>
      </c>
      <c r="C19" s="64">
        <f>Factors!E39</f>
        <v>1</v>
      </c>
      <c r="D19" s="328">
        <f>Factors!F39</f>
        <v>0.38781724101732462</v>
      </c>
      <c r="E19" s="328">
        <f>Factors!G39</f>
        <v>0.66111780581861901</v>
      </c>
      <c r="F19" s="389"/>
      <c r="G19" s="153">
        <f>IFERROR(INDEX(Costs!E:E,MATCH($B19,Costs!$A:$A,0))*Factors!$D$26*D19,0)</f>
        <v>0</v>
      </c>
      <c r="H19" s="153">
        <f>IFERROR(INDEX(Costs!F:F,MATCH($B19,Costs!A:A,0))*Factors!$D$26*D19,0)</f>
        <v>0</v>
      </c>
      <c r="I19" s="153"/>
      <c r="J19" s="153">
        <f>SUMIFS('Time Savings'!$E$21:$AA$21,'Time Savings'!$E$6:$AA$6,$B19)*Assumptions!$E$22*D19</f>
        <v>1215587.3065318828</v>
      </c>
      <c r="K19" s="153">
        <f>Safety!$M$17*(1+Assumptions!$E$17)^(B19-Assumptions!$E$92)*C19*D19</f>
        <v>1709233.53220637</v>
      </c>
      <c r="L19" s="153">
        <f>'Reduced VMT'!H19*D19*C19</f>
        <v>17515.624461072428</v>
      </c>
      <c r="M19" s="153">
        <f>SUM('Reduced VMT'!AQ19:AS19,'Reduced VMT'!AU19)*C19*'BCA - 3 lane'!E19</f>
        <v>18946.112030247859</v>
      </c>
      <c r="N19" s="153">
        <f>SUM(PedBike!J19:K19)*'BCA - 3 lane'!C19*'BCA - 3 lane'!D19</f>
        <v>141021.15727966576</v>
      </c>
      <c r="O19" s="153">
        <f>SUM(PedBike!G19:H19)*'BCA - 3 lane'!C19*'BCA - 3 lane'!D19</f>
        <v>421058.76363125676</v>
      </c>
      <c r="P19" s="153">
        <f>'Reduced VMT'!N17*'BCA - 3 lane'!C19*'BCA - 3 lane'!D19</f>
        <v>9149.7127260169727</v>
      </c>
      <c r="Q19" s="153">
        <f>SUM('Reduced VMT'!J17:L17)*'BCA - 3 lane'!D19*'BCA - 3 lane'!E19</f>
        <v>2618.0236469604915</v>
      </c>
      <c r="R19" s="153">
        <f>Factors!H39*'BCA - 3 lane'!C19*'BCA - 3 lane'!D19*$R$3</f>
        <v>0</v>
      </c>
    </row>
    <row r="20" spans="1:18" x14ac:dyDescent="0.25">
      <c r="A20" s="107"/>
      <c r="B20" s="96">
        <f t="shared" si="0"/>
        <v>2036</v>
      </c>
      <c r="C20" s="64">
        <f>Factors!E40</f>
        <v>1</v>
      </c>
      <c r="D20" s="328">
        <f>Factors!F40</f>
        <v>0.36244601964235945</v>
      </c>
      <c r="E20" s="328">
        <f>Factors!G40</f>
        <v>0.64186194739671742</v>
      </c>
      <c r="F20" s="389"/>
      <c r="G20" s="153">
        <f>IFERROR(INDEX(Costs!E:E,MATCH($B20,Costs!$A:$A,0))*Factors!$D$26*D20,0)</f>
        <v>0</v>
      </c>
      <c r="H20" s="153">
        <f>IFERROR(INDEX(Costs!F:F,MATCH($B20,Costs!A:A,0))*Factors!$D$26*D20,0)</f>
        <v>-16940.145412202939</v>
      </c>
      <c r="I20" s="153"/>
      <c r="J20" s="153">
        <f>SUMIFS('Time Savings'!$E$21:$AA$21,'Time Savings'!$E$6:$AA$6,$B20)*Assumptions!$E$22*D20</f>
        <v>1254305.2427620967</v>
      </c>
      <c r="K20" s="153">
        <f>Safety!$M$17*(1+Assumptions!$E$17)^(B20-Assumptions!$E$92)*C20*D20</f>
        <v>1629362.8064023342</v>
      </c>
      <c r="L20" s="153">
        <f>'Reduced VMT'!H20*D20*C20</f>
        <v>16697.137336723252</v>
      </c>
      <c r="M20" s="153">
        <f>SUM('Reduced VMT'!AQ20:AS20,'Reduced VMT'!AU20)*C20*'BCA - 3 lane'!E20</f>
        <v>26063.707022803854</v>
      </c>
      <c r="N20" s="153">
        <f>SUM(PedBike!J20:K20)*'BCA - 3 lane'!C20*'BCA - 3 lane'!D20</f>
        <v>134431.38357500851</v>
      </c>
      <c r="O20" s="153">
        <f>SUM(PedBike!G20:H20)*'BCA - 3 lane'!C20*'BCA - 3 lane'!D20</f>
        <v>401383.12047091761</v>
      </c>
      <c r="P20" s="153">
        <f>'Reduced VMT'!N18*'BCA - 3 lane'!C20*'BCA - 3 lane'!D20</f>
        <v>8722.1560565769287</v>
      </c>
      <c r="Q20" s="153">
        <f>SUM('Reduced VMT'!J18:L18)*'BCA - 3 lane'!D20*'BCA - 3 lane'!E20</f>
        <v>2422.9962071497157</v>
      </c>
      <c r="R20" s="153">
        <f>Factors!H40*'BCA - 3 lane'!C20*'BCA - 3 lane'!D20*$R$3</f>
        <v>0</v>
      </c>
    </row>
    <row r="21" spans="1:18" x14ac:dyDescent="0.25">
      <c r="A21" s="107"/>
      <c r="B21" s="96">
        <f t="shared" si="0"/>
        <v>2037</v>
      </c>
      <c r="C21" s="64">
        <f>Factors!E41</f>
        <v>1</v>
      </c>
      <c r="D21" s="328">
        <f>Factors!F41</f>
        <v>0.33873459779659759</v>
      </c>
      <c r="E21" s="328">
        <f>Factors!G41</f>
        <v>0.62316693922011401</v>
      </c>
      <c r="F21" s="389"/>
      <c r="G21" s="153">
        <f>IFERROR(INDEX(Costs!E:E,MATCH($B21,Costs!$A:$A,0))*Factors!$D$26*D21,0)</f>
        <v>0</v>
      </c>
      <c r="H21" s="153">
        <f>IFERROR(INDEX(Costs!F:F,MATCH($B21,Costs!A:A,0))*Factors!$D$26*D21,0)</f>
        <v>0</v>
      </c>
      <c r="I21" s="153"/>
      <c r="J21" s="153">
        <f>SUMIFS('Time Savings'!$E$21:$AA$21,'Time Savings'!$E$6:$AA$6,$B21)*Assumptions!$E$22*D21</f>
        <v>1294256.3924175203</v>
      </c>
      <c r="K21" s="153">
        <f>Safety!$M$17*(1+Assumptions!$E$17)^(B21-Assumptions!$E$92)*C21*D21</f>
        <v>1553224.3575050286</v>
      </c>
      <c r="L21" s="153">
        <f>'Reduced VMT'!H21*D21*C21</f>
        <v>15916.897274259543</v>
      </c>
      <c r="M21" s="153">
        <f>SUM('Reduced VMT'!AQ21:AS21,'Reduced VMT'!AU21)*C21*'BCA - 3 lane'!E21</f>
        <v>26013.892439476778</v>
      </c>
      <c r="N21" s="153">
        <f>SUM(PedBike!J21:K21)*'BCA - 3 lane'!C21*'BCA - 3 lane'!D21</f>
        <v>128149.54322103607</v>
      </c>
      <c r="O21" s="153">
        <f>SUM(PedBike!G21:H21)*'BCA - 3 lane'!C21*'BCA - 3 lane'!D21</f>
        <v>382626.89988816442</v>
      </c>
      <c r="P21" s="153">
        <f>'Reduced VMT'!N19*'BCA - 3 lane'!C21*'BCA - 3 lane'!D21</f>
        <v>8314.5786707555744</v>
      </c>
      <c r="Q21" s="153">
        <f>SUM('Reduced VMT'!J19:L19)*'BCA - 3 lane'!D21*'BCA - 3 lane'!E21</f>
        <v>2242.4971702138728</v>
      </c>
      <c r="R21" s="153">
        <f>Factors!H41*'BCA - 3 lane'!C21*'BCA - 3 lane'!D21*$R$3</f>
        <v>0</v>
      </c>
    </row>
    <row r="22" spans="1:18" x14ac:dyDescent="0.25">
      <c r="A22" s="107"/>
      <c r="B22" s="96">
        <f t="shared" si="0"/>
        <v>2038</v>
      </c>
      <c r="C22" s="64">
        <f>Factors!E42</f>
        <v>1</v>
      </c>
      <c r="D22" s="328">
        <f>Factors!F42</f>
        <v>0.3165743904641099</v>
      </c>
      <c r="E22" s="328">
        <f>Factors!G42</f>
        <v>0.60501644584477088</v>
      </c>
      <c r="F22" s="389"/>
      <c r="G22" s="153">
        <f>IFERROR(INDEX(Costs!E:E,MATCH($B22,Costs!$A:$A,0))*Factors!$D$26*D22,0)</f>
        <v>0</v>
      </c>
      <c r="H22" s="153">
        <f>IFERROR(INDEX(Costs!F:F,MATCH($B22,Costs!A:A,0))*Factors!$D$26*D22,0)</f>
        <v>1479.6179065597814</v>
      </c>
      <c r="I22" s="153"/>
      <c r="J22" s="153">
        <f>SUMIFS('Time Savings'!$E$21:$AA$21,'Time Savings'!$E$6:$AA$6,$B22)*Assumptions!$E$22*D22</f>
        <v>1335480.0348477315</v>
      </c>
      <c r="K22" s="153">
        <f>Safety!$M$17*(1+Assumptions!$E$17)^(B22-Assumptions!$E$92)*C22*D22</f>
        <v>1480643.7800515227</v>
      </c>
      <c r="L22" s="153">
        <f>'Reduced VMT'!H22*D22*C22</f>
        <v>15173.11702779882</v>
      </c>
      <c r="M22" s="153">
        <f>SUM('Reduced VMT'!AQ22:AS22,'Reduced VMT'!AU22)*C22*'BCA - 3 lane'!E22</f>
        <v>29622.608815091415</v>
      </c>
      <c r="N22" s="153">
        <f>SUM(PedBike!J22:K22)*'BCA - 3 lane'!C22*'BCA - 3 lane'!D22</f>
        <v>122161.24680883816</v>
      </c>
      <c r="O22" s="153">
        <f>SUM(PedBike!G22:H22)*'BCA - 3 lane'!C22*'BCA - 3 lane'!D22</f>
        <v>364747.13821114751</v>
      </c>
      <c r="P22" s="153">
        <f>'Reduced VMT'!N20*'BCA - 3 lane'!C22*'BCA - 3 lane'!D22</f>
        <v>7926.0469571688664</v>
      </c>
      <c r="Q22" s="153">
        <f>SUM('Reduced VMT'!J20:L20)*'BCA - 3 lane'!D22*'BCA - 3 lane'!E22</f>
        <v>2075.4442551657298</v>
      </c>
      <c r="R22" s="153">
        <f>Factors!H42*'BCA - 3 lane'!C22*'BCA - 3 lane'!D22*$R$3</f>
        <v>0</v>
      </c>
    </row>
    <row r="23" spans="1:18" x14ac:dyDescent="0.25">
      <c r="A23" s="107"/>
      <c r="B23" s="96">
        <f t="shared" si="0"/>
        <v>2039</v>
      </c>
      <c r="C23" s="64">
        <f>Factors!E43</f>
        <v>1</v>
      </c>
      <c r="D23" s="328">
        <f>Factors!F43</f>
        <v>0.29586391632159803</v>
      </c>
      <c r="E23" s="328">
        <f>Factors!G43</f>
        <v>0.58739460761628237</v>
      </c>
      <c r="F23" s="389"/>
      <c r="G23" s="153">
        <f>IFERROR(INDEX(Costs!E:E,MATCH($B23,Costs!$A:$A,0))*Factors!$D$26*D23,0)</f>
        <v>0</v>
      </c>
      <c r="H23" s="153">
        <f>IFERROR(INDEX(Costs!F:F,MATCH($B23,Costs!A:A,0))*Factors!$D$26*D23,0)</f>
        <v>0</v>
      </c>
      <c r="I23" s="153"/>
      <c r="J23" s="153">
        <f>SUMIFS('Time Savings'!$E$21:$AA$21,'Time Savings'!$E$6:$AA$6,$B23)*Assumptions!$E$22*D23</f>
        <v>1378016.7004974263</v>
      </c>
      <c r="K23" s="153">
        <f>Safety!$M$17*(1+Assumptions!$E$17)^(B23-Assumptions!$E$92)*C23*D23</f>
        <v>1411454.8183668724</v>
      </c>
      <c r="L23" s="153">
        <f>'Reduced VMT'!H23*D23*C23</f>
        <v>14464.092867621303</v>
      </c>
      <c r="M23" s="153">
        <f>SUM('Reduced VMT'!AQ23:AS23,'Reduced VMT'!AU23)*C23*'BCA - 3 lane'!E23</f>
        <v>36849.046332996011</v>
      </c>
      <c r="N23" s="153">
        <f>SUM(PedBike!J23:K23)*'BCA - 3 lane'!C23*'BCA - 3 lane'!D23</f>
        <v>116452.77733178966</v>
      </c>
      <c r="O23" s="153">
        <f>SUM(PedBike!G23:H23)*'BCA - 3 lane'!C23*'BCA - 3 lane'!D23</f>
        <v>347702.87941623409</v>
      </c>
      <c r="P23" s="153">
        <f>'Reduced VMT'!N21*'BCA - 3 lane'!C23*'BCA - 3 lane'!D23</f>
        <v>7555.6709311329369</v>
      </c>
      <c r="Q23" s="153">
        <f>SUM('Reduced VMT'!J21:L21)*'BCA - 3 lane'!D23*'BCA - 3 lane'!E23</f>
        <v>1920.8358046175881</v>
      </c>
      <c r="R23" s="153">
        <f>Factors!H43*'BCA - 3 lane'!C23*'BCA - 3 lane'!D23*$R$3</f>
        <v>0</v>
      </c>
    </row>
    <row r="24" spans="1:18" x14ac:dyDescent="0.25">
      <c r="A24" s="107"/>
      <c r="B24" s="96">
        <f t="shared" si="0"/>
        <v>2040</v>
      </c>
      <c r="C24" s="64">
        <f>Factors!E44</f>
        <v>1</v>
      </c>
      <c r="D24" s="328">
        <f>Factors!F44</f>
        <v>0.27650833301083927</v>
      </c>
      <c r="E24" s="328">
        <f>Factors!G44</f>
        <v>0.57028602681192464</v>
      </c>
      <c r="F24" s="389"/>
      <c r="G24" s="153">
        <f>IFERROR(INDEX(Costs!E:E,MATCH($B24,Costs!$A:$A,0))*Factors!$D$26*D24,0)</f>
        <v>0</v>
      </c>
      <c r="H24" s="153">
        <f>IFERROR(INDEX(Costs!F:F,MATCH($B24,Costs!A:A,0))*Factors!$D$26*D24,0)</f>
        <v>-12923.555826358472</v>
      </c>
      <c r="I24" s="153"/>
      <c r="J24" s="153">
        <f>SUMIFS('Time Savings'!$E$21:$AA$21,'Time Savings'!$E$6:$AA$6,$B24)*Assumptions!$E$22*D24</f>
        <v>1421908.2107553384</v>
      </c>
      <c r="K24" s="153">
        <f>Safety!$M$17*(1+Assumptions!$E$17)^(B24-Assumptions!$E$92)*C24*D24</f>
        <v>1345498.985732906</v>
      </c>
      <c r="L24" s="153">
        <f>'Reduced VMT'!H24*D24*C24</f>
        <v>13788.200677545541</v>
      </c>
      <c r="M24" s="153">
        <f>SUM('Reduced VMT'!AQ24:AS24,'Reduced VMT'!AU24)*C24*'BCA - 3 lane'!E24</f>
        <v>33345.821416109342</v>
      </c>
      <c r="N24" s="153">
        <f>SUM(PedBike!J24:K24)*'BCA - 3 lane'!C24*'BCA - 3 lane'!D24</f>
        <v>111011.05876488358</v>
      </c>
      <c r="O24" s="153">
        <f>SUM(PedBike!G24:H24)*'BCA - 3 lane'!C24*'BCA - 3 lane'!D24</f>
        <v>331455.08131267165</v>
      </c>
      <c r="P24" s="153">
        <f>'Reduced VMT'!N22*'BCA - 3 lane'!C24*'BCA - 3 lane'!D24</f>
        <v>7202.6021960332673</v>
      </c>
      <c r="Q24" s="153">
        <f>SUM('Reduced VMT'!J22:L22)*'BCA - 3 lane'!D24*'BCA - 3 lane'!E24</f>
        <v>1777.7447787949732</v>
      </c>
      <c r="R24" s="153">
        <f>Factors!H44*'BCA - 3 lane'!C24*'BCA - 3 lane'!D24*$R$3</f>
        <v>0</v>
      </c>
    </row>
    <row r="25" spans="1:18" x14ac:dyDescent="0.25">
      <c r="A25" s="107"/>
      <c r="B25" s="96">
        <f t="shared" si="0"/>
        <v>2041</v>
      </c>
      <c r="C25" s="64">
        <f>Factors!E45</f>
        <v>1</v>
      </c>
      <c r="D25" s="328">
        <f>Factors!F45</f>
        <v>0.25841900281386848</v>
      </c>
      <c r="E25" s="328">
        <f>Factors!G45</f>
        <v>0.55367575418633463</v>
      </c>
      <c r="F25" s="389"/>
      <c r="G25" s="153">
        <f>IFERROR(INDEX(Costs!E:E,MATCH($B25,Costs!$A:$A,0))*Factors!$D$26*D25,0)</f>
        <v>0</v>
      </c>
      <c r="H25" s="153">
        <f>IFERROR(INDEX(Costs!F:F,MATCH($B25,Costs!A:A,0))*Factors!$D$26*D25,0)</f>
        <v>0</v>
      </c>
      <c r="I25" s="153"/>
      <c r="J25" s="153">
        <f>SUMIFS('Time Savings'!$E$21:$AA$21,'Time Savings'!$E$6:$AA$6,$B25)*Assumptions!$E$22*D25</f>
        <v>1467197.7190723608</v>
      </c>
      <c r="K25" s="153">
        <f>Safety!$M$17*(1+Assumptions!$E$17)^(B25-Assumptions!$E$92)*C25*D25</f>
        <v>1282625.2013528638</v>
      </c>
      <c r="L25" s="153">
        <f>'Reduced VMT'!H25*D25*C25</f>
        <v>13143.89223466958</v>
      </c>
      <c r="M25" s="153">
        <f>SUM('Reduced VMT'!AQ25:AS25,'Reduced VMT'!AU25)*C25*'BCA - 3 lane'!E25</f>
        <v>41325.002195908462</v>
      </c>
      <c r="N25" s="153">
        <f>SUM(PedBike!J25:K25)*'BCA - 3 lane'!C25*'BCA - 3 lane'!D25</f>
        <v>105823.6261123189</v>
      </c>
      <c r="O25" s="153">
        <f>SUM(PedBike!G25:H25)*'BCA - 3 lane'!C25*'BCA - 3 lane'!D25</f>
        <v>315966.52611114492</v>
      </c>
      <c r="P25" s="153">
        <f>'Reduced VMT'!N23*'BCA - 3 lane'!C25*'BCA - 3 lane'!D25</f>
        <v>6866.0319999569465</v>
      </c>
      <c r="Q25" s="153">
        <f>SUM('Reduced VMT'!J23:L23)*'BCA - 3 lane'!D25*'BCA - 3 lane'!E25</f>
        <v>1645.3131969611402</v>
      </c>
      <c r="R25" s="153">
        <f>Factors!H45*'BCA - 3 lane'!C25*'BCA - 3 lane'!D25*$R$3</f>
        <v>0</v>
      </c>
    </row>
    <row r="26" spans="1:18" x14ac:dyDescent="0.25">
      <c r="A26" s="107"/>
      <c r="B26" s="96">
        <f t="shared" si="0"/>
        <v>2042</v>
      </c>
      <c r="C26" s="64">
        <f>Factors!E46</f>
        <v>1</v>
      </c>
      <c r="D26" s="328">
        <f>Factors!F46</f>
        <v>0.24151308674193314</v>
      </c>
      <c r="E26" s="328">
        <f>Factors!G46</f>
        <v>0.53754927590906276</v>
      </c>
      <c r="F26" s="389"/>
      <c r="G26" s="153">
        <f>IFERROR(INDEX(Costs!E:E,MATCH($B26,Costs!$A:$A,0))*Factors!$D$26*D26,0)</f>
        <v>0</v>
      </c>
      <c r="H26" s="153">
        <f>IFERROR(INDEX(Costs!F:F,MATCH($B26,Costs!A:A,0))*Factors!$D$26*D26,0)</f>
        <v>11287.934165742397</v>
      </c>
      <c r="I26" s="153"/>
      <c r="J26" s="153">
        <f>SUMIFS('Time Savings'!$E$21:$AA$21,'Time Savings'!$E$6:$AA$6,$B26)*Assumptions!$E$22*D26</f>
        <v>1513929.753389366</v>
      </c>
      <c r="K26" s="153">
        <f>Safety!$M$17*(1+Assumptions!$E$17)^(B26-Assumptions!$E$92)*C26*D26</f>
        <v>1222689.4442803001</v>
      </c>
      <c r="L26" s="153">
        <f>'Reduced VMT'!H26*D26*C26</f>
        <v>12529.691662956051</v>
      </c>
      <c r="M26" s="153">
        <f>SUM('Reduced VMT'!AQ26:AS26,'Reduced VMT'!AU26)*C26*'BCA - 3 lane'!E26</f>
        <v>45521.61696785401</v>
      </c>
      <c r="N26" s="153">
        <f>SUM(PedBike!J26:K26)*'BCA - 3 lane'!C26*'BCA - 3 lane'!D26</f>
        <v>100878.59685473393</v>
      </c>
      <c r="O26" s="153">
        <f>SUM(PedBike!G26:H26)*'BCA - 3 lane'!C26*'BCA - 3 lane'!D26</f>
        <v>301201.73517137178</v>
      </c>
      <c r="P26" s="153">
        <f>'Reduced VMT'!N24*'BCA - 3 lane'!C26*'BCA - 3 lane'!D26</f>
        <v>6545.1893831365278</v>
      </c>
      <c r="Q26" s="153">
        <f>SUM('Reduced VMT'!J24:L24)*'BCA - 3 lane'!D26*'BCA - 3 lane'!E26</f>
        <v>1522.7469929229317</v>
      </c>
      <c r="R26" s="153">
        <f>Factors!H46*'BCA - 3 lane'!C26*'BCA - 3 lane'!D26*$R$3</f>
        <v>0</v>
      </c>
    </row>
    <row r="27" spans="1:18" x14ac:dyDescent="0.25">
      <c r="A27" s="107"/>
      <c r="B27" s="96">
        <f t="shared" si="0"/>
        <v>2043</v>
      </c>
      <c r="C27" s="64">
        <f>Factors!E47</f>
        <v>1</v>
      </c>
      <c r="D27" s="328">
        <f>Factors!F47</f>
        <v>0.22571316517937676</v>
      </c>
      <c r="E27" s="328">
        <f>Factors!G47</f>
        <v>0.52189250088258521</v>
      </c>
      <c r="F27" s="389"/>
      <c r="G27" s="153">
        <f>IFERROR(INDEX(Costs!E:E,MATCH($B27,Costs!$A:$A,0))*Factors!$D$26*D27,0)</f>
        <v>0</v>
      </c>
      <c r="H27" s="153">
        <f>IFERROR(INDEX(Costs!F:F,MATCH($B27,Costs!A:A,0))*Factors!$D$26*D27,0)</f>
        <v>0</v>
      </c>
      <c r="I27" s="153"/>
      <c r="J27" s="153">
        <f>SUMIFS('Time Savings'!$E$21:$AA$21,'Time Savings'!$E$6:$AA$6,$B27)*Assumptions!$E$22*D27</f>
        <v>1562150.2599163637</v>
      </c>
      <c r="K27" s="153">
        <f>Safety!$M$17*(1+Assumptions!$E$17)^(B27-Assumptions!$E$92)*C27*D27</f>
        <v>1165554.4235195382</v>
      </c>
      <c r="L27" s="153">
        <f>'Reduced VMT'!H27*D27*C27</f>
        <v>11944.192052537541</v>
      </c>
      <c r="M27" s="153">
        <f>SUM('Reduced VMT'!AQ27:AS27,'Reduced VMT'!AU27)*C27*'BCA - 3 lane'!E27</f>
        <v>56646.603318509377</v>
      </c>
      <c r="N27" s="153">
        <f>SUM(PedBike!J27:K27)*'BCA - 3 lane'!C27*'BCA - 3 lane'!D27</f>
        <v>96164.643730680924</v>
      </c>
      <c r="O27" s="153">
        <f>SUM(PedBike!G27:H27)*'BCA - 3 lane'!C27*'BCA - 3 lane'!D27</f>
        <v>287126.8877334572</v>
      </c>
      <c r="P27" s="153">
        <f>'Reduced VMT'!N25*'BCA - 3 lane'!C27*'BCA - 3 lane'!D27</f>
        <v>6239.3394119619225</v>
      </c>
      <c r="Q27" s="153">
        <f>SUM('Reduced VMT'!J25:L25)*'BCA - 3 lane'!D27*'BCA - 3 lane'!E27</f>
        <v>1409.3112537713366</v>
      </c>
      <c r="R27" s="153">
        <f>Factors!H47*'BCA - 3 lane'!C27*'BCA - 3 lane'!D27*$R$3</f>
        <v>0</v>
      </c>
    </row>
    <row r="28" spans="1:18" x14ac:dyDescent="0.25">
      <c r="A28" s="107"/>
      <c r="B28" s="96">
        <f t="shared" si="0"/>
        <v>2044</v>
      </c>
      <c r="C28" s="64">
        <f>Factors!E48</f>
        <v>1</v>
      </c>
      <c r="D28" s="328">
        <f>Factors!F48</f>
        <v>0.21094688334521192</v>
      </c>
      <c r="E28" s="328">
        <f>Factors!G48</f>
        <v>0.50669174842969433</v>
      </c>
      <c r="F28" s="389"/>
      <c r="G28" s="153">
        <f>IFERROR(INDEX(Costs!E:E,MATCH($B28,Costs!$A:$A,0))*Factors!$D$26*D28,0)</f>
        <v>0</v>
      </c>
      <c r="H28" s="153">
        <f>IFERROR(INDEX(Costs!F:F,MATCH($B28,Costs!A:A,0))*Factors!$D$26*D28,0)</f>
        <v>-443669.34881509986</v>
      </c>
      <c r="I28" s="153"/>
      <c r="J28" s="153">
        <f>SUMIFS('Time Savings'!$E$21:$AA$21,'Time Savings'!$E$6:$AA$6,$B28)*Assumptions!$E$22*D28</f>
        <v>1611906.6483061202</v>
      </c>
      <c r="K28" s="153">
        <f>Safety!$M$17*(1+Assumptions!$E$17)^(B28-Assumptions!$E$92)*C28*D28</f>
        <v>1111089.2635419897</v>
      </c>
      <c r="L28" s="153">
        <f>'Reduced VMT'!H28*D28*C28</f>
        <v>11386.052236998405</v>
      </c>
      <c r="M28" s="153">
        <f>SUM('Reduced VMT'!AQ28:AS28,'Reduced VMT'!AU28)*C28*'BCA - 3 lane'!E28</f>
        <v>64667.144857231113</v>
      </c>
      <c r="N28" s="153">
        <f>SUM(PedBike!J28:K28)*'BCA - 3 lane'!C28*'BCA - 3 lane'!D28</f>
        <v>91670.968789994906</v>
      </c>
      <c r="O28" s="153">
        <f>SUM(PedBike!G28:H28)*'BCA - 3 lane'!C28*'BCA - 3 lane'!D28</f>
        <v>273709.74344684707</v>
      </c>
      <c r="P28" s="153">
        <f>'Reduced VMT'!N26*'BCA - 3 lane'!C28*'BCA - 3 lane'!D28</f>
        <v>5947.7814955151052</v>
      </c>
      <c r="Q28" s="153">
        <f>SUM('Reduced VMT'!J26:L26)*'BCA - 3 lane'!D28*'BCA - 3 lane'!E28</f>
        <v>1304.3258133080153</v>
      </c>
      <c r="R28" s="153">
        <f>Factors!H48*'BCA - 3 lane'!C28*'BCA - 3 lane'!D28*$R$3</f>
        <v>0</v>
      </c>
    </row>
    <row r="29" spans="1:18" x14ac:dyDescent="0.25">
      <c r="A29" s="107"/>
      <c r="B29" s="96">
        <f t="shared" si="0"/>
        <v>2045</v>
      </c>
      <c r="C29" s="64">
        <f>Factors!E49</f>
        <v>1</v>
      </c>
      <c r="D29" s="328">
        <f>Factors!F49</f>
        <v>0.19714661994879618</v>
      </c>
      <c r="E29" s="328">
        <f>Factors!G49</f>
        <v>0.49193373633950904</v>
      </c>
      <c r="F29" s="389"/>
      <c r="G29" s="153">
        <f>IFERROR(INDEX(Costs!E:E,MATCH($B29,Costs!$A:$A,0))*Factors!$D$26*D29,0)</f>
        <v>0</v>
      </c>
      <c r="H29" s="153">
        <f>IFERROR(INDEX(Costs!F:F,MATCH($B29,Costs!A:A,0))*Factors!$D$26*D29,0)</f>
        <v>0</v>
      </c>
      <c r="I29" s="153"/>
      <c r="J29" s="153">
        <f>SUMIFS('Time Savings'!$E$21:$AA$21,'Time Savings'!$E$6:$AA$6,$B29)*Assumptions!$E$22*D29</f>
        <v>1663247.838266578</v>
      </c>
      <c r="K29" s="153">
        <f>Safety!$M$17*(1+Assumptions!$E$17)^(B29-Assumptions!$E$92)*C29*D29</f>
        <v>1059169.2044979713</v>
      </c>
      <c r="L29" s="153">
        <f>'Reduced VMT'!H29*D29*C29</f>
        <v>10853.993721250812</v>
      </c>
      <c r="M29" s="153">
        <f>SUM('Reduced VMT'!AQ29:AS29,'Reduced VMT'!AU29)*C29*'BCA - 3 lane'!E29</f>
        <v>76835.578480131502</v>
      </c>
      <c r="N29" s="153">
        <f>SUM(PedBike!J29:K29)*'BCA - 3 lane'!C29*'BCA - 3 lane'!D29</f>
        <v>87387.278659621297</v>
      </c>
      <c r="O29" s="153">
        <f>SUM(PedBike!G29:H29)*'BCA - 3 lane'!C29*'BCA - 3 lane'!D29</f>
        <v>260919.56851942427</v>
      </c>
      <c r="P29" s="153">
        <f>'Reduced VMT'!N27*'BCA - 3 lane'!C29*'BCA - 3 lane'!D29</f>
        <v>5669.847780771408</v>
      </c>
      <c r="Q29" s="153">
        <f>SUM('Reduced VMT'!J27:L27)*'BCA - 3 lane'!D29*'BCA - 3 lane'!E29</f>
        <v>1207.1611737357548</v>
      </c>
      <c r="R29" s="153">
        <f>Factors!H49*'BCA - 3 lane'!C29*'BCA - 3 lane'!D29*$R$3</f>
        <v>0</v>
      </c>
    </row>
    <row r="30" spans="1:18" x14ac:dyDescent="0.25">
      <c r="A30" s="107"/>
      <c r="B30" s="96">
        <f t="shared" si="0"/>
        <v>2046</v>
      </c>
      <c r="C30" s="64">
        <f>Factors!E50</f>
        <v>1</v>
      </c>
      <c r="D30" s="328">
        <f>Factors!F50</f>
        <v>0.1842491775222394</v>
      </c>
      <c r="E30" s="328">
        <f>Factors!G50</f>
        <v>0.47760556926165926</v>
      </c>
      <c r="F30" s="389"/>
      <c r="G30" s="153">
        <f>IFERROR(INDEX(Costs!E:E,MATCH($B30,Costs!$A:$A,0))*Factors!$D$26*D30,0)</f>
        <v>0</v>
      </c>
      <c r="H30" s="153">
        <f>IFERROR(INDEX(Costs!F:F,MATCH($B30,Costs!A:A,0))*Factors!$D$26*D30,0)</f>
        <v>516690.65573715296</v>
      </c>
      <c r="I30" s="153"/>
      <c r="J30" s="153">
        <f>SUMIFS('Time Savings'!$E$21:$AA$21,'Time Savings'!$E$6:$AA$6,$B30)*Assumptions!$E$22*D30</f>
        <v>1716224.307657969</v>
      </c>
      <c r="K30" s="153">
        <f>Safety!$M$17*(1+Assumptions!$E$17)^(B30-Assumptions!$E$92)*C30*D30</f>
        <v>1009675.3164373183</v>
      </c>
      <c r="L30" s="153">
        <f>'Reduced VMT'!H30*D30*C30</f>
        <v>10346.797752968065</v>
      </c>
      <c r="M30" s="153">
        <f>SUM('Reduced VMT'!AQ30:AS30,'Reduced VMT'!AU30)*C30*'BCA - 3 lane'!E30</f>
        <v>86946.703185261402</v>
      </c>
      <c r="N30" s="153">
        <f>SUM(PedBike!J30:K30)*'BCA - 3 lane'!C30*'BCA - 3 lane'!D30</f>
        <v>83303.76096524646</v>
      </c>
      <c r="O30" s="153">
        <f>SUM(PedBike!G30:H30)*'BCA - 3 lane'!C30*'BCA - 3 lane'!D30</f>
        <v>248727.06531758199</v>
      </c>
      <c r="P30" s="153">
        <f>'Reduced VMT'!N28*'BCA - 3 lane'!C30*'BCA - 3 lane'!D30</f>
        <v>5404.9016227914353</v>
      </c>
      <c r="Q30" s="153">
        <f>SUM('Reduced VMT'!J28:L28)*'BCA - 3 lane'!D30*'BCA - 3 lane'!E30</f>
        <v>1117.2347311591234</v>
      </c>
      <c r="R30" s="153">
        <f>Factors!H50*'BCA - 3 lane'!C30*'BCA - 3 lane'!D30*$R$3</f>
        <v>1167611.1819706536</v>
      </c>
    </row>
    <row r="31" spans="1:18" x14ac:dyDescent="0.25">
      <c r="A31" s="107"/>
      <c r="G31" s="103"/>
      <c r="H31" s="104"/>
      <c r="I31" s="104"/>
      <c r="J31" s="103"/>
      <c r="K31" s="329"/>
      <c r="L31" s="330"/>
      <c r="M31" s="329"/>
      <c r="N31" s="330"/>
      <c r="O31" s="330"/>
      <c r="P31" s="331"/>
    </row>
    <row r="32" spans="1:18" s="206" customFormat="1" x14ac:dyDescent="0.25">
      <c r="A32" s="98"/>
      <c r="B32" s="98"/>
      <c r="C32" s="332"/>
      <c r="D32" s="333"/>
      <c r="E32" s="333"/>
      <c r="F32" s="391"/>
      <c r="G32" s="413">
        <f t="shared" ref="G32:N32" si="1">SUM(G8:G30)</f>
        <v>20466171.14568869</v>
      </c>
      <c r="H32" s="413">
        <f t="shared" si="1"/>
        <v>-1187292.0127768116</v>
      </c>
      <c r="I32" s="413"/>
      <c r="J32" s="413">
        <f t="shared" si="1"/>
        <v>17774895.137148976</v>
      </c>
      <c r="K32" s="413">
        <f>SUM(K8:K30)</f>
        <v>33042037.599882957</v>
      </c>
      <c r="L32" s="413">
        <f t="shared" si="1"/>
        <v>338603.18740710674</v>
      </c>
      <c r="M32" s="413">
        <f>SUM(M8:M30)</f>
        <v>623257.38121145405</v>
      </c>
      <c r="N32" s="413">
        <f t="shared" si="1"/>
        <v>2726149.6415874939</v>
      </c>
      <c r="O32" s="413">
        <f>SUM(O8:O30)</f>
        <v>8139694.9202751936</v>
      </c>
      <c r="P32" s="413">
        <f>SUM(P8:P30)</f>
        <v>176877.61574097068</v>
      </c>
      <c r="Q32" s="413">
        <f>SUM(Q8:Q30)</f>
        <v>68472.830101483167</v>
      </c>
      <c r="R32" s="413">
        <f>SUM(R8:R30)</f>
        <v>1167611.1819706536</v>
      </c>
    </row>
    <row r="33" spans="1:18" s="206" customFormat="1" x14ac:dyDescent="0.25">
      <c r="A33" s="108"/>
      <c r="C33" s="120"/>
      <c r="D33" s="109"/>
      <c r="E33" s="109"/>
      <c r="F33" s="390"/>
      <c r="G33" s="105"/>
      <c r="H33" s="106"/>
      <c r="I33" s="106"/>
      <c r="J33" s="105"/>
      <c r="K33" s="106"/>
      <c r="L33" s="106"/>
      <c r="M33" s="106"/>
      <c r="N33" s="106"/>
      <c r="O33" s="106"/>
      <c r="R33" s="334"/>
    </row>
    <row r="34" spans="1:18" s="109" customFormat="1" x14ac:dyDescent="0.25">
      <c r="B34" s="121" t="s">
        <v>160</v>
      </c>
      <c r="C34" s="122"/>
      <c r="D34" s="122"/>
      <c r="E34" s="122"/>
      <c r="F34" s="392"/>
      <c r="G34" s="335">
        <f>G37/G48</f>
        <v>3.3226827687285283</v>
      </c>
    </row>
    <row r="35" spans="1:18" s="109" customFormat="1" x14ac:dyDescent="0.25">
      <c r="B35" s="123" t="s">
        <v>52</v>
      </c>
      <c r="F35" s="390"/>
      <c r="G35" s="124">
        <f>G37-G48</f>
        <v>44778720.36241442</v>
      </c>
    </row>
    <row r="36" spans="1:18" s="109" customFormat="1" x14ac:dyDescent="0.25">
      <c r="B36" s="123"/>
      <c r="F36" s="390"/>
      <c r="G36" s="124"/>
    </row>
    <row r="37" spans="1:18" s="109" customFormat="1" x14ac:dyDescent="0.25">
      <c r="B37" s="125" t="s">
        <v>53</v>
      </c>
      <c r="F37" s="390"/>
      <c r="G37" s="336">
        <f>SUM(J32:R32)</f>
        <v>64057599.495326295</v>
      </c>
    </row>
    <row r="38" spans="1:18" s="109" customFormat="1" x14ac:dyDescent="0.25">
      <c r="B38" s="123" t="s">
        <v>54</v>
      </c>
      <c r="F38" s="390"/>
      <c r="G38" s="337">
        <f>K32</f>
        <v>33042037.599882957</v>
      </c>
    </row>
    <row r="39" spans="1:18" s="109" customFormat="1" x14ac:dyDescent="0.25">
      <c r="B39" s="123" t="s">
        <v>55</v>
      </c>
      <c r="F39" s="390"/>
      <c r="G39" s="337">
        <f>J32</f>
        <v>17774895.137148976</v>
      </c>
    </row>
    <row r="40" spans="1:18" s="109" customFormat="1" x14ac:dyDescent="0.25">
      <c r="B40" s="123" t="s">
        <v>207</v>
      </c>
      <c r="F40" s="390"/>
      <c r="G40" s="337">
        <f>N32</f>
        <v>2726149.6415874939</v>
      </c>
    </row>
    <row r="41" spans="1:18" s="109" customFormat="1" x14ac:dyDescent="0.25">
      <c r="B41" s="123" t="s">
        <v>118</v>
      </c>
      <c r="F41" s="390"/>
      <c r="G41" s="337">
        <f>O32</f>
        <v>8139694.9202751936</v>
      </c>
    </row>
    <row r="42" spans="1:18" s="109" customFormat="1" x14ac:dyDescent="0.25">
      <c r="B42" s="123" t="s">
        <v>155</v>
      </c>
      <c r="F42" s="390"/>
      <c r="G42" s="337">
        <f>L32</f>
        <v>338603.18740710674</v>
      </c>
    </row>
    <row r="43" spans="1:18" s="109" customFormat="1" x14ac:dyDescent="0.25">
      <c r="B43" s="123" t="s">
        <v>154</v>
      </c>
      <c r="F43" s="390"/>
      <c r="G43" s="337">
        <f>SUM('BCA - 5 lane'!M32:M32)</f>
        <v>705719.23063025647</v>
      </c>
    </row>
    <row r="44" spans="1:18" s="109" customFormat="1" x14ac:dyDescent="0.25">
      <c r="B44" s="123" t="s">
        <v>103</v>
      </c>
      <c r="F44" s="390"/>
      <c r="G44" s="338">
        <f>P32</f>
        <v>176877.61574097068</v>
      </c>
    </row>
    <row r="45" spans="1:18" x14ac:dyDescent="0.25">
      <c r="B45" s="123" t="s">
        <v>113</v>
      </c>
      <c r="C45" s="109"/>
      <c r="G45" s="338">
        <f>Q32</f>
        <v>68472.830101483167</v>
      </c>
    </row>
    <row r="46" spans="1:18" x14ac:dyDescent="0.25">
      <c r="B46" s="123" t="s">
        <v>56</v>
      </c>
      <c r="G46" s="337">
        <f>R32</f>
        <v>1167611.1819706536</v>
      </c>
    </row>
    <row r="47" spans="1:18" x14ac:dyDescent="0.25">
      <c r="B47" s="123"/>
      <c r="G47" s="126"/>
    </row>
    <row r="48" spans="1:18" x14ac:dyDescent="0.25">
      <c r="B48" s="125" t="s">
        <v>57</v>
      </c>
      <c r="G48" s="339">
        <f>SUM(G32:H32)</f>
        <v>19278879.13291188</v>
      </c>
    </row>
    <row r="49" spans="2:7" x14ac:dyDescent="0.25">
      <c r="B49" s="123" t="s">
        <v>43</v>
      </c>
      <c r="G49" s="124">
        <f>G32</f>
        <v>20466171.14568869</v>
      </c>
    </row>
    <row r="50" spans="2:7" x14ac:dyDescent="0.25">
      <c r="B50" s="127" t="s">
        <v>58</v>
      </c>
      <c r="C50" s="128"/>
      <c r="D50" s="129"/>
      <c r="E50" s="129"/>
      <c r="F50" s="393"/>
      <c r="G50" s="340">
        <f>H32</f>
        <v>-1187292.0127768116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C8AB-ACD4-4C7E-B087-94C877F87548}">
  <dimension ref="A1:V24"/>
  <sheetViews>
    <sheetView showGridLines="0" zoomScale="115" zoomScaleNormal="115" workbookViewId="0">
      <selection activeCell="I12" sqref="I12"/>
    </sheetView>
  </sheetViews>
  <sheetFormatPr defaultRowHeight="15" x14ac:dyDescent="0.25"/>
  <cols>
    <col min="1" max="1" width="20.85546875" customWidth="1"/>
    <col min="6" max="6" width="17.7109375" style="78" customWidth="1"/>
    <col min="7" max="7" width="17.7109375" style="138" customWidth="1"/>
  </cols>
  <sheetData>
    <row r="1" spans="1:22" s="196" customFormat="1" x14ac:dyDescent="0.25">
      <c r="A1" s="190" t="s">
        <v>234</v>
      </c>
      <c r="C1" s="190"/>
      <c r="D1" s="190"/>
      <c r="E1" s="191"/>
      <c r="F1" s="191"/>
      <c r="H1" s="190"/>
    </row>
    <row r="2" spans="1:22" s="89" customFormat="1" x14ac:dyDescent="0.25">
      <c r="A2" s="152"/>
      <c r="B2" s="152"/>
      <c r="C2" s="152"/>
      <c r="D2" s="152"/>
      <c r="M2" s="81"/>
      <c r="N2" s="181"/>
      <c r="O2" s="181"/>
      <c r="P2" s="181"/>
      <c r="Q2" s="81"/>
      <c r="R2" s="81"/>
      <c r="S2" s="81"/>
      <c r="T2" s="81"/>
      <c r="U2" s="81"/>
      <c r="V2" s="81"/>
    </row>
    <row r="3" spans="1:22" x14ac:dyDescent="0.25">
      <c r="A3" s="422" t="s">
        <v>266</v>
      </c>
      <c r="B3" s="422" t="s">
        <v>203</v>
      </c>
      <c r="C3" s="132"/>
      <c r="D3" s="132"/>
      <c r="E3" s="132"/>
      <c r="F3" s="133"/>
      <c r="G3" s="135"/>
    </row>
    <row r="4" spans="1:22" x14ac:dyDescent="0.25">
      <c r="A4" s="132"/>
      <c r="B4" s="399" t="s">
        <v>160</v>
      </c>
      <c r="C4" s="400"/>
      <c r="D4" s="400"/>
      <c r="E4" s="400"/>
      <c r="F4" s="401">
        <f>IF($B$3="3 lane",'BCA - 3 lane'!G34,'BCA - 5 lane'!G34)</f>
        <v>2.9230646221285483</v>
      </c>
      <c r="G4" s="171"/>
    </row>
    <row r="5" spans="1:22" x14ac:dyDescent="0.25">
      <c r="A5" s="132"/>
      <c r="B5" s="402" t="s">
        <v>52</v>
      </c>
      <c r="C5" s="109"/>
      <c r="D5" s="109"/>
      <c r="E5" s="109"/>
      <c r="F5" s="403">
        <f>IF($B$3="3 lane",'BCA - 3 lane'!G35,'BCA - 5 lane'!G35)</f>
        <v>53934790.004004121</v>
      </c>
      <c r="G5" s="136"/>
    </row>
    <row r="6" spans="1:22" x14ac:dyDescent="0.25">
      <c r="A6" s="132"/>
      <c r="B6" s="402"/>
      <c r="C6" s="109"/>
      <c r="D6" s="109"/>
      <c r="E6" s="109"/>
      <c r="F6" s="403"/>
      <c r="G6" s="136"/>
    </row>
    <row r="7" spans="1:22" x14ac:dyDescent="0.25">
      <c r="A7" s="132"/>
      <c r="B7" s="404" t="s">
        <v>263</v>
      </c>
      <c r="C7" s="109"/>
      <c r="D7" s="109"/>
      <c r="E7" s="109"/>
      <c r="F7" s="405">
        <f>IF($B$3="3 lane",'BCA - 3 lane'!G37,'BCA - 5 lane'!G37)</f>
        <v>81981060.203861624</v>
      </c>
      <c r="G7" s="172"/>
    </row>
    <row r="8" spans="1:22" x14ac:dyDescent="0.25">
      <c r="A8" s="132"/>
      <c r="B8" s="402" t="s">
        <v>54</v>
      </c>
      <c r="C8" s="109"/>
      <c r="D8" s="109"/>
      <c r="E8" s="109"/>
      <c r="F8" s="406">
        <f>IF($B$3="3 lane",'BCA - 3 lane'!G38,'BCA - 5 lane'!G38)</f>
        <v>33042037.599882957</v>
      </c>
      <c r="G8" s="173"/>
    </row>
    <row r="9" spans="1:22" x14ac:dyDescent="0.25">
      <c r="A9" s="132"/>
      <c r="B9" s="402" t="s">
        <v>55</v>
      </c>
      <c r="C9" s="109"/>
      <c r="D9" s="109"/>
      <c r="E9" s="109"/>
      <c r="F9" s="406">
        <f>IF($B$3="3 lane",'BCA - 3 lane'!G39,'BCA - 5 lane'!G39)</f>
        <v>34829406.739627182</v>
      </c>
      <c r="G9" s="173"/>
    </row>
    <row r="10" spans="1:22" x14ac:dyDescent="0.25">
      <c r="A10" s="132"/>
      <c r="B10" s="402" t="s">
        <v>207</v>
      </c>
      <c r="C10" s="109"/>
      <c r="D10" s="109"/>
      <c r="E10" s="109"/>
      <c r="F10" s="406">
        <f>IF($B$3="3 lane",'BCA - 3 lane'!G40,'BCA - 5 lane'!G40)</f>
        <v>2726149.6415874939</v>
      </c>
      <c r="G10" s="173"/>
    </row>
    <row r="11" spans="1:22" x14ac:dyDescent="0.25">
      <c r="A11" s="132"/>
      <c r="B11" s="402" t="s">
        <v>118</v>
      </c>
      <c r="C11" s="109"/>
      <c r="D11" s="109"/>
      <c r="E11" s="109"/>
      <c r="F11" s="406">
        <f>IF($B$3="3 lane",'BCA - 3 lane'!G41,'BCA - 5 lane'!G41)</f>
        <v>8139694.9202751936</v>
      </c>
      <c r="G11" s="173"/>
    </row>
    <row r="12" spans="1:22" x14ac:dyDescent="0.25">
      <c r="A12" s="132"/>
      <c r="B12" s="402" t="s">
        <v>184</v>
      </c>
      <c r="C12" s="109"/>
      <c r="D12" s="109"/>
      <c r="E12" s="109"/>
      <c r="F12" s="406">
        <f>IF($B$3="3 lane",'BCA - 3 lane'!G42,'BCA - 5 lane'!G42)</f>
        <v>338603.18740710674</v>
      </c>
      <c r="G12" s="173"/>
    </row>
    <row r="13" spans="1:22" x14ac:dyDescent="0.25">
      <c r="A13" s="132"/>
      <c r="B13" s="402" t="s">
        <v>154</v>
      </c>
      <c r="C13" s="109"/>
      <c r="D13" s="109"/>
      <c r="E13" s="109"/>
      <c r="F13" s="406">
        <f>IF($B$3="3 lane",'BCA - 3 lane'!G43,'BCA - 5 lane'!G43)</f>
        <v>705719.23063025647</v>
      </c>
      <c r="G13" s="173"/>
    </row>
    <row r="14" spans="1:22" x14ac:dyDescent="0.25">
      <c r="A14" s="132"/>
      <c r="B14" s="402" t="s">
        <v>103</v>
      </c>
      <c r="C14" s="109"/>
      <c r="D14" s="109"/>
      <c r="E14" s="109"/>
      <c r="F14" s="407">
        <f>IF($B$3="3 lane",'BCA - 3 lane'!G44,'BCA - 5 lane'!G44)</f>
        <v>176877.61574097068</v>
      </c>
      <c r="G14" s="173"/>
    </row>
    <row r="15" spans="1:22" x14ac:dyDescent="0.25">
      <c r="A15" s="132"/>
      <c r="B15" s="402" t="s">
        <v>113</v>
      </c>
      <c r="C15" s="109"/>
      <c r="D15" s="109"/>
      <c r="E15" s="109"/>
      <c r="F15" s="407">
        <f>IF($B$3="3 lane",'BCA - 3 lane'!G45,'BCA - 5 lane'!G45)</f>
        <v>76552.632092692103</v>
      </c>
      <c r="G15" s="173"/>
    </row>
    <row r="16" spans="1:22" x14ac:dyDescent="0.25">
      <c r="A16" s="132"/>
      <c r="B16" s="402" t="s">
        <v>56</v>
      </c>
      <c r="C16" s="120"/>
      <c r="D16" s="109"/>
      <c r="E16" s="109"/>
      <c r="F16" s="406">
        <f>IF($B$3="3 lane",'BCA - 3 lane'!G46,'BCA - 5 lane'!G46)</f>
        <v>1946018.636617756</v>
      </c>
      <c r="G16" s="173"/>
    </row>
    <row r="17" spans="1:7" x14ac:dyDescent="0.25">
      <c r="A17" s="132"/>
      <c r="B17" s="402"/>
      <c r="C17" s="120"/>
      <c r="D17" s="109"/>
      <c r="E17" s="109"/>
      <c r="F17" s="406"/>
      <c r="G17" s="173"/>
    </row>
    <row r="18" spans="1:7" x14ac:dyDescent="0.25">
      <c r="A18" s="132"/>
      <c r="B18" s="404" t="s">
        <v>262</v>
      </c>
      <c r="C18" s="120"/>
      <c r="D18" s="109"/>
      <c r="E18" s="109"/>
      <c r="F18" s="408">
        <f>IF($B$3="3 lane",'BCA - 3 lane'!G48,'BCA - 5 lane'!G48)</f>
        <v>28046270.199857499</v>
      </c>
      <c r="G18" s="174"/>
    </row>
    <row r="19" spans="1:7" x14ac:dyDescent="0.25">
      <c r="A19" s="132"/>
      <c r="B19" s="402" t="s">
        <v>43</v>
      </c>
      <c r="C19" s="120"/>
      <c r="D19" s="109"/>
      <c r="E19" s="109"/>
      <c r="F19" s="403">
        <f>IF($B$3="3 lane",'BCA - 3 lane'!G49,'BCA - 5 lane'!G49)</f>
        <v>29233562.21263431</v>
      </c>
      <c r="G19" s="136"/>
    </row>
    <row r="20" spans="1:7" x14ac:dyDescent="0.25">
      <c r="A20" s="132"/>
      <c r="B20" s="409" t="s">
        <v>210</v>
      </c>
      <c r="C20" s="410"/>
      <c r="D20" s="411"/>
      <c r="E20" s="411"/>
      <c r="F20" s="412">
        <f>IF($B$3="3 lane",'BCA - 3 lane'!G50,'BCA - 5 lane'!G50)</f>
        <v>-1187292.0127768116</v>
      </c>
      <c r="G20" s="136"/>
    </row>
    <row r="21" spans="1:7" x14ac:dyDescent="0.25">
      <c r="A21" s="132"/>
      <c r="B21" s="132"/>
      <c r="C21" s="132"/>
      <c r="D21" s="132"/>
      <c r="E21" s="132"/>
      <c r="F21" s="134"/>
      <c r="G21" s="137"/>
    </row>
    <row r="22" spans="1:7" x14ac:dyDescent="0.25">
      <c r="A22" s="132"/>
      <c r="B22" s="132"/>
      <c r="C22" s="132"/>
      <c r="D22" s="132"/>
      <c r="E22" s="132"/>
      <c r="F22" s="134"/>
      <c r="G22" s="137"/>
    </row>
    <row r="23" spans="1:7" x14ac:dyDescent="0.25">
      <c r="A23" s="132"/>
      <c r="B23" s="132"/>
      <c r="C23" s="132"/>
      <c r="D23" s="132"/>
      <c r="E23" s="132"/>
      <c r="F23" s="134"/>
      <c r="G23" s="137"/>
    </row>
    <row r="24" spans="1:7" x14ac:dyDescent="0.25">
      <c r="A24" s="132"/>
      <c r="B24" s="132"/>
      <c r="C24" s="132"/>
      <c r="D24" s="132"/>
      <c r="E24" s="132"/>
      <c r="F24" s="134"/>
      <c r="G24" s="137"/>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CF36477-6E3F-4D84-9ABD-B31D334C8F50}">
          <x14:formula1>
            <xm:f>Assumptions!$B$27:$B$28</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DC91-1950-4A11-B267-6532641EC1CD}">
  <dimension ref="A1:N155"/>
  <sheetViews>
    <sheetView showGridLines="0" workbookViewId="0">
      <pane ySplit="3" topLeftCell="A43" activePane="bottomLeft" state="frozen"/>
      <selection pane="bottomLeft" activeCell="G69" sqref="G69"/>
    </sheetView>
  </sheetViews>
  <sheetFormatPr defaultColWidth="0" defaultRowHeight="15" x14ac:dyDescent="0.25"/>
  <cols>
    <col min="1" max="1" width="5.28515625" style="15" customWidth="1"/>
    <col min="2" max="2" width="40.28515625" style="15" bestFit="1" customWidth="1"/>
    <col min="3" max="3" width="16.7109375" style="20" customWidth="1"/>
    <col min="4" max="4" width="23.5703125" style="28" customWidth="1"/>
    <col min="5" max="5" width="12.28515625" style="16" bestFit="1" customWidth="1"/>
    <col min="6" max="6" width="7.7109375" style="53" customWidth="1"/>
    <col min="7" max="7" width="54.28515625" style="46" customWidth="1"/>
    <col min="8" max="8" width="27.140625" style="46" customWidth="1"/>
    <col min="9" max="14" width="0" hidden="1" customWidth="1"/>
    <col min="15" max="16384" width="8.7109375" hidden="1"/>
  </cols>
  <sheetData>
    <row r="1" spans="1:8" s="196" customFormat="1" x14ac:dyDescent="0.25">
      <c r="A1" s="190" t="s">
        <v>234</v>
      </c>
      <c r="C1" s="190"/>
      <c r="D1" s="190"/>
      <c r="E1" s="191"/>
      <c r="F1" s="191"/>
      <c r="G1" s="190"/>
      <c r="H1" s="190"/>
    </row>
    <row r="2" spans="1:8" s="29" customFormat="1" x14ac:dyDescent="0.25">
      <c r="C2" s="68"/>
      <c r="D2" s="70"/>
      <c r="E2" s="53"/>
      <c r="F2" s="71"/>
      <c r="G2" s="72"/>
      <c r="H2" s="72"/>
    </row>
    <row r="3" spans="1:8" s="29" customFormat="1" x14ac:dyDescent="0.25">
      <c r="C3" s="68"/>
      <c r="D3" s="70"/>
      <c r="E3" s="312" t="s">
        <v>14</v>
      </c>
      <c r="F3" s="313"/>
      <c r="G3" s="314" t="s">
        <v>214</v>
      </c>
      <c r="H3" s="72"/>
    </row>
    <row r="4" spans="1:8" x14ac:dyDescent="0.25">
      <c r="A4" s="7" t="s">
        <v>0</v>
      </c>
      <c r="B4" s="2"/>
      <c r="C4" s="18"/>
      <c r="D4" s="37"/>
      <c r="G4" s="37"/>
      <c r="H4" s="315"/>
    </row>
    <row r="5" spans="1:8" x14ac:dyDescent="0.25">
      <c r="A5" s="6"/>
      <c r="B5" s="19" t="s">
        <v>1</v>
      </c>
      <c r="D5" s="37" t="s">
        <v>2</v>
      </c>
      <c r="E5" s="145">
        <v>7.0000000000000007E-2</v>
      </c>
      <c r="F5" s="54"/>
      <c r="G5" s="28" t="s">
        <v>202</v>
      </c>
      <c r="H5" s="316"/>
    </row>
    <row r="6" spans="1:8" x14ac:dyDescent="0.25">
      <c r="A6" s="2"/>
      <c r="B6" s="18" t="s">
        <v>3</v>
      </c>
      <c r="D6" s="37" t="s">
        <v>2</v>
      </c>
      <c r="E6" s="119">
        <v>0.03</v>
      </c>
      <c r="F6" s="54"/>
      <c r="G6" s="28" t="s">
        <v>202</v>
      </c>
      <c r="H6" s="315"/>
    </row>
    <row r="7" spans="1:8" x14ac:dyDescent="0.25">
      <c r="A7" s="6"/>
      <c r="B7" s="19" t="s">
        <v>4</v>
      </c>
      <c r="D7" s="37" t="s">
        <v>5</v>
      </c>
      <c r="E7" s="13">
        <v>2024</v>
      </c>
      <c r="F7" s="55"/>
      <c r="G7" s="28" t="s">
        <v>258</v>
      </c>
      <c r="H7" s="316"/>
    </row>
    <row r="8" spans="1:8" x14ac:dyDescent="0.25">
      <c r="A8" s="6"/>
      <c r="B8" s="19" t="s">
        <v>6</v>
      </c>
      <c r="D8" s="37" t="s">
        <v>5</v>
      </c>
      <c r="E8" s="13">
        <v>2026</v>
      </c>
      <c r="F8" s="44"/>
      <c r="G8" s="28" t="s">
        <v>258</v>
      </c>
      <c r="H8" s="316"/>
    </row>
    <row r="9" spans="1:8" x14ac:dyDescent="0.25">
      <c r="A9" s="6"/>
      <c r="B9" s="19" t="s">
        <v>8</v>
      </c>
      <c r="D9" s="37" t="s">
        <v>5</v>
      </c>
      <c r="E9" s="144">
        <v>2027</v>
      </c>
      <c r="F9" s="55"/>
      <c r="G9" s="28" t="s">
        <v>258</v>
      </c>
      <c r="H9" s="316"/>
    </row>
    <row r="10" spans="1:8" x14ac:dyDescent="0.25">
      <c r="A10" s="6"/>
      <c r="B10" s="19" t="s">
        <v>9</v>
      </c>
      <c r="D10" s="37" t="s">
        <v>5</v>
      </c>
      <c r="E10" s="144">
        <v>2046</v>
      </c>
      <c r="F10" s="55"/>
      <c r="G10" s="28" t="s">
        <v>258</v>
      </c>
      <c r="H10" s="316"/>
    </row>
    <row r="11" spans="1:8" x14ac:dyDescent="0.25">
      <c r="A11" s="6"/>
      <c r="B11" s="18" t="s">
        <v>10</v>
      </c>
      <c r="D11" s="37" t="s">
        <v>7</v>
      </c>
      <c r="E11" s="144">
        <v>20</v>
      </c>
      <c r="F11" s="55"/>
      <c r="G11" s="28" t="s">
        <v>258</v>
      </c>
      <c r="H11" s="316"/>
    </row>
    <row r="12" spans="1:8" x14ac:dyDescent="0.25">
      <c r="A12" s="6"/>
      <c r="B12" s="19" t="s">
        <v>12</v>
      </c>
      <c r="D12" s="37" t="s">
        <v>7</v>
      </c>
      <c r="E12" s="144">
        <v>30</v>
      </c>
      <c r="F12" s="55"/>
      <c r="G12" s="28" t="s">
        <v>258</v>
      </c>
      <c r="H12" s="316"/>
    </row>
    <row r="13" spans="1:8" x14ac:dyDescent="0.25">
      <c r="A13" s="6"/>
      <c r="B13" s="20" t="s">
        <v>161</v>
      </c>
      <c r="D13" s="38" t="s">
        <v>267</v>
      </c>
      <c r="E13" s="131">
        <v>6</v>
      </c>
      <c r="F13" s="55"/>
      <c r="G13" s="28" t="s">
        <v>258</v>
      </c>
      <c r="H13" s="316"/>
    </row>
    <row r="14" spans="1:8" x14ac:dyDescent="0.25">
      <c r="A14" s="6"/>
      <c r="B14" s="19" t="s">
        <v>11</v>
      </c>
      <c r="D14" s="37" t="s">
        <v>7</v>
      </c>
      <c r="E14" s="144">
        <v>22</v>
      </c>
      <c r="F14" s="55"/>
      <c r="G14" s="28" t="s">
        <v>202</v>
      </c>
      <c r="H14" s="316"/>
    </row>
    <row r="15" spans="1:8" x14ac:dyDescent="0.25">
      <c r="A15" s="6"/>
      <c r="B15" s="19"/>
      <c r="D15" s="37"/>
      <c r="E15" s="17"/>
      <c r="F15" s="55"/>
      <c r="G15" s="38"/>
      <c r="H15" s="316"/>
    </row>
    <row r="16" spans="1:8" x14ac:dyDescent="0.25">
      <c r="A16" s="14" t="s">
        <v>169</v>
      </c>
      <c r="B16"/>
      <c r="G16" s="28"/>
    </row>
    <row r="17" spans="1:7" x14ac:dyDescent="0.25">
      <c r="B17" s="22" t="s">
        <v>168</v>
      </c>
      <c r="D17" s="28" t="s">
        <v>15</v>
      </c>
      <c r="E17" s="42">
        <v>0.02</v>
      </c>
      <c r="F17" s="57"/>
      <c r="G17" s="28" t="s">
        <v>14</v>
      </c>
    </row>
    <row r="18" spans="1:7" x14ac:dyDescent="0.25">
      <c r="B18" s="8" t="s">
        <v>68</v>
      </c>
      <c r="D18" s="28" t="s">
        <v>264</v>
      </c>
      <c r="E18" s="27">
        <v>50</v>
      </c>
      <c r="G18" s="28" t="s">
        <v>237</v>
      </c>
    </row>
    <row r="19" spans="1:7" x14ac:dyDescent="0.25">
      <c r="B19" s="8" t="s">
        <v>175</v>
      </c>
      <c r="D19" s="28" t="s">
        <v>264</v>
      </c>
      <c r="E19" s="27">
        <v>35</v>
      </c>
      <c r="G19" s="28" t="s">
        <v>14</v>
      </c>
    </row>
    <row r="20" spans="1:7" x14ac:dyDescent="0.25">
      <c r="B20" s="20" t="s">
        <v>16</v>
      </c>
      <c r="C20" s="16"/>
      <c r="D20" s="28" t="s">
        <v>265</v>
      </c>
      <c r="E20" s="27">
        <v>12000</v>
      </c>
      <c r="F20" s="58"/>
      <c r="G20" s="28" t="s">
        <v>236</v>
      </c>
    </row>
    <row r="21" spans="1:7" x14ac:dyDescent="0.25">
      <c r="B21" s="20" t="s">
        <v>80</v>
      </c>
      <c r="C21" s="16"/>
      <c r="D21" s="28" t="s">
        <v>5</v>
      </c>
      <c r="E21" s="130">
        <v>2022</v>
      </c>
      <c r="F21" s="58"/>
      <c r="G21" s="28"/>
    </row>
    <row r="22" spans="1:7" x14ac:dyDescent="0.25">
      <c r="B22" s="15" t="s">
        <v>17</v>
      </c>
      <c r="D22" s="28" t="s">
        <v>114</v>
      </c>
      <c r="E22" s="43">
        <v>18.8</v>
      </c>
      <c r="F22" s="59"/>
      <c r="G22" s="28" t="s">
        <v>202</v>
      </c>
    </row>
    <row r="23" spans="1:7" x14ac:dyDescent="0.25">
      <c r="B23" s="15" t="s">
        <v>233</v>
      </c>
      <c r="D23" s="28" t="s">
        <v>264</v>
      </c>
      <c r="E23" s="43">
        <v>30</v>
      </c>
      <c r="G23" s="28"/>
    </row>
    <row r="24" spans="1:7" x14ac:dyDescent="0.25">
      <c r="E24" s="49"/>
      <c r="G24" s="28"/>
    </row>
    <row r="25" spans="1:7" x14ac:dyDescent="0.25">
      <c r="B25" s="15" t="s">
        <v>238</v>
      </c>
      <c r="G25" s="28"/>
    </row>
    <row r="26" spans="1:7" x14ac:dyDescent="0.25">
      <c r="B26" s="33" t="s">
        <v>101</v>
      </c>
      <c r="D26" s="28" t="s">
        <v>265</v>
      </c>
      <c r="E26" s="130">
        <v>13680</v>
      </c>
      <c r="G26" s="28" t="s">
        <v>240</v>
      </c>
    </row>
    <row r="27" spans="1:7" x14ac:dyDescent="0.25">
      <c r="B27" s="33" t="s">
        <v>239</v>
      </c>
      <c r="D27" s="28" t="s">
        <v>265</v>
      </c>
      <c r="E27" s="130">
        <v>17100</v>
      </c>
      <c r="G27" s="28" t="s">
        <v>241</v>
      </c>
    </row>
    <row r="28" spans="1:7" x14ac:dyDescent="0.25">
      <c r="B28" s="33" t="s">
        <v>203</v>
      </c>
      <c r="D28" s="28" t="s">
        <v>265</v>
      </c>
      <c r="E28" s="130">
        <v>36000</v>
      </c>
      <c r="G28" s="28" t="s">
        <v>242</v>
      </c>
    </row>
    <row r="29" spans="1:7" x14ac:dyDescent="0.25">
      <c r="B29" s="140"/>
      <c r="E29" s="59"/>
      <c r="G29" s="28"/>
    </row>
    <row r="30" spans="1:7" x14ac:dyDescent="0.25">
      <c r="A30" s="14" t="s">
        <v>158</v>
      </c>
      <c r="G30" s="28"/>
    </row>
    <row r="31" spans="1:7" x14ac:dyDescent="0.25">
      <c r="A31" s="23"/>
      <c r="B31" s="20" t="s">
        <v>86</v>
      </c>
      <c r="D31" s="39" t="s">
        <v>23</v>
      </c>
      <c r="E31" s="27">
        <v>2283600</v>
      </c>
      <c r="F31" s="58"/>
      <c r="G31" s="28" t="s">
        <v>200</v>
      </c>
    </row>
    <row r="32" spans="1:7" x14ac:dyDescent="0.25">
      <c r="A32" s="23"/>
      <c r="B32" s="20" t="s">
        <v>83</v>
      </c>
      <c r="D32" s="39" t="s">
        <v>23</v>
      </c>
      <c r="E32" s="27">
        <v>250</v>
      </c>
      <c r="F32" s="58"/>
      <c r="G32" s="28"/>
    </row>
    <row r="33" spans="1:8" x14ac:dyDescent="0.25">
      <c r="A33" s="2"/>
      <c r="B33" s="31" t="s">
        <v>84</v>
      </c>
      <c r="D33" s="39" t="s">
        <v>23</v>
      </c>
      <c r="E33" s="188">
        <f>E32+E31/365</f>
        <v>6506.4383561643835</v>
      </c>
      <c r="F33" s="58"/>
      <c r="G33" s="28"/>
    </row>
    <row r="34" spans="1:8" x14ac:dyDescent="0.25">
      <c r="A34" s="2"/>
      <c r="B34" s="24"/>
      <c r="D34" s="40"/>
      <c r="E34" s="26"/>
      <c r="F34" s="60"/>
      <c r="G34" s="319"/>
      <c r="H34" s="47"/>
    </row>
    <row r="35" spans="1:8" x14ac:dyDescent="0.25">
      <c r="A35" s="23"/>
      <c r="B35" s="15" t="s">
        <v>92</v>
      </c>
      <c r="D35" s="419" t="s">
        <v>265</v>
      </c>
      <c r="E35" s="34">
        <v>3.2</v>
      </c>
      <c r="F35" s="175"/>
      <c r="G35" s="321" t="s">
        <v>244</v>
      </c>
      <c r="H35" s="49"/>
    </row>
    <row r="36" spans="1:8" x14ac:dyDescent="0.25">
      <c r="A36" s="23"/>
      <c r="B36" s="15" t="s">
        <v>93</v>
      </c>
      <c r="D36" s="28" t="s">
        <v>15</v>
      </c>
      <c r="E36" s="5">
        <v>2.9000000000000001E-2</v>
      </c>
      <c r="F36" s="176"/>
      <c r="G36" s="321" t="s">
        <v>245</v>
      </c>
      <c r="H36" s="49"/>
    </row>
    <row r="37" spans="1:8" x14ac:dyDescent="0.25">
      <c r="A37" s="23"/>
      <c r="B37" s="15" t="s">
        <v>94</v>
      </c>
      <c r="D37" s="28" t="s">
        <v>15</v>
      </c>
      <c r="E37" s="5">
        <v>1.0999999999999999E-2</v>
      </c>
      <c r="F37" s="176"/>
      <c r="G37" s="321" t="s">
        <v>245</v>
      </c>
      <c r="H37" s="49"/>
    </row>
    <row r="38" spans="1:8" x14ac:dyDescent="0.25">
      <c r="A38" s="23"/>
      <c r="G38" s="28"/>
      <c r="H38" s="49"/>
    </row>
    <row r="39" spans="1:8" x14ac:dyDescent="0.25">
      <c r="A39" s="2"/>
      <c r="B39" s="4" t="s">
        <v>85</v>
      </c>
      <c r="D39" s="40" t="s">
        <v>24</v>
      </c>
      <c r="E39" s="36">
        <v>200</v>
      </c>
      <c r="F39" s="177"/>
      <c r="G39" s="321" t="s">
        <v>243</v>
      </c>
      <c r="H39" s="49"/>
    </row>
    <row r="40" spans="1:8" x14ac:dyDescent="0.25">
      <c r="B40" s="4" t="s">
        <v>91</v>
      </c>
      <c r="D40" s="40" t="s">
        <v>24</v>
      </c>
      <c r="E40" s="62">
        <f>E33*E35*E36</f>
        <v>603.79747945205486</v>
      </c>
      <c r="F40" s="62"/>
      <c r="G40" s="28"/>
      <c r="H40" s="49"/>
    </row>
    <row r="41" spans="1:8" x14ac:dyDescent="0.25">
      <c r="B41" s="33"/>
      <c r="E41" s="25"/>
      <c r="F41" s="178"/>
      <c r="G41" s="28"/>
      <c r="H41" s="49"/>
    </row>
    <row r="42" spans="1:8" x14ac:dyDescent="0.25">
      <c r="A42" s="2"/>
      <c r="B42" s="4" t="s">
        <v>96</v>
      </c>
      <c r="D42" s="40" t="s">
        <v>24</v>
      </c>
      <c r="E42" s="36">
        <v>50</v>
      </c>
      <c r="F42" s="61"/>
      <c r="G42" s="321" t="s">
        <v>243</v>
      </c>
      <c r="H42" s="49"/>
    </row>
    <row r="43" spans="1:8" x14ac:dyDescent="0.25">
      <c r="B43" s="4" t="s">
        <v>97</v>
      </c>
      <c r="D43" s="40" t="s">
        <v>24</v>
      </c>
      <c r="E43" s="62">
        <f>E33*E37*E35*E55</f>
        <v>135.12571178082192</v>
      </c>
      <c r="F43" s="62"/>
      <c r="G43" s="28"/>
    </row>
    <row r="44" spans="1:8" x14ac:dyDescent="0.25">
      <c r="B44" s="32"/>
      <c r="D44" s="40"/>
      <c r="E44" s="35"/>
      <c r="F44" s="62"/>
      <c r="G44" s="28"/>
    </row>
    <row r="45" spans="1:8" x14ac:dyDescent="0.25">
      <c r="B45" s="15" t="s">
        <v>98</v>
      </c>
      <c r="D45" s="28" t="s">
        <v>29</v>
      </c>
      <c r="E45" s="3">
        <v>0.86</v>
      </c>
      <c r="F45" s="64"/>
      <c r="G45" s="320" t="s">
        <v>209</v>
      </c>
      <c r="H45" s="48"/>
    </row>
    <row r="46" spans="1:8" x14ac:dyDescent="0.25">
      <c r="B46" s="15" t="s">
        <v>99</v>
      </c>
      <c r="D46" s="28" t="s">
        <v>29</v>
      </c>
      <c r="E46" s="3">
        <v>2.38</v>
      </c>
      <c r="F46" s="64"/>
      <c r="G46" s="320" t="s">
        <v>208</v>
      </c>
      <c r="H46" s="48"/>
    </row>
    <row r="47" spans="1:8" x14ac:dyDescent="0.25">
      <c r="B47" s="4"/>
      <c r="E47" s="25"/>
      <c r="F47" s="63"/>
      <c r="G47" s="320"/>
      <c r="H47" s="48"/>
    </row>
    <row r="48" spans="1:8" x14ac:dyDescent="0.25">
      <c r="B48" s="116" t="s">
        <v>95</v>
      </c>
      <c r="D48" s="28" t="s">
        <v>25</v>
      </c>
      <c r="E48" s="3">
        <v>0.11</v>
      </c>
      <c r="F48" s="64"/>
      <c r="G48" s="28" t="s">
        <v>202</v>
      </c>
    </row>
    <row r="49" spans="1:7" x14ac:dyDescent="0.25">
      <c r="B49" s="116" t="s">
        <v>105</v>
      </c>
      <c r="E49" s="3">
        <v>1.77</v>
      </c>
      <c r="G49" s="28" t="s">
        <v>202</v>
      </c>
    </row>
    <row r="50" spans="1:7" x14ac:dyDescent="0.25">
      <c r="B50" s="116" t="s">
        <v>26</v>
      </c>
      <c r="D50" s="28" t="s">
        <v>27</v>
      </c>
      <c r="E50" s="3">
        <v>10</v>
      </c>
      <c r="F50" s="64"/>
      <c r="G50" s="28" t="s">
        <v>215</v>
      </c>
    </row>
    <row r="51" spans="1:7" x14ac:dyDescent="0.25">
      <c r="G51" s="28"/>
    </row>
    <row r="52" spans="1:7" x14ac:dyDescent="0.25">
      <c r="B52" s="15" t="s">
        <v>89</v>
      </c>
      <c r="D52" s="28" t="s">
        <v>156</v>
      </c>
      <c r="E52" s="117">
        <v>7.2</v>
      </c>
      <c r="F52" s="65"/>
      <c r="G52" s="28" t="s">
        <v>202</v>
      </c>
    </row>
    <row r="53" spans="1:7" x14ac:dyDescent="0.25">
      <c r="B53" s="15" t="s">
        <v>90</v>
      </c>
      <c r="D53" s="28" t="s">
        <v>156</v>
      </c>
      <c r="E53" s="3">
        <v>6.42</v>
      </c>
      <c r="F53" s="65"/>
      <c r="G53" s="28" t="s">
        <v>202</v>
      </c>
    </row>
    <row r="54" spans="1:7" x14ac:dyDescent="0.25">
      <c r="B54" s="15" t="s">
        <v>87</v>
      </c>
      <c r="D54" s="28" t="s">
        <v>15</v>
      </c>
      <c r="E54" s="118">
        <v>0.68</v>
      </c>
      <c r="F54" s="66"/>
      <c r="G54" s="28"/>
    </row>
    <row r="55" spans="1:7" x14ac:dyDescent="0.25">
      <c r="B55" s="15" t="s">
        <v>88</v>
      </c>
      <c r="D55" s="28" t="s">
        <v>15</v>
      </c>
      <c r="E55" s="118">
        <v>0.59</v>
      </c>
      <c r="F55" s="66"/>
      <c r="G55" s="28"/>
    </row>
    <row r="56" spans="1:7" x14ac:dyDescent="0.25">
      <c r="G56" s="28"/>
    </row>
    <row r="57" spans="1:7" x14ac:dyDescent="0.25">
      <c r="B57" s="15" t="s">
        <v>28</v>
      </c>
      <c r="D57" s="28" t="s">
        <v>31</v>
      </c>
      <c r="E57" s="3">
        <v>1.67</v>
      </c>
      <c r="F57" s="64"/>
      <c r="G57" s="28" t="s">
        <v>202</v>
      </c>
    </row>
    <row r="58" spans="1:7" x14ac:dyDescent="0.25">
      <c r="G58" s="28"/>
    </row>
    <row r="59" spans="1:7" x14ac:dyDescent="0.25">
      <c r="A59" s="149" t="s">
        <v>181</v>
      </c>
      <c r="G59" s="28"/>
    </row>
    <row r="60" spans="1:7" x14ac:dyDescent="0.25">
      <c r="B60" s="15" t="s">
        <v>182</v>
      </c>
      <c r="D60" s="28" t="s">
        <v>255</v>
      </c>
      <c r="E60" s="3">
        <v>0.46</v>
      </c>
      <c r="G60" s="28" t="s">
        <v>183</v>
      </c>
    </row>
    <row r="61" spans="1:7" x14ac:dyDescent="0.25">
      <c r="G61" s="28"/>
    </row>
    <row r="62" spans="1:7" x14ac:dyDescent="0.25">
      <c r="A62" s="14" t="s">
        <v>157</v>
      </c>
      <c r="G62" s="28"/>
    </row>
    <row r="63" spans="1:7" x14ac:dyDescent="0.25">
      <c r="B63" s="20" t="s">
        <v>18</v>
      </c>
      <c r="D63" s="28" t="s">
        <v>20</v>
      </c>
      <c r="E63" s="27">
        <v>8887</v>
      </c>
      <c r="F63" s="58"/>
      <c r="G63" s="28" t="s">
        <v>19</v>
      </c>
    </row>
    <row r="64" spans="1:7" x14ac:dyDescent="0.25">
      <c r="B64" s="20" t="s">
        <v>21</v>
      </c>
      <c r="D64" s="28" t="s">
        <v>22</v>
      </c>
      <c r="E64" s="115">
        <v>9.9999999999999995E-7</v>
      </c>
      <c r="G64" s="28"/>
    </row>
    <row r="65" spans="1:7" x14ac:dyDescent="0.25">
      <c r="B65" s="20" t="s">
        <v>201</v>
      </c>
      <c r="D65" s="28" t="s">
        <v>20</v>
      </c>
      <c r="E65" s="27">
        <v>8780</v>
      </c>
      <c r="G65" s="28" t="s">
        <v>229</v>
      </c>
    </row>
    <row r="66" spans="1:7" x14ac:dyDescent="0.25">
      <c r="G66" s="28"/>
    </row>
    <row r="67" spans="1:7" x14ac:dyDescent="0.25">
      <c r="A67" s="14" t="s">
        <v>103</v>
      </c>
      <c r="D67" s="20"/>
      <c r="G67" s="28"/>
    </row>
    <row r="68" spans="1:7" x14ac:dyDescent="0.25">
      <c r="B68" s="41" t="s">
        <v>104</v>
      </c>
      <c r="D68" s="28" t="s">
        <v>255</v>
      </c>
      <c r="E68" s="143">
        <v>0.25</v>
      </c>
      <c r="F68" s="67"/>
      <c r="G68" s="28" t="s">
        <v>268</v>
      </c>
    </row>
    <row r="69" spans="1:7" x14ac:dyDescent="0.25">
      <c r="B69" s="41"/>
      <c r="E69" s="436"/>
      <c r="F69" s="67"/>
      <c r="G69" s="28"/>
    </row>
    <row r="70" spans="1:7" x14ac:dyDescent="0.25">
      <c r="A70" s="14" t="s">
        <v>106</v>
      </c>
      <c r="G70" s="28"/>
    </row>
    <row r="71" spans="1:7" x14ac:dyDescent="0.25">
      <c r="B71" s="50" t="s">
        <v>109</v>
      </c>
      <c r="E71" s="20"/>
      <c r="F71" s="68"/>
      <c r="G71" s="28"/>
    </row>
    <row r="72" spans="1:7" x14ac:dyDescent="0.25">
      <c r="B72" s="52" t="s">
        <v>107</v>
      </c>
      <c r="D72" s="28" t="s">
        <v>255</v>
      </c>
      <c r="E72" s="3">
        <v>2.8000000000000001E-2</v>
      </c>
      <c r="F72" s="64"/>
      <c r="G72" s="28" t="s">
        <v>112</v>
      </c>
    </row>
    <row r="73" spans="1:7" x14ac:dyDescent="0.25">
      <c r="B73" s="52" t="s">
        <v>108</v>
      </c>
      <c r="D73" s="28" t="s">
        <v>255</v>
      </c>
      <c r="E73" s="3">
        <v>7.0000000000000007E-2</v>
      </c>
      <c r="F73" s="64"/>
      <c r="G73" s="28"/>
    </row>
    <row r="74" spans="1:7" x14ac:dyDescent="0.25">
      <c r="B74" s="50" t="s">
        <v>110</v>
      </c>
      <c r="E74" s="20"/>
      <c r="F74" s="68"/>
      <c r="G74" s="28"/>
    </row>
    <row r="75" spans="1:7" x14ac:dyDescent="0.25">
      <c r="B75" s="52" t="s">
        <v>107</v>
      </c>
      <c r="D75" s="28" t="s">
        <v>255</v>
      </c>
      <c r="E75" s="3">
        <v>2.0000000000000001E-4</v>
      </c>
      <c r="F75" s="64"/>
      <c r="G75" s="28"/>
    </row>
    <row r="76" spans="1:7" x14ac:dyDescent="0.25">
      <c r="B76" s="52" t="s">
        <v>108</v>
      </c>
      <c r="D76" s="28" t="s">
        <v>255</v>
      </c>
      <c r="E76" s="3">
        <v>3.3999999999999998E-3</v>
      </c>
      <c r="F76" s="64"/>
      <c r="G76" s="28"/>
    </row>
    <row r="77" spans="1:7" x14ac:dyDescent="0.25">
      <c r="B77" s="51" t="s">
        <v>111</v>
      </c>
      <c r="E77" s="20"/>
      <c r="F77" s="68"/>
      <c r="G77" s="28"/>
    </row>
    <row r="78" spans="1:7" x14ac:dyDescent="0.25">
      <c r="B78" s="52" t="s">
        <v>107</v>
      </c>
      <c r="D78" s="28" t="s">
        <v>255</v>
      </c>
      <c r="E78" s="3">
        <v>0.08</v>
      </c>
      <c r="F78" s="64"/>
      <c r="G78" s="28"/>
    </row>
    <row r="79" spans="1:7" x14ac:dyDescent="0.25">
      <c r="B79" s="52" t="s">
        <v>108</v>
      </c>
      <c r="D79" s="28" t="s">
        <v>255</v>
      </c>
      <c r="E79" s="3">
        <v>2.1999999999999999E-2</v>
      </c>
      <c r="F79" s="64"/>
      <c r="G79" s="28"/>
    </row>
    <row r="80" spans="1:7" x14ac:dyDescent="0.25">
      <c r="E80" s="21"/>
      <c r="F80" s="69"/>
      <c r="G80" s="28"/>
    </row>
    <row r="81" spans="1:7" x14ac:dyDescent="0.25">
      <c r="A81" s="14" t="s">
        <v>111</v>
      </c>
      <c r="G81" s="28"/>
    </row>
    <row r="82" spans="1:7" x14ac:dyDescent="0.25">
      <c r="A82" s="45"/>
      <c r="G82" s="28"/>
    </row>
    <row r="83" spans="1:7" x14ac:dyDescent="0.25">
      <c r="A83" s="45"/>
      <c r="B83" s="73" t="s">
        <v>186</v>
      </c>
      <c r="G83" s="28"/>
    </row>
    <row r="84" spans="1:7" x14ac:dyDescent="0.25">
      <c r="A84" s="45"/>
      <c r="B84" s="15" t="s">
        <v>33</v>
      </c>
      <c r="D84" s="28" t="s">
        <v>255</v>
      </c>
      <c r="E84" s="142">
        <v>4000</v>
      </c>
      <c r="G84" s="28" t="s">
        <v>187</v>
      </c>
    </row>
    <row r="85" spans="1:7" x14ac:dyDescent="0.25">
      <c r="A85" s="45"/>
      <c r="B85" s="15" t="s">
        <v>34</v>
      </c>
      <c r="D85" s="28" t="s">
        <v>255</v>
      </c>
      <c r="E85" s="142">
        <v>78500</v>
      </c>
      <c r="G85" s="28"/>
    </row>
    <row r="86" spans="1:7" x14ac:dyDescent="0.25">
      <c r="A86" s="45"/>
      <c r="B86" s="15" t="s">
        <v>35</v>
      </c>
      <c r="D86" s="28" t="s">
        <v>255</v>
      </c>
      <c r="E86" s="142">
        <v>153700</v>
      </c>
      <c r="G86" s="28"/>
    </row>
    <row r="87" spans="1:7" x14ac:dyDescent="0.25">
      <c r="A87" s="45"/>
      <c r="B87" s="15" t="s">
        <v>36</v>
      </c>
      <c r="D87" s="28" t="s">
        <v>255</v>
      </c>
      <c r="E87" s="142">
        <v>564300</v>
      </c>
      <c r="G87" s="28"/>
    </row>
    <row r="88" spans="1:7" x14ac:dyDescent="0.25">
      <c r="A88" s="45"/>
      <c r="B88" s="15" t="s">
        <v>37</v>
      </c>
      <c r="D88" s="28" t="s">
        <v>255</v>
      </c>
      <c r="E88" s="142">
        <v>11800000</v>
      </c>
      <c r="G88" s="28"/>
    </row>
    <row r="89" spans="1:7" x14ac:dyDescent="0.25">
      <c r="A89" s="45"/>
      <c r="B89" s="1" t="s">
        <v>38</v>
      </c>
      <c r="D89" s="28" t="s">
        <v>255</v>
      </c>
      <c r="E89" s="141">
        <v>213900</v>
      </c>
      <c r="G89" s="28"/>
    </row>
    <row r="90" spans="1:7" x14ac:dyDescent="0.25">
      <c r="A90" s="45"/>
      <c r="G90" s="28"/>
    </row>
    <row r="91" spans="1:7" x14ac:dyDescent="0.25">
      <c r="B91" s="1" t="s">
        <v>39</v>
      </c>
      <c r="E91" s="3">
        <v>10</v>
      </c>
      <c r="F91" s="64"/>
      <c r="G91" s="28"/>
    </row>
    <row r="92" spans="1:7" x14ac:dyDescent="0.25">
      <c r="B92" s="1" t="s">
        <v>170</v>
      </c>
      <c r="E92" s="139">
        <v>2022</v>
      </c>
      <c r="F92" s="64"/>
      <c r="G92" s="28"/>
    </row>
    <row r="93" spans="1:7" x14ac:dyDescent="0.25">
      <c r="G93" s="28"/>
    </row>
    <row r="94" spans="1:7" x14ac:dyDescent="0.25">
      <c r="G94" s="28"/>
    </row>
    <row r="95" spans="1:7" x14ac:dyDescent="0.25">
      <c r="A95" s="192" t="s">
        <v>257</v>
      </c>
      <c r="G95" s="28"/>
    </row>
    <row r="96" spans="1:7" x14ac:dyDescent="0.25">
      <c r="A96" s="394"/>
      <c r="B96" s="15" t="s">
        <v>256</v>
      </c>
      <c r="G96" s="28"/>
    </row>
    <row r="97" spans="2:8" x14ac:dyDescent="0.25">
      <c r="B97" s="30">
        <v>30</v>
      </c>
      <c r="D97" s="28" t="s">
        <v>31</v>
      </c>
      <c r="E97" s="117">
        <v>1.203752918978352</v>
      </c>
      <c r="G97" s="193" t="s">
        <v>82</v>
      </c>
      <c r="H97" s="317"/>
    </row>
    <row r="98" spans="2:8" x14ac:dyDescent="0.25">
      <c r="B98" s="30">
        <v>31</v>
      </c>
      <c r="D98" s="28" t="s">
        <v>31</v>
      </c>
      <c r="E98" s="117">
        <v>1.1763476064348324</v>
      </c>
      <c r="G98" s="322"/>
      <c r="H98" s="80"/>
    </row>
    <row r="99" spans="2:8" x14ac:dyDescent="0.25">
      <c r="B99" s="30">
        <v>32</v>
      </c>
      <c r="D99" s="28" t="s">
        <v>31</v>
      </c>
      <c r="E99" s="117">
        <v>1.1501623663992628</v>
      </c>
      <c r="G99" s="322"/>
      <c r="H99" s="80"/>
    </row>
    <row r="100" spans="2:8" x14ac:dyDescent="0.25">
      <c r="B100" s="30">
        <v>33</v>
      </c>
      <c r="D100" s="28" t="s">
        <v>31</v>
      </c>
      <c r="E100" s="117">
        <v>1.1251174973693299</v>
      </c>
      <c r="G100" s="322"/>
      <c r="H100" s="80"/>
    </row>
    <row r="101" spans="2:8" x14ac:dyDescent="0.25">
      <c r="B101" s="30">
        <v>34</v>
      </c>
      <c r="D101" s="28" t="s">
        <v>31</v>
      </c>
      <c r="E101" s="117">
        <v>1.1011400919250811</v>
      </c>
      <c r="G101" s="322"/>
      <c r="H101" s="80"/>
    </row>
    <row r="102" spans="2:8" x14ac:dyDescent="0.25">
      <c r="B102" s="30">
        <v>35</v>
      </c>
      <c r="D102" s="28" t="s">
        <v>31</v>
      </c>
      <c r="E102" s="117">
        <v>1.0781633278907459</v>
      </c>
      <c r="G102" s="322"/>
      <c r="H102" s="80"/>
    </row>
    <row r="103" spans="2:8" x14ac:dyDescent="0.25">
      <c r="B103" s="30">
        <v>36</v>
      </c>
      <c r="D103" s="28" t="s">
        <v>31</v>
      </c>
      <c r="E103" s="117">
        <v>1.0621174274853706</v>
      </c>
      <c r="G103" s="322"/>
      <c r="H103" s="80"/>
    </row>
    <row r="104" spans="2:8" x14ac:dyDescent="0.25">
      <c r="B104" s="30">
        <v>37</v>
      </c>
      <c r="D104" s="28" t="s">
        <v>31</v>
      </c>
      <c r="E104" s="117">
        <v>1.0465421334561089</v>
      </c>
      <c r="G104" s="322"/>
      <c r="H104" s="80"/>
    </row>
    <row r="105" spans="2:8" x14ac:dyDescent="0.25">
      <c r="B105" s="30">
        <v>38</v>
      </c>
      <c r="D105" s="28" t="s">
        <v>31</v>
      </c>
      <c r="E105" s="117">
        <v>1.0314170415656478</v>
      </c>
      <c r="G105" s="322"/>
      <c r="H105" s="80"/>
    </row>
    <row r="106" spans="2:8" x14ac:dyDescent="0.25">
      <c r="B106" s="30">
        <v>39</v>
      </c>
      <c r="D106" s="28" t="s">
        <v>31</v>
      </c>
      <c r="E106" s="117">
        <v>1.0167229103363682</v>
      </c>
      <c r="G106" s="322"/>
      <c r="H106" s="80"/>
    </row>
    <row r="107" spans="2:8" x14ac:dyDescent="0.25">
      <c r="B107" s="30">
        <v>40</v>
      </c>
      <c r="D107" s="28" t="s">
        <v>31</v>
      </c>
      <c r="E107" s="117">
        <v>1.0024415793872083</v>
      </c>
      <c r="G107" s="322"/>
      <c r="H107" s="80"/>
    </row>
    <row r="108" spans="2:8" x14ac:dyDescent="0.25">
      <c r="B108" s="30">
        <v>41</v>
      </c>
      <c r="D108" s="28" t="s">
        <v>31</v>
      </c>
      <c r="E108" s="117">
        <v>0.99487039659703325</v>
      </c>
      <c r="G108" s="322"/>
      <c r="H108" s="80"/>
    </row>
    <row r="109" spans="2:8" x14ac:dyDescent="0.25">
      <c r="B109" s="30">
        <v>42</v>
      </c>
      <c r="D109" s="28" t="s">
        <v>31</v>
      </c>
      <c r="E109" s="117">
        <v>0.98741272288513693</v>
      </c>
      <c r="G109" s="322"/>
      <c r="H109" s="80"/>
    </row>
    <row r="110" spans="2:8" x14ac:dyDescent="0.25">
      <c r="B110" s="30">
        <v>43</v>
      </c>
      <c r="D110" s="28" t="s">
        <v>31</v>
      </c>
      <c r="E110" s="117">
        <v>0.98006602460900971</v>
      </c>
      <c r="G110" s="322"/>
      <c r="H110" s="80"/>
    </row>
    <row r="111" spans="2:8" x14ac:dyDescent="0.25">
      <c r="B111" s="30">
        <v>44</v>
      </c>
      <c r="D111" s="28" t="s">
        <v>31</v>
      </c>
      <c r="E111" s="117">
        <v>0.97282784297401659</v>
      </c>
      <c r="G111" s="322"/>
      <c r="H111" s="80"/>
    </row>
    <row r="112" spans="2:8" x14ac:dyDescent="0.25">
      <c r="B112" s="30">
        <v>45</v>
      </c>
      <c r="D112" s="28" t="s">
        <v>31</v>
      </c>
      <c r="E112" s="117">
        <v>0.96569579128975169</v>
      </c>
      <c r="G112" s="322"/>
      <c r="H112" s="80"/>
    </row>
    <row r="113" spans="2:8" x14ac:dyDescent="0.25">
      <c r="B113" s="30">
        <v>46</v>
      </c>
      <c r="D113" s="28" t="s">
        <v>31</v>
      </c>
      <c r="E113" s="117">
        <v>0.96583182434567971</v>
      </c>
      <c r="G113" s="322"/>
      <c r="H113" s="80"/>
    </row>
    <row r="114" spans="2:8" x14ac:dyDescent="0.25">
      <c r="B114" s="30">
        <v>47</v>
      </c>
      <c r="D114" s="28" t="s">
        <v>31</v>
      </c>
      <c r="E114" s="117">
        <v>0.96596789573168962</v>
      </c>
      <c r="G114" s="322"/>
      <c r="H114" s="80"/>
    </row>
    <row r="115" spans="2:8" x14ac:dyDescent="0.25">
      <c r="B115" s="30">
        <v>48</v>
      </c>
      <c r="D115" s="28" t="s">
        <v>31</v>
      </c>
      <c r="E115" s="117">
        <v>0.96610400546398412</v>
      </c>
      <c r="G115" s="322"/>
      <c r="H115" s="80"/>
    </row>
    <row r="116" spans="2:8" x14ac:dyDescent="0.25">
      <c r="B116" s="30">
        <v>49</v>
      </c>
      <c r="D116" s="28" t="s">
        <v>31</v>
      </c>
      <c r="E116" s="117">
        <v>0.96624015355877513</v>
      </c>
      <c r="G116" s="322"/>
      <c r="H116" s="80"/>
    </row>
    <row r="117" spans="2:8" x14ac:dyDescent="0.25">
      <c r="B117" s="30">
        <v>50</v>
      </c>
      <c r="D117" s="28" t="s">
        <v>31</v>
      </c>
      <c r="E117" s="117">
        <v>0.96637634003228368</v>
      </c>
      <c r="G117" s="322"/>
      <c r="H117" s="80"/>
    </row>
    <row r="118" spans="2:8" x14ac:dyDescent="0.25">
      <c r="B118" s="30">
        <v>51</v>
      </c>
      <c r="D118" s="28" t="s">
        <v>31</v>
      </c>
      <c r="E118" s="117">
        <v>0.96637634003228368</v>
      </c>
      <c r="G118" s="322"/>
      <c r="H118" s="80"/>
    </row>
    <row r="119" spans="2:8" x14ac:dyDescent="0.25">
      <c r="B119" s="30">
        <v>52</v>
      </c>
      <c r="D119" s="28" t="s">
        <v>31</v>
      </c>
      <c r="E119" s="117">
        <v>0.96637634003228368</v>
      </c>
      <c r="G119" s="322"/>
      <c r="H119" s="80"/>
    </row>
    <row r="120" spans="2:8" x14ac:dyDescent="0.25">
      <c r="B120" s="30">
        <v>53</v>
      </c>
      <c r="D120" s="28" t="s">
        <v>31</v>
      </c>
      <c r="E120" s="117">
        <v>0.96637634003228368</v>
      </c>
      <c r="G120" s="322"/>
      <c r="H120" s="80"/>
    </row>
    <row r="121" spans="2:8" x14ac:dyDescent="0.25">
      <c r="B121" s="30">
        <v>54</v>
      </c>
      <c r="D121" s="28" t="s">
        <v>31</v>
      </c>
      <c r="E121" s="117">
        <v>0.96637634003228368</v>
      </c>
      <c r="G121" s="322"/>
      <c r="H121" s="80"/>
    </row>
    <row r="122" spans="2:8" x14ac:dyDescent="0.25">
      <c r="B122" s="30">
        <v>55</v>
      </c>
      <c r="D122" s="28" t="s">
        <v>31</v>
      </c>
      <c r="E122" s="117">
        <v>1</v>
      </c>
      <c r="G122" s="322"/>
      <c r="H122" s="80"/>
    </row>
    <row r="123" spans="2:8" x14ac:dyDescent="0.25">
      <c r="B123" s="30">
        <v>56</v>
      </c>
      <c r="D123" s="28" t="s">
        <v>31</v>
      </c>
      <c r="E123" s="117">
        <v>1.0128601605649292</v>
      </c>
      <c r="G123" s="322"/>
      <c r="H123" s="80"/>
    </row>
    <row r="124" spans="2:8" x14ac:dyDescent="0.25">
      <c r="B124" s="30">
        <v>57</v>
      </c>
      <c r="D124" s="28" t="s">
        <v>31</v>
      </c>
      <c r="E124" s="117">
        <v>1.0260553977282263</v>
      </c>
      <c r="G124" s="322"/>
      <c r="H124" s="80"/>
    </row>
    <row r="125" spans="2:8" x14ac:dyDescent="0.25">
      <c r="B125" s="30">
        <v>58</v>
      </c>
      <c r="D125" s="28" t="s">
        <v>31</v>
      </c>
      <c r="E125" s="117">
        <v>1.0395989801814696</v>
      </c>
      <c r="G125" s="322"/>
      <c r="H125" s="80"/>
    </row>
    <row r="126" spans="2:8" x14ac:dyDescent="0.25">
      <c r="B126" s="30">
        <v>59</v>
      </c>
      <c r="D126" s="28" t="s">
        <v>31</v>
      </c>
      <c r="E126" s="117">
        <v>1.0535048865560748</v>
      </c>
      <c r="G126" s="322"/>
      <c r="H126" s="80"/>
    </row>
    <row r="127" spans="2:8" x14ac:dyDescent="0.25">
      <c r="B127" s="30">
        <v>60</v>
      </c>
      <c r="D127" s="28" t="s">
        <v>31</v>
      </c>
      <c r="E127" s="117">
        <v>1.067787853548593</v>
      </c>
      <c r="G127" s="322"/>
      <c r="H127" s="80"/>
    </row>
    <row r="128" spans="2:8" x14ac:dyDescent="0.25">
      <c r="G128" s="28"/>
    </row>
    <row r="129" spans="1:8" x14ac:dyDescent="0.25">
      <c r="A129" s="192" t="s">
        <v>232</v>
      </c>
      <c r="G129" s="28"/>
    </row>
    <row r="130" spans="1:8" x14ac:dyDescent="0.25">
      <c r="G130" s="28"/>
    </row>
    <row r="131" spans="1:8" x14ac:dyDescent="0.25">
      <c r="B131" s="88">
        <v>2022</v>
      </c>
      <c r="C131" s="28"/>
      <c r="D131" s="28" t="s">
        <v>81</v>
      </c>
      <c r="E131" s="117">
        <v>24.595210999999999</v>
      </c>
      <c r="G131" s="322" t="s">
        <v>230</v>
      </c>
      <c r="H131" s="318"/>
    </row>
    <row r="132" spans="1:8" x14ac:dyDescent="0.25">
      <c r="B132" s="88">
        <f t="shared" ref="B132:B155" si="0">B131+1</f>
        <v>2023</v>
      </c>
      <c r="D132" s="28" t="s">
        <v>81</v>
      </c>
      <c r="E132" s="117">
        <v>25.01634</v>
      </c>
    </row>
    <row r="133" spans="1:8" x14ac:dyDescent="0.25">
      <c r="B133" s="88">
        <f>B132+1</f>
        <v>2024</v>
      </c>
      <c r="D133" s="28" t="s">
        <v>81</v>
      </c>
      <c r="E133" s="117">
        <v>25.443415000000002</v>
      </c>
    </row>
    <row r="134" spans="1:8" x14ac:dyDescent="0.25">
      <c r="B134" s="88">
        <f t="shared" si="0"/>
        <v>2025</v>
      </c>
      <c r="D134" s="28" t="s">
        <v>81</v>
      </c>
      <c r="E134" s="117">
        <v>25.867370999999999</v>
      </c>
    </row>
    <row r="135" spans="1:8" x14ac:dyDescent="0.25">
      <c r="B135" s="88">
        <f t="shared" si="0"/>
        <v>2026</v>
      </c>
      <c r="D135" s="28" t="s">
        <v>81</v>
      </c>
      <c r="E135" s="117">
        <v>26.284424000000001</v>
      </c>
    </row>
    <row r="136" spans="1:8" x14ac:dyDescent="0.25">
      <c r="B136" s="88">
        <f t="shared" si="0"/>
        <v>2027</v>
      </c>
      <c r="D136" s="28" t="s">
        <v>81</v>
      </c>
      <c r="E136" s="117">
        <v>26.679763999999999</v>
      </c>
    </row>
    <row r="137" spans="1:8" x14ac:dyDescent="0.25">
      <c r="B137" s="88">
        <f t="shared" si="0"/>
        <v>2028</v>
      </c>
      <c r="D137" s="28" t="s">
        <v>81</v>
      </c>
      <c r="E137" s="117">
        <v>27.055800999999999</v>
      </c>
    </row>
    <row r="138" spans="1:8" x14ac:dyDescent="0.25">
      <c r="B138" s="88">
        <f t="shared" si="0"/>
        <v>2029</v>
      </c>
      <c r="D138" s="28" t="s">
        <v>81</v>
      </c>
      <c r="E138" s="117">
        <v>27.408939</v>
      </c>
    </row>
    <row r="139" spans="1:8" x14ac:dyDescent="0.25">
      <c r="B139" s="88">
        <f t="shared" si="0"/>
        <v>2030</v>
      </c>
      <c r="D139" s="28" t="s">
        <v>81</v>
      </c>
      <c r="E139" s="117">
        <v>27.732095999999999</v>
      </c>
    </row>
    <row r="140" spans="1:8" x14ac:dyDescent="0.25">
      <c r="B140" s="88">
        <f t="shared" si="0"/>
        <v>2031</v>
      </c>
      <c r="D140" s="28" t="s">
        <v>81</v>
      </c>
      <c r="E140" s="117">
        <v>28.028441999999998</v>
      </c>
    </row>
    <row r="141" spans="1:8" x14ac:dyDescent="0.25">
      <c r="B141" s="88">
        <f t="shared" si="0"/>
        <v>2032</v>
      </c>
      <c r="D141" s="28" t="s">
        <v>81</v>
      </c>
      <c r="E141" s="117">
        <v>28.301689</v>
      </c>
    </row>
    <row r="142" spans="1:8" x14ac:dyDescent="0.25">
      <c r="B142" s="88">
        <f t="shared" si="0"/>
        <v>2033</v>
      </c>
      <c r="D142" s="28" t="s">
        <v>81</v>
      </c>
      <c r="E142" s="117">
        <v>28.537845999999998</v>
      </c>
    </row>
    <row r="143" spans="1:8" x14ac:dyDescent="0.25">
      <c r="B143" s="88">
        <f t="shared" si="0"/>
        <v>2034</v>
      </c>
      <c r="D143" s="28" t="s">
        <v>81</v>
      </c>
      <c r="E143" s="117">
        <v>28.746084</v>
      </c>
    </row>
    <row r="144" spans="1:8" x14ac:dyDescent="0.25">
      <c r="B144" s="88">
        <f t="shared" si="0"/>
        <v>2035</v>
      </c>
      <c r="D144" s="28" t="s">
        <v>81</v>
      </c>
      <c r="E144" s="117">
        <v>28.950821000000001</v>
      </c>
    </row>
    <row r="145" spans="2:5" x14ac:dyDescent="0.25">
      <c r="B145" s="88">
        <f t="shared" si="0"/>
        <v>2036</v>
      </c>
      <c r="D145" s="28" t="s">
        <v>81</v>
      </c>
      <c r="E145" s="117">
        <v>29.139206000000001</v>
      </c>
    </row>
    <row r="146" spans="2:5" x14ac:dyDescent="0.25">
      <c r="B146" s="88">
        <f t="shared" si="0"/>
        <v>2037</v>
      </c>
      <c r="D146" s="28" t="s">
        <v>81</v>
      </c>
      <c r="E146" s="117">
        <v>29.308374000000001</v>
      </c>
    </row>
    <row r="147" spans="2:5" x14ac:dyDescent="0.25">
      <c r="B147" s="88">
        <f t="shared" si="0"/>
        <v>2038</v>
      </c>
      <c r="D147" s="28" t="s">
        <v>81</v>
      </c>
      <c r="E147" s="117">
        <v>29.463369</v>
      </c>
    </row>
    <row r="148" spans="2:5" x14ac:dyDescent="0.25">
      <c r="B148" s="88">
        <f t="shared" si="0"/>
        <v>2039</v>
      </c>
      <c r="D148" s="28" t="s">
        <v>81</v>
      </c>
      <c r="E148" s="117">
        <v>29.611654000000001</v>
      </c>
    </row>
    <row r="149" spans="2:5" x14ac:dyDescent="0.25">
      <c r="B149" s="88">
        <f t="shared" si="0"/>
        <v>2040</v>
      </c>
      <c r="D149" s="28" t="s">
        <v>81</v>
      </c>
      <c r="E149" s="117">
        <v>29.742331</v>
      </c>
    </row>
    <row r="150" spans="2:5" x14ac:dyDescent="0.25">
      <c r="B150" s="88">
        <f t="shared" si="0"/>
        <v>2041</v>
      </c>
      <c r="D150" s="28" t="s">
        <v>81</v>
      </c>
      <c r="E150" s="117">
        <v>29.860365000000002</v>
      </c>
    </row>
    <row r="151" spans="2:5" x14ac:dyDescent="0.25">
      <c r="B151" s="88">
        <f t="shared" si="0"/>
        <v>2042</v>
      </c>
      <c r="D151" s="28" t="s">
        <v>81</v>
      </c>
      <c r="E151" s="117">
        <v>29.975709999999999</v>
      </c>
    </row>
    <row r="152" spans="2:5" x14ac:dyDescent="0.25">
      <c r="B152" s="88">
        <f t="shared" si="0"/>
        <v>2043</v>
      </c>
      <c r="D152" s="28" t="s">
        <v>81</v>
      </c>
      <c r="E152" s="117">
        <v>30.077759</v>
      </c>
    </row>
    <row r="153" spans="2:5" x14ac:dyDescent="0.25">
      <c r="B153" s="88">
        <f t="shared" si="0"/>
        <v>2044</v>
      </c>
      <c r="D153" s="28" t="s">
        <v>81</v>
      </c>
      <c r="E153" s="117">
        <v>30.16226</v>
      </c>
    </row>
    <row r="154" spans="2:5" x14ac:dyDescent="0.25">
      <c r="B154" s="88">
        <f t="shared" si="0"/>
        <v>2045</v>
      </c>
      <c r="D154" s="28" t="s">
        <v>81</v>
      </c>
      <c r="E154" s="117">
        <v>30.233269</v>
      </c>
    </row>
    <row r="155" spans="2:5" x14ac:dyDescent="0.25">
      <c r="B155" s="88">
        <f t="shared" si="0"/>
        <v>2046</v>
      </c>
      <c r="D155" s="28" t="s">
        <v>81</v>
      </c>
      <c r="E155" s="117">
        <v>30.294257999999999</v>
      </c>
    </row>
  </sheetData>
  <phoneticPr fontId="25"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94DB-DBDA-4D22-B9B1-50381B1F99AC}">
  <dimension ref="A1:O36"/>
  <sheetViews>
    <sheetView showGridLines="0" zoomScaleNormal="100" workbookViewId="0">
      <selection activeCell="N11" sqref="N11"/>
    </sheetView>
  </sheetViews>
  <sheetFormatPr defaultColWidth="8.7109375" defaultRowHeight="15" x14ac:dyDescent="0.25"/>
  <cols>
    <col min="1" max="1" width="6.28515625" style="8" customWidth="1"/>
    <col min="2" max="2" width="43.7109375" style="8" customWidth="1"/>
    <col min="3" max="3" width="13.42578125" style="8" customWidth="1"/>
    <col min="4" max="4" width="12.28515625" style="158" customWidth="1"/>
    <col min="5" max="9" width="12.28515625" style="157" customWidth="1"/>
    <col min="10" max="10" width="9" style="8" customWidth="1"/>
    <col min="11" max="11" width="11.28515625" style="8" customWidth="1"/>
    <col min="12" max="12" width="12.140625" style="8" customWidth="1"/>
    <col min="13" max="13" width="13.140625" style="8" customWidth="1"/>
    <col min="14" max="14" width="11" style="78" customWidth="1"/>
    <col min="16" max="16" width="8.7109375" style="8"/>
    <col min="17" max="17" width="11.7109375" style="8" customWidth="1"/>
    <col min="18" max="16384" width="8.7109375" style="8"/>
  </cols>
  <sheetData>
    <row r="1" spans="1:14" s="196" customFormat="1" x14ac:dyDescent="0.25">
      <c r="A1" s="190" t="s">
        <v>234</v>
      </c>
      <c r="C1" s="190"/>
      <c r="D1" s="190"/>
      <c r="E1" s="191"/>
      <c r="F1" s="191"/>
      <c r="H1" s="190"/>
    </row>
    <row r="2" spans="1:14" x14ac:dyDescent="0.25">
      <c r="B2" s="1"/>
      <c r="D2" s="160"/>
      <c r="E2" s="160"/>
      <c r="F2" s="160"/>
      <c r="G2" s="160"/>
    </row>
    <row r="3" spans="1:14" x14ac:dyDescent="0.25">
      <c r="B3" s="10" t="s">
        <v>116</v>
      </c>
      <c r="D3" s="161"/>
      <c r="E3" s="160"/>
      <c r="F3" s="160"/>
      <c r="G3" s="160"/>
    </row>
    <row r="4" spans="1:14" x14ac:dyDescent="0.25">
      <c r="B4" s="195" t="s">
        <v>216</v>
      </c>
      <c r="D4" s="161"/>
      <c r="E4" s="160"/>
      <c r="F4" s="160"/>
      <c r="G4" s="160"/>
    </row>
    <row r="5" spans="1:14" x14ac:dyDescent="0.25">
      <c r="B5" s="10"/>
      <c r="D5" s="161"/>
      <c r="E5" s="160"/>
      <c r="F5" s="160"/>
      <c r="G5" s="160"/>
    </row>
    <row r="6" spans="1:14" x14ac:dyDescent="0.25">
      <c r="B6" s="73" t="s">
        <v>219</v>
      </c>
      <c r="C6" s="73"/>
      <c r="D6" s="159"/>
      <c r="F6" s="159"/>
      <c r="G6" s="159"/>
      <c r="H6" s="159"/>
      <c r="I6" s="159"/>
      <c r="J6" s="73"/>
      <c r="K6" s="73"/>
    </row>
    <row r="7" spans="1:14" x14ac:dyDescent="0.25">
      <c r="B7" s="8" t="s">
        <v>189</v>
      </c>
      <c r="D7" s="212" t="s">
        <v>189</v>
      </c>
      <c r="E7" s="212" t="s">
        <v>189</v>
      </c>
      <c r="F7" s="212" t="s">
        <v>189</v>
      </c>
      <c r="G7" s="212" t="s">
        <v>189</v>
      </c>
      <c r="H7" s="212" t="s">
        <v>189</v>
      </c>
      <c r="I7" s="212" t="s">
        <v>189</v>
      </c>
      <c r="J7" s="155"/>
      <c r="K7" s="212" t="s">
        <v>176</v>
      </c>
      <c r="L7" s="212" t="s">
        <v>117</v>
      </c>
      <c r="M7" s="212" t="s">
        <v>226</v>
      </c>
      <c r="N7" s="212" t="s">
        <v>218</v>
      </c>
    </row>
    <row r="8" spans="1:14" x14ac:dyDescent="0.25">
      <c r="B8" s="8" t="s">
        <v>199</v>
      </c>
      <c r="D8" s="212" t="s">
        <v>197</v>
      </c>
      <c r="E8" s="212" t="s">
        <v>197</v>
      </c>
      <c r="F8" s="212" t="s">
        <v>198</v>
      </c>
      <c r="G8" s="212" t="s">
        <v>198</v>
      </c>
      <c r="H8" s="212"/>
      <c r="I8" s="212"/>
      <c r="K8" s="353" t="s">
        <v>32</v>
      </c>
      <c r="L8" s="353" t="s">
        <v>32</v>
      </c>
      <c r="M8" s="353" t="s">
        <v>32</v>
      </c>
      <c r="N8" s="353"/>
    </row>
    <row r="9" spans="1:14" x14ac:dyDescent="0.25">
      <c r="B9" s="8" t="s">
        <v>190</v>
      </c>
      <c r="D9" s="212" t="s">
        <v>190</v>
      </c>
      <c r="E9" s="212"/>
      <c r="F9" s="212" t="s">
        <v>190</v>
      </c>
      <c r="G9" s="212"/>
      <c r="H9" s="212" t="s">
        <v>190</v>
      </c>
      <c r="I9" s="212"/>
      <c r="J9" s="155"/>
    </row>
    <row r="10" spans="1:14" x14ac:dyDescent="0.25">
      <c r="B10" s="73"/>
      <c r="D10" s="157"/>
      <c r="E10" s="158"/>
    </row>
    <row r="11" spans="1:14" x14ac:dyDescent="0.25">
      <c r="B11" s="8" t="s">
        <v>192</v>
      </c>
      <c r="D11" s="169">
        <v>9</v>
      </c>
      <c r="E11" s="169">
        <v>15</v>
      </c>
      <c r="F11" s="169">
        <v>4</v>
      </c>
      <c r="G11" s="169">
        <v>3</v>
      </c>
      <c r="H11" s="169">
        <v>51</v>
      </c>
      <c r="I11" s="169">
        <v>36</v>
      </c>
      <c r="J11" s="155"/>
      <c r="K11" s="69">
        <f>SUM(D11:I11)/Assumptions!$E$91</f>
        <v>11.8</v>
      </c>
      <c r="L11" s="163">
        <f>SUMPRODUCT(D11:I11,D$33:I$33)/Assumptions!$E$91</f>
        <v>6.2210493654000008</v>
      </c>
      <c r="M11" s="164">
        <f>Assumptions!E84*L11</f>
        <v>24884.197461600004</v>
      </c>
      <c r="N11" s="199">
        <f>L11/K11-1</f>
        <v>-0.47279242666101695</v>
      </c>
    </row>
    <row r="12" spans="1:14" x14ac:dyDescent="0.25">
      <c r="B12" s="8" t="s">
        <v>193</v>
      </c>
      <c r="D12" s="169">
        <v>2</v>
      </c>
      <c r="E12" s="169">
        <v>4</v>
      </c>
      <c r="F12" s="169">
        <v>2</v>
      </c>
      <c r="G12" s="169">
        <v>2</v>
      </c>
      <c r="H12" s="169">
        <v>20</v>
      </c>
      <c r="I12" s="169">
        <v>22</v>
      </c>
      <c r="J12" s="155"/>
      <c r="K12" s="69">
        <f>SUM(D12:I12)/Assumptions!$E$91</f>
        <v>5.2</v>
      </c>
      <c r="L12" s="163">
        <f>SUMPRODUCT(D12:I12,D$33:I$33)/Assumptions!$E$91</f>
        <v>2.5545948012000004</v>
      </c>
      <c r="M12" s="164">
        <f>Assumptions!E85*L12</f>
        <v>200535.69189420002</v>
      </c>
      <c r="N12" s="199">
        <f>L12/K12-1</f>
        <v>-0.50873176899999994</v>
      </c>
    </row>
    <row r="13" spans="1:14" x14ac:dyDescent="0.25">
      <c r="B13" s="8" t="s">
        <v>194</v>
      </c>
      <c r="D13" s="169">
        <v>1</v>
      </c>
      <c r="E13" s="169">
        <v>3</v>
      </c>
      <c r="F13" s="169">
        <v>0</v>
      </c>
      <c r="G13" s="169">
        <v>0</v>
      </c>
      <c r="H13" s="169">
        <v>9</v>
      </c>
      <c r="I13" s="169">
        <v>2</v>
      </c>
      <c r="J13" s="155"/>
      <c r="K13" s="69">
        <f>SUM(D13:I13)/Assumptions!$E$91</f>
        <v>1.5</v>
      </c>
      <c r="L13" s="163">
        <f>SUMPRODUCT(D13:I13,D$33:I$33)/Assumptions!$E$91</f>
        <v>0.84711603260000001</v>
      </c>
      <c r="M13" s="164">
        <f>Assumptions!E86*L13</f>
        <v>130201.73421062001</v>
      </c>
      <c r="N13" s="199">
        <f>L13/K13-1</f>
        <v>-0.43525597826666662</v>
      </c>
    </row>
    <row r="14" spans="1:14" x14ac:dyDescent="0.25">
      <c r="B14" s="8" t="s">
        <v>195</v>
      </c>
      <c r="D14" s="169">
        <v>0</v>
      </c>
      <c r="E14" s="169">
        <v>0</v>
      </c>
      <c r="F14" s="169">
        <v>0</v>
      </c>
      <c r="G14" s="169">
        <v>1</v>
      </c>
      <c r="H14" s="169">
        <v>2</v>
      </c>
      <c r="I14" s="169">
        <v>7</v>
      </c>
      <c r="J14" s="155"/>
      <c r="K14" s="69">
        <f>SUM(D14:I14)/Assumptions!$E$91</f>
        <v>1</v>
      </c>
      <c r="L14" s="163">
        <f>SUMPRODUCT(D14:I14,D$33:I$33)/Assumptions!$E$91</f>
        <v>0.40441480000000007</v>
      </c>
      <c r="M14" s="164">
        <f>Assumptions!E87*L14</f>
        <v>228211.27164000005</v>
      </c>
      <c r="N14" s="199">
        <f>L14/K14-1</f>
        <v>-0.59558519999999993</v>
      </c>
    </row>
    <row r="15" spans="1:14" x14ac:dyDescent="0.25">
      <c r="B15" s="8" t="s">
        <v>196</v>
      </c>
      <c r="D15" s="169">
        <v>0</v>
      </c>
      <c r="E15" s="169">
        <v>1</v>
      </c>
      <c r="F15" s="169">
        <v>0</v>
      </c>
      <c r="G15" s="169">
        <v>0</v>
      </c>
      <c r="H15" s="169">
        <v>2</v>
      </c>
      <c r="I15" s="169">
        <v>2</v>
      </c>
      <c r="J15" s="155"/>
      <c r="K15" s="69">
        <f>SUM(D15:I15)/Assumptions!$E$91</f>
        <v>0.5</v>
      </c>
      <c r="L15" s="163">
        <f>SUMPRODUCT(D15:I15,D$33:I$33)/Assumptions!$E$91</f>
        <v>0.23925140000000003</v>
      </c>
      <c r="M15" s="164">
        <f>Assumptions!E88*L15</f>
        <v>2823166.5200000005</v>
      </c>
      <c r="N15" s="199">
        <f>L15/K15-1</f>
        <v>-0.52149719999999999</v>
      </c>
    </row>
    <row r="16" spans="1:14" x14ac:dyDescent="0.25">
      <c r="D16" s="8"/>
      <c r="E16" s="8"/>
      <c r="F16" s="8"/>
      <c r="G16" s="8"/>
      <c r="H16" s="155"/>
      <c r="I16" s="155"/>
      <c r="J16" s="155"/>
      <c r="K16" s="155"/>
    </row>
    <row r="17" spans="1:14" x14ac:dyDescent="0.25">
      <c r="B17" s="8" t="s">
        <v>191</v>
      </c>
      <c r="D17" s="8">
        <f>SUM(D11:D15)</f>
        <v>12</v>
      </c>
      <c r="E17" s="8">
        <f t="shared" ref="E17:L17" si="0">SUM(E11:E15)</f>
        <v>23</v>
      </c>
      <c r="F17" s="8">
        <f t="shared" si="0"/>
        <v>6</v>
      </c>
      <c r="G17" s="8">
        <f t="shared" si="0"/>
        <v>6</v>
      </c>
      <c r="H17" s="8">
        <f t="shared" si="0"/>
        <v>84</v>
      </c>
      <c r="I17" s="8">
        <f t="shared" si="0"/>
        <v>69</v>
      </c>
      <c r="J17" s="155"/>
      <c r="K17" s="8">
        <f t="shared" si="0"/>
        <v>20</v>
      </c>
      <c r="L17" s="182">
        <f t="shared" si="0"/>
        <v>10.266426399200002</v>
      </c>
      <c r="M17" s="194">
        <f>SUM(M11:M15)</f>
        <v>3406999.4152064207</v>
      </c>
      <c r="N17" s="199">
        <f>L17/K17-1</f>
        <v>-0.48667868003999992</v>
      </c>
    </row>
    <row r="18" spans="1:14" x14ac:dyDescent="0.25">
      <c r="B18" s="197" t="s">
        <v>261</v>
      </c>
      <c r="D18" s="8"/>
      <c r="E18" s="8"/>
      <c r="F18" s="8"/>
      <c r="G18" s="8"/>
      <c r="H18" s="8"/>
      <c r="I18" s="8"/>
      <c r="J18" s="155"/>
      <c r="L18" s="182"/>
      <c r="M18" s="194"/>
      <c r="N18" s="199"/>
    </row>
    <row r="19" spans="1:14" x14ac:dyDescent="0.25">
      <c r="B19" s="197" t="s">
        <v>220</v>
      </c>
      <c r="C19" s="1"/>
      <c r="D19" s="74"/>
      <c r="E19" s="11"/>
      <c r="F19" s="11"/>
      <c r="G19" s="11"/>
      <c r="H19" s="8"/>
      <c r="I19" s="8"/>
    </row>
    <row r="20" spans="1:14" x14ac:dyDescent="0.25">
      <c r="B20" s="197" t="s">
        <v>221</v>
      </c>
      <c r="C20" s="1"/>
      <c r="D20" s="74"/>
      <c r="E20" s="11"/>
      <c r="F20" s="11"/>
      <c r="G20" s="11"/>
      <c r="H20" s="8"/>
      <c r="I20" s="8"/>
    </row>
    <row r="21" spans="1:14" x14ac:dyDescent="0.25">
      <c r="B21" s="197" t="s">
        <v>222</v>
      </c>
      <c r="C21" s="1"/>
      <c r="D21" s="74"/>
      <c r="E21" s="11"/>
      <c r="F21" s="11"/>
      <c r="G21" s="11"/>
      <c r="H21" s="8"/>
      <c r="I21" s="8"/>
    </row>
    <row r="22" spans="1:14" x14ac:dyDescent="0.25">
      <c r="B22" s="197"/>
      <c r="C22" s="1"/>
      <c r="D22" s="74"/>
      <c r="E22" s="11"/>
      <c r="F22" s="11"/>
      <c r="G22" s="11"/>
      <c r="H22" s="8"/>
      <c r="I22" s="8"/>
    </row>
    <row r="23" spans="1:14" x14ac:dyDescent="0.25">
      <c r="B23" s="197"/>
      <c r="C23" s="1"/>
      <c r="D23" s="74"/>
      <c r="E23" s="11"/>
      <c r="F23" s="11"/>
      <c r="G23" s="11"/>
      <c r="H23" s="8"/>
      <c r="I23" s="8"/>
    </row>
    <row r="24" spans="1:14" x14ac:dyDescent="0.25">
      <c r="B24" s="10" t="s">
        <v>40</v>
      </c>
      <c r="C24" s="10"/>
      <c r="D24" s="165"/>
      <c r="E24" s="11"/>
      <c r="F24" s="11"/>
      <c r="G24" s="8"/>
      <c r="H24" s="8"/>
      <c r="I24" s="8"/>
    </row>
    <row r="25" spans="1:14" x14ac:dyDescent="0.25">
      <c r="B25" s="154" t="s">
        <v>217</v>
      </c>
      <c r="C25" s="10"/>
      <c r="D25" s="165"/>
      <c r="E25" s="11"/>
      <c r="F25" s="11"/>
      <c r="G25" s="8"/>
      <c r="H25" s="8"/>
      <c r="I25" s="8"/>
    </row>
    <row r="26" spans="1:14" x14ac:dyDescent="0.25">
      <c r="B26" s="154"/>
      <c r="C26" s="10"/>
      <c r="D26" s="165"/>
      <c r="E26" s="11"/>
      <c r="F26" s="11"/>
      <c r="G26" s="8"/>
      <c r="H26" s="8"/>
      <c r="I26" s="8"/>
    </row>
    <row r="27" spans="1:14" x14ac:dyDescent="0.25">
      <c r="A27" s="73" t="s">
        <v>223</v>
      </c>
      <c r="B27" s="73" t="s">
        <v>224</v>
      </c>
      <c r="C27" s="10"/>
      <c r="D27" s="165" t="s">
        <v>225</v>
      </c>
      <c r="E27" s="11"/>
      <c r="F27" s="11"/>
      <c r="G27" s="8"/>
      <c r="H27" s="8"/>
      <c r="I27" s="8"/>
    </row>
    <row r="28" spans="1:14" x14ac:dyDescent="0.25">
      <c r="A28" s="74">
        <v>2338</v>
      </c>
      <c r="B28" s="74" t="s">
        <v>119</v>
      </c>
      <c r="D28" s="166">
        <v>0.314</v>
      </c>
      <c r="E28" s="166">
        <v>0.314</v>
      </c>
      <c r="F28" s="166">
        <v>0.314</v>
      </c>
      <c r="G28" s="166">
        <v>0.314</v>
      </c>
      <c r="H28" s="166">
        <v>0.314</v>
      </c>
      <c r="I28" s="166">
        <v>0.314</v>
      </c>
    </row>
    <row r="29" spans="1:14" x14ac:dyDescent="0.25">
      <c r="A29" s="74">
        <v>7983</v>
      </c>
      <c r="B29" s="148" t="s">
        <v>163</v>
      </c>
      <c r="C29" s="28"/>
      <c r="D29" s="166">
        <v>0.36099999999999999</v>
      </c>
      <c r="E29" s="166">
        <v>0.36099999999999999</v>
      </c>
      <c r="F29" s="166"/>
      <c r="G29" s="166"/>
      <c r="H29" s="166"/>
      <c r="I29" s="166"/>
    </row>
    <row r="30" spans="1:14" x14ac:dyDescent="0.25">
      <c r="A30" s="156">
        <v>307</v>
      </c>
      <c r="B30" s="148" t="s">
        <v>165</v>
      </c>
      <c r="C30" s="11"/>
      <c r="D30" s="166"/>
      <c r="E30" s="166"/>
      <c r="F30" s="166">
        <v>0.48</v>
      </c>
      <c r="G30" s="166">
        <v>0.48</v>
      </c>
      <c r="H30" s="166"/>
      <c r="I30" s="166"/>
    </row>
    <row r="31" spans="1:14" x14ac:dyDescent="0.25">
      <c r="A31" s="156">
        <v>2848</v>
      </c>
      <c r="B31" s="148" t="s">
        <v>164</v>
      </c>
      <c r="C31" s="28"/>
      <c r="D31" s="166">
        <v>0.41899999999999998</v>
      </c>
      <c r="E31" s="166"/>
      <c r="F31" s="166">
        <v>0.41899999999999998</v>
      </c>
      <c r="G31" s="166"/>
      <c r="H31" s="166">
        <v>0.41899999999999998</v>
      </c>
      <c r="I31" s="166"/>
    </row>
    <row r="32" spans="1:14" x14ac:dyDescent="0.25">
      <c r="B32" s="1"/>
      <c r="C32" s="12"/>
      <c r="D32" s="75"/>
      <c r="E32" s="12"/>
      <c r="F32" s="12"/>
      <c r="G32" s="12"/>
      <c r="H32" s="8"/>
      <c r="I32" s="8"/>
    </row>
    <row r="33" spans="2:11" x14ac:dyDescent="0.25">
      <c r="B33" s="9" t="s">
        <v>41</v>
      </c>
      <c r="C33" s="77"/>
      <c r="D33" s="167">
        <f>1-((1-D28)*(1-D29)*(1-D30)*(1-D31))</f>
        <v>0.74531632599999997</v>
      </c>
      <c r="E33" s="167">
        <f t="shared" ref="E33:I33" si="1">1-((1-E28)*(1-E29)*(1-E30)*(1-E31))</f>
        <v>0.56164600000000009</v>
      </c>
      <c r="F33" s="167">
        <f t="shared" si="1"/>
        <v>0.79274568000000001</v>
      </c>
      <c r="G33" s="167">
        <f t="shared" si="1"/>
        <v>0.64328000000000007</v>
      </c>
      <c r="H33" s="167">
        <f t="shared" si="1"/>
        <v>0.60143400000000002</v>
      </c>
      <c r="I33" s="167">
        <f t="shared" si="1"/>
        <v>0.31400000000000006</v>
      </c>
      <c r="J33" s="78"/>
      <c r="K33" s="78"/>
    </row>
    <row r="34" spans="2:11" x14ac:dyDescent="0.25">
      <c r="D34" s="8"/>
      <c r="E34" s="8"/>
      <c r="F34" s="8"/>
      <c r="G34" s="8"/>
      <c r="H34" s="8"/>
      <c r="I34" s="8"/>
      <c r="J34" s="78"/>
      <c r="K34" s="78"/>
    </row>
    <row r="35" spans="2:11" x14ac:dyDescent="0.25">
      <c r="B35" s="73" t="s">
        <v>120</v>
      </c>
      <c r="D35" s="168">
        <f>SUMPRODUCT(D11:D15,Assumptions!$E$84:$E$88)*Safety!D33/Assumptions!$E$91</f>
        <v>25840.11702242</v>
      </c>
      <c r="E35" s="168">
        <f>SUMPRODUCT(E11:E15,Assumptions!$E$84:$E$88)*Safety!E33/Assumptions!$E$91</f>
        <v>709645.33746000007</v>
      </c>
      <c r="F35" s="168">
        <f>SUMPRODUCT(F11:F15,Assumptions!$E$84:$E$88)*Safety!F33/Assumptions!$E$91</f>
        <v>13714.500263999998</v>
      </c>
      <c r="G35" s="168">
        <f>SUMPRODUCT(G11:G15,Assumptions!$E$84:$E$88)*Safety!G33/Assumptions!$E$91</f>
        <v>47171.722400000006</v>
      </c>
      <c r="H35" s="168">
        <f>SUMPRODUCT(H11:H15,Assumptions!$E$84:$E$88)*Safety!H33/Assumptions!$E$91</f>
        <v>1677152.83806</v>
      </c>
      <c r="I35" s="168">
        <f>SUMPRODUCT(I11:I15,Assumptions!$E$84:$E$88)*Safety!I33/Assumptions!$E$91</f>
        <v>933474.90000000014</v>
      </c>
      <c r="J35" s="76"/>
      <c r="K35" s="194">
        <f>SUM(D35:I35)</f>
        <v>3406999.4152064202</v>
      </c>
    </row>
    <row r="36" spans="2:11" x14ac:dyDescent="0.25">
      <c r="E36" s="162"/>
      <c r="F36" s="162"/>
      <c r="G36" s="162"/>
      <c r="H36" s="162"/>
      <c r="I36" s="162"/>
      <c r="J36" s="7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3E7E-3AFF-467C-85F7-EF428B70E292}">
  <dimension ref="A1:P33"/>
  <sheetViews>
    <sheetView showGridLines="0" topLeftCell="D1" zoomScaleNormal="100" workbookViewId="0">
      <selection activeCell="G7" sqref="G7"/>
    </sheetView>
  </sheetViews>
  <sheetFormatPr defaultColWidth="9.28515625" defaultRowHeight="15" x14ac:dyDescent="0.25"/>
  <cols>
    <col min="1" max="1" width="10.28515625" style="80" customWidth="1"/>
    <col min="2" max="4" width="18.42578125" style="80" customWidth="1"/>
    <col min="5" max="5" width="17" style="80" customWidth="1"/>
    <col min="6" max="6" width="8.7109375" style="80" customWidth="1"/>
    <col min="7" max="8" width="16.5703125" style="80" customWidth="1"/>
    <col min="9" max="9" width="7.5703125" style="80" customWidth="1"/>
    <col min="10" max="10" width="17.7109375" style="80" customWidth="1"/>
    <col min="11" max="11" width="16.7109375" style="80" customWidth="1"/>
    <col min="12" max="12" width="8.42578125" style="80" customWidth="1"/>
    <col min="13" max="13" width="14.7109375" style="102" customWidth="1"/>
    <col min="14" max="16" width="13.42578125" style="102" customWidth="1"/>
    <col min="17" max="16384" width="9.28515625" style="80"/>
  </cols>
  <sheetData>
    <row r="1" spans="1:16" s="196" customFormat="1" x14ac:dyDescent="0.25">
      <c r="A1" s="190" t="s">
        <v>234</v>
      </c>
      <c r="C1" s="190"/>
      <c r="D1" s="190"/>
      <c r="E1" s="191"/>
      <c r="F1" s="191"/>
      <c r="H1" s="190"/>
    </row>
    <row r="2" spans="1:16" s="249" customFormat="1" x14ac:dyDescent="0.25">
      <c r="C2" s="250"/>
      <c r="D2" s="250"/>
      <c r="E2" s="251"/>
      <c r="F2" s="251"/>
      <c r="H2" s="250"/>
    </row>
    <row r="3" spans="1:16" s="206" customFormat="1" ht="18" customHeight="1" x14ac:dyDescent="0.25">
      <c r="A3" s="200"/>
      <c r="B3" s="201" t="s">
        <v>227</v>
      </c>
      <c r="C3" s="202"/>
      <c r="D3" s="202"/>
      <c r="E3" s="203"/>
      <c r="F3" s="84"/>
      <c r="G3" s="207" t="s">
        <v>141</v>
      </c>
      <c r="H3" s="205"/>
      <c r="I3" s="84"/>
      <c r="J3" s="204" t="s">
        <v>142</v>
      </c>
      <c r="K3" s="205"/>
      <c r="L3" s="84"/>
      <c r="M3" s="208" t="s">
        <v>228</v>
      </c>
      <c r="N3" s="209"/>
      <c r="O3" s="209"/>
      <c r="P3" s="210"/>
    </row>
    <row r="4" spans="1:16" s="98" customFormat="1" ht="48.4" customHeight="1" x14ac:dyDescent="0.25">
      <c r="A4" s="97"/>
      <c r="B4" s="211" t="s">
        <v>143</v>
      </c>
      <c r="C4" s="211" t="s">
        <v>144</v>
      </c>
      <c r="D4" s="211" t="s">
        <v>188</v>
      </c>
      <c r="E4" s="211" t="s">
        <v>145</v>
      </c>
      <c r="F4" s="97"/>
      <c r="G4" s="211" t="s">
        <v>140</v>
      </c>
      <c r="H4" s="211" t="s">
        <v>146</v>
      </c>
      <c r="I4" s="97"/>
      <c r="J4" s="211" t="s">
        <v>140</v>
      </c>
      <c r="K4" s="211" t="s">
        <v>146</v>
      </c>
      <c r="L4" s="97"/>
      <c r="M4" s="211" t="s">
        <v>143</v>
      </c>
      <c r="N4" s="211" t="s">
        <v>144</v>
      </c>
      <c r="O4" s="211" t="s">
        <v>188</v>
      </c>
      <c r="P4" s="211" t="s">
        <v>145</v>
      </c>
    </row>
    <row r="5" spans="1:16" s="417" customFormat="1" ht="10.5" customHeight="1" x14ac:dyDescent="0.25">
      <c r="A5" s="415"/>
      <c r="B5" s="416"/>
      <c r="C5" s="416"/>
      <c r="D5" s="416"/>
      <c r="E5" s="416"/>
      <c r="F5" s="415"/>
      <c r="G5" s="416"/>
      <c r="H5" s="416"/>
      <c r="I5" s="415"/>
      <c r="J5" s="416"/>
      <c r="K5" s="416"/>
      <c r="L5" s="415"/>
      <c r="M5" s="416"/>
      <c r="N5" s="416"/>
      <c r="O5" s="416"/>
      <c r="P5" s="416"/>
    </row>
    <row r="6" spans="1:16" x14ac:dyDescent="0.25">
      <c r="A6" s="82">
        <v>2022</v>
      </c>
      <c r="B6" s="150">
        <f>Assumptions!$E$39*365*(1+Assumptions!$E$17)^(PedBike!A6-2022)</f>
        <v>73000</v>
      </c>
      <c r="C6" s="150">
        <f>(Assumptions!$E$40-Assumptions!$E$39)*365*(1+Assumptions!$E$17)^(PedBike!A6-2022)</f>
        <v>147386.08000000002</v>
      </c>
      <c r="D6" s="150">
        <f>Assumptions!$E$42*365*(1+Assumptions!$E$17)^(PedBike!A6-2022)</f>
        <v>18250</v>
      </c>
      <c r="E6" s="150">
        <f>(Assumptions!$E$43-Assumptions!$E$42)*365*(1+Assumptions!$E$17)^(PedBike!A6-2022)</f>
        <v>31070.8848</v>
      </c>
      <c r="F6" s="150"/>
      <c r="G6" s="151">
        <f>C6*Assumptions!$E$52*Assumptions!$E$54</f>
        <v>721602.24768000015</v>
      </c>
      <c r="H6" s="151">
        <f>E6*Assumptions!$E$53*Assumptions!$E$55</f>
        <v>117690.29744543998</v>
      </c>
      <c r="I6" s="150"/>
      <c r="J6" s="151">
        <f>(0.5*C6+B6)*Assumptions!$E$50*Assumptions!$E$48*Assumptions!$E$45</f>
        <v>138771.61584000001</v>
      </c>
      <c r="K6" s="151">
        <f>(D6+0.5*E6)*Assumptions!$E$49*Assumptions!$E$46</f>
        <v>142324.55465424</v>
      </c>
      <c r="L6" s="151"/>
      <c r="M6" s="423">
        <f>B6/365</f>
        <v>200</v>
      </c>
      <c r="N6" s="423">
        <f t="shared" ref="N6:P6" si="0">C6/365</f>
        <v>403.79747945205486</v>
      </c>
      <c r="O6" s="423">
        <f t="shared" si="0"/>
        <v>50</v>
      </c>
      <c r="P6" s="423">
        <f t="shared" si="0"/>
        <v>85.125711780821916</v>
      </c>
    </row>
    <row r="7" spans="1:16" x14ac:dyDescent="0.25">
      <c r="A7" s="82">
        <v>2023</v>
      </c>
      <c r="B7" s="150">
        <f>Assumptions!$E$39*365*(1+Assumptions!$E$17)^(PedBike!A7-2022)</f>
        <v>74460</v>
      </c>
      <c r="C7" s="150">
        <f>(Assumptions!$E$40-Assumptions!$E$39)*365*(1+Assumptions!$E$17)^(PedBike!A7-2022)</f>
        <v>150333.80160000001</v>
      </c>
      <c r="D7" s="150">
        <f>Assumptions!$E$42*365*(1+Assumptions!$E$17)^(PedBike!A7-2022)</f>
        <v>18615</v>
      </c>
      <c r="E7" s="150">
        <f>(Assumptions!$E$43-Assumptions!$E$42)*365*(1+Assumptions!$E$17)^(PedBike!A7-2022)</f>
        <v>31692.302496</v>
      </c>
      <c r="F7" s="150"/>
      <c r="G7" s="151">
        <f>C7*Assumptions!$E$52*Assumptions!$E$54</f>
        <v>736034.29263360007</v>
      </c>
      <c r="H7" s="151">
        <f>E7*Assumptions!$E$53*Assumptions!$E$55</f>
        <v>120044.1033943488</v>
      </c>
      <c r="I7" s="150"/>
      <c r="J7" s="151">
        <f>(0.5*C7+B7)*Assumptions!$E$50*Assumptions!$E$48*Assumptions!$E$45</f>
        <v>141547.04815680001</v>
      </c>
      <c r="K7" s="151">
        <f>(D7+0.5*E7)*Assumptions!$E$49*Assumptions!$E$46</f>
        <v>145171.0457473248</v>
      </c>
      <c r="L7" s="151"/>
      <c r="M7" s="423">
        <f t="shared" ref="M7:M31" si="1">B7/365</f>
        <v>204</v>
      </c>
      <c r="N7" s="423">
        <f t="shared" ref="N7:N31" si="2">C7/365</f>
        <v>411.8734290410959</v>
      </c>
      <c r="O7" s="423">
        <f t="shared" ref="O7:O31" si="3">D7/365</f>
        <v>51</v>
      </c>
      <c r="P7" s="423">
        <f t="shared" ref="P7:P31" si="4">E7/365</f>
        <v>86.82822601643835</v>
      </c>
    </row>
    <row r="8" spans="1:16" x14ac:dyDescent="0.25">
      <c r="A8" s="82">
        <v>2024</v>
      </c>
      <c r="B8" s="150">
        <f>Assumptions!$E$39*365*(1+Assumptions!$E$17)^(PedBike!A8-2022)</f>
        <v>75949.2</v>
      </c>
      <c r="C8" s="150">
        <f>(Assumptions!$E$40-Assumptions!$E$39)*365*(1+Assumptions!$E$17)^(PedBike!A8-2022)</f>
        <v>153340.47763200002</v>
      </c>
      <c r="D8" s="150">
        <f>Assumptions!$E$42*365*(1+Assumptions!$E$17)^(PedBike!A8-2022)</f>
        <v>18987.3</v>
      </c>
      <c r="E8" s="150">
        <f>(Assumptions!$E$43-Assumptions!$E$42)*365*(1+Assumptions!$E$17)^(PedBike!A8-2022)</f>
        <v>32326.148545920001</v>
      </c>
      <c r="F8" s="150"/>
      <c r="G8" s="151">
        <f>C8*Assumptions!$E$52*Assumptions!$E$54</f>
        <v>750754.97848627216</v>
      </c>
      <c r="H8" s="151">
        <f>E8*Assumptions!$E$53*Assumptions!$E$55</f>
        <v>122444.98546223577</v>
      </c>
      <c r="I8" s="150"/>
      <c r="J8" s="151">
        <f>(0.5*C8+B8)*Assumptions!$E$50*Assumptions!$E$48*Assumptions!$E$45</f>
        <v>144377.98911993598</v>
      </c>
      <c r="K8" s="151">
        <f>(D8+0.5*E8)*Assumptions!$E$49*Assumptions!$E$46</f>
        <v>148074.46666227127</v>
      </c>
      <c r="L8" s="151"/>
      <c r="M8" s="423">
        <f t="shared" si="1"/>
        <v>208.07999999999998</v>
      </c>
      <c r="N8" s="423">
        <f t="shared" si="2"/>
        <v>420.1108976219179</v>
      </c>
      <c r="O8" s="423">
        <f t="shared" si="3"/>
        <v>52.019999999999996</v>
      </c>
      <c r="P8" s="423">
        <f t="shared" si="4"/>
        <v>88.56479053676712</v>
      </c>
    </row>
    <row r="9" spans="1:16" x14ac:dyDescent="0.25">
      <c r="A9" s="82">
        <v>2025</v>
      </c>
      <c r="B9" s="150">
        <f>Assumptions!$E$39*365*(1+Assumptions!$E$17)^(PedBike!A9-2022)</f>
        <v>77468.183999999994</v>
      </c>
      <c r="C9" s="150">
        <f>(Assumptions!$E$40-Assumptions!$E$39)*365*(1+Assumptions!$E$17)^(PedBike!A9-2022)</f>
        <v>156407.28718464001</v>
      </c>
      <c r="D9" s="150">
        <f>Assumptions!$E$42*365*(1+Assumptions!$E$17)^(PedBike!A9-2022)</f>
        <v>19367.045999999998</v>
      </c>
      <c r="E9" s="150">
        <f>(Assumptions!$E$43-Assumptions!$E$42)*365*(1+Assumptions!$E$17)^(PedBike!A9-2022)</f>
        <v>32972.671516838396</v>
      </c>
      <c r="F9" s="150"/>
      <c r="G9" s="151">
        <f>C9*Assumptions!$E$52*Assumptions!$E$54</f>
        <v>765770.0780559975</v>
      </c>
      <c r="H9" s="151">
        <f>E9*Assumptions!$E$53*Assumptions!$E$55</f>
        <v>124893.88517148048</v>
      </c>
      <c r="I9" s="150"/>
      <c r="J9" s="151">
        <f>(0.5*C9+B9)*Assumptions!$E$50*Assumptions!$E$48*Assumptions!$E$45</f>
        <v>147265.5489023347</v>
      </c>
      <c r="K9" s="151">
        <f>(D9+0.5*E9)*Assumptions!$E$49*Assumptions!$E$46</f>
        <v>151035.95599551671</v>
      </c>
      <c r="L9" s="151"/>
      <c r="M9" s="423">
        <f t="shared" si="1"/>
        <v>212.24159999999998</v>
      </c>
      <c r="N9" s="423">
        <f t="shared" si="2"/>
        <v>428.51311557435616</v>
      </c>
      <c r="O9" s="423">
        <f t="shared" si="3"/>
        <v>53.060399999999994</v>
      </c>
      <c r="P9" s="423">
        <f t="shared" si="4"/>
        <v>90.336086347502459</v>
      </c>
    </row>
    <row r="10" spans="1:16" x14ac:dyDescent="0.25">
      <c r="A10" s="82">
        <v>2026</v>
      </c>
      <c r="B10" s="150">
        <f>Assumptions!$E$39*365*(1+Assumptions!$E$17)^(PedBike!A10-2022)</f>
        <v>79017.547680000003</v>
      </c>
      <c r="C10" s="150">
        <f>(Assumptions!$E$40-Assumptions!$E$39)*365*(1+Assumptions!$E$17)^(PedBike!A10-2022)</f>
        <v>159535.43292833283</v>
      </c>
      <c r="D10" s="150">
        <f>Assumptions!$E$42*365*(1+Assumptions!$E$17)^(PedBike!A10-2022)</f>
        <v>19754.386920000001</v>
      </c>
      <c r="E10" s="150">
        <f>(Assumptions!$E$43-Assumptions!$E$42)*365*(1+Assumptions!$E$17)^(PedBike!A10-2022)</f>
        <v>33632.124947175165</v>
      </c>
      <c r="F10" s="150"/>
      <c r="G10" s="151">
        <f>C10*Assumptions!$E$52*Assumptions!$E$54</f>
        <v>781085.47961711755</v>
      </c>
      <c r="H10" s="151">
        <f>E10*Assumptions!$E$53*Assumptions!$E$55</f>
        <v>127391.76287491008</v>
      </c>
      <c r="I10" s="150"/>
      <c r="J10" s="151">
        <f>(0.5*C10+B10)*Assumptions!$E$50*Assumptions!$E$48*Assumptions!$E$45</f>
        <v>150210.85988038144</v>
      </c>
      <c r="K10" s="151">
        <f>(D10+0.5*E10)*Assumptions!$E$49*Assumptions!$E$46</f>
        <v>154056.67511542703</v>
      </c>
      <c r="L10" s="151"/>
      <c r="M10" s="423">
        <f t="shared" si="1"/>
        <v>216.48643200000001</v>
      </c>
      <c r="N10" s="423">
        <f t="shared" si="2"/>
        <v>437.08337788584333</v>
      </c>
      <c r="O10" s="423">
        <f t="shared" si="3"/>
        <v>54.121608000000002</v>
      </c>
      <c r="P10" s="423">
        <f t="shared" si="4"/>
        <v>92.142808074452503</v>
      </c>
    </row>
    <row r="11" spans="1:16" x14ac:dyDescent="0.25">
      <c r="A11" s="82">
        <v>2027</v>
      </c>
      <c r="B11" s="150">
        <f>Assumptions!$E$39*365*(1+Assumptions!$E$17)^(PedBike!A11-2022)</f>
        <v>80597.898633599994</v>
      </c>
      <c r="C11" s="150">
        <f>(Assumptions!$E$40-Assumptions!$E$39)*365*(1+Assumptions!$E$17)^(PedBike!A11-2022)</f>
        <v>162726.14158689947</v>
      </c>
      <c r="D11" s="150">
        <f>Assumptions!$E$42*365*(1+Assumptions!$E$17)^(PedBike!A11-2022)</f>
        <v>20149.474658399999</v>
      </c>
      <c r="E11" s="150">
        <f>(Assumptions!$E$43-Assumptions!$E$42)*365*(1+Assumptions!$E$17)^(PedBike!A11-2022)</f>
        <v>34304.767446118669</v>
      </c>
      <c r="F11" s="150"/>
      <c r="G11" s="151">
        <f>C11*Assumptions!$E$52*Assumptions!$E$54</f>
        <v>796707.18920945982</v>
      </c>
      <c r="H11" s="151">
        <f>E11*Assumptions!$E$53*Assumptions!$E$55</f>
        <v>129939.5981324083</v>
      </c>
      <c r="I11" s="150"/>
      <c r="J11" s="151">
        <f>(0.5*C11+B11)*Assumptions!$E$50*Assumptions!$E$48*Assumptions!$E$45</f>
        <v>153215.07707798906</v>
      </c>
      <c r="K11" s="151">
        <f>(D11+0.5*E11)*Assumptions!$E$49*Assumptions!$E$46</f>
        <v>157137.80861773557</v>
      </c>
      <c r="L11" s="151"/>
      <c r="M11" s="423">
        <f t="shared" si="1"/>
        <v>220.81616063999999</v>
      </c>
      <c r="N11" s="423">
        <f t="shared" si="2"/>
        <v>445.82504544356016</v>
      </c>
      <c r="O11" s="423">
        <f t="shared" si="3"/>
        <v>55.204040159999998</v>
      </c>
      <c r="P11" s="423">
        <f t="shared" si="4"/>
        <v>93.985664235941556</v>
      </c>
    </row>
    <row r="12" spans="1:16" x14ac:dyDescent="0.25">
      <c r="A12" s="82">
        <v>2028</v>
      </c>
      <c r="B12" s="150">
        <f>Assumptions!$E$39*365*(1+Assumptions!$E$17)^(PedBike!A12-2022)</f>
        <v>82209.856606272006</v>
      </c>
      <c r="C12" s="150">
        <f>(Assumptions!$E$40-Assumptions!$E$39)*365*(1+Assumptions!$E$17)^(PedBike!A12-2022)</f>
        <v>165980.66441863746</v>
      </c>
      <c r="D12" s="150">
        <f>Assumptions!$E$42*365*(1+Assumptions!$E$17)^(PedBike!A12-2022)</f>
        <v>20552.464151568001</v>
      </c>
      <c r="E12" s="150">
        <f>(Assumptions!$E$43-Assumptions!$E$42)*365*(1+Assumptions!$E$17)^(PedBike!A12-2022)</f>
        <v>34990.862795041045</v>
      </c>
      <c r="F12" s="150"/>
      <c r="G12" s="151">
        <f>C12*Assumptions!$E$52*Assumptions!$E$54</f>
        <v>812641.33299364906</v>
      </c>
      <c r="H12" s="151">
        <f>E12*Assumptions!$E$53*Assumptions!$E$55</f>
        <v>132538.39009505647</v>
      </c>
      <c r="I12" s="150"/>
      <c r="J12" s="151">
        <f>(0.5*C12+B12)*Assumptions!$E$50*Assumptions!$E$48*Assumptions!$E$45</f>
        <v>156279.37861954884</v>
      </c>
      <c r="K12" s="151">
        <f>(D12+0.5*E12)*Assumptions!$E$49*Assumptions!$E$46</f>
        <v>160280.56479009031</v>
      </c>
      <c r="L12" s="151"/>
      <c r="M12" s="423">
        <f t="shared" si="1"/>
        <v>225.23248385280002</v>
      </c>
      <c r="N12" s="423">
        <f t="shared" si="2"/>
        <v>454.74154635243139</v>
      </c>
      <c r="O12" s="423">
        <f t="shared" si="3"/>
        <v>56.308120963200004</v>
      </c>
      <c r="P12" s="423">
        <f t="shared" si="4"/>
        <v>95.865377520660402</v>
      </c>
    </row>
    <row r="13" spans="1:16" x14ac:dyDescent="0.25">
      <c r="A13" s="82">
        <v>2029</v>
      </c>
      <c r="B13" s="150">
        <f>Assumptions!$E$39*365*(1+Assumptions!$E$17)^(PedBike!A13-2022)</f>
        <v>83854.05373839743</v>
      </c>
      <c r="C13" s="150">
        <f>(Assumptions!$E$40-Assumptions!$E$39)*365*(1+Assumptions!$E$17)^(PedBike!A13-2022)</f>
        <v>169300.27770701019</v>
      </c>
      <c r="D13" s="150">
        <f>Assumptions!$E$42*365*(1+Assumptions!$E$17)^(PedBike!A13-2022)</f>
        <v>20963.513434599357</v>
      </c>
      <c r="E13" s="150">
        <f>(Assumptions!$E$43-Assumptions!$E$42)*365*(1+Assumptions!$E$17)^(PedBike!A13-2022)</f>
        <v>35690.680050941861</v>
      </c>
      <c r="F13" s="150"/>
      <c r="G13" s="151">
        <f>C13*Assumptions!$E$52*Assumptions!$E$54</f>
        <v>828894.15965352196</v>
      </c>
      <c r="H13" s="151">
        <f>E13*Assumptions!$E$53*Assumptions!$E$55</f>
        <v>135189.15789695756</v>
      </c>
      <c r="I13" s="150"/>
      <c r="J13" s="151">
        <f>(0.5*C13+B13)*Assumptions!$E$50*Assumptions!$E$48*Assumptions!$E$45</f>
        <v>159404.96619193978</v>
      </c>
      <c r="K13" s="151">
        <f>(D13+0.5*E13)*Assumptions!$E$49*Assumptions!$E$46</f>
        <v>163486.17608589205</v>
      </c>
      <c r="L13" s="151"/>
      <c r="M13" s="423">
        <f t="shared" si="1"/>
        <v>229.73713352985598</v>
      </c>
      <c r="N13" s="423">
        <f t="shared" si="2"/>
        <v>463.83637727947996</v>
      </c>
      <c r="O13" s="423">
        <f t="shared" si="3"/>
        <v>57.434283382463995</v>
      </c>
      <c r="P13" s="423">
        <f t="shared" si="4"/>
        <v>97.782685071073587</v>
      </c>
    </row>
    <row r="14" spans="1:16" x14ac:dyDescent="0.25">
      <c r="A14" s="82">
        <v>2030</v>
      </c>
      <c r="B14" s="150">
        <f>Assumptions!$E$39*365*(1+Assumptions!$E$17)^(PedBike!A14-2022)</f>
        <v>85531.134813165379</v>
      </c>
      <c r="C14" s="150">
        <f>(Assumptions!$E$40-Assumptions!$E$39)*365*(1+Assumptions!$E$17)^(PedBike!A14-2022)</f>
        <v>172686.28326115041</v>
      </c>
      <c r="D14" s="150">
        <f>Assumptions!$E$42*365*(1+Assumptions!$E$17)^(PedBike!A14-2022)</f>
        <v>21382.783703291345</v>
      </c>
      <c r="E14" s="150">
        <f>(Assumptions!$E$43-Assumptions!$E$42)*365*(1+Assumptions!$E$17)^(PedBike!A14-2022)</f>
        <v>36404.4936519607</v>
      </c>
      <c r="F14" s="150"/>
      <c r="G14" s="151">
        <f>C14*Assumptions!$E$52*Assumptions!$E$54</f>
        <v>845472.04284659261</v>
      </c>
      <c r="H14" s="151">
        <f>E14*Assumptions!$E$53*Assumptions!$E$55</f>
        <v>137892.94105489671</v>
      </c>
      <c r="I14" s="150"/>
      <c r="J14" s="151">
        <f>(0.5*C14+B14)*Assumptions!$E$50*Assumptions!$E$48*Assumptions!$E$45</f>
        <v>162593.06551577858</v>
      </c>
      <c r="K14" s="151">
        <f>(D14+0.5*E14)*Assumptions!$E$49*Assumptions!$E$46</f>
        <v>166755.89960760996</v>
      </c>
      <c r="L14" s="151"/>
      <c r="M14" s="423">
        <f t="shared" si="1"/>
        <v>234.33187620045308</v>
      </c>
      <c r="N14" s="423">
        <f t="shared" si="2"/>
        <v>473.11310482506963</v>
      </c>
      <c r="O14" s="423">
        <f t="shared" si="3"/>
        <v>58.58296905011327</v>
      </c>
      <c r="P14" s="423">
        <f t="shared" si="4"/>
        <v>99.738338772495069</v>
      </c>
    </row>
    <row r="15" spans="1:16" x14ac:dyDescent="0.25">
      <c r="A15" s="82">
        <v>2031</v>
      </c>
      <c r="B15" s="150">
        <f>Assumptions!$E$39*365*(1+Assumptions!$E$17)^(PedBike!A15-2022)</f>
        <v>87241.757509428688</v>
      </c>
      <c r="C15" s="150">
        <f>(Assumptions!$E$40-Assumptions!$E$39)*365*(1+Assumptions!$E$17)^(PedBike!A15-2022)</f>
        <v>176140.00892637341</v>
      </c>
      <c r="D15" s="150">
        <f>Assumptions!$E$42*365*(1+Assumptions!$E$17)^(PedBike!A15-2022)</f>
        <v>21810.439377357172</v>
      </c>
      <c r="E15" s="150">
        <f>(Assumptions!$E$43-Assumptions!$E$42)*365*(1+Assumptions!$E$17)^(PedBike!A15-2022)</f>
        <v>37132.583524999915</v>
      </c>
      <c r="F15" s="150"/>
      <c r="G15" s="151">
        <f>C15*Assumptions!$E$52*Assumptions!$E$54</f>
        <v>862381.48370352434</v>
      </c>
      <c r="H15" s="151">
        <f>E15*Assumptions!$E$53*Assumptions!$E$55</f>
        <v>140650.79987599465</v>
      </c>
      <c r="I15" s="150"/>
      <c r="J15" s="151">
        <f>(0.5*C15+B15)*Assumptions!$E$50*Assumptions!$E$48*Assumptions!$E$45</f>
        <v>165844.92682609416</v>
      </c>
      <c r="K15" s="151">
        <f>(D15+0.5*E15)*Assumptions!$E$49*Assumptions!$E$46</f>
        <v>170091.01759976216</v>
      </c>
      <c r="L15" s="151"/>
      <c r="M15" s="423">
        <f t="shared" si="1"/>
        <v>239.01851372446217</v>
      </c>
      <c r="N15" s="423">
        <f t="shared" si="2"/>
        <v>482.575366921571</v>
      </c>
      <c r="O15" s="423">
        <f t="shared" si="3"/>
        <v>59.754628431115542</v>
      </c>
      <c r="P15" s="423">
        <f t="shared" si="4"/>
        <v>101.73310554794497</v>
      </c>
    </row>
    <row r="16" spans="1:16" x14ac:dyDescent="0.25">
      <c r="A16" s="82">
        <v>2032</v>
      </c>
      <c r="B16" s="150">
        <f>Assumptions!$E$39*365*(1+Assumptions!$E$17)^(PedBike!A16-2022)</f>
        <v>88986.592659617265</v>
      </c>
      <c r="C16" s="150">
        <f>(Assumptions!$E$40-Assumptions!$E$39)*365*(1+Assumptions!$E$17)^(PedBike!A16-2022)</f>
        <v>179662.80910490089</v>
      </c>
      <c r="D16" s="150">
        <f>Assumptions!$E$42*365*(1+Assumptions!$E$17)^(PedBike!A16-2022)</f>
        <v>22246.648164904316</v>
      </c>
      <c r="E16" s="150">
        <f>(Assumptions!$E$43-Assumptions!$E$42)*365*(1+Assumptions!$E$17)^(PedBike!A16-2022)</f>
        <v>37875.235195499918</v>
      </c>
      <c r="F16" s="150"/>
      <c r="G16" s="151">
        <f>C16*Assumptions!$E$52*Assumptions!$E$54</f>
        <v>879629.11337759485</v>
      </c>
      <c r="H16" s="151">
        <f>E16*Assumptions!$E$53*Assumptions!$E$55</f>
        <v>143463.81587351457</v>
      </c>
      <c r="I16" s="150"/>
      <c r="J16" s="151">
        <f>(0.5*C16+B16)*Assumptions!$E$50*Assumptions!$E$48*Assumptions!$E$45</f>
        <v>169161.82536261604</v>
      </c>
      <c r="K16" s="151">
        <f>(D16+0.5*E16)*Assumptions!$E$49*Assumptions!$E$46</f>
        <v>173492.83795175742</v>
      </c>
      <c r="L16" s="151"/>
      <c r="M16" s="423">
        <f t="shared" si="1"/>
        <v>243.79888399895142</v>
      </c>
      <c r="N16" s="423">
        <f t="shared" si="2"/>
        <v>492.22687426000243</v>
      </c>
      <c r="O16" s="423">
        <f t="shared" si="3"/>
        <v>60.949720999737856</v>
      </c>
      <c r="P16" s="423">
        <f t="shared" si="4"/>
        <v>103.76776765890388</v>
      </c>
    </row>
    <row r="17" spans="1:16" x14ac:dyDescent="0.25">
      <c r="A17" s="82">
        <v>2033</v>
      </c>
      <c r="B17" s="150">
        <f>Assumptions!$E$39*365*(1+Assumptions!$E$17)^(PedBike!A17-2022)</f>
        <v>90766.324512809602</v>
      </c>
      <c r="C17" s="150">
        <f>(Assumptions!$E$40-Assumptions!$E$39)*365*(1+Assumptions!$E$17)^(PedBike!A17-2022)</f>
        <v>183256.06528699887</v>
      </c>
      <c r="D17" s="150">
        <f>Assumptions!$E$42*365*(1+Assumptions!$E$17)^(PedBike!A17-2022)</f>
        <v>22691.581128202401</v>
      </c>
      <c r="E17" s="150">
        <f>(Assumptions!$E$43-Assumptions!$E$42)*365*(1+Assumptions!$E$17)^(PedBike!A17-2022)</f>
        <v>38632.739899409906</v>
      </c>
      <c r="F17" s="150"/>
      <c r="G17" s="151">
        <f>C17*Assumptions!$E$52*Assumptions!$E$54</f>
        <v>897221.69564514654</v>
      </c>
      <c r="H17" s="151">
        <f>E17*Assumptions!$E$53*Assumptions!$E$55</f>
        <v>146333.09219098484</v>
      </c>
      <c r="I17" s="150"/>
      <c r="J17" s="151">
        <f>(0.5*C17+B17)*Assumptions!$E$50*Assumptions!$E$48*Assumptions!$E$45</f>
        <v>172545.06186986837</v>
      </c>
      <c r="K17" s="151">
        <f>(D17+0.5*E17)*Assumptions!$E$49*Assumptions!$E$46</f>
        <v>176962.69471079254</v>
      </c>
      <c r="L17" s="151"/>
      <c r="M17" s="423">
        <f t="shared" si="1"/>
        <v>248.67486167893043</v>
      </c>
      <c r="N17" s="423">
        <f t="shared" si="2"/>
        <v>502.0714117452024</v>
      </c>
      <c r="O17" s="423">
        <f t="shared" si="3"/>
        <v>62.168715419732607</v>
      </c>
      <c r="P17" s="423">
        <f t="shared" si="4"/>
        <v>105.84312301208193</v>
      </c>
    </row>
    <row r="18" spans="1:16" x14ac:dyDescent="0.25">
      <c r="A18" s="82">
        <v>2034</v>
      </c>
      <c r="B18" s="150">
        <f>Assumptions!$E$39*365*(1+Assumptions!$E$17)^(PedBike!A18-2022)</f>
        <v>92581.65100306581</v>
      </c>
      <c r="C18" s="150">
        <f>(Assumptions!$E$40-Assumptions!$E$39)*365*(1+Assumptions!$E$17)^(PedBike!A18-2022)</f>
        <v>186921.18659273887</v>
      </c>
      <c r="D18" s="150">
        <f>Assumptions!$E$42*365*(1+Assumptions!$E$17)^(PedBike!A18-2022)</f>
        <v>23145.412750766453</v>
      </c>
      <c r="E18" s="150">
        <f>(Assumptions!$E$43-Assumptions!$E$42)*365*(1+Assumptions!$E$17)^(PedBike!A18-2022)</f>
        <v>39405.394697398107</v>
      </c>
      <c r="F18" s="150"/>
      <c r="G18" s="151">
        <f>C18*Assumptions!$E$52*Assumptions!$E$54</f>
        <v>915166.12955804949</v>
      </c>
      <c r="H18" s="151">
        <f>E18*Assumptions!$E$53*Assumptions!$E$55</f>
        <v>149259.75403480456</v>
      </c>
      <c r="I18" s="150"/>
      <c r="J18" s="151">
        <f>(0.5*C18+B18)*Assumptions!$E$50*Assumptions!$E$48*Assumptions!$E$45</f>
        <v>175995.96310726574</v>
      </c>
      <c r="K18" s="151">
        <f>(D18+0.5*E18)*Assumptions!$E$49*Assumptions!$E$46</f>
        <v>180501.94860500839</v>
      </c>
      <c r="L18" s="151"/>
      <c r="M18" s="423">
        <f t="shared" si="1"/>
        <v>253.64835891250908</v>
      </c>
      <c r="N18" s="423">
        <f t="shared" si="2"/>
        <v>512.11283998010651</v>
      </c>
      <c r="O18" s="423">
        <f t="shared" si="3"/>
        <v>63.41208972812727</v>
      </c>
      <c r="P18" s="423">
        <f t="shared" si="4"/>
        <v>107.95998547232358</v>
      </c>
    </row>
    <row r="19" spans="1:16" x14ac:dyDescent="0.25">
      <c r="A19" s="82">
        <v>2035</v>
      </c>
      <c r="B19" s="150">
        <f>Assumptions!$E$39*365*(1+Assumptions!$E$17)^(PedBike!A19-2022)</f>
        <v>94433.284023127111</v>
      </c>
      <c r="C19" s="150">
        <f>(Assumptions!$E$40-Assumptions!$E$39)*365*(1+Assumptions!$E$17)^(PedBike!A19-2022)</f>
        <v>190659.61032459364</v>
      </c>
      <c r="D19" s="150">
        <f>Assumptions!$E$42*365*(1+Assumptions!$E$17)^(PedBike!A19-2022)</f>
        <v>23608.321005781778</v>
      </c>
      <c r="E19" s="150">
        <f>(Assumptions!$E$43-Assumptions!$E$42)*365*(1+Assumptions!$E$17)^(PedBike!A19-2022)</f>
        <v>40193.50259134607</v>
      </c>
      <c r="F19" s="150"/>
      <c r="G19" s="151">
        <f>C19*Assumptions!$E$52*Assumptions!$E$54</f>
        <v>933469.4521492105</v>
      </c>
      <c r="H19" s="151">
        <f>E19*Assumptions!$E$53*Assumptions!$E$55</f>
        <v>152244.94911550064</v>
      </c>
      <c r="I19" s="150"/>
      <c r="J19" s="151">
        <f>(0.5*C19+B19)*Assumptions!$E$50*Assumptions!$E$48*Assumptions!$E$45</f>
        <v>179515.88236941103</v>
      </c>
      <c r="K19" s="151">
        <f>(D19+0.5*E19)*Assumptions!$E$49*Assumptions!$E$46</f>
        <v>184111.98757710855</v>
      </c>
      <c r="L19" s="151"/>
      <c r="M19" s="423">
        <f t="shared" si="1"/>
        <v>258.72132609075919</v>
      </c>
      <c r="N19" s="423">
        <f t="shared" si="2"/>
        <v>522.35509677970856</v>
      </c>
      <c r="O19" s="423">
        <f t="shared" si="3"/>
        <v>64.680331522689798</v>
      </c>
      <c r="P19" s="423">
        <f t="shared" si="4"/>
        <v>110.11918518177005</v>
      </c>
    </row>
    <row r="20" spans="1:16" x14ac:dyDescent="0.25">
      <c r="A20" s="82">
        <v>2036</v>
      </c>
      <c r="B20" s="150">
        <f>Assumptions!$E$39*365*(1+Assumptions!$E$17)^(PedBike!A20-2022)</f>
        <v>96321.949703589664</v>
      </c>
      <c r="C20" s="150">
        <f>(Assumptions!$E$40-Assumptions!$E$39)*365*(1+Assumptions!$E$17)^(PedBike!A20-2022)</f>
        <v>194472.80253108553</v>
      </c>
      <c r="D20" s="150">
        <f>Assumptions!$E$42*365*(1+Assumptions!$E$17)^(PedBike!A20-2022)</f>
        <v>24080.487425897416</v>
      </c>
      <c r="E20" s="150">
        <f>(Assumptions!$E$43-Assumptions!$E$42)*365*(1+Assumptions!$E$17)^(PedBike!A20-2022)</f>
        <v>40997.372643172996</v>
      </c>
      <c r="F20" s="150"/>
      <c r="G20" s="151">
        <f>C20*Assumptions!$E$52*Assumptions!$E$54</f>
        <v>952138.84119219473</v>
      </c>
      <c r="H20" s="151">
        <f>E20*Assumptions!$E$53*Assumptions!$E$55</f>
        <v>155289.84809781064</v>
      </c>
      <c r="I20" s="150"/>
      <c r="J20" s="151">
        <f>(0.5*C20+B20)*Assumptions!$E$50*Assumptions!$E$48*Assumptions!$E$45</f>
        <v>183106.2000167993</v>
      </c>
      <c r="K20" s="151">
        <f>(D20+0.5*E20)*Assumptions!$E$49*Assumptions!$E$46</f>
        <v>187794.22732865074</v>
      </c>
      <c r="L20" s="151"/>
      <c r="M20" s="423">
        <f t="shared" si="1"/>
        <v>263.89575261257443</v>
      </c>
      <c r="N20" s="423">
        <f t="shared" si="2"/>
        <v>532.80219871530278</v>
      </c>
      <c r="O20" s="423">
        <f t="shared" si="3"/>
        <v>65.973938153143607</v>
      </c>
      <c r="P20" s="423">
        <f t="shared" si="4"/>
        <v>112.32156888540547</v>
      </c>
    </row>
    <row r="21" spans="1:16" x14ac:dyDescent="0.25">
      <c r="A21" s="82">
        <v>2037</v>
      </c>
      <c r="B21" s="150">
        <f>Assumptions!$E$39*365*(1+Assumptions!$E$17)^(PedBike!A21-2022)</f>
        <v>98248.38869766143</v>
      </c>
      <c r="C21" s="150">
        <f>(Assumptions!$E$40-Assumptions!$E$39)*365*(1+Assumptions!$E$17)^(PedBike!A21-2022)</f>
        <v>198362.2585817072</v>
      </c>
      <c r="D21" s="150">
        <f>Assumptions!$E$42*365*(1+Assumptions!$E$17)^(PedBike!A21-2022)</f>
        <v>24562.097174415358</v>
      </c>
      <c r="E21" s="150">
        <f>(Assumptions!$E$43-Assumptions!$E$42)*365*(1+Assumptions!$E$17)^(PedBike!A21-2022)</f>
        <v>41817.320096036441</v>
      </c>
      <c r="F21" s="150"/>
      <c r="G21" s="151">
        <f>C21*Assumptions!$E$52*Assumptions!$E$54</f>
        <v>971181.61801603856</v>
      </c>
      <c r="H21" s="151">
        <f>E21*Assumptions!$E$53*Assumptions!$E$55</f>
        <v>158395.64505976683</v>
      </c>
      <c r="I21" s="150"/>
      <c r="J21" s="151">
        <f>(0.5*C21+B21)*Assumptions!$E$50*Assumptions!$E$48*Assumptions!$E$45</f>
        <v>186768.32401713522</v>
      </c>
      <c r="K21" s="151">
        <f>(D21+0.5*E21)*Assumptions!$E$49*Assumptions!$E$46</f>
        <v>191550.11187522369</v>
      </c>
      <c r="L21" s="151"/>
      <c r="M21" s="423">
        <f t="shared" si="1"/>
        <v>269.17366766482581</v>
      </c>
      <c r="N21" s="423">
        <f t="shared" si="2"/>
        <v>543.45824268960871</v>
      </c>
      <c r="O21" s="423">
        <f t="shared" si="3"/>
        <v>67.293416916206453</v>
      </c>
      <c r="P21" s="423">
        <f t="shared" si="4"/>
        <v>114.56800026311353</v>
      </c>
    </row>
    <row r="22" spans="1:16" x14ac:dyDescent="0.25">
      <c r="A22" s="82">
        <v>2038</v>
      </c>
      <c r="B22" s="150">
        <f>Assumptions!$E$39*365*(1+Assumptions!$E$17)^(PedBike!A22-2022)</f>
        <v>100213.35647161468</v>
      </c>
      <c r="C22" s="150">
        <f>(Assumptions!$E$40-Assumptions!$E$39)*365*(1+Assumptions!$E$17)^(PedBike!A22-2022)</f>
        <v>202329.50375334139</v>
      </c>
      <c r="D22" s="150">
        <f>Assumptions!$E$42*365*(1+Assumptions!$E$17)^(PedBike!A22-2022)</f>
        <v>25053.33911790367</v>
      </c>
      <c r="E22" s="150">
        <f>(Assumptions!$E$43-Assumptions!$E$42)*365*(1+Assumptions!$E$17)^(PedBike!A22-2022)</f>
        <v>42653.66649795718</v>
      </c>
      <c r="F22" s="150"/>
      <c r="G22" s="151">
        <f>C22*Assumptions!$E$52*Assumptions!$E$54</f>
        <v>990605.25037635956</v>
      </c>
      <c r="H22" s="151">
        <f>E22*Assumptions!$E$53*Assumptions!$E$55</f>
        <v>161563.55796096221</v>
      </c>
      <c r="I22" s="150"/>
      <c r="J22" s="151">
        <f>(0.5*C22+B22)*Assumptions!$E$50*Assumptions!$E$48*Assumptions!$E$45</f>
        <v>190503.69049747795</v>
      </c>
      <c r="K22" s="151">
        <f>(D22+0.5*E22)*Assumptions!$E$49*Assumptions!$E$46</f>
        <v>195381.11411272822</v>
      </c>
      <c r="L22" s="151"/>
      <c r="M22" s="423">
        <f t="shared" si="1"/>
        <v>274.55714101812242</v>
      </c>
      <c r="N22" s="423">
        <f t="shared" si="2"/>
        <v>554.32740754340102</v>
      </c>
      <c r="O22" s="423">
        <f t="shared" si="3"/>
        <v>68.639285254530606</v>
      </c>
      <c r="P22" s="423">
        <f t="shared" si="4"/>
        <v>116.85936026837584</v>
      </c>
    </row>
    <row r="23" spans="1:16" x14ac:dyDescent="0.25">
      <c r="A23" s="82">
        <v>2039</v>
      </c>
      <c r="B23" s="150">
        <f>Assumptions!$E$39*365*(1+Assumptions!$E$17)^(PedBike!A23-2022)</f>
        <v>102217.62360104699</v>
      </c>
      <c r="C23" s="150">
        <f>(Assumptions!$E$40-Assumptions!$E$39)*365*(1+Assumptions!$E$17)^(PedBike!A23-2022)</f>
        <v>206376.09382840822</v>
      </c>
      <c r="D23" s="150">
        <f>Assumptions!$E$42*365*(1+Assumptions!$E$17)^(PedBike!A23-2022)</f>
        <v>25554.405900261747</v>
      </c>
      <c r="E23" s="150">
        <f>(Assumptions!$E$43-Assumptions!$E$42)*365*(1+Assumptions!$E$17)^(PedBike!A23-2022)</f>
        <v>43506.739827916324</v>
      </c>
      <c r="F23" s="150"/>
      <c r="G23" s="151">
        <f>C23*Assumptions!$E$52*Assumptions!$E$54</f>
        <v>1010417.3553838868</v>
      </c>
      <c r="H23" s="151">
        <f>E23*Assumptions!$E$53*Assumptions!$E$55</f>
        <v>164794.82912018144</v>
      </c>
      <c r="I23" s="150"/>
      <c r="J23" s="151">
        <f>(0.5*C23+B23)*Assumptions!$E$50*Assumptions!$E$48*Assumptions!$E$45</f>
        <v>194313.76430742754</v>
      </c>
      <c r="K23" s="151">
        <f>(D23+0.5*E23)*Assumptions!$E$49*Assumptions!$E$46</f>
        <v>199288.73639498278</v>
      </c>
      <c r="L23" s="151"/>
      <c r="M23" s="423">
        <f t="shared" si="1"/>
        <v>280.04828383848491</v>
      </c>
      <c r="N23" s="423">
        <f t="shared" si="2"/>
        <v>565.41395569426913</v>
      </c>
      <c r="O23" s="423">
        <f t="shared" si="3"/>
        <v>70.012070959621227</v>
      </c>
      <c r="P23" s="423">
        <f t="shared" si="4"/>
        <v>119.19654747374335</v>
      </c>
    </row>
    <row r="24" spans="1:16" x14ac:dyDescent="0.25">
      <c r="A24" s="82">
        <v>2040</v>
      </c>
      <c r="B24" s="150">
        <f>Assumptions!$E$39*365*(1+Assumptions!$E$17)^(PedBike!A24-2022)</f>
        <v>104261.97607306791</v>
      </c>
      <c r="C24" s="150">
        <f>(Assumptions!$E$40-Assumptions!$E$39)*365*(1+Assumptions!$E$17)^(PedBike!A24-2022)</f>
        <v>210503.61570497637</v>
      </c>
      <c r="D24" s="150">
        <f>Assumptions!$E$42*365*(1+Assumptions!$E$17)^(PedBike!A24-2022)</f>
        <v>26065.494018266978</v>
      </c>
      <c r="E24" s="150">
        <f>(Assumptions!$E$43-Assumptions!$E$42)*365*(1+Assumptions!$E$17)^(PedBike!A24-2022)</f>
        <v>44376.874624474651</v>
      </c>
      <c r="F24" s="150"/>
      <c r="G24" s="151">
        <f>C24*Assumptions!$E$52*Assumptions!$E$54</f>
        <v>1030625.7024915644</v>
      </c>
      <c r="H24" s="151">
        <f>E24*Assumptions!$E$53*Assumptions!$E$55</f>
        <v>168090.72570258507</v>
      </c>
      <c r="I24" s="150"/>
      <c r="J24" s="151">
        <f>(0.5*C24+B24)*Assumptions!$E$50*Assumptions!$E$48*Assumptions!$E$45</f>
        <v>198200.03959357608</v>
      </c>
      <c r="K24" s="151">
        <f>(D24+0.5*E24)*Assumptions!$E$49*Assumptions!$E$46</f>
        <v>203274.51112288242</v>
      </c>
      <c r="L24" s="151"/>
      <c r="M24" s="423">
        <f t="shared" si="1"/>
        <v>285.64924951525455</v>
      </c>
      <c r="N24" s="423">
        <f t="shared" si="2"/>
        <v>576.72223480815444</v>
      </c>
      <c r="O24" s="423">
        <f t="shared" si="3"/>
        <v>71.412312378813638</v>
      </c>
      <c r="P24" s="423">
        <f t="shared" si="4"/>
        <v>121.58047842321822</v>
      </c>
    </row>
    <row r="25" spans="1:16" x14ac:dyDescent="0.25">
      <c r="A25" s="82">
        <v>2041</v>
      </c>
      <c r="B25" s="150">
        <f>Assumptions!$E$39*365*(1+Assumptions!$E$17)^(PedBike!A25-2022)</f>
        <v>106347.21559452926</v>
      </c>
      <c r="C25" s="150">
        <f>(Assumptions!$E$40-Assumptions!$E$39)*365*(1+Assumptions!$E$17)^(PedBike!A25-2022)</f>
        <v>214713.68801907587</v>
      </c>
      <c r="D25" s="150">
        <f>Assumptions!$E$42*365*(1+Assumptions!$E$17)^(PedBike!A25-2022)</f>
        <v>26586.803898632315</v>
      </c>
      <c r="E25" s="150">
        <f>(Assumptions!$E$43-Assumptions!$E$42)*365*(1+Assumptions!$E$17)^(PedBike!A25-2022)</f>
        <v>45264.412116964137</v>
      </c>
      <c r="F25" s="150"/>
      <c r="G25" s="151">
        <f>C25*Assumptions!$E$52*Assumptions!$E$54</f>
        <v>1051238.2165413955</v>
      </c>
      <c r="H25" s="151">
        <f>E25*Assumptions!$E$53*Assumptions!$E$55</f>
        <v>171452.54021663676</v>
      </c>
      <c r="I25" s="150"/>
      <c r="J25" s="151">
        <f>(0.5*C25+B25)*Assumptions!$E$50*Assumptions!$E$48*Assumptions!$E$45</f>
        <v>202164.04038544753</v>
      </c>
      <c r="K25" s="151">
        <f>(D25+0.5*E25)*Assumptions!$E$49*Assumptions!$E$46</f>
        <v>207340.00134534002</v>
      </c>
      <c r="L25" s="151"/>
      <c r="M25" s="423">
        <f t="shared" si="1"/>
        <v>291.36223450555963</v>
      </c>
      <c r="N25" s="423">
        <f t="shared" si="2"/>
        <v>588.25667950431739</v>
      </c>
      <c r="O25" s="423">
        <f t="shared" si="3"/>
        <v>72.840558626389907</v>
      </c>
      <c r="P25" s="423">
        <f t="shared" si="4"/>
        <v>124.01208799168256</v>
      </c>
    </row>
    <row r="26" spans="1:16" x14ac:dyDescent="0.25">
      <c r="A26" s="82">
        <v>2042</v>
      </c>
      <c r="B26" s="150">
        <f>Assumptions!$E$39*365*(1+Assumptions!$E$17)^(PedBike!A26-2022)</f>
        <v>108474.15990641985</v>
      </c>
      <c r="C26" s="150">
        <f>(Assumptions!$E$40-Assumptions!$E$39)*365*(1+Assumptions!$E$17)^(PedBike!A26-2022)</f>
        <v>219007.96177945743</v>
      </c>
      <c r="D26" s="150">
        <f>Assumptions!$E$42*365*(1+Assumptions!$E$17)^(PedBike!A26-2022)</f>
        <v>27118.539976604963</v>
      </c>
      <c r="E26" s="150">
        <f>(Assumptions!$E$43-Assumptions!$E$42)*365*(1+Assumptions!$E$17)^(PedBike!A26-2022)</f>
        <v>46169.700359303424</v>
      </c>
      <c r="F26" s="150"/>
      <c r="G26" s="151">
        <f>C26*Assumptions!$E$52*Assumptions!$E$54</f>
        <v>1072262.9808722236</v>
      </c>
      <c r="H26" s="151">
        <f>E26*Assumptions!$E$53*Assumptions!$E$55</f>
        <v>174881.5910209695</v>
      </c>
      <c r="I26" s="150"/>
      <c r="J26" s="151">
        <f>(0.5*C26+B26)*Assumptions!$E$50*Assumptions!$E$48*Assumptions!$E$45</f>
        <v>206207.32119315656</v>
      </c>
      <c r="K26" s="151">
        <f>(D26+0.5*E26)*Assumptions!$E$49*Assumptions!$E$46</f>
        <v>211486.80137224685</v>
      </c>
      <c r="L26" s="151"/>
      <c r="M26" s="423">
        <f t="shared" si="1"/>
        <v>297.18947919567086</v>
      </c>
      <c r="N26" s="423">
        <f t="shared" si="2"/>
        <v>600.02181309440391</v>
      </c>
      <c r="O26" s="423">
        <f t="shared" si="3"/>
        <v>74.297369798917714</v>
      </c>
      <c r="P26" s="423">
        <f t="shared" si="4"/>
        <v>126.49232975151624</v>
      </c>
    </row>
    <row r="27" spans="1:16" x14ac:dyDescent="0.25">
      <c r="A27" s="82">
        <v>2043</v>
      </c>
      <c r="B27" s="150">
        <f>Assumptions!$E$39*365*(1+Assumptions!$E$17)^(PedBike!A27-2022)</f>
        <v>110643.64310454825</v>
      </c>
      <c r="C27" s="150">
        <f>(Assumptions!$E$40-Assumptions!$E$39)*365*(1+Assumptions!$E$17)^(PedBike!A27-2022)</f>
        <v>223388.12101504655</v>
      </c>
      <c r="D27" s="150">
        <f>Assumptions!$E$42*365*(1+Assumptions!$E$17)^(PedBike!A27-2022)</f>
        <v>27660.910776137061</v>
      </c>
      <c r="E27" s="150">
        <f>(Assumptions!$E$43-Assumptions!$E$42)*365*(1+Assumptions!$E$17)^(PedBike!A27-2022)</f>
        <v>47093.094366489495</v>
      </c>
      <c r="F27" s="150"/>
      <c r="G27" s="151">
        <f>C27*Assumptions!$E$52*Assumptions!$E$54</f>
        <v>1093708.240489668</v>
      </c>
      <c r="H27" s="151">
        <f>E27*Assumptions!$E$53*Assumptions!$E$55</f>
        <v>178379.2228413889</v>
      </c>
      <c r="I27" s="150"/>
      <c r="J27" s="151">
        <f>(0.5*C27+B27)*Assumptions!$E$50*Assumptions!$E$48*Assumptions!$E$45</f>
        <v>210331.46761701963</v>
      </c>
      <c r="K27" s="151">
        <f>(D27+0.5*E27)*Assumptions!$E$49*Assumptions!$E$46</f>
        <v>215716.53739969179</v>
      </c>
      <c r="L27" s="151"/>
      <c r="M27" s="423">
        <f t="shared" si="1"/>
        <v>303.13326877958423</v>
      </c>
      <c r="N27" s="423">
        <f t="shared" si="2"/>
        <v>612.02224935629192</v>
      </c>
      <c r="O27" s="423">
        <f t="shared" si="3"/>
        <v>75.783317194896057</v>
      </c>
      <c r="P27" s="423">
        <f t="shared" si="4"/>
        <v>129.02217634654656</v>
      </c>
    </row>
    <row r="28" spans="1:16" x14ac:dyDescent="0.25">
      <c r="A28" s="82">
        <v>2044</v>
      </c>
      <c r="B28" s="150">
        <f>Assumptions!$E$39*365*(1+Assumptions!$E$17)^(PedBike!A28-2022)</f>
        <v>112856.51596663921</v>
      </c>
      <c r="C28" s="150">
        <f>(Assumptions!$E$40-Assumptions!$E$39)*365*(1+Assumptions!$E$17)^(PedBike!A28-2022)</f>
        <v>227855.8834353475</v>
      </c>
      <c r="D28" s="150">
        <f>Assumptions!$E$42*365*(1+Assumptions!$E$17)^(PedBike!A28-2022)</f>
        <v>28214.128991659803</v>
      </c>
      <c r="E28" s="150">
        <f>(Assumptions!$E$43-Assumptions!$E$42)*365*(1+Assumptions!$E$17)^(PedBike!A28-2022)</f>
        <v>48034.956253819284</v>
      </c>
      <c r="F28" s="150"/>
      <c r="G28" s="151">
        <f>C28*Assumptions!$E$52*Assumptions!$E$54</f>
        <v>1115582.4052994614</v>
      </c>
      <c r="H28" s="151">
        <f>E28*Assumptions!$E$53*Assumptions!$E$55</f>
        <v>181946.80729821668</v>
      </c>
      <c r="I28" s="150"/>
      <c r="J28" s="151">
        <f>(0.5*C28+B28)*Assumptions!$E$50*Assumptions!$E$48*Assumptions!$E$45</f>
        <v>214538.09696936005</v>
      </c>
      <c r="K28" s="151">
        <f>(D28+0.5*E28)*Assumptions!$E$49*Assumptions!$E$46</f>
        <v>220030.86814768563</v>
      </c>
      <c r="L28" s="151"/>
      <c r="M28" s="423">
        <f t="shared" si="1"/>
        <v>309.19593415517591</v>
      </c>
      <c r="N28" s="423">
        <f t="shared" si="2"/>
        <v>624.26269434341782</v>
      </c>
      <c r="O28" s="423">
        <f t="shared" si="3"/>
        <v>77.298983538793976</v>
      </c>
      <c r="P28" s="423">
        <f t="shared" si="4"/>
        <v>131.60261987347749</v>
      </c>
    </row>
    <row r="29" spans="1:16" x14ac:dyDescent="0.25">
      <c r="A29" s="82">
        <v>2045</v>
      </c>
      <c r="B29" s="150">
        <f>Assumptions!$E$39*365*(1+Assumptions!$E$17)^(PedBike!A29-2022)</f>
        <v>115113.64628597199</v>
      </c>
      <c r="C29" s="150">
        <f>(Assumptions!$E$40-Assumptions!$E$39)*365*(1+Assumptions!$E$17)^(PedBike!A29-2022)</f>
        <v>232413.00110405439</v>
      </c>
      <c r="D29" s="150">
        <f>Assumptions!$E$42*365*(1+Assumptions!$E$17)^(PedBike!A29-2022)</f>
        <v>28778.411571492998</v>
      </c>
      <c r="E29" s="150">
        <f>(Assumptions!$E$43-Assumptions!$E$42)*365*(1+Assumptions!$E$17)^(PedBike!A29-2022)</f>
        <v>48995.655378895659</v>
      </c>
      <c r="F29" s="150"/>
      <c r="G29" s="151">
        <f>C29*Assumptions!$E$52*Assumptions!$E$54</f>
        <v>1137894.0534054504</v>
      </c>
      <c r="H29" s="151">
        <f>E29*Assumptions!$E$53*Assumptions!$E$55</f>
        <v>185585.74344418096</v>
      </c>
      <c r="I29" s="150"/>
      <c r="J29" s="151">
        <f>(0.5*C29+B29)*Assumptions!$E$50*Assumptions!$E$48*Assumptions!$E$45</f>
        <v>218828.85890874721</v>
      </c>
      <c r="K29" s="151">
        <f>(D29+0.5*E29)*Assumptions!$E$49*Assumptions!$E$46</f>
        <v>224431.48551063932</v>
      </c>
      <c r="L29" s="151"/>
      <c r="M29" s="423">
        <f t="shared" si="1"/>
        <v>315.37985283827942</v>
      </c>
      <c r="N29" s="423">
        <f t="shared" si="2"/>
        <v>636.74794823028606</v>
      </c>
      <c r="O29" s="423">
        <f t="shared" si="3"/>
        <v>78.844963209569855</v>
      </c>
      <c r="P29" s="423">
        <f t="shared" si="4"/>
        <v>134.23467227094702</v>
      </c>
    </row>
    <row r="30" spans="1:16" s="85" customFormat="1" x14ac:dyDescent="0.25">
      <c r="A30" s="82">
        <v>2046</v>
      </c>
      <c r="B30" s="150">
        <f>Assumptions!$E$39*365*(1+Assumptions!$E$17)^(PedBike!A30-2022)</f>
        <v>117415.91921169143</v>
      </c>
      <c r="C30" s="150">
        <f>(Assumptions!$E$40-Assumptions!$E$39)*365*(1+Assumptions!$E$17)^(PedBike!A30-2022)</f>
        <v>237061.26112613551</v>
      </c>
      <c r="D30" s="150">
        <f>Assumptions!$E$42*365*(1+Assumptions!$E$17)^(PedBike!A30-2022)</f>
        <v>29353.979802922859</v>
      </c>
      <c r="E30" s="150">
        <f>(Assumptions!$E$43-Assumptions!$E$42)*365*(1+Assumptions!$E$17)^(PedBike!A30-2022)</f>
        <v>49975.568486473574</v>
      </c>
      <c r="F30" s="150"/>
      <c r="G30" s="151">
        <f>C30*Assumptions!$E$52*Assumptions!$E$54</f>
        <v>1160651.9344735595</v>
      </c>
      <c r="H30" s="151">
        <f>E30*Assumptions!$E$53*Assumptions!$E$55</f>
        <v>189297.45831306459</v>
      </c>
      <c r="I30" s="150"/>
      <c r="J30" s="151">
        <f>(0.5*C30+B30)*Assumptions!$E$50*Assumptions!$E$48*Assumptions!$E$45</f>
        <v>223205.43608692219</v>
      </c>
      <c r="K30" s="151">
        <f>(D30+0.5*E30)*Assumptions!$E$49*Assumptions!$E$46</f>
        <v>228920.11522085211</v>
      </c>
      <c r="L30" s="151"/>
      <c r="M30" s="423">
        <f t="shared" si="1"/>
        <v>321.68744989504501</v>
      </c>
      <c r="N30" s="423">
        <f t="shared" si="2"/>
        <v>649.48290719489182</v>
      </c>
      <c r="O30" s="423">
        <f t="shared" si="3"/>
        <v>80.421862473761252</v>
      </c>
      <c r="P30" s="423">
        <f t="shared" si="4"/>
        <v>136.91936571636595</v>
      </c>
    </row>
    <row r="31" spans="1:16" x14ac:dyDescent="0.25">
      <c r="B31" s="89"/>
      <c r="C31" s="89"/>
      <c r="D31" s="89"/>
      <c r="E31" s="89"/>
      <c r="F31" s="89"/>
      <c r="G31" s="89"/>
      <c r="H31" s="89"/>
      <c r="I31" s="89"/>
      <c r="J31" s="89"/>
      <c r="K31" s="89"/>
      <c r="L31" s="89"/>
      <c r="M31" s="423">
        <f t="shared" si="1"/>
        <v>0</v>
      </c>
      <c r="N31" s="423">
        <f t="shared" si="2"/>
        <v>0</v>
      </c>
      <c r="O31" s="423">
        <f t="shared" si="3"/>
        <v>0</v>
      </c>
      <c r="P31" s="423">
        <f t="shared" si="4"/>
        <v>0</v>
      </c>
    </row>
    <row r="33" spans="2:5" x14ac:dyDescent="0.25">
      <c r="B33" s="170"/>
      <c r="C33" s="170"/>
      <c r="D33" s="170"/>
      <c r="E33" s="17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48"/>
  <sheetViews>
    <sheetView showGridLines="0" tabSelected="1" zoomScaleNormal="100" workbookViewId="0">
      <pane xSplit="1" ySplit="5" topLeftCell="B6" activePane="bottomRight" state="frozen"/>
      <selection pane="topRight" activeCell="B1" sqref="B1"/>
      <selection pane="bottomLeft" activeCell="A4" sqref="A4"/>
      <selection pane="bottomRight" activeCell="D5" sqref="D5"/>
    </sheetView>
  </sheetViews>
  <sheetFormatPr defaultColWidth="9.28515625" defaultRowHeight="15" x14ac:dyDescent="0.25"/>
  <cols>
    <col min="1" max="2" width="10.42578125" style="152" customWidth="1"/>
    <col min="3" max="4" width="13.28515625" style="152" customWidth="1"/>
    <col min="5" max="6" width="13.28515625" style="89" customWidth="1"/>
    <col min="7" max="7" width="6.7109375" style="89" customWidth="1"/>
    <col min="8" max="8" width="22" style="89" customWidth="1"/>
    <col min="9" max="9" width="6.28515625" style="89" customWidth="1"/>
    <col min="10" max="10" width="11.42578125" style="89" customWidth="1"/>
    <col min="11" max="11" width="11.5703125" style="89" customWidth="1"/>
    <col min="12" max="12" width="14.28515625" style="89" customWidth="1"/>
    <col min="13" max="13" width="4.5703125" style="81" customWidth="1"/>
    <col min="14" max="14" width="19.7109375" style="181" customWidth="1"/>
    <col min="15" max="15" width="10.5703125" style="181" customWidth="1"/>
    <col min="16" max="16" width="14.42578125" style="181" customWidth="1"/>
    <col min="17" max="17" width="14.7109375" style="81" bestFit="1" customWidth="1"/>
    <col min="18" max="20" width="8" style="81" customWidth="1"/>
    <col min="21" max="22" width="10.7109375" style="81" customWidth="1"/>
    <col min="23" max="24" width="11.28515625" style="81" customWidth="1"/>
    <col min="25" max="29" width="12.140625" style="89" customWidth="1"/>
    <col min="30" max="31" width="9.42578125" style="89" customWidth="1"/>
    <col min="32" max="33" width="11.140625" style="89" bestFit="1" customWidth="1"/>
    <col min="34" max="34" width="12.140625" style="89" bestFit="1" customWidth="1"/>
    <col min="35" max="35" width="9.28515625" style="89" bestFit="1" customWidth="1"/>
    <col min="36" max="36" width="7" style="89" customWidth="1"/>
    <col min="37" max="39" width="9.28515625" style="89"/>
    <col min="40" max="40" width="9.7109375" style="89" bestFit="1" customWidth="1"/>
    <col min="41" max="41" width="9.7109375" style="89" customWidth="1"/>
    <col min="42" max="42" width="7" style="89" customWidth="1"/>
    <col min="43" max="43" width="9.7109375" style="89" bestFit="1" customWidth="1"/>
    <col min="44" max="44" width="10.42578125" style="89" bestFit="1" customWidth="1"/>
    <col min="45" max="45" width="10.7109375" style="89" bestFit="1" customWidth="1"/>
    <col min="46" max="46" width="14.140625" style="89" bestFit="1" customWidth="1"/>
    <col min="47" max="47" width="12.28515625" style="89" customWidth="1"/>
    <col min="48" max="16384" width="9.28515625" style="89"/>
  </cols>
  <sheetData>
    <row r="1" spans="1:47" s="196" customFormat="1" x14ac:dyDescent="0.25">
      <c r="A1" s="190" t="s">
        <v>234</v>
      </c>
      <c r="C1" s="190"/>
      <c r="D1" s="190"/>
      <c r="E1" s="191"/>
      <c r="F1" s="191"/>
      <c r="H1" s="190"/>
    </row>
    <row r="3" spans="1:47" ht="18" customHeight="1" x14ac:dyDescent="0.25">
      <c r="A3" s="56"/>
      <c r="B3" s="56"/>
      <c r="C3" s="90" t="s">
        <v>206</v>
      </c>
      <c r="D3" s="185"/>
      <c r="E3" s="185"/>
      <c r="F3" s="91"/>
      <c r="G3" s="88"/>
      <c r="H3" s="231" t="s">
        <v>181</v>
      </c>
      <c r="I3" s="81"/>
      <c r="J3" s="92" t="s">
        <v>130</v>
      </c>
      <c r="K3" s="93"/>
      <c r="L3" s="94"/>
      <c r="N3" s="95" t="s">
        <v>103</v>
      </c>
      <c r="O3" s="180"/>
      <c r="P3" s="187" t="s">
        <v>249</v>
      </c>
      <c r="Q3" s="343"/>
      <c r="R3" s="343"/>
      <c r="S3" s="343"/>
      <c r="T3" s="350"/>
      <c r="U3" s="343"/>
      <c r="V3" s="343"/>
      <c r="W3" s="186"/>
      <c r="Y3" s="92" t="s">
        <v>159</v>
      </c>
      <c r="Z3" s="93"/>
      <c r="AA3" s="93"/>
      <c r="AB3" s="93"/>
      <c r="AC3" s="93"/>
      <c r="AD3" s="94"/>
      <c r="AE3" s="120"/>
      <c r="AF3" s="92" t="s">
        <v>135</v>
      </c>
      <c r="AG3" s="93"/>
      <c r="AH3" s="93"/>
      <c r="AI3" s="94"/>
      <c r="AJ3" s="120"/>
      <c r="AK3" s="92" t="s">
        <v>137</v>
      </c>
      <c r="AL3" s="93"/>
      <c r="AM3" s="93"/>
      <c r="AN3" s="94"/>
      <c r="AO3" s="120"/>
      <c r="AP3" s="120"/>
      <c r="AQ3" s="92" t="s">
        <v>136</v>
      </c>
      <c r="AR3" s="93"/>
      <c r="AS3" s="93"/>
      <c r="AT3" s="94"/>
    </row>
    <row r="4" spans="1:47" s="97" customFormat="1" ht="32.65" customHeight="1" x14ac:dyDescent="0.25">
      <c r="A4" s="87"/>
      <c r="B4" s="87"/>
      <c r="C4" s="211" t="s">
        <v>269</v>
      </c>
      <c r="D4" s="420" t="s">
        <v>270</v>
      </c>
      <c r="E4" s="211" t="s">
        <v>138</v>
      </c>
      <c r="F4" s="211" t="s">
        <v>139</v>
      </c>
      <c r="G4" s="79"/>
      <c r="H4" s="211" t="s">
        <v>30</v>
      </c>
      <c r="I4" s="229"/>
      <c r="J4" s="211" t="s">
        <v>109</v>
      </c>
      <c r="K4" s="211" t="s">
        <v>110</v>
      </c>
      <c r="L4" s="211" t="s">
        <v>111</v>
      </c>
      <c r="N4" s="230"/>
      <c r="O4" s="230"/>
      <c r="P4" s="344" t="s">
        <v>248</v>
      </c>
      <c r="Q4" s="345" t="s">
        <v>231</v>
      </c>
      <c r="R4" s="346" t="s">
        <v>204</v>
      </c>
      <c r="S4" s="347"/>
      <c r="T4" s="348"/>
      <c r="U4" s="349" t="s">
        <v>205</v>
      </c>
      <c r="V4" s="347"/>
      <c r="W4" s="348"/>
      <c r="X4" s="99"/>
      <c r="Y4" s="211" t="s">
        <v>131</v>
      </c>
      <c r="Z4" s="211" t="s">
        <v>132</v>
      </c>
      <c r="AA4" s="211" t="s">
        <v>133</v>
      </c>
      <c r="AB4" s="349" t="s">
        <v>134</v>
      </c>
      <c r="AC4" s="347"/>
      <c r="AD4" s="348"/>
      <c r="AE4" s="79"/>
      <c r="AF4" s="211" t="s">
        <v>131</v>
      </c>
      <c r="AG4" s="211" t="s">
        <v>132</v>
      </c>
      <c r="AH4" s="211" t="s">
        <v>133</v>
      </c>
      <c r="AI4" s="211" t="s">
        <v>134</v>
      </c>
      <c r="AJ4" s="86"/>
      <c r="AK4" s="211" t="s">
        <v>131</v>
      </c>
      <c r="AL4" s="211" t="s">
        <v>132</v>
      </c>
      <c r="AM4" s="211" t="s">
        <v>133</v>
      </c>
      <c r="AN4" s="349" t="s">
        <v>134</v>
      </c>
      <c r="AO4" s="347"/>
      <c r="AP4" s="79"/>
      <c r="AQ4" s="211" t="s">
        <v>131</v>
      </c>
      <c r="AR4" s="211" t="s">
        <v>132</v>
      </c>
      <c r="AS4" s="211" t="s">
        <v>133</v>
      </c>
      <c r="AT4" s="211" t="s">
        <v>134</v>
      </c>
      <c r="AU4" s="211" t="s">
        <v>134</v>
      </c>
    </row>
    <row r="5" spans="1:47" x14ac:dyDescent="0.25">
      <c r="R5" s="81" t="s">
        <v>101</v>
      </c>
      <c r="S5" s="81" t="s">
        <v>239</v>
      </c>
      <c r="T5" s="81" t="s">
        <v>203</v>
      </c>
      <c r="U5" s="81" t="s">
        <v>101</v>
      </c>
      <c r="V5" s="81" t="s">
        <v>239</v>
      </c>
      <c r="W5" s="81" t="s">
        <v>203</v>
      </c>
      <c r="AB5" s="89" t="s">
        <v>101</v>
      </c>
      <c r="AC5" s="89" t="s">
        <v>239</v>
      </c>
      <c r="AD5" s="89" t="s">
        <v>203</v>
      </c>
      <c r="AN5" s="100" t="s">
        <v>239</v>
      </c>
      <c r="AO5" s="100" t="s">
        <v>203</v>
      </c>
      <c r="AT5" s="100" t="s">
        <v>203</v>
      </c>
      <c r="AU5" s="100" t="s">
        <v>239</v>
      </c>
    </row>
    <row r="6" spans="1:47" ht="15.75" customHeight="1" x14ac:dyDescent="0.25">
      <c r="A6" s="82">
        <v>2022</v>
      </c>
      <c r="B6" s="56">
        <f>INDEX(Factors!E:E,MATCH('Reduced VMT'!A6,Factors!B:B,0))</f>
        <v>0</v>
      </c>
      <c r="C6" s="150">
        <f>INDEX('Time Savings'!$8:$8,1,MATCH('Reduced VMT'!A6,'Time Savings'!$6:$6,0))*Assumptions!$E$13*365</f>
        <v>26280000</v>
      </c>
      <c r="D6" s="150">
        <f t="shared" ref="D6:D30" si="0">C6-F6</f>
        <v>26204100.581556886</v>
      </c>
      <c r="E6" s="184">
        <f>PedBike!C6*Assumptions!$E$45</f>
        <v>126752.02880000001</v>
      </c>
      <c r="F6" s="184">
        <f>(E6/Assumptions!$E$57)</f>
        <v>75899.418443113784</v>
      </c>
      <c r="G6" s="184"/>
      <c r="H6" s="424">
        <f>F6*Assumptions!$E$60</f>
        <v>34913.73248383234</v>
      </c>
      <c r="I6" s="81"/>
      <c r="J6" s="425">
        <f>'Reduced VMT'!F6*Assumptions!$E$72</f>
        <v>2125.1837164071858</v>
      </c>
      <c r="K6" s="425">
        <f>'Reduced VMT'!F6*Assumptions!$E$75</f>
        <v>15.179883688622757</v>
      </c>
      <c r="L6" s="425">
        <f>'Reduced VMT'!F6*Assumptions!$E$78</f>
        <v>6071.9534754491024</v>
      </c>
      <c r="N6" s="426">
        <f>F6*Assumptions!$E$68</f>
        <v>18974.854610778446</v>
      </c>
      <c r="P6" s="188">
        <f>Assumptions!$E$65</f>
        <v>8780</v>
      </c>
      <c r="Q6" s="188">
        <f>Assumptions!E131</f>
        <v>24.595210999999999</v>
      </c>
      <c r="R6" s="58">
        <f>ROUND(INDEX('Time Savings'!$C$14:$AA$14,1,MATCH(A6,'Time Savings'!$C$6:$AA$6,0)),0)</f>
        <v>46</v>
      </c>
      <c r="S6" s="58">
        <f>ROUND(INDEX('Time Savings'!$C$19:$AA$19,1,MATCH(A6,'Time Savings'!$C$6:$AA$6,0)),0)</f>
        <v>46</v>
      </c>
      <c r="T6" s="58">
        <f>ROUND(INDEX('Time Savings'!$C$27:$AA$27,1,MATCH(A6,'Time Savings'!$C$6:$AA$6,0)),0)</f>
        <v>46</v>
      </c>
      <c r="U6" s="175">
        <f>INDEX(Assumptions!$E$97:$E$127,MATCH(R6,Assumptions!$B$97:$B$127,0))</f>
        <v>0.96583182434567971</v>
      </c>
      <c r="V6" s="175">
        <f>INDEX(Assumptions!$E$97:$E$127,MATCH(S6,Assumptions!$B$97:$B$127,0))</f>
        <v>0.96583182434567971</v>
      </c>
      <c r="W6" s="175">
        <f>INDEX(Assumptions!$E$97:$E$127,MATCH(T6,Assumptions!$B$97:$B$127,0))</f>
        <v>0.96583182434567971</v>
      </c>
      <c r="X6" s="214"/>
      <c r="Y6" s="427">
        <v>2.8229784695707485E-3</v>
      </c>
      <c r="Z6" s="427">
        <v>7.3603497374174001E-2</v>
      </c>
      <c r="AA6" s="427">
        <v>1.0176842606564201E-3</v>
      </c>
      <c r="AB6" s="188">
        <f t="shared" ref="AB6:AB30" si="1">P6/(Q6/U6)</f>
        <v>344.78270659093221</v>
      </c>
      <c r="AC6" s="188">
        <f>P6/(Q6/V6)</f>
        <v>344.78270659093221</v>
      </c>
      <c r="AD6" s="215">
        <f t="shared" ref="AD6:AD30" si="2">P6/(Q6/W6)</f>
        <v>344.78270659093221</v>
      </c>
      <c r="AE6" s="215"/>
      <c r="AF6" s="428">
        <v>44300</v>
      </c>
      <c r="AG6" s="428">
        <v>16600</v>
      </c>
      <c r="AH6" s="428">
        <v>796700</v>
      </c>
      <c r="AI6" s="428">
        <v>56</v>
      </c>
      <c r="AJ6" s="216"/>
      <c r="AK6" s="184">
        <f>'Reduced VMT'!$F6*'Reduced VMT'!Y6*Assumptions!$E$64</f>
        <v>2.1426242411785119E-4</v>
      </c>
      <c r="AL6" s="184">
        <f>'Reduced VMT'!$F6*'Reduced VMT'!Z6*Assumptions!$E$64</f>
        <v>5.5864626460790587E-3</v>
      </c>
      <c r="AM6" s="184">
        <f>'Reduced VMT'!$F6*'Reduced VMT'!AA6*Assumptions!$E$64</f>
        <v>7.7241643542532497E-5</v>
      </c>
      <c r="AN6" s="429">
        <f>(C6*AB6-D6*AC6)*Assumptions!$E$64</f>
        <v>26.168806919494628</v>
      </c>
      <c r="AO6" s="184">
        <f>(C6*AB6-D6*AD6)*Assumptions!$E$64</f>
        <v>26.168806919494628</v>
      </c>
      <c r="AP6" s="184"/>
      <c r="AQ6" s="430">
        <f t="shared" ref="AQ6:AQ30" si="3">AK6*AF6</f>
        <v>9.491825388420807</v>
      </c>
      <c r="AR6" s="430">
        <f t="shared" ref="AR6:AR30" si="4">AL6*AG6</f>
        <v>92.735279924912376</v>
      </c>
      <c r="AS6" s="430">
        <f t="shared" ref="AS6:AS30" si="5">AM6*AH6</f>
        <v>61.53841741033564</v>
      </c>
      <c r="AT6" s="430">
        <f t="shared" ref="AT6:AT30" si="6">AO6*AI6</f>
        <v>1465.4531874916993</v>
      </c>
      <c r="AU6" s="431">
        <f>AN6*AI6</f>
        <v>1465.4531874916993</v>
      </c>
    </row>
    <row r="7" spans="1:47" ht="15.75" customHeight="1" x14ac:dyDescent="0.25">
      <c r="A7" s="82">
        <f t="shared" ref="A7:A30" si="7">A6+1</f>
        <v>2023</v>
      </c>
      <c r="B7" s="56">
        <f>INDEX(Factors!E:E,MATCH('Reduced VMT'!A7,Factors!B:B,0))</f>
        <v>0</v>
      </c>
      <c r="C7" s="150">
        <f>INDEX('Time Savings'!$8:$8,1,MATCH('Reduced VMT'!A7,'Time Savings'!$6:$6,0))*Assumptions!$E$13*365</f>
        <v>26805600</v>
      </c>
      <c r="D7" s="150">
        <f t="shared" si="0"/>
        <v>26728182.593188025</v>
      </c>
      <c r="E7" s="184">
        <f>PedBike!C7*Assumptions!$E$45</f>
        <v>129287.069376</v>
      </c>
      <c r="F7" s="184">
        <f>(E7/Assumptions!$E$57)</f>
        <v>77417.406811976049</v>
      </c>
      <c r="G7" s="184"/>
      <c r="H7" s="424">
        <f>F7*Assumptions!$E$60</f>
        <v>35612.007133508981</v>
      </c>
      <c r="I7" s="81"/>
      <c r="J7" s="425">
        <f>'Reduced VMT'!F7*Assumptions!$E$72</f>
        <v>2167.6873907353292</v>
      </c>
      <c r="K7" s="425">
        <f>'Reduced VMT'!F7*Assumptions!$E$75</f>
        <v>15.48348136239521</v>
      </c>
      <c r="L7" s="425">
        <f>'Reduced VMT'!F7*Assumptions!$E$78</f>
        <v>6193.3925449580838</v>
      </c>
      <c r="N7" s="426">
        <f>F7*Assumptions!$E$68</f>
        <v>19354.351702994012</v>
      </c>
      <c r="P7" s="188">
        <f>Assumptions!$E$65</f>
        <v>8780</v>
      </c>
      <c r="Q7" s="188">
        <f>Assumptions!E132</f>
        <v>25.01634</v>
      </c>
      <c r="R7" s="58">
        <f>ROUND(INDEX('Time Savings'!$C$14:$AA$14,1,MATCH(A7,'Time Savings'!$C$6:$AA$6,0)),0)</f>
        <v>46</v>
      </c>
      <c r="S7" s="58">
        <f>ROUND(INDEX('Time Savings'!$C$19:$AA$19,1,MATCH(A7,'Time Savings'!$C$6:$AA$6,0)),0)</f>
        <v>46</v>
      </c>
      <c r="T7" s="58">
        <f>ROUND(INDEX('Time Savings'!$C$27:$AA$27,1,MATCH(A7,'Time Savings'!$C$6:$AA$6,0)),0)</f>
        <v>46</v>
      </c>
      <c r="U7" s="175">
        <f>INDEX(Assumptions!$E$97:$E$127,MATCH(R7,Assumptions!$B$97:$B$127,0))</f>
        <v>0.96583182434567971</v>
      </c>
      <c r="V7" s="175">
        <f>INDEX(Assumptions!$E$97:$E$127,MATCH(S7,Assumptions!$B$97:$B$127,0))</f>
        <v>0.96583182434567971</v>
      </c>
      <c r="W7" s="175">
        <f>INDEX(Assumptions!$E$97:$E$127,MATCH(T7,Assumptions!$B$97:$B$127,0))</f>
        <v>0.96583182434567971</v>
      </c>
      <c r="X7" s="214"/>
      <c r="Y7" s="427">
        <v>2.8999999999999998E-3</v>
      </c>
      <c r="Z7" s="427">
        <v>6.5199999999999994E-2</v>
      </c>
      <c r="AA7" s="427">
        <v>1E-3</v>
      </c>
      <c r="AB7" s="188">
        <f t="shared" si="1"/>
        <v>338.97858031011202</v>
      </c>
      <c r="AC7" s="188">
        <f t="shared" ref="AC7:AC30" si="8">P7/(Q7/V7)</f>
        <v>338.97858031011202</v>
      </c>
      <c r="AD7" s="215">
        <f t="shared" si="2"/>
        <v>338.97858031011202</v>
      </c>
      <c r="AE7" s="215"/>
      <c r="AF7" s="428">
        <v>45100</v>
      </c>
      <c r="AG7" s="428">
        <v>16800</v>
      </c>
      <c r="AH7" s="428">
        <v>810500</v>
      </c>
      <c r="AI7" s="428">
        <v>57</v>
      </c>
      <c r="AJ7" s="216"/>
      <c r="AK7" s="184">
        <f>'Reduced VMT'!$F7*'Reduced VMT'!Y7*Assumptions!$E$64</f>
        <v>2.2451047975473052E-4</v>
      </c>
      <c r="AL7" s="184">
        <f>'Reduced VMT'!$F7*'Reduced VMT'!Z7*Assumptions!$E$64</f>
        <v>5.0476149241408374E-3</v>
      </c>
      <c r="AM7" s="184">
        <f>'Reduced VMT'!$F7*'Reduced VMT'!AA7*Assumptions!$E$64</f>
        <v>7.7417406811976041E-5</v>
      </c>
      <c r="AN7" s="429">
        <f>(C7*AB7-D7*AC7)*Assumptions!$E$64</f>
        <v>26.242842652414321</v>
      </c>
      <c r="AO7" s="184">
        <f>(C7*AB7-D7*AD7)*Assumptions!$E$64</f>
        <v>26.242842652414321</v>
      </c>
      <c r="AP7" s="217"/>
      <c r="AQ7" s="430">
        <f t="shared" si="3"/>
        <v>10.125422636938346</v>
      </c>
      <c r="AR7" s="430">
        <f t="shared" si="4"/>
        <v>84.799930725566071</v>
      </c>
      <c r="AS7" s="430">
        <f t="shared" si="5"/>
        <v>62.746808221106583</v>
      </c>
      <c r="AT7" s="430">
        <f t="shared" si="6"/>
        <v>1495.8420311876164</v>
      </c>
      <c r="AU7" s="431">
        <f t="shared" ref="AU7:AU30" si="9">AN7*AI7</f>
        <v>1495.8420311876164</v>
      </c>
    </row>
    <row r="8" spans="1:47" ht="15.75" customHeight="1" x14ac:dyDescent="0.25">
      <c r="A8" s="82">
        <f>A7+1</f>
        <v>2024</v>
      </c>
      <c r="B8" s="56">
        <f>INDEX(Factors!E:E,MATCH('Reduced VMT'!A8,Factors!B:B,0))</f>
        <v>0</v>
      </c>
      <c r="C8" s="150">
        <f>INDEX('Time Savings'!$8:$8,1,MATCH('Reduced VMT'!A8,'Time Savings'!$6:$6,0))*Assumptions!$E$13*365</f>
        <v>27341711.999999996</v>
      </c>
      <c r="D8" s="150">
        <f t="shared" si="0"/>
        <v>27262746.245051779</v>
      </c>
      <c r="E8" s="184">
        <f>PedBike!C8*Assumptions!$E$45</f>
        <v>131872.81076352001</v>
      </c>
      <c r="F8" s="184">
        <f>(E8/Assumptions!$E$57)</f>
        <v>78965.754948215574</v>
      </c>
      <c r="G8" s="184"/>
      <c r="H8" s="424">
        <f>F8*Assumptions!$E$60</f>
        <v>36324.247276179165</v>
      </c>
      <c r="I8" s="81"/>
      <c r="J8" s="425">
        <f>'Reduced VMT'!F8*Assumptions!$E$72</f>
        <v>2211.0411385500361</v>
      </c>
      <c r="K8" s="425">
        <f>'Reduced VMT'!F8*Assumptions!$E$75</f>
        <v>15.793150989643115</v>
      </c>
      <c r="L8" s="425">
        <f>'Reduced VMT'!F8*Assumptions!$E$78</f>
        <v>6317.2603958572463</v>
      </c>
      <c r="N8" s="426">
        <f>F8*Assumptions!$E$68</f>
        <v>19741.438737053893</v>
      </c>
      <c r="P8" s="188">
        <f>Assumptions!$E$65</f>
        <v>8780</v>
      </c>
      <c r="Q8" s="188">
        <f>Assumptions!E133</f>
        <v>25.443415000000002</v>
      </c>
      <c r="R8" s="58">
        <f>ROUND(INDEX('Time Savings'!$C$14:$AA$14,1,MATCH(A8,'Time Savings'!$C$6:$AA$6,0)),0)</f>
        <v>45</v>
      </c>
      <c r="S8" s="58">
        <f>ROUND(INDEX('Time Savings'!$C$19:$AA$19,1,MATCH(A8,'Time Savings'!$C$6:$AA$6,0)),0)</f>
        <v>45</v>
      </c>
      <c r="T8" s="58">
        <f>ROUND(INDEX('Time Savings'!$C$27:$AA$27,1,MATCH(A8,'Time Savings'!$C$6:$AA$6,0)),0)</f>
        <v>45</v>
      </c>
      <c r="U8" s="175">
        <f>INDEX(Assumptions!$E$97:$E$127,MATCH(R8,Assumptions!$B$97:$B$127,0))</f>
        <v>0.96569579128975169</v>
      </c>
      <c r="V8" s="175">
        <f>INDEX(Assumptions!$E$97:$E$127,MATCH(S8,Assumptions!$B$97:$B$127,0))</f>
        <v>0.96569579128975169</v>
      </c>
      <c r="W8" s="175">
        <f>INDEX(Assumptions!$E$97:$E$127,MATCH(T8,Assumptions!$B$97:$B$127,0))</f>
        <v>0.96569579128975169</v>
      </c>
      <c r="X8" s="214"/>
      <c r="Y8" s="427">
        <v>2.872689321998479E-3</v>
      </c>
      <c r="Z8" s="427">
        <v>6.1564978652629811E-2</v>
      </c>
      <c r="AA8" s="427">
        <v>9.5521910395232406E-4</v>
      </c>
      <c r="AB8" s="188">
        <f t="shared" si="1"/>
        <v>333.24178564567762</v>
      </c>
      <c r="AC8" s="188">
        <f t="shared" si="8"/>
        <v>333.24178564567762</v>
      </c>
      <c r="AD8" s="215">
        <f t="shared" si="2"/>
        <v>333.24178564567762</v>
      </c>
      <c r="AE8" s="215"/>
      <c r="AF8" s="428">
        <v>46000</v>
      </c>
      <c r="AG8" s="428">
        <v>17000</v>
      </c>
      <c r="AH8" s="428">
        <v>824500</v>
      </c>
      <c r="AI8" s="428">
        <v>58</v>
      </c>
      <c r="AJ8" s="216"/>
      <c r="AK8" s="184">
        <f>'Reduced VMT'!$F8*'Reduced VMT'!Y8*Assumptions!$E$64</f>
        <v>2.2684408104328742E-4</v>
      </c>
      <c r="AL8" s="184">
        <f>'Reduced VMT'!$F8*'Reduced VMT'!Z8*Assumptions!$E$64</f>
        <v>4.8615250176756884E-3</v>
      </c>
      <c r="AM8" s="184">
        <f>'Reduced VMT'!$F8*'Reduced VMT'!AA8*Assumptions!$E$64</f>
        <v>7.5429597684553284E-5</v>
      </c>
      <c r="AN8" s="429">
        <f>(C8*AB8-D8*AC8)*Assumptions!$E$64</f>
        <v>26.314689183803559</v>
      </c>
      <c r="AO8" s="184">
        <f>(C8*AB8-D8*AD8)*Assumptions!$E$64</f>
        <v>26.314689183803559</v>
      </c>
      <c r="AP8" s="217"/>
      <c r="AQ8" s="430">
        <f t="shared" si="3"/>
        <v>10.434827727991221</v>
      </c>
      <c r="AR8" s="430">
        <f t="shared" si="4"/>
        <v>82.645925300486709</v>
      </c>
      <c r="AS8" s="430">
        <f t="shared" si="5"/>
        <v>62.191703290914184</v>
      </c>
      <c r="AT8" s="430">
        <f t="shared" si="6"/>
        <v>1526.2519726606065</v>
      </c>
      <c r="AU8" s="431">
        <f t="shared" si="9"/>
        <v>1526.2519726606065</v>
      </c>
    </row>
    <row r="9" spans="1:47" ht="15.75" customHeight="1" x14ac:dyDescent="0.25">
      <c r="A9" s="82">
        <f t="shared" si="7"/>
        <v>2025</v>
      </c>
      <c r="B9" s="56">
        <f>INDEX(Factors!E:E,MATCH('Reduced VMT'!A9,Factors!B:B,0))</f>
        <v>0</v>
      </c>
      <c r="C9" s="150">
        <f>INDEX('Time Savings'!$8:$8,1,MATCH('Reduced VMT'!A9,'Time Savings'!$6:$6,0))*Assumptions!$E$13*365</f>
        <v>27888546.239999998</v>
      </c>
      <c r="D9" s="150">
        <f t="shared" si="0"/>
        <v>27808001.169952817</v>
      </c>
      <c r="E9" s="184">
        <f>PedBike!C9*Assumptions!$E$45</f>
        <v>134510.2669787904</v>
      </c>
      <c r="F9" s="184">
        <f>(E9/Assumptions!$E$57)</f>
        <v>80545.070047179877</v>
      </c>
      <c r="G9" s="184"/>
      <c r="H9" s="424">
        <f>F9*Assumptions!$E$60</f>
        <v>37050.732221702747</v>
      </c>
      <c r="I9" s="81"/>
      <c r="J9" s="425">
        <f>'Reduced VMT'!F9*Assumptions!$E$72</f>
        <v>2255.2619613210368</v>
      </c>
      <c r="K9" s="425">
        <f>'Reduced VMT'!F9*Assumptions!$E$75</f>
        <v>16.109014009435977</v>
      </c>
      <c r="L9" s="425">
        <f>'Reduced VMT'!F9*Assumptions!$E$78</f>
        <v>6443.6056037743901</v>
      </c>
      <c r="N9" s="426">
        <f>F9*Assumptions!$E$68</f>
        <v>20136.267511794969</v>
      </c>
      <c r="P9" s="188">
        <f>Assumptions!$E$65</f>
        <v>8780</v>
      </c>
      <c r="Q9" s="188">
        <f>Assumptions!E134</f>
        <v>25.867370999999999</v>
      </c>
      <c r="R9" s="58">
        <f>ROUND(INDEX('Time Savings'!$C$14:$AA$14,1,MATCH(A9,'Time Savings'!$C$6:$AA$6,0)),0)</f>
        <v>45</v>
      </c>
      <c r="S9" s="58">
        <f>ROUND(INDEX('Time Savings'!$C$19:$AA$19,1,MATCH(A9,'Time Savings'!$C$6:$AA$6,0)),0)</f>
        <v>35</v>
      </c>
      <c r="T9" s="58">
        <f>ROUND(INDEX('Time Savings'!$C$27:$AA$27,1,MATCH(A9,'Time Savings'!$C$6:$AA$6,0)),0)</f>
        <v>35</v>
      </c>
      <c r="U9" s="175">
        <f>INDEX(Assumptions!$E$97:$E$127,MATCH(R9,Assumptions!$B$97:$B$127,0))</f>
        <v>0.96569579128975169</v>
      </c>
      <c r="V9" s="175">
        <f>INDEX(Assumptions!$E$97:$E$127,MATCH(S9,Assumptions!$B$97:$B$127,0))</f>
        <v>1.0781633278907459</v>
      </c>
      <c r="W9" s="175">
        <f>INDEX(Assumptions!$E$97:$E$127,MATCH(T9,Assumptions!$B$97:$B$127,0))</f>
        <v>1.0781633278907459</v>
      </c>
      <c r="X9" s="214"/>
      <c r="Y9" s="427">
        <v>2.8456358416289935E-3</v>
      </c>
      <c r="Z9" s="427">
        <v>5.8132616510717251E-2</v>
      </c>
      <c r="AA9" s="427">
        <v>9.124435365554808E-4</v>
      </c>
      <c r="AB9" s="188">
        <f t="shared" si="1"/>
        <v>327.78008432028213</v>
      </c>
      <c r="AC9" s="188">
        <f t="shared" si="8"/>
        <v>365.95423705334218</v>
      </c>
      <c r="AD9" s="215">
        <f t="shared" si="2"/>
        <v>365.95423705334218</v>
      </c>
      <c r="AE9" s="215"/>
      <c r="AF9" s="428">
        <v>46900</v>
      </c>
      <c r="AG9" s="428">
        <v>17200</v>
      </c>
      <c r="AH9" s="428">
        <v>838800</v>
      </c>
      <c r="AI9" s="428">
        <v>59</v>
      </c>
      <c r="AJ9" s="216"/>
      <c r="AK9" s="184">
        <f>'Reduced VMT'!$F9*'Reduced VMT'!Y9*Assumptions!$E$64</f>
        <v>2.2920193819277296E-4</v>
      </c>
      <c r="AL9" s="184">
        <f>'Reduced VMT'!$F9*'Reduced VMT'!Z9*Assumptions!$E$64</f>
        <v>4.682295668881566E-3</v>
      </c>
      <c r="AM9" s="184">
        <f>'Reduced VMT'!$F9*'Reduced VMT'!AA9*Assumptions!$E$64</f>
        <v>7.3492828565957727E-5</v>
      </c>
      <c r="AN9" s="429">
        <f>(C9*AB9-D9*AC9)*Assumptions!$E$64</f>
        <v>-1035.1458140112438</v>
      </c>
      <c r="AO9" s="184">
        <f>(C9*AB9-D9*AD9)*Assumptions!$E$64</f>
        <v>-1035.1458140112438</v>
      </c>
      <c r="AP9" s="217"/>
      <c r="AQ9" s="430">
        <f t="shared" si="3"/>
        <v>10.749570901241052</v>
      </c>
      <c r="AR9" s="430">
        <f t="shared" si="4"/>
        <v>80.535485504762931</v>
      </c>
      <c r="AS9" s="430">
        <f t="shared" si="5"/>
        <v>61.645784601125342</v>
      </c>
      <c r="AT9" s="430">
        <f t="shared" si="6"/>
        <v>-61073.603026663382</v>
      </c>
      <c r="AU9" s="431">
        <f t="shared" si="9"/>
        <v>-61073.603026663382</v>
      </c>
    </row>
    <row r="10" spans="1:47" ht="15.75" customHeight="1" x14ac:dyDescent="0.25">
      <c r="A10" s="82">
        <f t="shared" si="7"/>
        <v>2026</v>
      </c>
      <c r="B10" s="56">
        <f>INDEX(Factors!E:E,MATCH('Reduced VMT'!A10,Factors!B:B,0))</f>
        <v>0</v>
      </c>
      <c r="C10" s="150">
        <f>INDEX('Time Savings'!$8:$8,1,MATCH('Reduced VMT'!A10,'Time Savings'!$6:$6,0))*Assumptions!$E$13*365</f>
        <v>28446317.164799996</v>
      </c>
      <c r="D10" s="150">
        <f t="shared" si="0"/>
        <v>28364161.193351872</v>
      </c>
      <c r="E10" s="184">
        <f>PedBike!C10*Assumptions!$E$45</f>
        <v>137200.47231836623</v>
      </c>
      <c r="F10" s="184">
        <f>(E10/Assumptions!$E$57)</f>
        <v>82155.971448123499</v>
      </c>
      <c r="G10" s="184"/>
      <c r="H10" s="424">
        <f>F10*Assumptions!$E$60</f>
        <v>37791.746866136811</v>
      </c>
      <c r="I10" s="81"/>
      <c r="J10" s="425">
        <f>'Reduced VMT'!F10*Assumptions!$E$72</f>
        <v>2300.3672005474582</v>
      </c>
      <c r="K10" s="425">
        <f>'Reduced VMT'!F10*Assumptions!$E$75</f>
        <v>16.431194289624699</v>
      </c>
      <c r="L10" s="425">
        <f>'Reduced VMT'!F10*Assumptions!$E$78</f>
        <v>6572.47771584988</v>
      </c>
      <c r="N10" s="426">
        <f>F10*Assumptions!$E$68</f>
        <v>20538.992862030875</v>
      </c>
      <c r="P10" s="188">
        <f>Assumptions!$E$65</f>
        <v>8780</v>
      </c>
      <c r="Q10" s="188">
        <f>Assumptions!E135</f>
        <v>26.284424000000001</v>
      </c>
      <c r="R10" s="58">
        <f>ROUND(INDEX('Time Savings'!$C$14:$AA$14,1,MATCH(A10,'Time Savings'!$C$6:$AA$6,0)),0)</f>
        <v>45</v>
      </c>
      <c r="S10" s="58">
        <f>ROUND(INDEX('Time Savings'!$C$19:$AA$19,1,MATCH(A10,'Time Savings'!$C$6:$AA$6,0)),0)</f>
        <v>35</v>
      </c>
      <c r="T10" s="58">
        <f>ROUND(INDEX('Time Savings'!$C$27:$AA$27,1,MATCH(A10,'Time Savings'!$C$6:$AA$6,0)),0)</f>
        <v>35</v>
      </c>
      <c r="U10" s="175">
        <f>INDEX(Assumptions!$E$97:$E$127,MATCH(R10,Assumptions!$B$97:$B$127,0))</f>
        <v>0.96569579128975169</v>
      </c>
      <c r="V10" s="175">
        <f>INDEX(Assumptions!$E$97:$E$127,MATCH(S10,Assumptions!$B$97:$B$127,0))</f>
        <v>1.0781633278907459</v>
      </c>
      <c r="W10" s="175">
        <f>INDEX(Assumptions!$E$97:$E$127,MATCH(T10,Assumptions!$B$97:$B$127,0))</f>
        <v>1.0781633278907459</v>
      </c>
      <c r="X10" s="214"/>
      <c r="Y10" s="427">
        <v>2.8188371367392291E-3</v>
      </c>
      <c r="Z10" s="427">
        <v>5.4891614946377655E-2</v>
      </c>
      <c r="AA10" s="427">
        <v>8.7158349739561601E-4</v>
      </c>
      <c r="AB10" s="188">
        <f t="shared" si="1"/>
        <v>322.57922210979473</v>
      </c>
      <c r="AC10" s="188">
        <f t="shared" si="8"/>
        <v>360.14766840166436</v>
      </c>
      <c r="AD10" s="215">
        <f t="shared" si="2"/>
        <v>360.14766840166436</v>
      </c>
      <c r="AE10" s="215"/>
      <c r="AF10" s="428">
        <v>47800</v>
      </c>
      <c r="AG10" s="428">
        <v>17500</v>
      </c>
      <c r="AH10" s="428">
        <v>852100</v>
      </c>
      <c r="AI10" s="428">
        <v>60</v>
      </c>
      <c r="AJ10" s="216"/>
      <c r="AK10" s="184">
        <f>'Reduced VMT'!$F10*'Reduced VMT'!Y10*Assumptions!$E$64</f>
        <v>2.3158430332285827E-4</v>
      </c>
      <c r="AL10" s="184">
        <f>'Reduced VMT'!$F10*'Reduced VMT'!Z10*Assumptions!$E$64</f>
        <v>4.5096739502759921E-3</v>
      </c>
      <c r="AM10" s="184">
        <f>'Reduced VMT'!$F10*'Reduced VMT'!AA10*Assumptions!$E$64</f>
        <v>7.1605788926689849E-5</v>
      </c>
      <c r="AN10" s="429">
        <f>(C10*AB10-D10*AC10)*Assumptions!$E$64</f>
        <v>-1039.0956570449639</v>
      </c>
      <c r="AO10" s="184">
        <f>(C10*AB10-D10*AD10)*Assumptions!$E$64</f>
        <v>-1039.0956570449639</v>
      </c>
      <c r="AP10" s="217"/>
      <c r="AQ10" s="430">
        <f t="shared" si="3"/>
        <v>11.069729698832626</v>
      </c>
      <c r="AR10" s="430">
        <f t="shared" si="4"/>
        <v>78.919294129829865</v>
      </c>
      <c r="AS10" s="430">
        <f t="shared" si="5"/>
        <v>61.015292744432422</v>
      </c>
      <c r="AT10" s="430">
        <f t="shared" si="6"/>
        <v>-62345.739422697836</v>
      </c>
      <c r="AU10" s="431">
        <f t="shared" si="9"/>
        <v>-62345.739422697836</v>
      </c>
    </row>
    <row r="11" spans="1:47" ht="15.75" customHeight="1" x14ac:dyDescent="0.25">
      <c r="A11" s="82">
        <f t="shared" si="7"/>
        <v>2027</v>
      </c>
      <c r="B11" s="56">
        <f>INDEX(Factors!E:E,MATCH('Reduced VMT'!A11,Factors!B:B,0))</f>
        <v>1</v>
      </c>
      <c r="C11" s="150">
        <f>INDEX('Time Savings'!$8:$8,1,MATCH('Reduced VMT'!A11,'Time Savings'!$6:$6,0))*Assumptions!$E$13*365</f>
        <v>29015243.508096002</v>
      </c>
      <c r="D11" s="150">
        <f t="shared" si="0"/>
        <v>28931444.417218916</v>
      </c>
      <c r="E11" s="184">
        <f>PedBike!C11*Assumptions!$E$45</f>
        <v>139944.48176473353</v>
      </c>
      <c r="F11" s="184">
        <f>(E11/Assumptions!$E$57)</f>
        <v>83799.090877085953</v>
      </c>
      <c r="G11" s="184"/>
      <c r="H11" s="424">
        <f>F11*Assumptions!$E$60</f>
        <v>38547.581803459543</v>
      </c>
      <c r="I11" s="81"/>
      <c r="J11" s="425">
        <f>'Reduced VMT'!F11*Assumptions!$E$72</f>
        <v>2346.3745445584068</v>
      </c>
      <c r="K11" s="425">
        <f>'Reduced VMT'!F11*Assumptions!$E$75</f>
        <v>16.759818175417191</v>
      </c>
      <c r="L11" s="425">
        <f>'Reduced VMT'!F11*Assumptions!$E$78</f>
        <v>6703.927270166876</v>
      </c>
      <c r="N11" s="426">
        <f>F11*Assumptions!$E$68</f>
        <v>20949.772719271488</v>
      </c>
      <c r="P11" s="188">
        <f>Assumptions!$E$65</f>
        <v>8780</v>
      </c>
      <c r="Q11" s="188">
        <f>Assumptions!E136</f>
        <v>26.679763999999999</v>
      </c>
      <c r="R11" s="58">
        <f>ROUND(INDEX('Time Savings'!$C$14:$AA$14,1,MATCH(A11,'Time Savings'!$C$6:$AA$6,0)),0)</f>
        <v>44</v>
      </c>
      <c r="S11" s="58">
        <f>ROUND(INDEX('Time Savings'!$C$19:$AA$19,1,MATCH(A11,'Time Savings'!$C$6:$AA$6,0)),0)</f>
        <v>47</v>
      </c>
      <c r="T11" s="58">
        <f>ROUND(INDEX('Time Savings'!$C$27:$AA$27,1,MATCH(A11,'Time Savings'!$C$6:$AA$6,0)),0)</f>
        <v>50</v>
      </c>
      <c r="U11" s="175">
        <f>INDEX(Assumptions!$E$97:$E$127,MATCH(R11,Assumptions!$B$97:$B$127,0))</f>
        <v>0.97282784297401659</v>
      </c>
      <c r="V11" s="175">
        <f>INDEX(Assumptions!$E$97:$E$127,MATCH(S11,Assumptions!$B$97:$B$127,0))</f>
        <v>0.96596789573168962</v>
      </c>
      <c r="W11" s="175">
        <f>INDEX(Assumptions!$E$97:$E$127,MATCH(T11,Assumptions!$B$97:$B$127,0))</f>
        <v>0.96637634003228368</v>
      </c>
      <c r="X11" s="214"/>
      <c r="Y11" s="427">
        <v>2.7922908079874311E-3</v>
      </c>
      <c r="Z11" s="427">
        <v>5.1831305251259452E-2</v>
      </c>
      <c r="AA11" s="427">
        <v>8.32553207401873E-4</v>
      </c>
      <c r="AB11" s="188">
        <f t="shared" si="1"/>
        <v>320.14632743047747</v>
      </c>
      <c r="AC11" s="188">
        <f t="shared" si="8"/>
        <v>317.88879858623318</v>
      </c>
      <c r="AD11" s="215">
        <f t="shared" si="2"/>
        <v>318.02321285463586</v>
      </c>
      <c r="AE11" s="215"/>
      <c r="AF11" s="428">
        <v>48700</v>
      </c>
      <c r="AG11" s="428">
        <v>17900</v>
      </c>
      <c r="AH11" s="428">
        <v>865600</v>
      </c>
      <c r="AI11" s="428">
        <v>61</v>
      </c>
      <c r="AJ11" s="216"/>
      <c r="AK11" s="184">
        <f>'Reduced VMT'!$F11*'Reduced VMT'!Y11*Assumptions!$E$64</f>
        <v>2.3399143117379048E-4</v>
      </c>
      <c r="AL11" s="184">
        <f>'Reduced VMT'!$F11*'Reduced VMT'!Z11*Assumptions!$E$64</f>
        <v>4.3434162590282729E-3</v>
      </c>
      <c r="AM11" s="184">
        <f>'Reduced VMT'!$F11*'Reduced VMT'!AA11*Assumptions!$E$64</f>
        <v>6.9767201887078938E-5</v>
      </c>
      <c r="AN11" s="429">
        <f>(C11*AB11-D11*AC11)*Assumptions!$E$64</f>
        <v>92.141541463834756</v>
      </c>
      <c r="AO11" s="184">
        <f>(C11*AB11-D11*AD11)*Assumptions!$E$64</f>
        <v>88.252742528661727</v>
      </c>
      <c r="AP11" s="217"/>
      <c r="AQ11" s="430">
        <f t="shared" si="3"/>
        <v>11.395382698163596</v>
      </c>
      <c r="AR11" s="430">
        <f t="shared" si="4"/>
        <v>77.747151036606084</v>
      </c>
      <c r="AS11" s="430">
        <f t="shared" si="5"/>
        <v>60.390489953455528</v>
      </c>
      <c r="AT11" s="430">
        <f t="shared" si="6"/>
        <v>5383.4172942483656</v>
      </c>
      <c r="AU11" s="431">
        <f t="shared" si="9"/>
        <v>5620.6340292939203</v>
      </c>
    </row>
    <row r="12" spans="1:47" ht="15.75" customHeight="1" x14ac:dyDescent="0.25">
      <c r="A12" s="82">
        <f t="shared" si="7"/>
        <v>2028</v>
      </c>
      <c r="B12" s="56">
        <f>INDEX(Factors!E:E,MATCH('Reduced VMT'!A12,Factors!B:B,0))</f>
        <v>1</v>
      </c>
      <c r="C12" s="150">
        <f>INDEX('Time Savings'!$8:$8,1,MATCH('Reduced VMT'!A12,'Time Savings'!$6:$6,0))*Assumptions!$E$13*365</f>
        <v>29595548.378257923</v>
      </c>
      <c r="D12" s="150">
        <f t="shared" si="0"/>
        <v>29510073.305563293</v>
      </c>
      <c r="E12" s="184">
        <f>PedBike!C12*Assumptions!$E$45</f>
        <v>142743.37140002821</v>
      </c>
      <c r="F12" s="184">
        <f>(E12/Assumptions!$E$57)</f>
        <v>85475.07269462767</v>
      </c>
      <c r="G12" s="184"/>
      <c r="H12" s="424">
        <f>F12*Assumptions!$E$60</f>
        <v>39318.533439528728</v>
      </c>
      <c r="I12" s="81"/>
      <c r="J12" s="425">
        <f>'Reduced VMT'!F12*Assumptions!$E$72</f>
        <v>2393.3020354495748</v>
      </c>
      <c r="K12" s="425">
        <f>'Reduced VMT'!F12*Assumptions!$E$75</f>
        <v>17.095014538925536</v>
      </c>
      <c r="L12" s="425">
        <f>'Reduced VMT'!F12*Assumptions!$E$78</f>
        <v>6838.0058155702136</v>
      </c>
      <c r="N12" s="426">
        <f>F12*Assumptions!$E$68</f>
        <v>21368.768173656917</v>
      </c>
      <c r="P12" s="188">
        <f>Assumptions!$E$65</f>
        <v>8780</v>
      </c>
      <c r="Q12" s="188">
        <f>Assumptions!E137</f>
        <v>27.055800999999999</v>
      </c>
      <c r="R12" s="58">
        <f>ROUND(INDEX('Time Savings'!$C$14:$AA$14,1,MATCH(A12,'Time Savings'!$C$6:$AA$6,0)),0)</f>
        <v>44</v>
      </c>
      <c r="S12" s="58">
        <f>ROUND(INDEX('Time Savings'!$C$19:$AA$19,1,MATCH(A12,'Time Savings'!$C$6:$AA$6,0)),0)</f>
        <v>47</v>
      </c>
      <c r="T12" s="58">
        <f>ROUND(INDEX('Time Savings'!$C$27:$AA$27,1,MATCH(A12,'Time Savings'!$C$6:$AA$6,0)),0)</f>
        <v>50</v>
      </c>
      <c r="U12" s="175">
        <f>INDEX(Assumptions!$E$97:$E$127,MATCH(R12,Assumptions!$B$97:$B$127,0))</f>
        <v>0.97282784297401659</v>
      </c>
      <c r="V12" s="175">
        <f>INDEX(Assumptions!$E$97:$E$127,MATCH(S12,Assumptions!$B$97:$B$127,0))</f>
        <v>0.96596789573168962</v>
      </c>
      <c r="W12" s="175">
        <f>INDEX(Assumptions!$E$97:$E$127,MATCH(T12,Assumptions!$B$97:$B$127,0))</f>
        <v>0.96637634003228368</v>
      </c>
      <c r="X12" s="214"/>
      <c r="Y12" s="427">
        <v>2.7659944786275858E-3</v>
      </c>
      <c r="Z12" s="427">
        <v>4.894161351735779E-2</v>
      </c>
      <c r="AA12" s="427">
        <v>7.9527072876705055E-4</v>
      </c>
      <c r="AB12" s="188">
        <f t="shared" si="1"/>
        <v>315.69675062704175</v>
      </c>
      <c r="AC12" s="188">
        <f t="shared" si="8"/>
        <v>313.47059821013005</v>
      </c>
      <c r="AD12" s="215">
        <f t="shared" si="2"/>
        <v>313.60314431213664</v>
      </c>
      <c r="AE12" s="215"/>
      <c r="AF12" s="428">
        <v>49500</v>
      </c>
      <c r="AG12" s="428">
        <v>18200</v>
      </c>
      <c r="AH12" s="428">
        <v>879400</v>
      </c>
      <c r="AI12" s="428">
        <v>62</v>
      </c>
      <c r="AJ12" s="216"/>
      <c r="AK12" s="184">
        <f>'Reduced VMT'!$F12*'Reduced VMT'!Y12*Assumptions!$E$64</f>
        <v>2.3642357913363163E-4</v>
      </c>
      <c r="AL12" s="184">
        <f>'Reduced VMT'!$F12*'Reduced VMT'!Z12*Assumptions!$E$64</f>
        <v>4.1832879731885297E-3</v>
      </c>
      <c r="AM12" s="184">
        <f>'Reduced VMT'!$F12*'Reduced VMT'!AA12*Assumptions!$E$64</f>
        <v>6.7975823353273173E-5</v>
      </c>
      <c r="AN12" s="429">
        <f>(C12*AB12-D12*AC12)*Assumptions!$E$64</f>
        <v>92.678123721725456</v>
      </c>
      <c r="AO12" s="184">
        <f>(C12*AB12-D12*AD12)*Assumptions!$E$64</f>
        <v>88.766678535144806</v>
      </c>
      <c r="AP12" s="217"/>
      <c r="AQ12" s="430">
        <f t="shared" si="3"/>
        <v>11.702967167114766</v>
      </c>
      <c r="AR12" s="430">
        <f t="shared" si="4"/>
        <v>76.135841112031244</v>
      </c>
      <c r="AS12" s="430">
        <f t="shared" si="5"/>
        <v>59.777939056868426</v>
      </c>
      <c r="AT12" s="430">
        <f t="shared" si="6"/>
        <v>5503.5340691789779</v>
      </c>
      <c r="AU12" s="431">
        <f t="shared" si="9"/>
        <v>5746.043670746978</v>
      </c>
    </row>
    <row r="13" spans="1:47" ht="15.75" customHeight="1" x14ac:dyDescent="0.25">
      <c r="A13" s="82">
        <f t="shared" si="7"/>
        <v>2029</v>
      </c>
      <c r="B13" s="56">
        <f>INDEX(Factors!E:E,MATCH('Reduced VMT'!A13,Factors!B:B,0))</f>
        <v>1</v>
      </c>
      <c r="C13" s="150">
        <f>INDEX('Time Savings'!$8:$8,1,MATCH('Reduced VMT'!A13,'Time Savings'!$6:$6,0))*Assumptions!$E$13*365</f>
        <v>30187459.345823072</v>
      </c>
      <c r="D13" s="150">
        <f t="shared" si="0"/>
        <v>30100274.771674551</v>
      </c>
      <c r="E13" s="184">
        <f>PedBike!C13*Assumptions!$E$45</f>
        <v>145598.23882802876</v>
      </c>
      <c r="F13" s="184">
        <f>(E13/Assumptions!$E$57)</f>
        <v>87184.574148520216</v>
      </c>
      <c r="G13" s="184"/>
      <c r="H13" s="424">
        <f>F13*Assumptions!$E$60</f>
        <v>40104.904108319301</v>
      </c>
      <c r="I13" s="81"/>
      <c r="J13" s="425">
        <f>'Reduced VMT'!F13*Assumptions!$E$72</f>
        <v>2441.1680761585662</v>
      </c>
      <c r="K13" s="425">
        <f>'Reduced VMT'!F13*Assumptions!$E$75</f>
        <v>17.436914829704044</v>
      </c>
      <c r="L13" s="425">
        <f>'Reduced VMT'!F13*Assumptions!$E$78</f>
        <v>6974.7659318816177</v>
      </c>
      <c r="N13" s="426">
        <f>F13*Assumptions!$E$68</f>
        <v>21796.143537130054</v>
      </c>
      <c r="P13" s="188">
        <f>Assumptions!$E$65</f>
        <v>8780</v>
      </c>
      <c r="Q13" s="188">
        <f>Assumptions!E138</f>
        <v>27.408939</v>
      </c>
      <c r="R13" s="58">
        <f>ROUND(INDEX('Time Savings'!$C$14:$AA$14,1,MATCH(A13,'Time Savings'!$C$6:$AA$6,0)),0)</f>
        <v>43</v>
      </c>
      <c r="S13" s="58">
        <f>ROUND(INDEX('Time Savings'!$C$19:$AA$19,1,MATCH(A13,'Time Savings'!$C$6:$AA$6,0)),0)</f>
        <v>47</v>
      </c>
      <c r="T13" s="58">
        <f>ROUND(INDEX('Time Savings'!$C$27:$AA$27,1,MATCH(A13,'Time Savings'!$C$6:$AA$6,0)),0)</f>
        <v>50</v>
      </c>
      <c r="U13" s="175">
        <f>INDEX(Assumptions!$E$97:$E$127,MATCH(R13,Assumptions!$B$97:$B$127,0))</f>
        <v>0.98006602460900971</v>
      </c>
      <c r="V13" s="175">
        <f>INDEX(Assumptions!$E$97:$E$127,MATCH(S13,Assumptions!$B$97:$B$127,0))</f>
        <v>0.96596789573168962</v>
      </c>
      <c r="W13" s="175">
        <f>INDEX(Assumptions!$E$97:$E$127,MATCH(T13,Assumptions!$B$97:$B$127,0))</f>
        <v>0.96637634003228368</v>
      </c>
      <c r="X13" s="214"/>
      <c r="Y13" s="427">
        <v>2.7399457942966264E-3</v>
      </c>
      <c r="Z13" s="427">
        <v>4.6213027475788211E-2</v>
      </c>
      <c r="AA13" s="427">
        <v>7.5965779293237369E-4</v>
      </c>
      <c r="AB13" s="188">
        <f t="shared" si="1"/>
        <v>313.94793122298915</v>
      </c>
      <c r="AC13" s="188">
        <f t="shared" si="8"/>
        <v>309.43182895639393</v>
      </c>
      <c r="AD13" s="215">
        <f t="shared" si="2"/>
        <v>309.5626673284745</v>
      </c>
      <c r="AE13" s="215"/>
      <c r="AF13" s="428">
        <v>50400</v>
      </c>
      <c r="AG13" s="428">
        <v>18600</v>
      </c>
      <c r="AH13" s="428">
        <v>893400</v>
      </c>
      <c r="AI13" s="428">
        <v>63</v>
      </c>
      <c r="AJ13" s="216"/>
      <c r="AK13" s="184">
        <f>'Reduced VMT'!$F13*'Reduced VMT'!Y13*Assumptions!$E$64</f>
        <v>2.3888100726578032E-4</v>
      </c>
      <c r="AL13" s="184">
        <f>'Reduced VMT'!$F13*'Reduced VMT'!Z13*Assumptions!$E$64</f>
        <v>4.0290631205904589E-3</v>
      </c>
      <c r="AM13" s="184">
        <f>'Reduced VMT'!$F13*'Reduced VMT'!AA13*Assumptions!$E$64</f>
        <v>6.6230441175413741E-5</v>
      </c>
      <c r="AN13" s="429">
        <f>(C13*AB13-D13*AC13)*Assumptions!$E$64</f>
        <v>163.30733580998421</v>
      </c>
      <c r="AO13" s="184">
        <f>(C13*AB13-D13*AD13)*Assumptions!$E$64</f>
        <v>159.36906485968018</v>
      </c>
      <c r="AP13" s="217"/>
      <c r="AQ13" s="430">
        <f t="shared" si="3"/>
        <v>12.039602766195328</v>
      </c>
      <c r="AR13" s="430">
        <f t="shared" si="4"/>
        <v>74.940574042982533</v>
      </c>
      <c r="AS13" s="430">
        <f t="shared" si="5"/>
        <v>59.170276146114638</v>
      </c>
      <c r="AT13" s="430">
        <f t="shared" si="6"/>
        <v>10040.251086159851</v>
      </c>
      <c r="AU13" s="431">
        <f t="shared" si="9"/>
        <v>10288.362156029005</v>
      </c>
    </row>
    <row r="14" spans="1:47" ht="15.75" customHeight="1" x14ac:dyDescent="0.25">
      <c r="A14" s="82">
        <f t="shared" si="7"/>
        <v>2030</v>
      </c>
      <c r="B14" s="56">
        <f>INDEX(Factors!E:E,MATCH('Reduced VMT'!A14,Factors!B:B,0))</f>
        <v>1</v>
      </c>
      <c r="C14" s="150">
        <f>INDEX('Time Savings'!$8:$8,1,MATCH('Reduced VMT'!A14,'Time Savings'!$6:$6,0))*Assumptions!$E$13*365</f>
        <v>30791208.532739539</v>
      </c>
      <c r="D14" s="150">
        <f t="shared" si="0"/>
        <v>30702280.267108049</v>
      </c>
      <c r="E14" s="184">
        <f>PedBike!C14*Assumptions!$E$45</f>
        <v>148510.20360458936</v>
      </c>
      <c r="F14" s="184">
        <f>(E14/Assumptions!$E$57)</f>
        <v>88928.265631490634</v>
      </c>
      <c r="G14" s="184"/>
      <c r="H14" s="424">
        <f>F14*Assumptions!$E$60</f>
        <v>40907.002190485691</v>
      </c>
      <c r="I14" s="81"/>
      <c r="J14" s="425">
        <f>'Reduced VMT'!F14*Assumptions!$E$72</f>
        <v>2489.9914376817378</v>
      </c>
      <c r="K14" s="425">
        <f>'Reduced VMT'!F14*Assumptions!$E$75</f>
        <v>17.785653126298129</v>
      </c>
      <c r="L14" s="425">
        <f>'Reduced VMT'!F14*Assumptions!$E$78</f>
        <v>7114.261250519251</v>
      </c>
      <c r="N14" s="426">
        <f>F14*Assumptions!$E$68</f>
        <v>22232.066407872659</v>
      </c>
      <c r="P14" s="188">
        <f>Assumptions!$E$65</f>
        <v>8780</v>
      </c>
      <c r="Q14" s="188">
        <f>Assumptions!E139</f>
        <v>27.732095999999999</v>
      </c>
      <c r="R14" s="58">
        <f>ROUND(INDEX('Time Savings'!$C$14:$AA$14,1,MATCH(A14,'Time Savings'!$C$6:$AA$6,0)),0)</f>
        <v>43</v>
      </c>
      <c r="S14" s="58">
        <f>ROUND(INDEX('Time Savings'!$C$19:$AA$19,1,MATCH(A14,'Time Savings'!$C$6:$AA$6,0)),0)</f>
        <v>47</v>
      </c>
      <c r="T14" s="58">
        <f>ROUND(INDEX('Time Savings'!$C$27:$AA$27,1,MATCH(A14,'Time Savings'!$C$6:$AA$6,0)),0)</f>
        <v>50</v>
      </c>
      <c r="U14" s="175">
        <f>INDEX(Assumptions!$E$97:$E$127,MATCH(R14,Assumptions!$B$97:$B$127,0))</f>
        <v>0.98006602460900971</v>
      </c>
      <c r="V14" s="175">
        <f>INDEX(Assumptions!$E$97:$E$127,MATCH(S14,Assumptions!$B$97:$B$127,0))</f>
        <v>0.96596789573168962</v>
      </c>
      <c r="W14" s="175">
        <f>INDEX(Assumptions!$E$97:$E$127,MATCH(T14,Assumptions!$B$97:$B$127,0))</f>
        <v>0.96637634003228368</v>
      </c>
      <c r="X14" s="214"/>
      <c r="Y14" s="427">
        <v>2.7141424228036416E-3</v>
      </c>
      <c r="Z14" s="427">
        <v>4.3636565184360376E-2</v>
      </c>
      <c r="AA14" s="427">
        <v>7.2563963627526212E-4</v>
      </c>
      <c r="AB14" s="188">
        <f t="shared" si="1"/>
        <v>310.28955388251597</v>
      </c>
      <c r="AC14" s="188">
        <f t="shared" si="8"/>
        <v>305.82607692271927</v>
      </c>
      <c r="AD14" s="215">
        <f t="shared" si="2"/>
        <v>305.95539065938078</v>
      </c>
      <c r="AE14" s="215"/>
      <c r="AF14" s="428">
        <v>51300</v>
      </c>
      <c r="AG14" s="428">
        <v>18900</v>
      </c>
      <c r="AH14" s="428">
        <v>907600</v>
      </c>
      <c r="AI14" s="428">
        <v>65</v>
      </c>
      <c r="AJ14" s="216"/>
      <c r="AK14" s="184">
        <f>'Reduced VMT'!$F14*'Reduced VMT'!Y14*Assumptions!$E$64</f>
        <v>2.4136397833677981E-4</v>
      </c>
      <c r="AL14" s="184">
        <f>'Reduced VMT'!$F14*'Reduced VMT'!Z14*Assumptions!$E$64</f>
        <v>3.8805240599606551E-3</v>
      </c>
      <c r="AM14" s="184">
        <f>'Reduced VMT'!$F14*'Reduced VMT'!AA14*Assumptions!$E$64</f>
        <v>6.4529874327424742E-5</v>
      </c>
      <c r="AN14" s="429">
        <f>(C14*AB14-D14*AC14)*Assumptions!$E$64</f>
        <v>164.63243245579909</v>
      </c>
      <c r="AO14" s="184">
        <f>(C14*AB14-D14*AD14)*Assumptions!$E$64</f>
        <v>160.66220587042997</v>
      </c>
      <c r="AP14" s="217"/>
      <c r="AQ14" s="430">
        <f t="shared" si="3"/>
        <v>12.381972088676804</v>
      </c>
      <c r="AR14" s="430">
        <f t="shared" si="4"/>
        <v>73.341904733256385</v>
      </c>
      <c r="AS14" s="430">
        <f t="shared" si="5"/>
        <v>58.567313939570695</v>
      </c>
      <c r="AT14" s="430">
        <f t="shared" si="6"/>
        <v>10443.043381577949</v>
      </c>
      <c r="AU14" s="431">
        <f t="shared" si="9"/>
        <v>10701.108109626941</v>
      </c>
    </row>
    <row r="15" spans="1:47" ht="15.75" customHeight="1" x14ac:dyDescent="0.25">
      <c r="A15" s="82">
        <f t="shared" si="7"/>
        <v>2031</v>
      </c>
      <c r="B15" s="56">
        <f>INDEX(Factors!E:E,MATCH('Reduced VMT'!A15,Factors!B:B,0))</f>
        <v>1</v>
      </c>
      <c r="C15" s="150">
        <f>INDEX('Time Savings'!$8:$8,1,MATCH('Reduced VMT'!A15,'Time Savings'!$6:$6,0))*Assumptions!$E$13*365</f>
        <v>31407032.703394331</v>
      </c>
      <c r="D15" s="150">
        <f t="shared" si="0"/>
        <v>31316325.87245021</v>
      </c>
      <c r="E15" s="184">
        <f>PedBike!C15*Assumptions!$E$45</f>
        <v>151480.40767668112</v>
      </c>
      <c r="F15" s="184">
        <f>(E15/Assumptions!$E$57)</f>
        <v>90706.830944120433</v>
      </c>
      <c r="G15" s="184"/>
      <c r="H15" s="424">
        <f>F15*Assumptions!$E$60</f>
        <v>41725.142234295403</v>
      </c>
      <c r="I15" s="81"/>
      <c r="J15" s="425">
        <f>'Reduced VMT'!F15*Assumptions!$E$72</f>
        <v>2539.7912664353721</v>
      </c>
      <c r="K15" s="425">
        <f>'Reduced VMT'!F15*Assumptions!$E$75</f>
        <v>18.141366188824087</v>
      </c>
      <c r="L15" s="425">
        <f>'Reduced VMT'!F15*Assumptions!$E$78</f>
        <v>7256.5464755296343</v>
      </c>
      <c r="N15" s="426">
        <f>F15*Assumptions!$E$68</f>
        <v>22676.707736030108</v>
      </c>
      <c r="P15" s="188">
        <f>Assumptions!$E$65</f>
        <v>8780</v>
      </c>
      <c r="Q15" s="188">
        <f>Assumptions!E140</f>
        <v>28.028441999999998</v>
      </c>
      <c r="R15" s="58">
        <f>ROUND(INDEX('Time Savings'!$C$14:$AA$14,1,MATCH(A15,'Time Savings'!$C$6:$AA$6,0)),0)</f>
        <v>42</v>
      </c>
      <c r="S15" s="58">
        <f>ROUND(INDEX('Time Savings'!$C$19:$AA$19,1,MATCH(A15,'Time Savings'!$C$6:$AA$6,0)),0)</f>
        <v>47</v>
      </c>
      <c r="T15" s="58">
        <f>ROUND(INDEX('Time Savings'!$C$27:$AA$27,1,MATCH(A15,'Time Savings'!$C$6:$AA$6,0)),0)</f>
        <v>50</v>
      </c>
      <c r="U15" s="175">
        <f>INDEX(Assumptions!$E$97:$E$127,MATCH(R15,Assumptions!$B$97:$B$127,0))</f>
        <v>0.98741272288513693</v>
      </c>
      <c r="V15" s="175">
        <f>INDEX(Assumptions!$E$97:$E$127,MATCH(S15,Assumptions!$B$97:$B$127,0))</f>
        <v>0.96596789573168962</v>
      </c>
      <c r="W15" s="175">
        <f>INDEX(Assumptions!$E$97:$E$127,MATCH(T15,Assumptions!$B$97:$B$127,0))</f>
        <v>0.96637634003228368</v>
      </c>
      <c r="X15" s="214"/>
      <c r="Y15" s="427">
        <v>2.68858205392107E-3</v>
      </c>
      <c r="Z15" s="427">
        <v>4.1203745460877857E-2</v>
      </c>
      <c r="AA15" s="427">
        <v>6.9314484315514621E-4</v>
      </c>
      <c r="AB15" s="188">
        <f t="shared" si="1"/>
        <v>309.31022519665925</v>
      </c>
      <c r="AC15" s="188">
        <f t="shared" si="8"/>
        <v>302.59256381515019</v>
      </c>
      <c r="AD15" s="215">
        <f t="shared" si="2"/>
        <v>302.72051031175585</v>
      </c>
      <c r="AE15" s="215"/>
      <c r="AF15" s="428">
        <v>51300</v>
      </c>
      <c r="AG15" s="428">
        <v>18900</v>
      </c>
      <c r="AH15" s="428">
        <v>907600</v>
      </c>
      <c r="AI15" s="428">
        <v>66</v>
      </c>
      <c r="AJ15" s="216"/>
      <c r="AK15" s="184">
        <f>'Reduced VMT'!$F15*'Reduced VMT'!Y15*Assumptions!$E$64</f>
        <v>2.438727578444146E-4</v>
      </c>
      <c r="AL15" s="184">
        <f>'Reduced VMT'!$F15*'Reduced VMT'!Z15*Assumptions!$E$64</f>
        <v>3.7374611737844175E-3</v>
      </c>
      <c r="AM15" s="184">
        <f>'Reduced VMT'!$F15*'Reduced VMT'!AA15*Assumptions!$E$64</f>
        <v>6.2872972107862716E-5</v>
      </c>
      <c r="AN15" s="429">
        <f>(C15*AB15-D15*AC15)*Assumptions!$E$64</f>
        <v>238.42902323031424</v>
      </c>
      <c r="AO15" s="184">
        <f>(C15*AB15-D15*AD15)*Assumptions!$E$64</f>
        <v>234.42220904837225</v>
      </c>
      <c r="AP15" s="217"/>
      <c r="AQ15" s="430">
        <f t="shared" si="3"/>
        <v>12.510672477418469</v>
      </c>
      <c r="AR15" s="430">
        <f t="shared" si="4"/>
        <v>70.638016184525497</v>
      </c>
      <c r="AS15" s="430">
        <f t="shared" si="5"/>
        <v>57.063509485096205</v>
      </c>
      <c r="AT15" s="430">
        <f t="shared" si="6"/>
        <v>15471.86579719257</v>
      </c>
      <c r="AU15" s="431">
        <f t="shared" si="9"/>
        <v>15736.315533200741</v>
      </c>
    </row>
    <row r="16" spans="1:47" ht="15.75" customHeight="1" x14ac:dyDescent="0.25">
      <c r="A16" s="82">
        <f t="shared" si="7"/>
        <v>2032</v>
      </c>
      <c r="B16" s="56">
        <f>INDEX(Factors!E:E,MATCH('Reduced VMT'!A16,Factors!B:B,0))</f>
        <v>1</v>
      </c>
      <c r="C16" s="150">
        <f>INDEX('Time Savings'!$8:$8,1,MATCH('Reduced VMT'!A16,'Time Savings'!$6:$6,0))*Assumptions!$E$13*365</f>
        <v>32035173.35746222</v>
      </c>
      <c r="D16" s="150">
        <f t="shared" si="0"/>
        <v>31942652.389899217</v>
      </c>
      <c r="E16" s="184">
        <f>PedBike!C16*Assumptions!$E$45</f>
        <v>154510.01583021478</v>
      </c>
      <c r="F16" s="184">
        <f>(E16/Assumptions!$E$57)</f>
        <v>92520.967563002865</v>
      </c>
      <c r="G16" s="184"/>
      <c r="H16" s="424">
        <f>F16*Assumptions!$E$60</f>
        <v>42559.645078981317</v>
      </c>
      <c r="I16" s="81"/>
      <c r="J16" s="425">
        <f>'Reduced VMT'!F16*Assumptions!$E$72</f>
        <v>2590.5870917640805</v>
      </c>
      <c r="K16" s="425">
        <f>'Reduced VMT'!F16*Assumptions!$E$75</f>
        <v>18.504193512600573</v>
      </c>
      <c r="L16" s="425">
        <f>'Reduced VMT'!F16*Assumptions!$E$78</f>
        <v>7401.6774050402291</v>
      </c>
      <c r="N16" s="426">
        <f>F16*Assumptions!$E$68</f>
        <v>23130.241890750716</v>
      </c>
      <c r="P16" s="188">
        <f>Assumptions!$E$65</f>
        <v>8780</v>
      </c>
      <c r="Q16" s="188">
        <f>Assumptions!E141</f>
        <v>28.301689</v>
      </c>
      <c r="R16" s="58">
        <f>ROUND(INDEX('Time Savings'!$C$14:$AA$14,1,MATCH(A16,'Time Savings'!$C$6:$AA$6,0)),0)</f>
        <v>42</v>
      </c>
      <c r="S16" s="58">
        <f>ROUND(INDEX('Time Savings'!$C$19:$AA$19,1,MATCH(A16,'Time Savings'!$C$6:$AA$6,0)),0)</f>
        <v>46</v>
      </c>
      <c r="T16" s="58">
        <f>ROUND(INDEX('Time Savings'!$C$27:$AA$27,1,MATCH(A16,'Time Savings'!$C$6:$AA$6,0)),0)</f>
        <v>50</v>
      </c>
      <c r="U16" s="175">
        <f>INDEX(Assumptions!$E$97:$E$127,MATCH(R16,Assumptions!$B$97:$B$127,0))</f>
        <v>0.98741272288513693</v>
      </c>
      <c r="V16" s="175">
        <f>INDEX(Assumptions!$E$97:$E$127,MATCH(S16,Assumptions!$B$97:$B$127,0))</f>
        <v>0.96583182434567971</v>
      </c>
      <c r="W16" s="175">
        <f>INDEX(Assumptions!$E$97:$E$127,MATCH(T16,Assumptions!$B$97:$B$127,0))</f>
        <v>0.96637634003228368</v>
      </c>
      <c r="X16" s="214"/>
      <c r="Y16" s="427">
        <v>2.6632623991778609E-3</v>
      </c>
      <c r="Z16" s="427">
        <v>3.8906559964836475E-2</v>
      </c>
      <c r="AA16" s="427">
        <v>6.6210519598783291E-4</v>
      </c>
      <c r="AB16" s="188">
        <f t="shared" si="1"/>
        <v>306.32389844053131</v>
      </c>
      <c r="AC16" s="188">
        <f t="shared" si="8"/>
        <v>299.6288814337218</v>
      </c>
      <c r="AD16" s="215">
        <f t="shared" si="2"/>
        <v>299.7978059006814</v>
      </c>
      <c r="AE16" s="215"/>
      <c r="AF16" s="428">
        <v>51300</v>
      </c>
      <c r="AG16" s="428">
        <v>18900</v>
      </c>
      <c r="AH16" s="428">
        <v>907600</v>
      </c>
      <c r="AI16" s="428">
        <v>67</v>
      </c>
      <c r="AJ16" s="216"/>
      <c r="AK16" s="184">
        <f>'Reduced VMT'!$F16*'Reduced VMT'!Y16*Assumptions!$E$64</f>
        <v>2.4640761404610007E-4</v>
      </c>
      <c r="AL16" s="184">
        <f>'Reduced VMT'!$F16*'Reduced VMT'!Z16*Assumptions!$E$64</f>
        <v>3.5996725724946614E-3</v>
      </c>
      <c r="AM16" s="184">
        <f>'Reduced VMT'!$F16*'Reduced VMT'!AA16*Assumptions!$E$64</f>
        <v>6.1258613361285944E-5</v>
      </c>
      <c r="AN16" s="429">
        <f>(C16*AB16-D16*AC16)*Assumptions!$E$64</f>
        <v>242.1979844643688</v>
      </c>
      <c r="AO16" s="184">
        <f>(C16*AB16-D16*AD16)*Assumptions!$E$64</f>
        <v>236.8020889361286</v>
      </c>
      <c r="AP16" s="217"/>
      <c r="AQ16" s="430">
        <f t="shared" si="3"/>
        <v>12.640710600564933</v>
      </c>
      <c r="AR16" s="430">
        <f t="shared" si="4"/>
        <v>68.033811620149095</v>
      </c>
      <c r="AS16" s="430">
        <f t="shared" si="5"/>
        <v>55.598317486703124</v>
      </c>
      <c r="AT16" s="430">
        <f t="shared" si="6"/>
        <v>15865.739958720616</v>
      </c>
      <c r="AU16" s="431">
        <f t="shared" si="9"/>
        <v>16227.26495911271</v>
      </c>
    </row>
    <row r="17" spans="1:47" ht="15.75" customHeight="1" x14ac:dyDescent="0.25">
      <c r="A17" s="82">
        <f t="shared" si="7"/>
        <v>2033</v>
      </c>
      <c r="B17" s="56">
        <f>INDEX(Factors!E:E,MATCH('Reduced VMT'!A17,Factors!B:B,0))</f>
        <v>1</v>
      </c>
      <c r="C17" s="150">
        <f>INDEX('Time Savings'!$8:$8,1,MATCH('Reduced VMT'!A17,'Time Savings'!$6:$6,0))*Assumptions!$E$13*365</f>
        <v>32675876.824611455</v>
      </c>
      <c r="D17" s="150">
        <f t="shared" si="0"/>
        <v>32581505.437697191</v>
      </c>
      <c r="E17" s="184">
        <f>PedBike!C17*Assumptions!$E$45</f>
        <v>157600.21614681903</v>
      </c>
      <c r="F17" s="184">
        <f>(E17/Assumptions!$E$57)</f>
        <v>94371.386914262897</v>
      </c>
      <c r="G17" s="184"/>
      <c r="H17" s="424">
        <f>F17*Assumptions!$E$60</f>
        <v>43410.837980560937</v>
      </c>
      <c r="I17" s="81"/>
      <c r="J17" s="425">
        <f>'Reduced VMT'!F17*Assumptions!$E$72</f>
        <v>2642.3988335993613</v>
      </c>
      <c r="K17" s="425">
        <f>'Reduced VMT'!F17*Assumptions!$E$75</f>
        <v>18.874277382852579</v>
      </c>
      <c r="L17" s="425">
        <f>'Reduced VMT'!F17*Assumptions!$E$78</f>
        <v>7549.7109531410315</v>
      </c>
      <c r="N17" s="426">
        <f>F17*Assumptions!$E$68</f>
        <v>23592.846728565724</v>
      </c>
      <c r="P17" s="188">
        <f>Assumptions!$E$65</f>
        <v>8780</v>
      </c>
      <c r="Q17" s="188">
        <f>Assumptions!E142</f>
        <v>28.537845999999998</v>
      </c>
      <c r="R17" s="58">
        <f>ROUND(INDEX('Time Savings'!$C$14:$AA$14,1,MATCH(A17,'Time Savings'!$C$6:$AA$6,0)),0)</f>
        <v>41</v>
      </c>
      <c r="S17" s="58">
        <f>ROUND(INDEX('Time Savings'!$C$19:$AA$19,1,MATCH(A17,'Time Savings'!$C$6:$AA$6,0)),0)</f>
        <v>46</v>
      </c>
      <c r="T17" s="58">
        <f>ROUND(INDEX('Time Savings'!$C$27:$AA$27,1,MATCH(A17,'Time Savings'!$C$6:$AA$6,0)),0)</f>
        <v>50</v>
      </c>
      <c r="U17" s="175">
        <f>INDEX(Assumptions!$E$97:$E$127,MATCH(R17,Assumptions!$B$97:$B$127,0))</f>
        <v>0.99487039659703325</v>
      </c>
      <c r="V17" s="175">
        <f>INDEX(Assumptions!$E$97:$E$127,MATCH(S17,Assumptions!$B$97:$B$127,0))</f>
        <v>0.96583182434567971</v>
      </c>
      <c r="W17" s="175">
        <f>INDEX(Assumptions!$E$97:$E$127,MATCH(T17,Assumptions!$B$97:$B$127,0))</f>
        <v>0.96637634003228368</v>
      </c>
      <c r="X17" s="214"/>
      <c r="Y17" s="427">
        <v>2.6381811916545836E-3</v>
      </c>
      <c r="Z17" s="427">
        <v>3.6737446835619927E-2</v>
      </c>
      <c r="AA17" s="427">
        <v>6.3245553203367566E-4</v>
      </c>
      <c r="AB17" s="188">
        <f t="shared" si="1"/>
        <v>306.08344028914979</v>
      </c>
      <c r="AC17" s="188">
        <f t="shared" si="8"/>
        <v>297.1493860382829</v>
      </c>
      <c r="AD17" s="215">
        <f t="shared" si="2"/>
        <v>297.31691261784266</v>
      </c>
      <c r="AE17" s="215"/>
      <c r="AF17" s="428">
        <v>51300</v>
      </c>
      <c r="AG17" s="428">
        <v>18900</v>
      </c>
      <c r="AH17" s="428">
        <v>907600</v>
      </c>
      <c r="AI17" s="428">
        <v>68</v>
      </c>
      <c r="AJ17" s="216"/>
      <c r="AK17" s="184">
        <f>'Reduced VMT'!$F17*'Reduced VMT'!Y17*Assumptions!$E$64</f>
        <v>2.4896881798756588E-4</v>
      </c>
      <c r="AL17" s="184">
        <f>'Reduced VMT'!$F17*'Reduced VMT'!Z17*Assumptions!$E$64</f>
        <v>3.4669638095664512E-3</v>
      </c>
      <c r="AM17" s="184">
        <f>'Reduced VMT'!$F17*'Reduced VMT'!AA17*Assumptions!$E$64</f>
        <v>5.9685705719615994E-5</v>
      </c>
      <c r="AN17" s="429">
        <f>(C17*AB17-D17*AC17)*Assumptions!$E$64</f>
        <v>319.97045592687795</v>
      </c>
      <c r="AO17" s="184">
        <f>(C17*AB17-D17*AD17)*Assumptions!$E$64</f>
        <v>314.5121877639923</v>
      </c>
      <c r="AP17" s="217"/>
      <c r="AQ17" s="430">
        <f t="shared" si="3"/>
        <v>12.77210036276213</v>
      </c>
      <c r="AR17" s="430">
        <f t="shared" si="4"/>
        <v>65.525616000805925</v>
      </c>
      <c r="AS17" s="430">
        <f t="shared" si="5"/>
        <v>54.170746511123475</v>
      </c>
      <c r="AT17" s="430">
        <f t="shared" si="6"/>
        <v>21386.828767951476</v>
      </c>
      <c r="AU17" s="431">
        <f t="shared" si="9"/>
        <v>21757.991003027699</v>
      </c>
    </row>
    <row r="18" spans="1:47" ht="15.75" customHeight="1" x14ac:dyDescent="0.25">
      <c r="A18" s="82">
        <f t="shared" si="7"/>
        <v>2034</v>
      </c>
      <c r="B18" s="56">
        <f>INDEX(Factors!E:E,MATCH('Reduced VMT'!A18,Factors!B:B,0))</f>
        <v>1</v>
      </c>
      <c r="C18" s="150">
        <f>INDEX('Time Savings'!$8:$8,1,MATCH('Reduced VMT'!A18,'Time Savings'!$6:$6,0))*Assumptions!$E$13*365</f>
        <v>33329394.361103691</v>
      </c>
      <c r="D18" s="150">
        <f t="shared" si="0"/>
        <v>33233135.546451144</v>
      </c>
      <c r="E18" s="184">
        <f>PedBike!C18*Assumptions!$E$45</f>
        <v>160752.22046975544</v>
      </c>
      <c r="F18" s="184">
        <f>(E18/Assumptions!$E$57)</f>
        <v>96258.814652548172</v>
      </c>
      <c r="G18" s="184"/>
      <c r="H18" s="424">
        <f>F18*Assumptions!$E$60</f>
        <v>44279.054740172163</v>
      </c>
      <c r="I18" s="81"/>
      <c r="J18" s="425">
        <f>'Reduced VMT'!F18*Assumptions!$E$72</f>
        <v>2695.2468102713487</v>
      </c>
      <c r="K18" s="425">
        <f>'Reduced VMT'!F18*Assumptions!$E$75</f>
        <v>19.251762930509635</v>
      </c>
      <c r="L18" s="425">
        <f>'Reduced VMT'!F18*Assumptions!$E$78</f>
        <v>7700.7051722038541</v>
      </c>
      <c r="N18" s="426">
        <f>F18*Assumptions!$E$68</f>
        <v>24064.703663137043</v>
      </c>
      <c r="P18" s="188">
        <f>Assumptions!$E$65</f>
        <v>8780</v>
      </c>
      <c r="Q18" s="188">
        <f>Assumptions!E143</f>
        <v>28.746084</v>
      </c>
      <c r="R18" s="58">
        <f>ROUND(INDEX('Time Savings'!$C$14:$AA$14,1,MATCH(A18,'Time Savings'!$C$6:$AA$6,0)),0)</f>
        <v>41</v>
      </c>
      <c r="S18" s="58">
        <f>ROUND(INDEX('Time Savings'!$C$19:$AA$19,1,MATCH(A18,'Time Savings'!$C$6:$AA$6,0)),0)</f>
        <v>46</v>
      </c>
      <c r="T18" s="58">
        <f>ROUND(INDEX('Time Savings'!$C$27:$AA$27,1,MATCH(A18,'Time Savings'!$C$6:$AA$6,0)),0)</f>
        <v>50</v>
      </c>
      <c r="U18" s="175">
        <f>INDEX(Assumptions!$E$97:$E$127,MATCH(R18,Assumptions!$B$97:$B$127,0))</f>
        <v>0.99487039659703325</v>
      </c>
      <c r="V18" s="175">
        <f>INDEX(Assumptions!$E$97:$E$127,MATCH(S18,Assumptions!$B$97:$B$127,0))</f>
        <v>0.96583182434567971</v>
      </c>
      <c r="W18" s="175">
        <f>INDEX(Assumptions!$E$97:$E$127,MATCH(T18,Assumptions!$B$97:$B$127,0))</f>
        <v>0.96637634003228368</v>
      </c>
      <c r="X18" s="214"/>
      <c r="Y18" s="427">
        <v>2.6133361857804639E-3</v>
      </c>
      <c r="Z18" s="427">
        <v>3.4689265800415085E-2</v>
      </c>
      <c r="AA18" s="427">
        <v>6.0413360659889804E-4</v>
      </c>
      <c r="AB18" s="188">
        <f t="shared" si="1"/>
        <v>303.86615728674388</v>
      </c>
      <c r="AC18" s="188">
        <f t="shared" si="8"/>
        <v>294.9968217498797</v>
      </c>
      <c r="AD18" s="215">
        <f t="shared" si="2"/>
        <v>295.16313475892753</v>
      </c>
      <c r="AE18" s="215"/>
      <c r="AF18" s="428">
        <v>51300</v>
      </c>
      <c r="AG18" s="428">
        <v>18900</v>
      </c>
      <c r="AH18" s="428">
        <v>907600</v>
      </c>
      <c r="AI18" s="428">
        <v>69</v>
      </c>
      <c r="AJ18" s="216"/>
      <c r="AK18" s="184">
        <f>'Reduced VMT'!$F18*'Reduced VMT'!Y18*Assumptions!$E$64</f>
        <v>2.5155664353183882E-4</v>
      </c>
      <c r="AL18" s="184">
        <f>'Reduced VMT'!$F18*'Reduced VMT'!Z18*Assumptions!$E$64</f>
        <v>3.3391476071151335E-3</v>
      </c>
      <c r="AM18" s="184">
        <f>'Reduced VMT'!$F18*'Reduced VMT'!AA18*Assumptions!$E$64</f>
        <v>5.8153184862978777E-5</v>
      </c>
      <c r="AN18" s="429">
        <f>(C18*AB18-D18*AC18)*Assumptions!$E$64</f>
        <v>324.0056262170105</v>
      </c>
      <c r="AO18" s="184">
        <f>(C18*AB18-D18*AD18)*Assumptions!$E$64</f>
        <v>318.47852344418527</v>
      </c>
      <c r="AP18" s="217"/>
      <c r="AQ18" s="430">
        <f t="shared" si="3"/>
        <v>12.904855813183332</v>
      </c>
      <c r="AR18" s="430">
        <f t="shared" si="4"/>
        <v>63.109889774476024</v>
      </c>
      <c r="AS18" s="430">
        <f t="shared" si="5"/>
        <v>52.779830581639537</v>
      </c>
      <c r="AT18" s="430">
        <f t="shared" si="6"/>
        <v>21975.018117648782</v>
      </c>
      <c r="AU18" s="431">
        <f t="shared" si="9"/>
        <v>22356.388208973724</v>
      </c>
    </row>
    <row r="19" spans="1:47" ht="15.6" customHeight="1" x14ac:dyDescent="0.25">
      <c r="A19" s="82">
        <f t="shared" si="7"/>
        <v>2035</v>
      </c>
      <c r="B19" s="56">
        <f>INDEX(Factors!E:E,MATCH('Reduced VMT'!A19,Factors!B:B,0))</f>
        <v>1</v>
      </c>
      <c r="C19" s="150">
        <f>INDEX('Time Savings'!$8:$8,1,MATCH('Reduced VMT'!A19,'Time Savings'!$6:$6,0))*Assumptions!$E$13*365</f>
        <v>33995982.248325758</v>
      </c>
      <c r="D19" s="150">
        <f t="shared" si="0"/>
        <v>33897798.257380158</v>
      </c>
      <c r="E19" s="184">
        <f>PedBike!C19*Assumptions!$E$45</f>
        <v>163967.26487915052</v>
      </c>
      <c r="F19" s="184">
        <f>(E19/Assumptions!$E$57)</f>
        <v>98183.990945599115</v>
      </c>
      <c r="G19" s="184"/>
      <c r="H19" s="424">
        <f>F19*Assumptions!$E$60</f>
        <v>45164.635834975597</v>
      </c>
      <c r="I19" s="81"/>
      <c r="J19" s="425">
        <f>'Reduced VMT'!F19*Assumptions!$E$72</f>
        <v>2749.1517464767753</v>
      </c>
      <c r="K19" s="425">
        <f>'Reduced VMT'!F19*Assumptions!$E$75</f>
        <v>19.636798189119823</v>
      </c>
      <c r="L19" s="425">
        <f>'Reduced VMT'!F19*Assumptions!$E$78</f>
        <v>7854.719275647929</v>
      </c>
      <c r="N19" s="426">
        <f>F19*Assumptions!$E$68</f>
        <v>24545.997736399779</v>
      </c>
      <c r="P19" s="188">
        <f>Assumptions!$E$65</f>
        <v>8780</v>
      </c>
      <c r="Q19" s="188">
        <f>Assumptions!E144</f>
        <v>28.950821000000001</v>
      </c>
      <c r="R19" s="58">
        <f>ROUND(INDEX('Time Savings'!$C$14:$AA$14,1,MATCH(A19,'Time Savings'!$C$6:$AA$6,0)),0)</f>
        <v>40</v>
      </c>
      <c r="S19" s="58">
        <f>ROUND(INDEX('Time Savings'!$C$19:$AA$19,1,MATCH(A19,'Time Savings'!$C$6:$AA$6,0)),0)</f>
        <v>45</v>
      </c>
      <c r="T19" s="58">
        <f>ROUND(INDEX('Time Savings'!$C$27:$AA$27,1,MATCH(A19,'Time Savings'!$C$6:$AA$6,0)),0)</f>
        <v>50</v>
      </c>
      <c r="U19" s="175">
        <f>INDEX(Assumptions!$E$97:$E$127,MATCH(R19,Assumptions!$B$97:$B$127,0))</f>
        <v>1.0024415793872083</v>
      </c>
      <c r="V19" s="175">
        <f>INDEX(Assumptions!$E$97:$E$127,MATCH(S19,Assumptions!$B$97:$B$127,0))</f>
        <v>0.96569579128975169</v>
      </c>
      <c r="W19" s="175">
        <f>INDEX(Assumptions!$E$97:$E$127,MATCH(T19,Assumptions!$B$97:$B$127,0))</f>
        <v>0.96637634003228368</v>
      </c>
      <c r="X19" s="214"/>
      <c r="Y19" s="427">
        <v>2.5887251571323354E-3</v>
      </c>
      <c r="Z19" s="427">
        <v>3.2755274669907304E-2</v>
      </c>
      <c r="AA19" s="427">
        <v>5.7707996236288522E-4</v>
      </c>
      <c r="AB19" s="188">
        <f t="shared" si="1"/>
        <v>304.01338418070043</v>
      </c>
      <c r="AC19" s="188">
        <f t="shared" si="8"/>
        <v>292.86938175342311</v>
      </c>
      <c r="AD19" s="215">
        <f t="shared" si="2"/>
        <v>293.07577375727789</v>
      </c>
      <c r="AE19" s="215"/>
      <c r="AF19" s="428">
        <v>51300</v>
      </c>
      <c r="AG19" s="428">
        <v>18900</v>
      </c>
      <c r="AH19" s="428">
        <v>907600</v>
      </c>
      <c r="AI19" s="428">
        <v>70</v>
      </c>
      <c r="AJ19" s="216"/>
      <c r="AK19" s="184">
        <f>'Reduced VMT'!$F19*'Reduced VMT'!Y19*Assumptions!$E$64</f>
        <v>2.5417136738852583E-4</v>
      </c>
      <c r="AL19" s="184">
        <f>'Reduced VMT'!$F19*'Reduced VMT'!Z19*Assumptions!$E$64</f>
        <v>3.2160435916107908E-3</v>
      </c>
      <c r="AM19" s="184">
        <f>'Reduced VMT'!$F19*'Reduced VMT'!AA19*Assumptions!$E$64</f>
        <v>5.6660013799524196E-5</v>
      </c>
      <c r="AN19" s="429">
        <f>(C19*AB19-D19*AC19)*Assumptions!$E$64</f>
        <v>407.60639341934012</v>
      </c>
      <c r="AO19" s="184">
        <f>(C19*AB19-D19*AD19)*Assumptions!$E$64</f>
        <v>400.61015891073606</v>
      </c>
      <c r="AP19" s="217"/>
      <c r="AQ19" s="430">
        <f t="shared" si="3"/>
        <v>13.038991147031375</v>
      </c>
      <c r="AR19" s="430">
        <f t="shared" si="4"/>
        <v>60.783223881443945</v>
      </c>
      <c r="AS19" s="430">
        <f t="shared" si="5"/>
        <v>51.42462852444816</v>
      </c>
      <c r="AT19" s="430">
        <f t="shared" si="6"/>
        <v>28042.711123751524</v>
      </c>
      <c r="AU19" s="431">
        <f t="shared" si="9"/>
        <v>28532.447539353809</v>
      </c>
    </row>
    <row r="20" spans="1:47" ht="15.75" customHeight="1" x14ac:dyDescent="0.25">
      <c r="A20" s="82">
        <f t="shared" si="7"/>
        <v>2036</v>
      </c>
      <c r="B20" s="56">
        <f>INDEX(Factors!E:E,MATCH('Reduced VMT'!A20,Factors!B:B,0))</f>
        <v>1</v>
      </c>
      <c r="C20" s="150">
        <f>INDEX('Time Savings'!$8:$8,1,MATCH('Reduced VMT'!A20,'Time Savings'!$6:$6,0))*Assumptions!$E$13*365</f>
        <v>34675901.893292278</v>
      </c>
      <c r="D20" s="150">
        <f t="shared" si="0"/>
        <v>34575754.222527765</v>
      </c>
      <c r="E20" s="184">
        <f>PedBike!C20*Assumptions!$E$45</f>
        <v>167246.61017673355</v>
      </c>
      <c r="F20" s="184">
        <f>(E20/Assumptions!$E$57)</f>
        <v>100147.67076451112</v>
      </c>
      <c r="G20" s="184"/>
      <c r="H20" s="424">
        <f>F20*Assumptions!$E$60</f>
        <v>46067.928551675119</v>
      </c>
      <c r="I20" s="81"/>
      <c r="J20" s="425">
        <f>'Reduced VMT'!F20*Assumptions!$E$72</f>
        <v>2804.1347814063115</v>
      </c>
      <c r="K20" s="425">
        <f>'Reduced VMT'!F20*Assumptions!$E$75</f>
        <v>20.029534152902226</v>
      </c>
      <c r="L20" s="425">
        <f>'Reduced VMT'!F20*Assumptions!$E$78</f>
        <v>8011.8136611608898</v>
      </c>
      <c r="N20" s="426">
        <f>F20*Assumptions!$E$68</f>
        <v>25036.917691127779</v>
      </c>
      <c r="P20" s="188">
        <f>Assumptions!$E$65</f>
        <v>8780</v>
      </c>
      <c r="Q20" s="188">
        <f>Assumptions!E145</f>
        <v>29.139206000000001</v>
      </c>
      <c r="R20" s="58">
        <f>ROUND(INDEX('Time Savings'!$C$14:$AA$14,1,MATCH(A20,'Time Savings'!$C$6:$AA$6,0)),0)</f>
        <v>39</v>
      </c>
      <c r="S20" s="58">
        <f>ROUND(INDEX('Time Savings'!$C$19:$AA$19,1,MATCH(A20,'Time Savings'!$C$6:$AA$6,0)),0)</f>
        <v>45</v>
      </c>
      <c r="T20" s="58">
        <f>ROUND(INDEX('Time Savings'!$C$27:$AA$27,1,MATCH(A20,'Time Savings'!$C$6:$AA$6,0)),0)</f>
        <v>50</v>
      </c>
      <c r="U20" s="175">
        <f>INDEX(Assumptions!$E$97:$E$127,MATCH(R20,Assumptions!$B$97:$B$127,0))</f>
        <v>1.0167229103363682</v>
      </c>
      <c r="V20" s="175">
        <f>INDEX(Assumptions!$E$97:$E$127,MATCH(S20,Assumptions!$B$97:$B$127,0))</f>
        <v>0.96569579128975169</v>
      </c>
      <c r="W20" s="175">
        <f>INDEX(Assumptions!$E$97:$E$127,MATCH(T20,Assumptions!$B$97:$B$127,0))</f>
        <v>0.96637634003228368</v>
      </c>
      <c r="X20" s="214"/>
      <c r="Y20" s="427">
        <v>2.5643459022354812E-3</v>
      </c>
      <c r="Z20" s="427">
        <v>3.0929107144384498E-2</v>
      </c>
      <c r="AA20" s="427">
        <v>5.5123780455711613E-4</v>
      </c>
      <c r="AB20" s="188">
        <f t="shared" si="1"/>
        <v>306.35107740249725</v>
      </c>
      <c r="AC20" s="188">
        <f t="shared" si="8"/>
        <v>290.97598086660355</v>
      </c>
      <c r="AD20" s="215">
        <f t="shared" si="2"/>
        <v>291.18103854591817</v>
      </c>
      <c r="AE20" s="215"/>
      <c r="AF20" s="428">
        <v>51300</v>
      </c>
      <c r="AG20" s="428">
        <v>18900</v>
      </c>
      <c r="AH20" s="428">
        <v>907600</v>
      </c>
      <c r="AI20" s="428">
        <v>72</v>
      </c>
      <c r="AJ20" s="216"/>
      <c r="AK20" s="184">
        <f>'Reduced VMT'!$F20*'Reduced VMT'!Y20*Assumptions!$E$64</f>
        <v>2.5681326914340217E-4</v>
      </c>
      <c r="AL20" s="184">
        <f>'Reduced VMT'!$F20*'Reduced VMT'!Z20*Assumptions!$E$64</f>
        <v>3.0974780393361072E-3</v>
      </c>
      <c r="AM20" s="184">
        <f>'Reduced VMT'!$F20*'Reduced VMT'!AA20*Assumptions!$E$64</f>
        <v>5.520518216373799E-5</v>
      </c>
      <c r="AN20" s="429">
        <f>(C20*AB20-D20*AC20)*Assumptions!$E$64</f>
        <v>562.28590581075855</v>
      </c>
      <c r="AO20" s="184">
        <f>(C20*AB20-D20*AD20)*Assumptions!$E$64</f>
        <v>555.19588188933369</v>
      </c>
      <c r="AP20" s="217"/>
      <c r="AQ20" s="430">
        <f t="shared" si="3"/>
        <v>13.174520707056532</v>
      </c>
      <c r="AR20" s="430">
        <f t="shared" si="4"/>
        <v>58.542334943452424</v>
      </c>
      <c r="AS20" s="430">
        <f t="shared" si="5"/>
        <v>50.104223331808598</v>
      </c>
      <c r="AT20" s="430">
        <f t="shared" si="6"/>
        <v>39974.103496032025</v>
      </c>
      <c r="AU20" s="431">
        <f t="shared" si="9"/>
        <v>40484.585218374617</v>
      </c>
    </row>
    <row r="21" spans="1:47" ht="15.75" customHeight="1" x14ac:dyDescent="0.25">
      <c r="A21" s="82">
        <f t="shared" si="7"/>
        <v>2037</v>
      </c>
      <c r="B21" s="56">
        <f>INDEX(Factors!E:E,MATCH('Reduced VMT'!A21,Factors!B:B,0))</f>
        <v>1</v>
      </c>
      <c r="C21" s="150">
        <f>INDEX('Time Savings'!$8:$8,1,MATCH('Reduced VMT'!A21,'Time Savings'!$6:$6,0))*Assumptions!$E$13*365</f>
        <v>35369419.931158118</v>
      </c>
      <c r="D21" s="150">
        <f t="shared" si="0"/>
        <v>35267269.306978315</v>
      </c>
      <c r="E21" s="184">
        <f>PedBike!C21*Assumptions!$E$45</f>
        <v>170591.54238026819</v>
      </c>
      <c r="F21" s="184">
        <f>(E21/Assumptions!$E$57)</f>
        <v>102150.62417980132</v>
      </c>
      <c r="G21" s="184"/>
      <c r="H21" s="424">
        <f>F21*Assumptions!$E$60</f>
        <v>46989.287122708607</v>
      </c>
      <c r="I21" s="81"/>
      <c r="J21" s="425">
        <f>'Reduced VMT'!F21*Assumptions!$E$72</f>
        <v>2860.2174770344373</v>
      </c>
      <c r="K21" s="425">
        <f>'Reduced VMT'!F21*Assumptions!$E$75</f>
        <v>20.430124835960264</v>
      </c>
      <c r="L21" s="425">
        <f>'Reduced VMT'!F21*Assumptions!$E$78</f>
        <v>8172.0499343841057</v>
      </c>
      <c r="N21" s="426">
        <f>F21*Assumptions!$E$68</f>
        <v>25537.65604495033</v>
      </c>
      <c r="P21" s="188">
        <f>Assumptions!$E$65</f>
        <v>8780</v>
      </c>
      <c r="Q21" s="188">
        <f>Assumptions!E146</f>
        <v>29.308374000000001</v>
      </c>
      <c r="R21" s="58">
        <f>ROUND(INDEX('Time Savings'!$C$14:$AA$14,1,MATCH(A21,'Time Savings'!$C$6:$AA$6,0)),0)</f>
        <v>39</v>
      </c>
      <c r="S21" s="58">
        <f>ROUND(INDEX('Time Savings'!$C$19:$AA$19,1,MATCH(A21,'Time Savings'!$C$6:$AA$6,0)),0)</f>
        <v>45</v>
      </c>
      <c r="T21" s="58">
        <f>ROUND(INDEX('Time Savings'!$C$27:$AA$27,1,MATCH(A21,'Time Savings'!$C$6:$AA$6,0)),0)</f>
        <v>50</v>
      </c>
      <c r="U21" s="175">
        <f>INDEX(Assumptions!$E$97:$E$127,MATCH(R21,Assumptions!$B$97:$B$127,0))</f>
        <v>1.0167229103363682</v>
      </c>
      <c r="V21" s="175">
        <f>INDEX(Assumptions!$E$97:$E$127,MATCH(S21,Assumptions!$B$97:$B$127,0))</f>
        <v>0.96569579128975169</v>
      </c>
      <c r="W21" s="175">
        <f>INDEX(Assumptions!$E$97:$E$127,MATCH(T21,Assumptions!$B$97:$B$127,0))</f>
        <v>0.96637634003228368</v>
      </c>
      <c r="X21" s="214"/>
      <c r="Y21" s="427">
        <v>2.5401962383663525E-3</v>
      </c>
      <c r="Z21" s="427">
        <v>2.9204751857192207E-2</v>
      </c>
      <c r="AA21" s="427">
        <v>5.2655288173369475E-4</v>
      </c>
      <c r="AB21" s="188">
        <f t="shared" si="1"/>
        <v>304.58281830146268</v>
      </c>
      <c r="AC21" s="188">
        <f t="shared" si="8"/>
        <v>289.29646685701567</v>
      </c>
      <c r="AD21" s="215">
        <f t="shared" si="2"/>
        <v>289.50034094294864</v>
      </c>
      <c r="AE21" s="215"/>
      <c r="AF21" s="428">
        <v>51300</v>
      </c>
      <c r="AG21" s="428">
        <v>18900</v>
      </c>
      <c r="AH21" s="428">
        <v>907600</v>
      </c>
      <c r="AI21" s="428">
        <v>73</v>
      </c>
      <c r="AJ21" s="216"/>
      <c r="AK21" s="184">
        <f>'Reduced VMT'!$F21*'Reduced VMT'!Y21*Assumptions!$E$64</f>
        <v>2.5948263128830625E-4</v>
      </c>
      <c r="AL21" s="184">
        <f>'Reduced VMT'!$F21*'Reduced VMT'!Z21*Assumptions!$E$64</f>
        <v>2.9832836312283957E-3</v>
      </c>
      <c r="AM21" s="184">
        <f>'Reduced VMT'!$F21*'Reduced VMT'!AA21*Assumptions!$E$64</f>
        <v>5.3787705532770023E-5</v>
      </c>
      <c r="AN21" s="429">
        <f>(C21*AB21-D21*AC21)*Assumptions!$E$64</f>
        <v>570.2211981163673</v>
      </c>
      <c r="AO21" s="184">
        <f>(C21*AB21-D21*AD21)*Assumptions!$E$64</f>
        <v>563.03111582305712</v>
      </c>
      <c r="AP21" s="217"/>
      <c r="AQ21" s="430">
        <f t="shared" si="3"/>
        <v>13.311458985090111</v>
      </c>
      <c r="AR21" s="430">
        <f t="shared" si="4"/>
        <v>56.38406063021668</v>
      </c>
      <c r="AS21" s="430">
        <f t="shared" si="5"/>
        <v>48.81772154154207</v>
      </c>
      <c r="AT21" s="430">
        <f t="shared" si="6"/>
        <v>41101.271455083173</v>
      </c>
      <c r="AU21" s="431">
        <f t="shared" si="9"/>
        <v>41626.147462494817</v>
      </c>
    </row>
    <row r="22" spans="1:47" ht="15.75" customHeight="1" x14ac:dyDescent="0.25">
      <c r="A22" s="82">
        <f t="shared" si="7"/>
        <v>2038</v>
      </c>
      <c r="B22" s="56">
        <f>INDEX(Factors!E:E,MATCH('Reduced VMT'!A22,Factors!B:B,0))</f>
        <v>1</v>
      </c>
      <c r="C22" s="150">
        <f>INDEX('Time Savings'!$8:$8,1,MATCH('Reduced VMT'!A22,'Time Savings'!$6:$6,0))*Assumptions!$E$13*365</f>
        <v>36076808.329781286</v>
      </c>
      <c r="D22" s="150">
        <f t="shared" si="0"/>
        <v>35972614.693117887</v>
      </c>
      <c r="E22" s="184">
        <f>PedBike!C22*Assumptions!$E$45</f>
        <v>174003.37322787358</v>
      </c>
      <c r="F22" s="184">
        <f>(E22/Assumptions!$E$57)</f>
        <v>104193.63666339737</v>
      </c>
      <c r="G22" s="184"/>
      <c r="H22" s="424">
        <f>F22*Assumptions!$E$60</f>
        <v>47929.072865162794</v>
      </c>
      <c r="I22" s="81"/>
      <c r="J22" s="425">
        <f>'Reduced VMT'!F22*Assumptions!$E$72</f>
        <v>2917.4218265751265</v>
      </c>
      <c r="K22" s="425">
        <f>'Reduced VMT'!F22*Assumptions!$E$75</f>
        <v>20.838727332679476</v>
      </c>
      <c r="L22" s="425">
        <f>'Reduced VMT'!F22*Assumptions!$E$78</f>
        <v>8335.4909330717892</v>
      </c>
      <c r="N22" s="426">
        <f>F22*Assumptions!$E$68</f>
        <v>26048.409165849342</v>
      </c>
      <c r="P22" s="188">
        <f>Assumptions!$E$65</f>
        <v>8780</v>
      </c>
      <c r="Q22" s="188">
        <f>Assumptions!E147</f>
        <v>29.463369</v>
      </c>
      <c r="R22" s="58">
        <f>ROUND(INDEX('Time Savings'!$C$14:$AA$14,1,MATCH(A22,'Time Savings'!$C$6:$AA$6,0)),0)</f>
        <v>38</v>
      </c>
      <c r="S22" s="58">
        <f>ROUND(INDEX('Time Savings'!$C$19:$AA$19,1,MATCH(A22,'Time Savings'!$C$6:$AA$6,0)),0)</f>
        <v>44</v>
      </c>
      <c r="T22" s="58">
        <f>ROUND(INDEX('Time Savings'!$C$27:$AA$27,1,MATCH(A22,'Time Savings'!$C$6:$AA$6,0)),0)</f>
        <v>50</v>
      </c>
      <c r="U22" s="175">
        <f>INDEX(Assumptions!$E$97:$E$127,MATCH(R22,Assumptions!$B$97:$B$127,0))</f>
        <v>1.0314170415656478</v>
      </c>
      <c r="V22" s="175">
        <f>INDEX(Assumptions!$E$97:$E$127,MATCH(S22,Assumptions!$B$97:$B$127,0))</f>
        <v>0.97282784297401659</v>
      </c>
      <c r="W22" s="175">
        <f>INDEX(Assumptions!$E$97:$E$127,MATCH(T22,Assumptions!$B$97:$B$127,0))</f>
        <v>0.96637634003228368</v>
      </c>
      <c r="X22" s="214"/>
      <c r="Y22" s="427">
        <v>2.5162740033571464E-3</v>
      </c>
      <c r="Z22" s="427">
        <v>2.7576532586555048E-2</v>
      </c>
      <c r="AA22" s="427">
        <v>5.0297337187317395E-4</v>
      </c>
      <c r="AB22" s="188">
        <f t="shared" si="1"/>
        <v>307.35933914911044</v>
      </c>
      <c r="AC22" s="188">
        <f t="shared" si="8"/>
        <v>289.89992493091557</v>
      </c>
      <c r="AD22" s="215">
        <f t="shared" si="2"/>
        <v>287.97739543917908</v>
      </c>
      <c r="AE22" s="215"/>
      <c r="AF22" s="428">
        <v>51300</v>
      </c>
      <c r="AG22" s="428">
        <v>18900</v>
      </c>
      <c r="AH22" s="428">
        <v>907600</v>
      </c>
      <c r="AI22" s="428">
        <v>74</v>
      </c>
      <c r="AJ22" s="216"/>
      <c r="AK22" s="184">
        <f>'Reduced VMT'!$F22*'Reduced VMT'!Y22*Assumptions!$E$64</f>
        <v>2.6217973925134685E-4</v>
      </c>
      <c r="AL22" s="184">
        <f>'Reduced VMT'!$F22*'Reduced VMT'!Z22*Assumptions!$E$64</f>
        <v>2.8732992167598546E-3</v>
      </c>
      <c r="AM22" s="184">
        <f>'Reduced VMT'!$F22*'Reduced VMT'!AA22*Assumptions!$E$64</f>
        <v>5.2406624760317332E-5</v>
      </c>
      <c r="AN22" s="429">
        <f>(C22*AB22-D22*AC22)*Assumptions!$E$64</f>
        <v>660.08566774707219</v>
      </c>
      <c r="AO22" s="184">
        <f>(C22*AB22-D22*AD22)*Assumptions!$E$64</f>
        <v>729.24408038946535</v>
      </c>
      <c r="AP22" s="217"/>
      <c r="AQ22" s="430">
        <f t="shared" si="3"/>
        <v>13.449820623594093</v>
      </c>
      <c r="AR22" s="430">
        <f t="shared" si="4"/>
        <v>54.305355196761255</v>
      </c>
      <c r="AS22" s="430">
        <f t="shared" si="5"/>
        <v>47.564252632464012</v>
      </c>
      <c r="AT22" s="430">
        <f t="shared" si="6"/>
        <v>53964.061948820439</v>
      </c>
      <c r="AU22" s="431">
        <f t="shared" si="9"/>
        <v>48846.339413283342</v>
      </c>
    </row>
    <row r="23" spans="1:47" ht="15.75" customHeight="1" x14ac:dyDescent="0.25">
      <c r="A23" s="82">
        <f t="shared" si="7"/>
        <v>2039</v>
      </c>
      <c r="B23" s="56">
        <f>INDEX(Factors!E:E,MATCH('Reduced VMT'!A23,Factors!B:B,0))</f>
        <v>1</v>
      </c>
      <c r="C23" s="150">
        <f>INDEX('Time Savings'!$8:$8,1,MATCH('Reduced VMT'!A23,'Time Savings'!$6:$6,0))*Assumptions!$E$13*365</f>
        <v>36798344.496376917</v>
      </c>
      <c r="D23" s="150">
        <f t="shared" si="0"/>
        <v>36692066.986980252</v>
      </c>
      <c r="E23" s="184">
        <f>PedBike!C23*Assumptions!$E$45</f>
        <v>177483.44069243106</v>
      </c>
      <c r="F23" s="184">
        <f>(E23/Assumptions!$E$57)</f>
        <v>106277.50939666531</v>
      </c>
      <c r="G23" s="184"/>
      <c r="H23" s="424">
        <f>F23*Assumptions!$E$60</f>
        <v>48887.654322466042</v>
      </c>
      <c r="I23" s="81"/>
      <c r="J23" s="425">
        <f>'Reduced VMT'!F23*Assumptions!$E$72</f>
        <v>2975.7702631066286</v>
      </c>
      <c r="K23" s="425">
        <f>'Reduced VMT'!F23*Assumptions!$E$75</f>
        <v>21.255501879333064</v>
      </c>
      <c r="L23" s="425">
        <f>'Reduced VMT'!F23*Assumptions!$E$78</f>
        <v>8502.200751733224</v>
      </c>
      <c r="N23" s="426">
        <f>F23*Assumptions!$E$68</f>
        <v>26569.377349166327</v>
      </c>
      <c r="P23" s="188">
        <f>Assumptions!$E$65</f>
        <v>8780</v>
      </c>
      <c r="Q23" s="188">
        <f>Assumptions!E148</f>
        <v>29.611654000000001</v>
      </c>
      <c r="R23" s="58">
        <f>ROUND(INDEX('Time Savings'!$C$14:$AA$14,1,MATCH(A23,'Time Savings'!$C$6:$AA$6,0)),0)</f>
        <v>37</v>
      </c>
      <c r="S23" s="58">
        <f>ROUND(INDEX('Time Savings'!$C$19:$AA$19,1,MATCH(A23,'Time Savings'!$C$6:$AA$6,0)),0)</f>
        <v>44</v>
      </c>
      <c r="T23" s="58">
        <f>ROUND(INDEX('Time Savings'!$C$27:$AA$27,1,MATCH(A23,'Time Savings'!$C$6:$AA$6,0)),0)</f>
        <v>50</v>
      </c>
      <c r="U23" s="175">
        <f>INDEX(Assumptions!$E$97:$E$127,MATCH(R23,Assumptions!$B$97:$B$127,0))</f>
        <v>1.0465421334561089</v>
      </c>
      <c r="V23" s="175">
        <f>INDEX(Assumptions!$E$97:$E$127,MATCH(S23,Assumptions!$B$97:$B$127,0))</f>
        <v>0.97282784297401659</v>
      </c>
      <c r="W23" s="175">
        <f>INDEX(Assumptions!$E$97:$E$127,MATCH(T23,Assumptions!$B$97:$B$127,0))</f>
        <v>0.96637634003228368</v>
      </c>
      <c r="X23" s="214"/>
      <c r="Y23" s="427">
        <v>2.4925770554022207E-3</v>
      </c>
      <c r="Z23" s="427">
        <v>2.6039089570625951E-2</v>
      </c>
      <c r="AA23" s="427">
        <v>4.8044977359257225E-4</v>
      </c>
      <c r="AB23" s="188">
        <f t="shared" si="1"/>
        <v>310.30485266863633</v>
      </c>
      <c r="AC23" s="188">
        <f t="shared" si="8"/>
        <v>288.44820560553171</v>
      </c>
      <c r="AD23" s="215">
        <f t="shared" si="2"/>
        <v>286.53530348164446</v>
      </c>
      <c r="AE23" s="215"/>
      <c r="AF23" s="428">
        <v>51300</v>
      </c>
      <c r="AG23" s="428">
        <v>18900</v>
      </c>
      <c r="AH23" s="428">
        <v>907600</v>
      </c>
      <c r="AI23" s="428">
        <v>75</v>
      </c>
      <c r="AJ23" s="216"/>
      <c r="AK23" s="184">
        <f>'Reduced VMT'!$F23*'Reduced VMT'!Y23*Assumptions!$E$64</f>
        <v>2.6490488142742182E-4</v>
      </c>
      <c r="AL23" s="184">
        <f>'Reduced VMT'!$F23*'Reduced VMT'!Z23*Assumptions!$E$64</f>
        <v>2.767369586522809E-3</v>
      </c>
      <c r="AM23" s="184">
        <f>'Reduced VMT'!$F23*'Reduced VMT'!AA23*Assumptions!$E$64</f>
        <v>5.1061005327610313E-5</v>
      </c>
      <c r="AN23" s="429">
        <f>(C23*AB23-D23*AC23)*Assumptions!$E$64</f>
        <v>834.94398504554169</v>
      </c>
      <c r="AO23" s="184">
        <f>(C23*AB23-D23*AD23)*Assumptions!$E$64</f>
        <v>905.13231791474914</v>
      </c>
      <c r="AP23" s="217"/>
      <c r="AQ23" s="430">
        <f t="shared" si="3"/>
        <v>13.58962041722674</v>
      </c>
      <c r="AR23" s="430">
        <f t="shared" si="4"/>
        <v>52.303285185281091</v>
      </c>
      <c r="AS23" s="430">
        <f t="shared" si="5"/>
        <v>46.342968435339117</v>
      </c>
      <c r="AT23" s="430">
        <f t="shared" si="6"/>
        <v>67884.923843606186</v>
      </c>
      <c r="AU23" s="431">
        <f t="shared" si="9"/>
        <v>62620.798878415626</v>
      </c>
    </row>
    <row r="24" spans="1:47" ht="15.75" customHeight="1" x14ac:dyDescent="0.25">
      <c r="A24" s="82">
        <f t="shared" si="7"/>
        <v>2040</v>
      </c>
      <c r="B24" s="56">
        <f>INDEX(Factors!E:E,MATCH('Reduced VMT'!A24,Factors!B:B,0))</f>
        <v>1</v>
      </c>
      <c r="C24" s="150">
        <f>INDEX('Time Savings'!$8:$8,1,MATCH('Reduced VMT'!A24,'Time Savings'!$6:$6,0))*Assumptions!$E$13*365</f>
        <v>37534311.386304446</v>
      </c>
      <c r="D24" s="150">
        <f t="shared" si="0"/>
        <v>37425908.32671985</v>
      </c>
      <c r="E24" s="184">
        <f>PedBike!C24*Assumptions!$E$45</f>
        <v>181033.10950627967</v>
      </c>
      <c r="F24" s="184">
        <f>(E24/Assumptions!$E$57)</f>
        <v>108403.05958459861</v>
      </c>
      <c r="G24" s="184"/>
      <c r="H24" s="424">
        <f>F24*Assumptions!$E$60</f>
        <v>49865.407408915366</v>
      </c>
      <c r="I24" s="81"/>
      <c r="J24" s="425">
        <f>'Reduced VMT'!F24*Assumptions!$E$72</f>
        <v>3035.285668368761</v>
      </c>
      <c r="K24" s="425">
        <f>'Reduced VMT'!F24*Assumptions!$E$75</f>
        <v>21.680611916919723</v>
      </c>
      <c r="L24" s="425">
        <f>'Reduced VMT'!F24*Assumptions!$E$78</f>
        <v>8672.2447667678898</v>
      </c>
      <c r="N24" s="426">
        <f>F24*Assumptions!$E$68</f>
        <v>27100.764896149652</v>
      </c>
      <c r="P24" s="188">
        <f>Assumptions!$E$65</f>
        <v>8780</v>
      </c>
      <c r="Q24" s="188">
        <f>Assumptions!E149</f>
        <v>29.742331</v>
      </c>
      <c r="R24" s="58">
        <f>ROUND(INDEX('Time Savings'!$C$14:$AA$14,1,MATCH(A24,'Time Savings'!$C$6:$AA$6,0)),0)</f>
        <v>37</v>
      </c>
      <c r="S24" s="58">
        <f>ROUND(INDEX('Time Savings'!$C$19:$AA$19,1,MATCH(A24,'Time Savings'!$C$6:$AA$6,0)),0)</f>
        <v>43</v>
      </c>
      <c r="T24" s="58">
        <f>ROUND(INDEX('Time Savings'!$C$27:$AA$27,1,MATCH(A24,'Time Savings'!$C$6:$AA$6,0)),0)</f>
        <v>50</v>
      </c>
      <c r="U24" s="175">
        <f>INDEX(Assumptions!$E$97:$E$127,MATCH(R24,Assumptions!$B$97:$B$127,0))</f>
        <v>1.0465421334561089</v>
      </c>
      <c r="V24" s="175">
        <f>INDEX(Assumptions!$E$97:$E$127,MATCH(S24,Assumptions!$B$97:$B$127,0))</f>
        <v>0.98006602460900971</v>
      </c>
      <c r="W24" s="175">
        <f>INDEX(Assumptions!$E$97:$E$127,MATCH(T24,Assumptions!$B$97:$B$127,0))</f>
        <v>0.96637634003228368</v>
      </c>
      <c r="X24" s="214"/>
      <c r="Y24" s="427">
        <v>2.4691032728663348E-3</v>
      </c>
      <c r="Z24" s="427">
        <v>2.4587361864256172E-2</v>
      </c>
      <c r="AA24" s="427">
        <v>4.5893480222519381E-4</v>
      </c>
      <c r="AB24" s="188">
        <f t="shared" si="1"/>
        <v>308.94148584872642</v>
      </c>
      <c r="AC24" s="188">
        <f t="shared" si="8"/>
        <v>289.31759572130056</v>
      </c>
      <c r="AD24" s="215">
        <f t="shared" si="2"/>
        <v>285.27637142776234</v>
      </c>
      <c r="AE24" s="215"/>
      <c r="AF24" s="428">
        <v>51300</v>
      </c>
      <c r="AG24" s="428">
        <v>18900</v>
      </c>
      <c r="AH24" s="428">
        <v>907600</v>
      </c>
      <c r="AI24" s="428">
        <v>76</v>
      </c>
      <c r="AJ24" s="216"/>
      <c r="AK24" s="184">
        <f>'Reduced VMT'!$F24*'Reduced VMT'!Y24*Assumptions!$E$64</f>
        <v>2.6765834920905674E-4</v>
      </c>
      <c r="AL24" s="184">
        <f>'Reduced VMT'!$F24*'Reduced VMT'!Z24*Assumptions!$E$64</f>
        <v>2.6653452531990489E-3</v>
      </c>
      <c r="AM24" s="184">
        <f>'Reduced VMT'!$F24*'Reduced VMT'!AA24*Assumptions!$E$64</f>
        <v>4.9749936711063662E-5</v>
      </c>
      <c r="AN24" s="429">
        <f>(C24*AB24-D24*AC24)*Assumptions!$E$64</f>
        <v>767.93211522127524</v>
      </c>
      <c r="AO24" s="184">
        <f>(C24*AB24-D24*AD24)*Assumptions!$E$64</f>
        <v>919.17860515895075</v>
      </c>
      <c r="AP24" s="217"/>
      <c r="AQ24" s="430">
        <f t="shared" si="3"/>
        <v>13.73087331442461</v>
      </c>
      <c r="AR24" s="430">
        <f t="shared" si="4"/>
        <v>50.375025285462023</v>
      </c>
      <c r="AS24" s="430">
        <f t="shared" si="5"/>
        <v>45.153042558961381</v>
      </c>
      <c r="AT24" s="430">
        <f t="shared" si="6"/>
        <v>69857.573992080259</v>
      </c>
      <c r="AU24" s="431">
        <f t="shared" si="9"/>
        <v>58362.84075681692</v>
      </c>
    </row>
    <row r="25" spans="1:47" ht="15.75" customHeight="1" x14ac:dyDescent="0.25">
      <c r="A25" s="82">
        <f t="shared" si="7"/>
        <v>2041</v>
      </c>
      <c r="B25" s="56">
        <f>INDEX(Factors!E:E,MATCH('Reduced VMT'!A25,Factors!B:B,0))</f>
        <v>1</v>
      </c>
      <c r="C25" s="150">
        <f>INDEX('Time Savings'!$8:$8,1,MATCH('Reduced VMT'!A25,'Time Savings'!$6:$6,0))*Assumptions!$E$13*365</f>
        <v>38284997.614030525</v>
      </c>
      <c r="D25" s="150">
        <f t="shared" si="0"/>
        <v>38174426.493254237</v>
      </c>
      <c r="E25" s="184">
        <f>PedBike!C25*Assumptions!$E$45</f>
        <v>184653.77169640525</v>
      </c>
      <c r="F25" s="184">
        <f>(E25/Assumptions!$E$57)</f>
        <v>110571.12077629057</v>
      </c>
      <c r="G25" s="184"/>
      <c r="H25" s="424">
        <f>F25*Assumptions!$E$60</f>
        <v>50862.715557093667</v>
      </c>
      <c r="I25" s="81"/>
      <c r="J25" s="425">
        <f>'Reduced VMT'!F25*Assumptions!$E$72</f>
        <v>3095.9913817361362</v>
      </c>
      <c r="K25" s="425">
        <f>'Reduced VMT'!F25*Assumptions!$E$75</f>
        <v>22.114224155258114</v>
      </c>
      <c r="L25" s="425">
        <f>'Reduced VMT'!F25*Assumptions!$E$78</f>
        <v>8845.6896621032465</v>
      </c>
      <c r="N25" s="426">
        <f>F25*Assumptions!$E$68</f>
        <v>27642.780194072642</v>
      </c>
      <c r="P25" s="188">
        <f>Assumptions!$E$65</f>
        <v>8780</v>
      </c>
      <c r="Q25" s="188">
        <f>Assumptions!E150</f>
        <v>29.860365000000002</v>
      </c>
      <c r="R25" s="58">
        <f>ROUND(INDEX('Time Savings'!$C$14:$AA$14,1,MATCH(A25,'Time Savings'!$C$6:$AA$6,0)),0)</f>
        <v>36</v>
      </c>
      <c r="S25" s="58">
        <f>ROUND(INDEX('Time Savings'!$C$19:$AA$19,1,MATCH(A25,'Time Savings'!$C$6:$AA$6,0)),0)</f>
        <v>43</v>
      </c>
      <c r="T25" s="58">
        <f>ROUND(INDEX('Time Savings'!$C$27:$AA$27,1,MATCH(A25,'Time Savings'!$C$6:$AA$6,0)),0)</f>
        <v>50</v>
      </c>
      <c r="U25" s="175">
        <f>INDEX(Assumptions!$E$97:$E$127,MATCH(R25,Assumptions!$B$97:$B$127,0))</f>
        <v>1.0621174274853706</v>
      </c>
      <c r="V25" s="175">
        <f>INDEX(Assumptions!$E$97:$E$127,MATCH(S25,Assumptions!$B$97:$B$127,0))</f>
        <v>0.98006602460900971</v>
      </c>
      <c r="W25" s="175">
        <f>INDEX(Assumptions!$E$97:$E$127,MATCH(T25,Assumptions!$B$97:$B$127,0))</f>
        <v>0.96637634003228368</v>
      </c>
      <c r="X25" s="214"/>
      <c r="Y25" s="427">
        <v>2.4458505540946958E-3</v>
      </c>
      <c r="Z25" s="427">
        <v>2.3216570679408216E-2</v>
      </c>
      <c r="AA25" s="427">
        <v>4.3838329055408668E-4</v>
      </c>
      <c r="AB25" s="188">
        <f t="shared" si="1"/>
        <v>312.29996730855612</v>
      </c>
      <c r="AC25" s="188">
        <f t="shared" si="8"/>
        <v>288.17396224282942</v>
      </c>
      <c r="AD25" s="215">
        <f t="shared" si="2"/>
        <v>284.14871236448215</v>
      </c>
      <c r="AE25" s="215"/>
      <c r="AF25" s="428">
        <v>51300</v>
      </c>
      <c r="AG25" s="428">
        <v>18900</v>
      </c>
      <c r="AH25" s="428">
        <v>907600</v>
      </c>
      <c r="AI25" s="428">
        <v>78</v>
      </c>
      <c r="AJ25" s="216"/>
      <c r="AK25" s="184">
        <f>'Reduced VMT'!$F25*'Reduced VMT'!Y25*Assumptions!$E$64</f>
        <v>2.7044043701756178E-4</v>
      </c>
      <c r="AL25" s="184">
        <f>'Reduced VMT'!$F25*'Reduced VMT'!Z25*Assumptions!$E$64</f>
        <v>2.5670822406041317E-3</v>
      </c>
      <c r="AM25" s="184">
        <f>'Reduced VMT'!$F25*'Reduced VMT'!AA25*Assumptions!$E$64</f>
        <v>4.8472531766163593E-5</v>
      </c>
      <c r="AN25" s="429">
        <f>(C25*AB25-D25*AC25)*Assumptions!$E$64</f>
        <v>955.5277643611679</v>
      </c>
      <c r="AO25" s="184">
        <f>(C25*AB25-D25*AD25)*Assumptions!$E$64</f>
        <v>1109.1893699591178</v>
      </c>
      <c r="AP25" s="217"/>
      <c r="AQ25" s="430">
        <f t="shared" si="3"/>
        <v>13.87359441900092</v>
      </c>
      <c r="AR25" s="430">
        <f t="shared" si="4"/>
        <v>48.517854347418087</v>
      </c>
      <c r="AS25" s="430">
        <f t="shared" si="5"/>
        <v>43.993669830970077</v>
      </c>
      <c r="AT25" s="430">
        <f t="shared" si="6"/>
        <v>86516.770856811185</v>
      </c>
      <c r="AU25" s="431">
        <f t="shared" si="9"/>
        <v>74531.165620171101</v>
      </c>
    </row>
    <row r="26" spans="1:47" ht="15.75" customHeight="1" x14ac:dyDescent="0.25">
      <c r="A26" s="82">
        <f t="shared" si="7"/>
        <v>2042</v>
      </c>
      <c r="B26" s="56">
        <f>INDEX(Factors!E:E,MATCH('Reduced VMT'!A26,Factors!B:B,0))</f>
        <v>1</v>
      </c>
      <c r="C26" s="150">
        <f>INDEX('Time Savings'!$8:$8,1,MATCH('Reduced VMT'!A26,'Time Savings'!$6:$6,0))*Assumptions!$E$13*365</f>
        <v>39050697.566311151</v>
      </c>
      <c r="D26" s="150">
        <f t="shared" si="0"/>
        <v>38937915.023119338</v>
      </c>
      <c r="E26" s="184">
        <f>PedBike!C26*Assumptions!$E$45</f>
        <v>188346.84713033339</v>
      </c>
      <c r="F26" s="184">
        <f>(E26/Assumptions!$E$57)</f>
        <v>112782.54319181641</v>
      </c>
      <c r="G26" s="184"/>
      <c r="H26" s="424">
        <f>F26*Assumptions!$E$60</f>
        <v>51879.969868235552</v>
      </c>
      <c r="I26" s="81"/>
      <c r="J26" s="425">
        <f>'Reduced VMT'!F26*Assumptions!$E$72</f>
        <v>3157.9112093708595</v>
      </c>
      <c r="K26" s="425">
        <f>'Reduced VMT'!F26*Assumptions!$E$75</f>
        <v>22.556508638363283</v>
      </c>
      <c r="L26" s="425">
        <f>'Reduced VMT'!F26*Assumptions!$E$78</f>
        <v>9022.6034553453137</v>
      </c>
      <c r="N26" s="426">
        <f>F26*Assumptions!$E$68</f>
        <v>28195.635797954103</v>
      </c>
      <c r="P26" s="188">
        <f>Assumptions!$E$65</f>
        <v>8780</v>
      </c>
      <c r="Q26" s="188">
        <f>Assumptions!E151</f>
        <v>29.975709999999999</v>
      </c>
      <c r="R26" s="58">
        <f>ROUND(INDEX('Time Savings'!$C$14:$AA$14,1,MATCH(A26,'Time Savings'!$C$6:$AA$6,0)),0)</f>
        <v>35</v>
      </c>
      <c r="S26" s="58">
        <f>ROUND(INDEX('Time Savings'!$C$19:$AA$19,1,MATCH(A26,'Time Savings'!$C$6:$AA$6,0)),0)</f>
        <v>42</v>
      </c>
      <c r="T26" s="58">
        <f>ROUND(INDEX('Time Savings'!$C$27:$AA$27,1,MATCH(A26,'Time Savings'!$C$6:$AA$6,0)),0)</f>
        <v>50</v>
      </c>
      <c r="U26" s="175">
        <f>INDEX(Assumptions!$E$97:$E$127,MATCH(R26,Assumptions!$B$97:$B$127,0))</f>
        <v>1.0781633278907459</v>
      </c>
      <c r="V26" s="175">
        <f>INDEX(Assumptions!$E$97:$E$127,MATCH(S26,Assumptions!$B$97:$B$127,0))</f>
        <v>0.98741272288513693</v>
      </c>
      <c r="W26" s="175">
        <f>INDEX(Assumptions!$E$97:$E$127,MATCH(T26,Assumptions!$B$97:$B$127,0))</f>
        <v>0.96637634003228368</v>
      </c>
      <c r="X26" s="214"/>
      <c r="Y26" s="427">
        <v>2.4228168172247917E-3</v>
      </c>
      <c r="Z26" s="427">
        <v>2.1922203654371749E-2</v>
      </c>
      <c r="AA26" s="427">
        <v>4.18752093990746E-4</v>
      </c>
      <c r="AB26" s="188">
        <f t="shared" si="1"/>
        <v>315.79815853838824</v>
      </c>
      <c r="AC26" s="188">
        <f t="shared" si="8"/>
        <v>289.21695956264261</v>
      </c>
      <c r="AD26" s="215">
        <f t="shared" si="2"/>
        <v>283.05532264234779</v>
      </c>
      <c r="AE26" s="215"/>
      <c r="AF26" s="428">
        <v>51300</v>
      </c>
      <c r="AG26" s="428">
        <v>18900</v>
      </c>
      <c r="AH26" s="428">
        <v>907600</v>
      </c>
      <c r="AI26" s="428">
        <v>79</v>
      </c>
      <c r="AJ26" s="216"/>
      <c r="AK26" s="184">
        <f>'Reduced VMT'!$F26*'Reduced VMT'!Y26*Assumptions!$E$64</f>
        <v>2.7325144233451425E-4</v>
      </c>
      <c r="AL26" s="184">
        <f>'Reduced VMT'!$F26*'Reduced VMT'!Z26*Assumptions!$E$64</f>
        <v>2.4724418805089771E-3</v>
      </c>
      <c r="AM26" s="184">
        <f>'Reduced VMT'!$F26*'Reduced VMT'!AA26*Assumptions!$E$64</f>
        <v>4.7227926127174875E-5</v>
      </c>
      <c r="AN26" s="429">
        <f>(C26*AB26-D26*AC26)*Assumptions!$E$64</f>
        <v>1070.6329863854598</v>
      </c>
      <c r="AO26" s="184">
        <f>(C26*AB26-D26*AD26)*Assumptions!$E$64</f>
        <v>1310.5542811912135</v>
      </c>
      <c r="AP26" s="217"/>
      <c r="AQ26" s="430">
        <f t="shared" si="3"/>
        <v>14.01779899176058</v>
      </c>
      <c r="AR26" s="430">
        <f t="shared" si="4"/>
        <v>46.729151541619665</v>
      </c>
      <c r="AS26" s="430">
        <f t="shared" si="5"/>
        <v>42.864065753023915</v>
      </c>
      <c r="AT26" s="430">
        <f t="shared" si="6"/>
        <v>103533.78821410587</v>
      </c>
      <c r="AU26" s="431">
        <f t="shared" si="9"/>
        <v>84580.005924451325</v>
      </c>
    </row>
    <row r="27" spans="1:47" ht="15.75" customHeight="1" x14ac:dyDescent="0.25">
      <c r="A27" s="82">
        <f t="shared" si="7"/>
        <v>2043</v>
      </c>
      <c r="B27" s="56">
        <f>INDEX(Factors!E:E,MATCH('Reduced VMT'!A27,Factors!B:B,0))</f>
        <v>1</v>
      </c>
      <c r="C27" s="150">
        <f>INDEX('Time Savings'!$8:$8,1,MATCH('Reduced VMT'!A27,'Time Savings'!$6:$6,0))*Assumptions!$E$13*365</f>
        <v>39831711.517637372</v>
      </c>
      <c r="D27" s="150">
        <f t="shared" si="0"/>
        <v>39716673.323581718</v>
      </c>
      <c r="E27" s="184">
        <f>PedBike!C27*Assumptions!$E$45</f>
        <v>192113.78407294003</v>
      </c>
      <c r="F27" s="184">
        <f>(E27/Assumptions!$E$57)</f>
        <v>115038.19405565273</v>
      </c>
      <c r="G27" s="184"/>
      <c r="H27" s="424">
        <f>F27*Assumptions!$E$60</f>
        <v>52917.569265600257</v>
      </c>
      <c r="I27" s="81"/>
      <c r="J27" s="425">
        <f>'Reduced VMT'!F27*Assumptions!$E$72</f>
        <v>3221.0694335582766</v>
      </c>
      <c r="K27" s="425">
        <f>'Reduced VMT'!F27*Assumptions!$E$75</f>
        <v>23.007638811130548</v>
      </c>
      <c r="L27" s="425">
        <f>'Reduced VMT'!F27*Assumptions!$E$78</f>
        <v>9203.0555244522184</v>
      </c>
      <c r="N27" s="426">
        <f>F27*Assumptions!$E$68</f>
        <v>28759.548513913182</v>
      </c>
      <c r="P27" s="188">
        <f>Assumptions!$E$65</f>
        <v>8780</v>
      </c>
      <c r="Q27" s="188">
        <f>Assumptions!E152</f>
        <v>30.077759</v>
      </c>
      <c r="R27" s="58">
        <f>ROUND(INDEX('Time Savings'!$C$14:$AA$14,1,MATCH(A27,'Time Savings'!$C$6:$AA$6,0)),0)</f>
        <v>34</v>
      </c>
      <c r="S27" s="58">
        <f>ROUND(INDEX('Time Savings'!$C$19:$AA$19,1,MATCH(A27,'Time Savings'!$C$6:$AA$6,0)),0)</f>
        <v>42</v>
      </c>
      <c r="T27" s="58">
        <f>ROUND(INDEX('Time Savings'!$C$27:$AA$27,1,MATCH(A27,'Time Savings'!$C$6:$AA$6,0)),0)</f>
        <v>50</v>
      </c>
      <c r="U27" s="175">
        <f>INDEX(Assumptions!$E$97:$E$127,MATCH(R27,Assumptions!$B$97:$B$127,0))</f>
        <v>1.1011400919250811</v>
      </c>
      <c r="V27" s="175">
        <f>INDEX(Assumptions!$E$97:$E$127,MATCH(S27,Assumptions!$B$97:$B$127,0))</f>
        <v>0.98741272288513693</v>
      </c>
      <c r="W27" s="175">
        <f>INDEX(Assumptions!$E$97:$E$127,MATCH(T27,Assumptions!$B$97:$B$127,0))</f>
        <v>0.96637634003228368</v>
      </c>
      <c r="X27" s="214"/>
      <c r="Y27" s="427">
        <v>2.3999999999999998E-3</v>
      </c>
      <c r="Z27" s="427">
        <v>2.07E-2</v>
      </c>
      <c r="AA27" s="427">
        <v>4.0000000000000002E-4</v>
      </c>
      <c r="AB27" s="188">
        <f t="shared" si="1"/>
        <v>321.43385440059592</v>
      </c>
      <c r="AC27" s="188">
        <f t="shared" si="8"/>
        <v>288.23569292285049</v>
      </c>
      <c r="AD27" s="215">
        <f t="shared" si="2"/>
        <v>282.09496144587933</v>
      </c>
      <c r="AE27" s="215"/>
      <c r="AF27" s="428">
        <v>51300</v>
      </c>
      <c r="AG27" s="428">
        <v>18900</v>
      </c>
      <c r="AH27" s="428">
        <v>907600</v>
      </c>
      <c r="AI27" s="428">
        <v>80</v>
      </c>
      <c r="AJ27" s="216"/>
      <c r="AK27" s="184">
        <f>'Reduced VMT'!$F27*'Reduced VMT'!Y27*Assumptions!$E$64</f>
        <v>2.7609166573356648E-4</v>
      </c>
      <c r="AL27" s="184">
        <f>'Reduced VMT'!$F27*'Reduced VMT'!Z27*Assumptions!$E$64</f>
        <v>2.3812906169520115E-3</v>
      </c>
      <c r="AM27" s="184">
        <f>'Reduced VMT'!$F27*'Reduced VMT'!AA27*Assumptions!$E$64</f>
        <v>4.6015277622261096E-5</v>
      </c>
      <c r="AN27" s="429">
        <f>(C27*AB27-D27*AC27)*Assumptions!$E$64</f>
        <v>1355.4977044737225</v>
      </c>
      <c r="AO27" s="184">
        <f>(C27*AB27-D27*AD27)*Assumptions!$E$64</f>
        <v>1599.3871305124205</v>
      </c>
      <c r="AP27" s="217"/>
      <c r="AQ27" s="430">
        <f t="shared" si="3"/>
        <v>14.16350245213196</v>
      </c>
      <c r="AR27" s="430">
        <f t="shared" si="4"/>
        <v>45.006392660393018</v>
      </c>
      <c r="AS27" s="430">
        <f t="shared" si="5"/>
        <v>41.763465969964173</v>
      </c>
      <c r="AT27" s="430">
        <f t="shared" si="6"/>
        <v>127950.97044099364</v>
      </c>
      <c r="AU27" s="431">
        <f t="shared" si="9"/>
        <v>108439.8163578978</v>
      </c>
    </row>
    <row r="28" spans="1:47" ht="15.75" customHeight="1" x14ac:dyDescent="0.25">
      <c r="A28" s="82">
        <f t="shared" si="7"/>
        <v>2044</v>
      </c>
      <c r="B28" s="56">
        <f>INDEX(Factors!E:E,MATCH('Reduced VMT'!A28,Factors!B:B,0))</f>
        <v>1</v>
      </c>
      <c r="C28" s="150">
        <f>INDEX('Time Savings'!$8:$8,1,MATCH('Reduced VMT'!A28,'Time Savings'!$6:$6,0))*Assumptions!$E$13*365</f>
        <v>40628345.747990116</v>
      </c>
      <c r="D28" s="150">
        <f t="shared" si="0"/>
        <v>40511006.790053353</v>
      </c>
      <c r="E28" s="184">
        <f>PedBike!C28*Assumptions!$E$45</f>
        <v>195956.05975439886</v>
      </c>
      <c r="F28" s="184">
        <f>(E28/Assumptions!$E$57)</f>
        <v>117338.95793676579</v>
      </c>
      <c r="G28" s="184"/>
      <c r="H28" s="424">
        <f>F28*Assumptions!$E$60</f>
        <v>53975.920650912267</v>
      </c>
      <c r="I28" s="81"/>
      <c r="J28" s="425">
        <f>'Reduced VMT'!F28*Assumptions!$E$72</f>
        <v>3285.4908222294421</v>
      </c>
      <c r="K28" s="425">
        <f>'Reduced VMT'!F28*Assumptions!$E$75</f>
        <v>23.467791587353158</v>
      </c>
      <c r="L28" s="425">
        <f>'Reduced VMT'!F28*Assumptions!$E$78</f>
        <v>9387.1166349412633</v>
      </c>
      <c r="N28" s="426">
        <f>F28*Assumptions!$E$68</f>
        <v>29334.739484191447</v>
      </c>
      <c r="P28" s="188">
        <f>Assumptions!$E$65</f>
        <v>8780</v>
      </c>
      <c r="Q28" s="188">
        <f>Assumptions!E153</f>
        <v>30.16226</v>
      </c>
      <c r="R28" s="58">
        <f>ROUND(INDEX('Time Savings'!$C$14:$AA$14,1,MATCH(A28,'Time Savings'!$C$6:$AA$6,0)),0)</f>
        <v>33</v>
      </c>
      <c r="S28" s="58">
        <f>ROUND(INDEX('Time Savings'!$C$19:$AA$19,1,MATCH(A28,'Time Savings'!$C$6:$AA$6,0)),0)</f>
        <v>41</v>
      </c>
      <c r="T28" s="58">
        <f>ROUND(INDEX('Time Savings'!$C$27:$AA$27,1,MATCH(A28,'Time Savings'!$C$6:$AA$6,0)),0)</f>
        <v>49</v>
      </c>
      <c r="U28" s="175">
        <f>INDEX(Assumptions!$E$97:$E$127,MATCH(R28,Assumptions!$B$97:$B$127,0))</f>
        <v>1.1251174973693299</v>
      </c>
      <c r="V28" s="175">
        <f>INDEX(Assumptions!$E$97:$E$127,MATCH(S28,Assumptions!$B$97:$B$127,0))</f>
        <v>0.99487039659703325</v>
      </c>
      <c r="W28" s="175">
        <f>INDEX(Assumptions!$E$97:$E$127,MATCH(T28,Assumptions!$B$97:$B$127,0))</f>
        <v>0.96624015355877513</v>
      </c>
      <c r="X28" s="214"/>
      <c r="Y28" s="427">
        <v>2.3999999999999998E-3</v>
      </c>
      <c r="Z28" s="427">
        <v>2.07E-2</v>
      </c>
      <c r="AA28" s="427">
        <v>4.0000000000000002E-4</v>
      </c>
      <c r="AB28" s="188">
        <f t="shared" si="1"/>
        <v>327.51297903083912</v>
      </c>
      <c r="AC28" s="188">
        <f t="shared" si="8"/>
        <v>289.59905796588026</v>
      </c>
      <c r="AD28" s="215">
        <f t="shared" si="2"/>
        <v>281.26501622378578</v>
      </c>
      <c r="AE28" s="215"/>
      <c r="AF28" s="428">
        <v>51300</v>
      </c>
      <c r="AG28" s="428">
        <v>18900</v>
      </c>
      <c r="AH28" s="428">
        <v>907600</v>
      </c>
      <c r="AI28" s="428">
        <v>81</v>
      </c>
      <c r="AJ28" s="216"/>
      <c r="AK28" s="184">
        <f>'Reduced VMT'!$F28*'Reduced VMT'!Y28*Assumptions!$E$64</f>
        <v>2.8161349904823785E-4</v>
      </c>
      <c r="AL28" s="184">
        <f>'Reduced VMT'!$F28*'Reduced VMT'!Z28*Assumptions!$E$64</f>
        <v>2.4289164292910516E-3</v>
      </c>
      <c r="AM28" s="184">
        <f>'Reduced VMT'!$F28*'Reduced VMT'!AA28*Assumptions!$E$64</f>
        <v>4.6935583174706317E-5</v>
      </c>
      <c r="AN28" s="429">
        <f>(C28*AB28-D28*AC28)*Assumptions!$E$64</f>
        <v>1574.3611453703384</v>
      </c>
      <c r="AO28" s="184">
        <f>(C28*AB28-D28*AD28)*Assumptions!$E$64</f>
        <v>1911.9815669729176</v>
      </c>
      <c r="AP28" s="217"/>
      <c r="AQ28" s="430">
        <f t="shared" si="3"/>
        <v>14.446772501174602</v>
      </c>
      <c r="AR28" s="430">
        <f t="shared" si="4"/>
        <v>45.906520513600874</v>
      </c>
      <c r="AS28" s="430">
        <f t="shared" si="5"/>
        <v>42.598735289363454</v>
      </c>
      <c r="AT28" s="430">
        <f t="shared" si="6"/>
        <v>154870.50692480631</v>
      </c>
      <c r="AU28" s="431">
        <f t="shared" si="9"/>
        <v>127523.25277499741</v>
      </c>
    </row>
    <row r="29" spans="1:47" ht="15.75" customHeight="1" x14ac:dyDescent="0.25">
      <c r="A29" s="82">
        <f t="shared" si="7"/>
        <v>2045</v>
      </c>
      <c r="B29" s="56">
        <f>INDEX(Factors!E:E,MATCH('Reduced VMT'!A29,Factors!B:B,0))</f>
        <v>1</v>
      </c>
      <c r="C29" s="150">
        <f>INDEX('Time Savings'!$8:$8,1,MATCH('Reduced VMT'!A29,'Time Savings'!$6:$6,0))*Assumptions!$E$13*365</f>
        <v>41440912.662949912</v>
      </c>
      <c r="D29" s="150">
        <f t="shared" si="0"/>
        <v>41321226.925854415</v>
      </c>
      <c r="E29" s="184">
        <f>PedBike!C29*Assumptions!$E$45</f>
        <v>199875.18094948676</v>
      </c>
      <c r="F29" s="184">
        <f>(E29/Assumptions!$E$57)</f>
        <v>119685.73709550106</v>
      </c>
      <c r="G29" s="184"/>
      <c r="H29" s="424">
        <f>F29*Assumptions!$E$60</f>
        <v>55055.439063930491</v>
      </c>
      <c r="I29" s="81"/>
      <c r="J29" s="425">
        <f>'Reduced VMT'!F29*Assumptions!$E$72</f>
        <v>3351.2006386740295</v>
      </c>
      <c r="K29" s="425">
        <f>'Reduced VMT'!F29*Assumptions!$E$75</f>
        <v>23.937147419100214</v>
      </c>
      <c r="L29" s="425">
        <f>'Reduced VMT'!F29*Assumptions!$E$78</f>
        <v>9574.8589676400843</v>
      </c>
      <c r="N29" s="426">
        <f>F29*Assumptions!$E$68</f>
        <v>29921.434273875264</v>
      </c>
      <c r="P29" s="188">
        <f>Assumptions!$E$65</f>
        <v>8780</v>
      </c>
      <c r="Q29" s="188">
        <f>Assumptions!E154</f>
        <v>30.233269</v>
      </c>
      <c r="R29" s="58">
        <f>ROUND(INDEX('Time Savings'!$C$14:$AA$14,1,MATCH(A29,'Time Savings'!$C$6:$AA$6,0)),0)</f>
        <v>32</v>
      </c>
      <c r="S29" s="58">
        <f>ROUND(INDEX('Time Savings'!$C$19:$AA$19,1,MATCH(A29,'Time Savings'!$C$6:$AA$6,0)),0)</f>
        <v>41</v>
      </c>
      <c r="T29" s="58">
        <f>ROUND(INDEX('Time Savings'!$C$27:$AA$27,1,MATCH(A29,'Time Savings'!$C$6:$AA$6,0)),0)</f>
        <v>49</v>
      </c>
      <c r="U29" s="175">
        <f>INDEX(Assumptions!$E$97:$E$127,MATCH(R29,Assumptions!$B$97:$B$127,0))</f>
        <v>1.1501623663992628</v>
      </c>
      <c r="V29" s="175">
        <f>INDEX(Assumptions!$E$97:$E$127,MATCH(S29,Assumptions!$B$97:$B$127,0))</f>
        <v>0.99487039659703325</v>
      </c>
      <c r="W29" s="175">
        <f>INDEX(Assumptions!$E$97:$E$127,MATCH(T29,Assumptions!$B$97:$B$127,0))</f>
        <v>0.96624015355877513</v>
      </c>
      <c r="X29" s="214"/>
      <c r="Y29" s="427">
        <v>2.3999999999999998E-3</v>
      </c>
      <c r="Z29" s="427">
        <v>2.07E-2</v>
      </c>
      <c r="AA29" s="427">
        <v>4.0000000000000002E-4</v>
      </c>
      <c r="AB29" s="188">
        <f t="shared" si="1"/>
        <v>334.01699224075065</v>
      </c>
      <c r="AC29" s="188">
        <f t="shared" si="8"/>
        <v>288.91887549844353</v>
      </c>
      <c r="AD29" s="215">
        <f t="shared" si="2"/>
        <v>280.60440795357084</v>
      </c>
      <c r="AE29" s="215"/>
      <c r="AF29" s="428">
        <v>51300</v>
      </c>
      <c r="AG29" s="428">
        <v>18900</v>
      </c>
      <c r="AH29" s="428">
        <v>907600</v>
      </c>
      <c r="AI29" s="428">
        <v>82</v>
      </c>
      <c r="AJ29" s="216"/>
      <c r="AK29" s="184">
        <f>'Reduced VMT'!$F29*'Reduced VMT'!Y29*Assumptions!$E$64</f>
        <v>2.8724576902920251E-4</v>
      </c>
      <c r="AL29" s="184">
        <f>'Reduced VMT'!$F29*'Reduced VMT'!Z29*Assumptions!$E$64</f>
        <v>2.4774947578768717E-3</v>
      </c>
      <c r="AM29" s="184">
        <f>'Reduced VMT'!$F29*'Reduced VMT'!AA29*Assumptions!$E$64</f>
        <v>4.7874294838200427E-5</v>
      </c>
      <c r="AN29" s="429">
        <f>(C29*AB29-D29*AC29)*Assumptions!$E$64</f>
        <v>1903.4865857563036</v>
      </c>
      <c r="AO29" s="184">
        <f>(C29*AB29-D29*AD29)*Assumptions!$E$64</f>
        <v>2247.0505859456384</v>
      </c>
      <c r="AP29" s="217"/>
      <c r="AQ29" s="430">
        <f t="shared" si="3"/>
        <v>14.735707951198089</v>
      </c>
      <c r="AR29" s="430">
        <f t="shared" si="4"/>
        <v>46.824650923872873</v>
      </c>
      <c r="AS29" s="430">
        <f t="shared" si="5"/>
        <v>43.45070999515071</v>
      </c>
      <c r="AT29" s="430">
        <f t="shared" si="6"/>
        <v>184258.14804754235</v>
      </c>
      <c r="AU29" s="431">
        <f t="shared" si="9"/>
        <v>156085.90003201689</v>
      </c>
    </row>
    <row r="30" spans="1:47" s="152" customFormat="1" ht="15.75" customHeight="1" x14ac:dyDescent="0.25">
      <c r="A30" s="82">
        <f t="shared" si="7"/>
        <v>2046</v>
      </c>
      <c r="B30" s="56">
        <f>INDEX(Factors!E:E,MATCH('Reduced VMT'!A30,Factors!B:B,0))</f>
        <v>1</v>
      </c>
      <c r="C30" s="150">
        <f>INDEX('Time Savings'!$8:$8,1,MATCH('Reduced VMT'!A30,'Time Savings'!$6:$6,0))*Assumptions!$E$13*365</f>
        <v>42269730.916208915</v>
      </c>
      <c r="D30" s="150">
        <f t="shared" si="0"/>
        <v>42147651.464371502</v>
      </c>
      <c r="E30" s="184">
        <f>PedBike!C30*Assumptions!$E$45</f>
        <v>203872.68456847654</v>
      </c>
      <c r="F30" s="184">
        <f>(E30/Assumptions!$E$57)</f>
        <v>122079.45183741111</v>
      </c>
      <c r="G30" s="184"/>
      <c r="H30" s="424">
        <f>F30*Assumptions!$E$60</f>
        <v>56156.547845209112</v>
      </c>
      <c r="I30" s="81"/>
      <c r="J30" s="425">
        <f>'Reduced VMT'!F30*Assumptions!$E$72</f>
        <v>3418.224651447511</v>
      </c>
      <c r="K30" s="425">
        <f>'Reduced VMT'!F30*Assumptions!$E$75</f>
        <v>24.415890367482223</v>
      </c>
      <c r="L30" s="425">
        <f>'Reduced VMT'!F30*Assumptions!$E$78</f>
        <v>9766.3561469928882</v>
      </c>
      <c r="N30" s="426">
        <f>F30*Assumptions!$E$68</f>
        <v>30519.862959352777</v>
      </c>
      <c r="O30" s="181"/>
      <c r="P30" s="188">
        <f>Assumptions!$E$65</f>
        <v>8780</v>
      </c>
      <c r="Q30" s="188">
        <f>Assumptions!E155</f>
        <v>30.294257999999999</v>
      </c>
      <c r="R30" s="58">
        <f>ROUND(INDEX('Time Savings'!$C$14:$AA$14,1,MATCH(A30,'Time Savings'!$C$6:$AA$6,0)),0)</f>
        <v>31</v>
      </c>
      <c r="S30" s="58">
        <f>ROUND(INDEX('Time Savings'!$C$19:$AA$19,1,MATCH(A30,'Time Savings'!$C$6:$AA$6,0)),0)</f>
        <v>40</v>
      </c>
      <c r="T30" s="58">
        <f>ROUND(INDEX('Time Savings'!$C$27:$AA$27,1,MATCH(A30,'Time Savings'!$C$6:$AA$6,0)),0)</f>
        <v>49</v>
      </c>
      <c r="U30" s="175">
        <f>INDEX(Assumptions!$E$97:$E$127,MATCH(R30,Assumptions!$B$97:$B$127,0))</f>
        <v>1.1763476064348324</v>
      </c>
      <c r="V30" s="175">
        <f>INDEX(Assumptions!$E$97:$E$127,MATCH(S30,Assumptions!$B$97:$B$127,0))</f>
        <v>1.0024415793872083</v>
      </c>
      <c r="W30" s="175">
        <f>INDEX(Assumptions!$E$97:$E$127,MATCH(T30,Assumptions!$B$97:$B$127,0))</f>
        <v>0.96624015355877513</v>
      </c>
      <c r="X30" s="214"/>
      <c r="Y30" s="427">
        <v>2.3999999999999998E-3</v>
      </c>
      <c r="Z30" s="427">
        <v>2.07E-2</v>
      </c>
      <c r="AA30" s="427">
        <v>4.0000000000000002E-4</v>
      </c>
      <c r="AB30" s="188">
        <f t="shared" si="1"/>
        <v>340.93365100732387</v>
      </c>
      <c r="AC30" s="188">
        <f t="shared" si="8"/>
        <v>290.53152802157064</v>
      </c>
      <c r="AD30" s="215">
        <f t="shared" si="2"/>
        <v>280.03948960380694</v>
      </c>
      <c r="AE30" s="215"/>
      <c r="AF30" s="428">
        <v>51300</v>
      </c>
      <c r="AG30" s="428">
        <v>18900</v>
      </c>
      <c r="AH30" s="428">
        <v>907600</v>
      </c>
      <c r="AI30" s="428">
        <v>84</v>
      </c>
      <c r="AJ30" s="216"/>
      <c r="AK30" s="184">
        <f>'Reduced VMT'!$F30*'Reduced VMT'!Y30*Assumptions!$E$64</f>
        <v>2.9299068440978663E-4</v>
      </c>
      <c r="AL30" s="184">
        <f>'Reduced VMT'!$F30*'Reduced VMT'!Z30*Assumptions!$E$64</f>
        <v>2.5270446530344095E-3</v>
      </c>
      <c r="AM30" s="184">
        <f>'Reduced VMT'!$F30*'Reduced VMT'!AA30*Assumptions!$E$64</f>
        <v>4.8831780734964445E-5</v>
      </c>
      <c r="AN30" s="429">
        <f>(C30*AB30-D30*AC30)*Assumptions!$E$64</f>
        <v>2165.9521058958167</v>
      </c>
      <c r="AO30" s="184">
        <f>(C30*AB30-D30*AD30)*Assumptions!$E$64</f>
        <v>2608.1668842785166</v>
      </c>
      <c r="AP30" s="217"/>
      <c r="AQ30" s="430">
        <f t="shared" si="3"/>
        <v>15.030422110222053</v>
      </c>
      <c r="AR30" s="430">
        <f t="shared" si="4"/>
        <v>47.761143942350337</v>
      </c>
      <c r="AS30" s="430">
        <f t="shared" si="5"/>
        <v>44.31972419505373</v>
      </c>
      <c r="AT30" s="430">
        <f t="shared" si="6"/>
        <v>219086.01827939539</v>
      </c>
      <c r="AU30" s="431">
        <f t="shared" si="9"/>
        <v>181939.9768952486</v>
      </c>
    </row>
    <row r="31" spans="1:47" x14ac:dyDescent="0.25">
      <c r="J31" s="213"/>
      <c r="K31" s="213"/>
      <c r="L31" s="213"/>
      <c r="Y31" s="218"/>
      <c r="Z31" s="218"/>
      <c r="AA31" s="218"/>
      <c r="AB31" s="218"/>
      <c r="AC31" s="218"/>
      <c r="AD31" s="218"/>
      <c r="AE31" s="218"/>
      <c r="AF31" s="218"/>
      <c r="AG31" s="218"/>
      <c r="AH31" s="218"/>
      <c r="AI31" s="218"/>
      <c r="AJ31" s="218"/>
      <c r="AK31" s="218"/>
      <c r="AL31" s="218"/>
      <c r="AM31" s="218"/>
      <c r="AO31" s="218"/>
      <c r="AP31" s="218"/>
      <c r="AQ31" s="218"/>
      <c r="AR31" s="218"/>
      <c r="AS31" s="218"/>
      <c r="AT31" s="218"/>
    </row>
    <row r="32" spans="1:47" x14ac:dyDescent="0.25">
      <c r="F32" s="219"/>
      <c r="G32" s="219"/>
      <c r="J32" s="213"/>
      <c r="K32" s="213"/>
      <c r="L32" s="213"/>
      <c r="Q32" s="89"/>
      <c r="Y32" s="220"/>
      <c r="Z32" s="218"/>
      <c r="AA32" s="218"/>
      <c r="AB32" s="218"/>
      <c r="AC32" s="218"/>
      <c r="AD32" s="218"/>
      <c r="AE32" s="218"/>
      <c r="AF32" s="218"/>
      <c r="AG32" s="218"/>
      <c r="AH32" s="218"/>
      <c r="AI32" s="218"/>
      <c r="AJ32" s="218"/>
      <c r="AK32" s="218"/>
      <c r="AL32" s="218"/>
      <c r="AM32" s="218"/>
      <c r="AO32" s="432">
        <f t="shared" ref="AO32" si="10">SUMPRODUCT($B$6:$B$30,AO6:AO30)</f>
        <v>16459.98767993271</v>
      </c>
      <c r="AP32" s="228"/>
      <c r="AQ32" s="433">
        <f>SUMPRODUCT($B$6:$B$30,AQ6:AQ30)</f>
        <v>264.91134759399097</v>
      </c>
      <c r="AR32" s="433">
        <f t="shared" ref="AR32:AS32" si="11">SUMPRODUCT($B$6:$B$30,AR6:AR30)</f>
        <v>1182.9118035567053</v>
      </c>
      <c r="AS32" s="433">
        <f t="shared" si="11"/>
        <v>1005.915631218661</v>
      </c>
      <c r="AT32" s="433">
        <f>SUMPRODUCT($B$6:$B$30,AT6:AT30)</f>
        <v>1283110.5470957069</v>
      </c>
    </row>
    <row r="33" spans="6:46" x14ac:dyDescent="0.25">
      <c r="F33" s="219"/>
      <c r="G33" s="219"/>
      <c r="J33" s="221"/>
      <c r="K33" s="213"/>
      <c r="L33" s="213"/>
      <c r="Y33" s="218"/>
      <c r="Z33" s="218"/>
      <c r="AA33" s="218"/>
      <c r="AB33" s="218"/>
      <c r="AC33" s="218"/>
      <c r="AD33" s="218"/>
      <c r="AE33" s="218"/>
      <c r="AF33" s="218"/>
      <c r="AG33" s="218"/>
      <c r="AH33" s="218"/>
      <c r="AI33" s="218"/>
      <c r="AJ33" s="218"/>
      <c r="AK33" s="218"/>
      <c r="AL33" s="218"/>
      <c r="AM33" s="218"/>
      <c r="AN33" s="222"/>
      <c r="AO33" s="222"/>
      <c r="AP33" s="218"/>
      <c r="AQ33" s="218"/>
      <c r="AR33" s="218"/>
      <c r="AS33" s="218"/>
      <c r="AT33" s="218"/>
    </row>
    <row r="34" spans="6:46" x14ac:dyDescent="0.25">
      <c r="J34" s="213"/>
      <c r="K34" s="213"/>
      <c r="L34" s="213"/>
      <c r="AA34" s="223"/>
      <c r="AB34" s="223"/>
      <c r="AC34" s="223"/>
      <c r="AD34" s="223"/>
      <c r="AE34" s="223"/>
      <c r="AF34" s="183"/>
      <c r="AG34" s="218"/>
      <c r="AH34" s="218"/>
      <c r="AI34" s="218"/>
      <c r="AJ34" s="218"/>
      <c r="AK34" s="218"/>
      <c r="AL34" s="218"/>
      <c r="AM34" s="218"/>
      <c r="AN34" s="218"/>
      <c r="AO34" s="218"/>
      <c r="AP34" s="218"/>
      <c r="AQ34" s="218"/>
      <c r="AR34" s="218"/>
      <c r="AS34" s="218"/>
      <c r="AT34" s="218"/>
    </row>
    <row r="35" spans="6:46" x14ac:dyDescent="0.25">
      <c r="J35" s="213"/>
      <c r="K35" s="213"/>
      <c r="L35" s="213"/>
      <c r="Y35" s="224"/>
      <c r="Z35" s="225"/>
      <c r="AA35" s="224"/>
      <c r="AB35" s="226"/>
      <c r="AC35" s="226"/>
      <c r="AD35" s="226"/>
      <c r="AE35" s="226"/>
      <c r="AF35" s="183"/>
      <c r="AG35" s="218"/>
      <c r="AH35" s="218"/>
      <c r="AI35" s="218"/>
      <c r="AJ35" s="218"/>
      <c r="AK35" s="218"/>
      <c r="AL35" s="218"/>
      <c r="AM35" s="218"/>
      <c r="AN35" s="218"/>
      <c r="AO35" s="218"/>
      <c r="AP35" s="218"/>
      <c r="AQ35" s="218"/>
      <c r="AR35" s="218"/>
      <c r="AS35" s="218"/>
      <c r="AT35" s="218"/>
    </row>
    <row r="36" spans="6:46" x14ac:dyDescent="0.25">
      <c r="J36" s="213"/>
      <c r="K36" s="213"/>
      <c r="L36" s="213"/>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row>
    <row r="37" spans="6:46" x14ac:dyDescent="0.25">
      <c r="J37" s="213"/>
      <c r="K37" s="213"/>
      <c r="L37" s="213"/>
      <c r="Y37" s="227"/>
      <c r="Z37" s="218"/>
      <c r="AA37" s="218"/>
      <c r="AB37" s="218"/>
      <c r="AC37" s="218"/>
      <c r="AD37" s="218"/>
      <c r="AE37" s="218"/>
      <c r="AF37" s="218"/>
      <c r="AG37" s="218"/>
      <c r="AH37" s="218"/>
      <c r="AI37" s="218"/>
      <c r="AJ37" s="218"/>
      <c r="AK37" s="218"/>
      <c r="AL37" s="218"/>
      <c r="AM37" s="218"/>
      <c r="AN37" s="218"/>
      <c r="AO37" s="218"/>
      <c r="AP37" s="218"/>
      <c r="AQ37" s="218"/>
      <c r="AR37" s="218"/>
      <c r="AS37" s="218"/>
      <c r="AT37" s="218"/>
    </row>
    <row r="38" spans="6:46" x14ac:dyDescent="0.25">
      <c r="J38" s="213"/>
      <c r="K38" s="213"/>
      <c r="L38" s="213"/>
    </row>
    <row r="39" spans="6:46" x14ac:dyDescent="0.25">
      <c r="J39" s="213"/>
      <c r="K39" s="213"/>
      <c r="L39" s="213"/>
    </row>
    <row r="40" spans="6:46" x14ac:dyDescent="0.25">
      <c r="J40" s="213"/>
      <c r="K40" s="213"/>
      <c r="L40" s="213"/>
    </row>
    <row r="41" spans="6:46" x14ac:dyDescent="0.25">
      <c r="J41" s="213"/>
      <c r="K41" s="213"/>
      <c r="L41" s="213"/>
    </row>
    <row r="42" spans="6:46" x14ac:dyDescent="0.25">
      <c r="J42" s="213"/>
      <c r="K42" s="213"/>
      <c r="L42" s="213"/>
    </row>
    <row r="43" spans="6:46" x14ac:dyDescent="0.25">
      <c r="J43" s="213"/>
      <c r="K43" s="213"/>
      <c r="L43" s="213"/>
    </row>
    <row r="44" spans="6:46" x14ac:dyDescent="0.25">
      <c r="J44" s="213"/>
      <c r="K44" s="213"/>
      <c r="L44" s="213"/>
    </row>
    <row r="45" spans="6:46" x14ac:dyDescent="0.25">
      <c r="J45" s="213"/>
      <c r="K45" s="213"/>
      <c r="L45" s="213"/>
    </row>
    <row r="46" spans="6:46" x14ac:dyDescent="0.25">
      <c r="J46" s="213"/>
      <c r="K46" s="213"/>
      <c r="L46" s="213"/>
    </row>
    <row r="47" spans="6:46" x14ac:dyDescent="0.25">
      <c r="J47" s="213"/>
      <c r="K47" s="213"/>
      <c r="L47" s="213"/>
    </row>
    <row r="48" spans="6:46" x14ac:dyDescent="0.25">
      <c r="J48" s="213"/>
      <c r="K48" s="213"/>
      <c r="L48" s="213"/>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8EB4E-2EB8-4327-B1E3-511579DCC1DB}">
  <dimension ref="A1:AC45"/>
  <sheetViews>
    <sheetView showGridLines="0" zoomScaleNormal="100" workbookViewId="0">
      <pane xSplit="2" ySplit="6" topLeftCell="D7" activePane="bottomRight" state="frozen"/>
      <selection pane="topRight" activeCell="C1" sqref="C1"/>
      <selection pane="bottomLeft" activeCell="A7" sqref="A7"/>
      <selection pane="bottomRight" activeCell="I23" sqref="I23"/>
    </sheetView>
  </sheetViews>
  <sheetFormatPr defaultRowHeight="15" x14ac:dyDescent="0.25"/>
  <cols>
    <col min="1" max="1" width="3.7109375" style="29" customWidth="1"/>
    <col min="2" max="2" width="21.28515625" style="29" customWidth="1"/>
    <col min="3" max="3" width="13" style="267" customWidth="1"/>
    <col min="4" max="12" width="11.7109375" style="267" customWidth="1"/>
    <col min="13" max="13" width="11.7109375" style="268" customWidth="1"/>
    <col min="14" max="14" width="11.7109375" style="269" customWidth="1"/>
    <col min="15" max="27" width="11.7109375" style="267" customWidth="1"/>
    <col min="28" max="28" width="11.7109375" style="29" customWidth="1"/>
    <col min="29" max="16373" width="11.7109375" style="29" bestFit="1" customWidth="1"/>
    <col min="16374" max="16374" width="9.28515625" style="29" bestFit="1" customWidth="1"/>
    <col min="16375" max="16384" width="8.7109375" style="29"/>
  </cols>
  <sheetData>
    <row r="1" spans="1:27" s="196" customFormat="1" x14ac:dyDescent="0.25">
      <c r="A1" s="190" t="s">
        <v>234</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row>
    <row r="2" spans="1:27" s="89" customFormat="1" x14ac:dyDescent="0.25">
      <c r="A2" s="152"/>
      <c r="B2" s="152"/>
      <c r="C2" s="265"/>
      <c r="D2" s="265"/>
      <c r="E2" s="265"/>
      <c r="F2" s="265"/>
      <c r="G2" s="265"/>
      <c r="H2" s="265"/>
      <c r="I2" s="265"/>
      <c r="J2" s="265"/>
      <c r="K2" s="266"/>
      <c r="L2" s="264"/>
      <c r="M2" s="264"/>
      <c r="N2" s="264"/>
      <c r="O2" s="266"/>
      <c r="P2" s="266"/>
      <c r="Q2" s="266"/>
      <c r="R2" s="266"/>
      <c r="S2" s="266"/>
      <c r="T2" s="266"/>
      <c r="U2" s="265"/>
      <c r="V2" s="265"/>
      <c r="W2" s="265"/>
      <c r="X2" s="265"/>
      <c r="Y2" s="265"/>
      <c r="Z2" s="265"/>
      <c r="AA2" s="265"/>
    </row>
    <row r="3" spans="1:27" x14ac:dyDescent="0.25">
      <c r="B3" s="218" t="s">
        <v>162</v>
      </c>
      <c r="J3" s="268"/>
      <c r="K3" s="269"/>
      <c r="M3" s="267"/>
      <c r="N3" s="267"/>
    </row>
    <row r="4" spans="1:27" x14ac:dyDescent="0.25">
      <c r="F4" s="310" t="s">
        <v>171</v>
      </c>
      <c r="G4" s="270"/>
      <c r="H4" s="370" t="s">
        <v>252</v>
      </c>
      <c r="J4" s="268"/>
      <c r="K4" s="269"/>
      <c r="M4" s="267"/>
      <c r="N4" s="267"/>
    </row>
    <row r="5" spans="1:27" x14ac:dyDescent="0.25">
      <c r="F5" s="311" t="s">
        <v>180</v>
      </c>
      <c r="G5" s="275"/>
      <c r="H5" s="371"/>
      <c r="J5" s="268"/>
      <c r="K5" s="269"/>
      <c r="M5" s="267"/>
      <c r="N5" s="267"/>
    </row>
    <row r="6" spans="1:27" s="232" customFormat="1" ht="15" customHeight="1" x14ac:dyDescent="0.25">
      <c r="C6" s="271">
        <v>2022</v>
      </c>
      <c r="D6" s="271">
        <v>2023</v>
      </c>
      <c r="E6" s="271">
        <v>2024</v>
      </c>
      <c r="F6" s="272">
        <v>2025</v>
      </c>
      <c r="G6" s="273">
        <v>2026</v>
      </c>
      <c r="H6" s="372">
        <v>2027</v>
      </c>
      <c r="I6" s="271">
        <v>2028</v>
      </c>
      <c r="J6" s="271">
        <v>2029</v>
      </c>
      <c r="K6" s="271">
        <v>2030</v>
      </c>
      <c r="L6" s="271">
        <v>2031</v>
      </c>
      <c r="M6" s="271">
        <v>2032</v>
      </c>
      <c r="N6" s="271">
        <v>2033</v>
      </c>
      <c r="O6" s="271">
        <v>2034</v>
      </c>
      <c r="P6" s="271">
        <v>2035</v>
      </c>
      <c r="Q6" s="271">
        <v>2036</v>
      </c>
      <c r="R6" s="271">
        <v>2037</v>
      </c>
      <c r="S6" s="271">
        <v>2038</v>
      </c>
      <c r="T6" s="271">
        <v>2039</v>
      </c>
      <c r="U6" s="271">
        <v>2040</v>
      </c>
      <c r="V6" s="271">
        <v>2041</v>
      </c>
      <c r="W6" s="271">
        <v>2042</v>
      </c>
      <c r="X6" s="271">
        <v>2043</v>
      </c>
      <c r="Y6" s="271">
        <v>2044</v>
      </c>
      <c r="Z6" s="271">
        <v>2045</v>
      </c>
      <c r="AA6" s="271">
        <v>2046</v>
      </c>
    </row>
    <row r="7" spans="1:27" x14ac:dyDescent="0.25">
      <c r="F7" s="274"/>
      <c r="G7" s="275"/>
      <c r="H7" s="371"/>
      <c r="J7" s="268"/>
      <c r="K7" s="269"/>
      <c r="M7" s="267"/>
      <c r="N7" s="267"/>
    </row>
    <row r="8" spans="1:27" x14ac:dyDescent="0.25">
      <c r="B8" s="29" t="s">
        <v>254</v>
      </c>
      <c r="C8" s="268">
        <f>Assumptions!$E$20*(1+Assumptions!$E$17)^(C$6-Assumptions!$E$21)</f>
        <v>12000</v>
      </c>
      <c r="D8" s="268">
        <f>Assumptions!$E$20*(1+Assumptions!$E$17)^(D$6-Assumptions!$E$21)</f>
        <v>12240</v>
      </c>
      <c r="E8" s="268">
        <f>Assumptions!$E$20*(1+Assumptions!$E$17)^(E$6-Assumptions!$E$21)</f>
        <v>12484.8</v>
      </c>
      <c r="F8" s="276">
        <f>Assumptions!$E$20*(1+Assumptions!$E$17)^(F$6-Assumptions!$E$21)</f>
        <v>12734.495999999999</v>
      </c>
      <c r="G8" s="277">
        <f>Assumptions!$E$20*(1+Assumptions!$E$17)^(G$6-Assumptions!$E$21)</f>
        <v>12989.18592</v>
      </c>
      <c r="H8" s="373">
        <f>Assumptions!$E$20*(1+Assumptions!$E$17)^(H$6-Assumptions!$E$21)</f>
        <v>13248.9696384</v>
      </c>
      <c r="I8" s="268">
        <f>Assumptions!$E$20*(1+Assumptions!$E$17)^(I$6-Assumptions!$E$21)</f>
        <v>13513.949031168</v>
      </c>
      <c r="J8" s="268">
        <f>Assumptions!$E$20*(1+Assumptions!$E$17)^(J$6-Assumptions!$E$21)</f>
        <v>13784.228011791358</v>
      </c>
      <c r="K8" s="268">
        <f>Assumptions!$E$20*(1+Assumptions!$E$17)^(K$6-Assumptions!$E$21)</f>
        <v>14059.912572027186</v>
      </c>
      <c r="L8" s="268">
        <f>Assumptions!$E$20*(1+Assumptions!$E$17)^(L$6-Assumptions!$E$21)</f>
        <v>14341.11082346773</v>
      </c>
      <c r="M8" s="268">
        <f>Assumptions!$E$20*(1+Assumptions!$E$17)^(M$6-Assumptions!$E$21)</f>
        <v>14627.933039937085</v>
      </c>
      <c r="N8" s="268">
        <f>Assumptions!$E$20*(1+Assumptions!$E$17)^(N$6-Assumptions!$E$21)</f>
        <v>14920.491700735824</v>
      </c>
      <c r="O8" s="268">
        <f>Assumptions!$E$20*(1+Assumptions!$E$17)^(O$6-Assumptions!$E$21)</f>
        <v>15218.901534750543</v>
      </c>
      <c r="P8" s="268">
        <f>Assumptions!$E$20*(1+Assumptions!$E$17)^(P$6-Assumptions!$E$21)</f>
        <v>15523.279565445553</v>
      </c>
      <c r="Q8" s="268">
        <f>Assumptions!$E$20*(1+Assumptions!$E$17)^(Q$6-Assumptions!$E$21)</f>
        <v>15833.745156754465</v>
      </c>
      <c r="R8" s="268">
        <f>Assumptions!$E$20*(1+Assumptions!$E$17)^(R$6-Assumptions!$E$21)</f>
        <v>16150.420059889551</v>
      </c>
      <c r="S8" s="268">
        <f>Assumptions!$E$20*(1+Assumptions!$E$17)^(S$6-Assumptions!$E$21)</f>
        <v>16473.428461087344</v>
      </c>
      <c r="T8" s="268">
        <f>Assumptions!$E$20*(1+Assumptions!$E$17)^(T$6-Assumptions!$E$21)</f>
        <v>16802.897030309094</v>
      </c>
      <c r="U8" s="268">
        <f>Assumptions!$E$20*(1+Assumptions!$E$17)^(U$6-Assumptions!$E$21)</f>
        <v>17138.954970915274</v>
      </c>
      <c r="V8" s="268">
        <f>Assumptions!$E$20*(1+Assumptions!$E$17)^(V$6-Assumptions!$E$21)</f>
        <v>17481.734070333576</v>
      </c>
      <c r="W8" s="278">
        <f>Assumptions!$E$20*(1+Assumptions!$E$17)^(W$6-Assumptions!$E$21)</f>
        <v>17831.36875174025</v>
      </c>
      <c r="X8" s="268">
        <f>Assumptions!$E$20*(1+Assumptions!$E$17)^(X$6-Assumptions!$E$21)</f>
        <v>18187.996126775055</v>
      </c>
      <c r="Y8" s="268">
        <f>Assumptions!$E$20*(1+Assumptions!$E$17)^(Y$6-Assumptions!$E$21)</f>
        <v>18551.756049310556</v>
      </c>
      <c r="Z8" s="268">
        <f>Assumptions!$E$20*(1+Assumptions!$E$17)^(Z$6-Assumptions!$E$21)</f>
        <v>18922.791170296765</v>
      </c>
      <c r="AA8" s="268">
        <f>Assumptions!$E$20*(1+Assumptions!$E$17)^(AA$6-Assumptions!$E$21)</f>
        <v>19301.246993702702</v>
      </c>
    </row>
    <row r="9" spans="1:27" x14ac:dyDescent="0.25">
      <c r="B9" s="29" t="s">
        <v>253</v>
      </c>
      <c r="C9" s="268"/>
      <c r="D9" s="268"/>
      <c r="E9" s="268"/>
      <c r="F9" s="276"/>
      <c r="G9" s="277"/>
      <c r="H9" s="373"/>
      <c r="I9" s="268"/>
      <c r="J9" s="268"/>
      <c r="K9" s="268"/>
      <c r="L9" s="268"/>
      <c r="N9" s="268"/>
      <c r="O9" s="268"/>
      <c r="P9" s="268"/>
      <c r="Q9" s="268"/>
      <c r="R9" s="268"/>
      <c r="S9" s="268"/>
      <c r="T9" s="268"/>
      <c r="U9" s="268"/>
      <c r="V9" s="268"/>
      <c r="W9" s="278"/>
      <c r="X9" s="268"/>
      <c r="Y9" s="268"/>
      <c r="Z9" s="268"/>
      <c r="AA9" s="268"/>
    </row>
    <row r="10" spans="1:27" x14ac:dyDescent="0.25">
      <c r="F10" s="274"/>
      <c r="G10" s="275"/>
      <c r="H10" s="371"/>
      <c r="M10" s="267"/>
      <c r="N10" s="267"/>
    </row>
    <row r="11" spans="1:27" x14ac:dyDescent="0.25">
      <c r="A11" s="351" t="s">
        <v>172</v>
      </c>
      <c r="F11" s="274"/>
      <c r="G11" s="275"/>
      <c r="H11" s="371"/>
      <c r="M11" s="267"/>
      <c r="N11" s="267"/>
    </row>
    <row r="12" spans="1:27" x14ac:dyDescent="0.25">
      <c r="B12" s="29" t="s">
        <v>70</v>
      </c>
      <c r="C12" s="279">
        <f>Assumptions!$E$26</f>
        <v>13680</v>
      </c>
      <c r="D12" s="279">
        <f>Assumptions!$E$26</f>
        <v>13680</v>
      </c>
      <c r="E12" s="279">
        <f>Assumptions!$E$26</f>
        <v>13680</v>
      </c>
      <c r="F12" s="280">
        <f>Assumptions!$E$26</f>
        <v>13680</v>
      </c>
      <c r="G12" s="281">
        <f>Assumptions!$E$26</f>
        <v>13680</v>
      </c>
      <c r="H12" s="374">
        <f>Assumptions!$E$26</f>
        <v>13680</v>
      </c>
      <c r="I12" s="279">
        <f>Assumptions!$E$26</f>
        <v>13680</v>
      </c>
      <c r="J12" s="279">
        <f>Assumptions!$E$26</f>
        <v>13680</v>
      </c>
      <c r="K12" s="279">
        <f>Assumptions!$E$26</f>
        <v>13680</v>
      </c>
      <c r="L12" s="279">
        <f>Assumptions!$E$26</f>
        <v>13680</v>
      </c>
      <c r="M12" s="279">
        <f>Assumptions!$E$26</f>
        <v>13680</v>
      </c>
      <c r="N12" s="279">
        <f>Assumptions!$E$26</f>
        <v>13680</v>
      </c>
      <c r="O12" s="279">
        <f>Assumptions!$E$26</f>
        <v>13680</v>
      </c>
      <c r="P12" s="279">
        <f>Assumptions!$E$26</f>
        <v>13680</v>
      </c>
      <c r="Q12" s="279">
        <f>Assumptions!$E$26</f>
        <v>13680</v>
      </c>
      <c r="R12" s="279">
        <f>Assumptions!$E$26</f>
        <v>13680</v>
      </c>
      <c r="S12" s="279">
        <f>Assumptions!$E$26</f>
        <v>13680</v>
      </c>
      <c r="T12" s="279">
        <f>Assumptions!$E$26</f>
        <v>13680</v>
      </c>
      <c r="U12" s="279">
        <f>Assumptions!$E$26</f>
        <v>13680</v>
      </c>
      <c r="V12" s="279">
        <f>Assumptions!$E$26</f>
        <v>13680</v>
      </c>
      <c r="W12" s="279">
        <f>Assumptions!$E$26</f>
        <v>13680</v>
      </c>
      <c r="X12" s="279">
        <f>Assumptions!$E$26</f>
        <v>13680</v>
      </c>
      <c r="Y12" s="279">
        <f>Assumptions!$E$26</f>
        <v>13680</v>
      </c>
      <c r="Z12" s="279">
        <f>Assumptions!$E$26</f>
        <v>13680</v>
      </c>
      <c r="AA12" s="279">
        <f>Assumptions!$E$26</f>
        <v>13680</v>
      </c>
    </row>
    <row r="13" spans="1:27" x14ac:dyDescent="0.25">
      <c r="B13" s="29" t="s">
        <v>71</v>
      </c>
      <c r="C13" s="282">
        <f t="shared" ref="C13:D13" si="0">C8/C12</f>
        <v>0.8771929824561403</v>
      </c>
      <c r="D13" s="282">
        <f t="shared" si="0"/>
        <v>0.89473684210526316</v>
      </c>
      <c r="E13" s="282">
        <f t="shared" ref="E13:G13" si="1">E8/E12</f>
        <v>0.91263157894736835</v>
      </c>
      <c r="F13" s="283">
        <f t="shared" si="1"/>
        <v>0.93088421052631576</v>
      </c>
      <c r="G13" s="284">
        <f t="shared" si="1"/>
        <v>0.9495018947368421</v>
      </c>
      <c r="H13" s="375">
        <f t="shared" ref="H13" si="2">H8/H12</f>
        <v>0.96849193263157896</v>
      </c>
      <c r="I13" s="282">
        <f t="shared" ref="I13" si="3">I8/I12</f>
        <v>0.98786177128421049</v>
      </c>
      <c r="J13" s="282">
        <f t="shared" ref="J13" si="4">J8/J12</f>
        <v>1.0076190067098947</v>
      </c>
      <c r="K13" s="282">
        <f t="shared" ref="K13" si="5">K8/K12</f>
        <v>1.0277713868440925</v>
      </c>
      <c r="L13" s="282">
        <f t="shared" ref="L13" si="6">L8/L12</f>
        <v>1.0483268145809745</v>
      </c>
      <c r="M13" s="282">
        <f t="shared" ref="M13" si="7">M8/M12</f>
        <v>1.0692933508725939</v>
      </c>
      <c r="N13" s="282">
        <f t="shared" ref="N13" si="8">N8/N12</f>
        <v>1.0906792178900455</v>
      </c>
      <c r="O13" s="282">
        <f t="shared" ref="O13" si="9">O8/O12</f>
        <v>1.1124928022478466</v>
      </c>
      <c r="P13" s="282">
        <f t="shared" ref="P13" si="10">P8/P12</f>
        <v>1.1347426582928035</v>
      </c>
      <c r="Q13" s="282">
        <f t="shared" ref="Q13" si="11">Q8/Q12</f>
        <v>1.1574375114586597</v>
      </c>
      <c r="R13" s="282">
        <f t="shared" ref="R13" si="12">R8/R12</f>
        <v>1.1805862616878326</v>
      </c>
      <c r="S13" s="282">
        <f t="shared" ref="S13" si="13">S8/S12</f>
        <v>1.2041979869215895</v>
      </c>
      <c r="T13" s="282">
        <f t="shared" ref="T13" si="14">T8/T12</f>
        <v>1.2282819466600214</v>
      </c>
      <c r="U13" s="282">
        <f t="shared" ref="U13" si="15">U8/U12</f>
        <v>1.2528475855932217</v>
      </c>
      <c r="V13" s="282">
        <f t="shared" ref="V13" si="16">V8/V12</f>
        <v>1.2779045373050859</v>
      </c>
      <c r="W13" s="285">
        <f t="shared" ref="W13" si="17">W8/W12</f>
        <v>1.3034626280511878</v>
      </c>
      <c r="X13" s="282">
        <f t="shared" ref="X13" si="18">X8/X12</f>
        <v>1.3295318806122116</v>
      </c>
      <c r="Y13" s="282">
        <f t="shared" ref="Y13" si="19">Y8/Y12</f>
        <v>1.3561225182244558</v>
      </c>
      <c r="Z13" s="282">
        <f t="shared" ref="Z13" si="20">Z8/Z12</f>
        <v>1.3832449685889447</v>
      </c>
      <c r="AA13" s="282">
        <f t="shared" ref="AA13" si="21">AA8/AA12</f>
        <v>1.4109098679607237</v>
      </c>
    </row>
    <row r="14" spans="1:27" x14ac:dyDescent="0.25">
      <c r="B14" s="29" t="s">
        <v>102</v>
      </c>
      <c r="C14" s="286">
        <f>MAX(Assumptions!$E$18/(1+$C$38*(C$8/C12)^$C$39),Assumptions!$E$23)</f>
        <v>45.921608220158504</v>
      </c>
      <c r="D14" s="286">
        <f>MAX(Assumptions!$E$18/(1+$C$38*(D$8/D12)^$C$39),Assumptions!$E$23)</f>
        <v>45.614902153775503</v>
      </c>
      <c r="E14" s="286">
        <f>MAX(Assumptions!$E$18/(1+$C$38*(E$8/E12)^$C$39),Assumptions!$E$23)</f>
        <v>45.28749792001279</v>
      </c>
      <c r="F14" s="287">
        <f>MAX(Assumptions!$E$18/(1+$C$38*(F$8/F12)^$C$39),Assumptions!$E$23)</f>
        <v>44.938361252981167</v>
      </c>
      <c r="G14" s="288">
        <f>MAX(Assumptions!$E$18/(1+$C$38*(G$8/G12)^$C$39),Assumptions!$E$23)</f>
        <v>44.566461427845219</v>
      </c>
      <c r="H14" s="376">
        <f>MAX(Assumptions!$E$18/(1+$C$38*(H$8/H12)^$C$39),Assumptions!$E$23)</f>
        <v>44.170781054461855</v>
      </c>
      <c r="I14" s="286">
        <f>MAX(Assumptions!$E$18/(1+$C$38*(I$8/I12)^$C$39),Assumptions!$E$23)</f>
        <v>43.750327189873872</v>
      </c>
      <c r="J14" s="286">
        <f>MAX(Assumptions!$E$18/(1+$C$38*(J$8/J12)^$C$39),Assumptions!$E$23)</f>
        <v>43.304143785320605</v>
      </c>
      <c r="K14" s="286">
        <f>MAX(Assumptions!$E$18/(1+$C$38*(K$8/K12)^$C$39),Assumptions!$E$23)</f>
        <v>42.831325450686258</v>
      </c>
      <c r="L14" s="286">
        <f>MAX(Assumptions!$E$18/(1+$C$38*(L$8/L12)^$C$39),Assumptions!$E$23)</f>
        <v>42.331032479628277</v>
      </c>
      <c r="M14" s="286">
        <f>MAX(Assumptions!$E$18/(1+$C$38*(M$8/M12)^$C$39),Assumptions!$E$23)</f>
        <v>41.802507032026213</v>
      </c>
      <c r="N14" s="286">
        <f>MAX(Assumptions!$E$18/(1+$C$38*(N$8/N12)^$C$39),Assumptions!$E$23)</f>
        <v>41.245090317270595</v>
      </c>
      <c r="O14" s="286">
        <f>MAX(Assumptions!$E$18/(1+$C$38*(O$8/O12)^$C$39),Assumptions!$E$23)</f>
        <v>40.658240563163552</v>
      </c>
      <c r="P14" s="286">
        <f>MAX(Assumptions!$E$18/(1+$C$38*(P$8/P12)^$C$39),Assumptions!$E$23)</f>
        <v>40.041551492286921</v>
      </c>
      <c r="Q14" s="286">
        <f>MAX(Assumptions!$E$18/(1+$C$38*(Q$8/Q12)^$C$39),Assumptions!$E$23)</f>
        <v>39.394770962704143</v>
      </c>
      <c r="R14" s="286">
        <f>MAX(Assumptions!$E$18/(1+$C$38*(R$8/R12)^$C$39),Assumptions!$E$23)</f>
        <v>38.717819365549346</v>
      </c>
      <c r="S14" s="286">
        <f>MAX(Assumptions!$E$18/(1+$C$38*(S$8/S12)^$C$39),Assumptions!$E$23)</f>
        <v>38.010807311813309</v>
      </c>
      <c r="T14" s="286">
        <f>MAX(Assumptions!$E$18/(1+$C$38*(T$8/T12)^$C$39),Assumptions!$E$23)</f>
        <v>37.274052088407181</v>
      </c>
      <c r="U14" s="286">
        <f>MAX(Assumptions!$E$18/(1+$C$38*(U$8/U12)^$C$39),Assumptions!$E$23)</f>
        <v>36.508092323713164</v>
      </c>
      <c r="V14" s="286">
        <f>MAX(Assumptions!$E$18/(1+$C$38*(V$8/V12)^$C$39),Assumptions!$E$23)</f>
        <v>35.713700279820046</v>
      </c>
      <c r="W14" s="289">
        <f>MAX(Assumptions!$E$18/(1+$C$38*(W$8/W12)^$C$39),Assumptions!$E$23)</f>
        <v>34.891891186834215</v>
      </c>
      <c r="X14" s="286">
        <f>MAX(Assumptions!$E$18/(1+$C$38*(X$8/X12)^$C$39),Assumptions!$E$23)</f>
        <v>34.043929057865306</v>
      </c>
      <c r="Y14" s="286">
        <f>MAX(Assumptions!$E$18/(1+$C$38*(Y$8/Y12)^$C$39),Assumptions!$E$23)</f>
        <v>33.171328474362078</v>
      </c>
      <c r="Z14" s="286">
        <f>MAX(Assumptions!$E$18/(1+$C$38*(Z$8/Z12)^$C$39),Assumptions!$E$23)</f>
        <v>32.275851911898137</v>
      </c>
      <c r="AA14" s="286">
        <f>MAX(Assumptions!$E$18/(1+$C$38*(AA$8/AA12)^$C$39),Assumptions!$E$23)</f>
        <v>31.359502285999373</v>
      </c>
    </row>
    <row r="15" spans="1:27" x14ac:dyDescent="0.25">
      <c r="F15" s="274"/>
      <c r="G15" s="275"/>
      <c r="H15" s="371"/>
      <c r="M15" s="267"/>
      <c r="N15" s="267"/>
    </row>
    <row r="16" spans="1:27" x14ac:dyDescent="0.25">
      <c r="A16" s="351" t="s">
        <v>173</v>
      </c>
      <c r="F16" s="274"/>
      <c r="G16" s="275"/>
      <c r="H16" s="371"/>
      <c r="M16" s="267"/>
      <c r="N16" s="267"/>
    </row>
    <row r="17" spans="1:29" x14ac:dyDescent="0.25">
      <c r="B17" s="29" t="s">
        <v>70</v>
      </c>
      <c r="C17" s="267">
        <f t="shared" ref="C17:D17" si="22">C12</f>
        <v>13680</v>
      </c>
      <c r="D17" s="267">
        <f t="shared" si="22"/>
        <v>13680</v>
      </c>
      <c r="E17" s="267">
        <f>E12</f>
        <v>13680</v>
      </c>
      <c r="F17" s="274">
        <f>F12</f>
        <v>13680</v>
      </c>
      <c r="G17" s="275">
        <f>G12</f>
        <v>13680</v>
      </c>
      <c r="H17" s="374">
        <f>Assumptions!$E$27</f>
        <v>17100</v>
      </c>
      <c r="I17" s="279">
        <f>Assumptions!$E$27</f>
        <v>17100</v>
      </c>
      <c r="J17" s="279">
        <f>Assumptions!$E$27</f>
        <v>17100</v>
      </c>
      <c r="K17" s="279">
        <f>Assumptions!$E$27</f>
        <v>17100</v>
      </c>
      <c r="L17" s="279">
        <f>Assumptions!$E$27</f>
        <v>17100</v>
      </c>
      <c r="M17" s="279">
        <f>Assumptions!$E$27</f>
        <v>17100</v>
      </c>
      <c r="N17" s="279">
        <f>Assumptions!$E$27</f>
        <v>17100</v>
      </c>
      <c r="O17" s="279">
        <f>Assumptions!$E$27</f>
        <v>17100</v>
      </c>
      <c r="P17" s="279">
        <f>Assumptions!$E$27</f>
        <v>17100</v>
      </c>
      <c r="Q17" s="279">
        <f>Assumptions!$E$27</f>
        <v>17100</v>
      </c>
      <c r="R17" s="279">
        <f>Assumptions!$E$27</f>
        <v>17100</v>
      </c>
      <c r="S17" s="279">
        <f>Assumptions!$E$27</f>
        <v>17100</v>
      </c>
      <c r="T17" s="279">
        <f>Assumptions!$E$27</f>
        <v>17100</v>
      </c>
      <c r="U17" s="279">
        <f>Assumptions!$E$27</f>
        <v>17100</v>
      </c>
      <c r="V17" s="279">
        <f>Assumptions!$E$27</f>
        <v>17100</v>
      </c>
      <c r="W17" s="279">
        <f>Assumptions!$E$27</f>
        <v>17100</v>
      </c>
      <c r="X17" s="279">
        <f>Assumptions!$E$27</f>
        <v>17100</v>
      </c>
      <c r="Y17" s="279">
        <f>Assumptions!$E$27</f>
        <v>17100</v>
      </c>
      <c r="Z17" s="279">
        <f>Assumptions!$E$27</f>
        <v>17100</v>
      </c>
      <c r="AA17" s="279">
        <f>Assumptions!$E$27</f>
        <v>17100</v>
      </c>
    </row>
    <row r="18" spans="1:29" x14ac:dyDescent="0.25">
      <c r="B18" s="29" t="s">
        <v>71</v>
      </c>
      <c r="C18" s="282">
        <f t="shared" ref="C18:D18" si="23">C$8/C17</f>
        <v>0.8771929824561403</v>
      </c>
      <c r="D18" s="282">
        <f t="shared" si="23"/>
        <v>0.89473684210526316</v>
      </c>
      <c r="E18" s="282">
        <f t="shared" ref="E18:G18" si="24">E$8/E17</f>
        <v>0.91263157894736835</v>
      </c>
      <c r="F18" s="283">
        <f t="shared" si="24"/>
        <v>0.93088421052631576</v>
      </c>
      <c r="G18" s="284">
        <f t="shared" si="24"/>
        <v>0.9495018947368421</v>
      </c>
      <c r="H18" s="375">
        <f t="shared" ref="H18" si="25">H$8/H17</f>
        <v>0.77479354610526319</v>
      </c>
      <c r="I18" s="282">
        <f t="shared" ref="I18" si="26">I$8/I17</f>
        <v>0.79028941702736843</v>
      </c>
      <c r="J18" s="282">
        <f t="shared" ref="J18" si="27">J$8/J17</f>
        <v>0.80609520536791568</v>
      </c>
      <c r="K18" s="282">
        <f t="shared" ref="K18" si="28">K$8/K17</f>
        <v>0.82221710947527404</v>
      </c>
      <c r="L18" s="282">
        <f t="shared" ref="L18" si="29">L$8/L17</f>
        <v>0.83866145166477957</v>
      </c>
      <c r="M18" s="282">
        <f t="shared" ref="M18" si="30">M$8/M17</f>
        <v>0.85543468069807516</v>
      </c>
      <c r="N18" s="282">
        <f t="shared" ref="N18" si="31">N$8/N17</f>
        <v>0.87254337431203643</v>
      </c>
      <c r="O18" s="282">
        <f t="shared" ref="O18" si="32">O$8/O17</f>
        <v>0.88999424179827735</v>
      </c>
      <c r="P18" s="282">
        <f t="shared" ref="P18" si="33">P$8/P17</f>
        <v>0.90779412663424286</v>
      </c>
      <c r="Q18" s="282">
        <f t="shared" ref="Q18" si="34">Q$8/Q17</f>
        <v>0.92595000916692782</v>
      </c>
      <c r="R18" s="282">
        <f t="shared" ref="R18" si="35">R$8/R17</f>
        <v>0.94446900935026612</v>
      </c>
      <c r="S18" s="282">
        <f t="shared" ref="S18" si="36">S$8/S17</f>
        <v>0.9633583895372716</v>
      </c>
      <c r="T18" s="282">
        <f t="shared" ref="T18" si="37">T$8/T17</f>
        <v>0.98262555732801715</v>
      </c>
      <c r="U18" s="282">
        <f t="shared" ref="U18" si="38">U$8/U17</f>
        <v>1.0022780684745773</v>
      </c>
      <c r="V18" s="282">
        <f t="shared" ref="V18" si="39">V$8/V17</f>
        <v>1.0223236298440688</v>
      </c>
      <c r="W18" s="285">
        <f t="shared" ref="W18" si="40">W$8/W17</f>
        <v>1.0427701024409504</v>
      </c>
      <c r="X18" s="282">
        <f t="shared" ref="X18" si="41">X$8/X17</f>
        <v>1.0636255044897693</v>
      </c>
      <c r="Y18" s="282">
        <f t="shared" ref="Y18" si="42">Y$8/Y17</f>
        <v>1.0848980145795646</v>
      </c>
      <c r="Z18" s="282">
        <f t="shared" ref="Z18" si="43">Z$8/Z17</f>
        <v>1.1065959748711558</v>
      </c>
      <c r="AA18" s="282">
        <f t="shared" ref="AA18" si="44">AA$8/AA17</f>
        <v>1.128727894368579</v>
      </c>
    </row>
    <row r="19" spans="1:29" x14ac:dyDescent="0.25">
      <c r="B19" s="29" t="s">
        <v>102</v>
      </c>
      <c r="C19" s="290">
        <f>MAX(Assumptions!$E$18/(1+$C$38*(C$8/C17)^$C$39),Assumptions!$E$23)</f>
        <v>45.921608220158504</v>
      </c>
      <c r="D19" s="290">
        <f>MAX(Assumptions!$E$18/(1+$C$38*(D$8/D17)^$C$39),Assumptions!$E$23)</f>
        <v>45.614902153775503</v>
      </c>
      <c r="E19" s="290">
        <f>MAX(Assumptions!$E$18/(1+$C$38*(E$8/E17)^$C$39),Assumptions!$E$23)</f>
        <v>45.28749792001279</v>
      </c>
      <c r="F19" s="291">
        <f>Assumptions!$E$19</f>
        <v>35</v>
      </c>
      <c r="G19" s="292">
        <f>Assumptions!$E$19</f>
        <v>35</v>
      </c>
      <c r="H19" s="377">
        <f>MAX(Assumptions!$E$18/(1+$C$38*(H$8/H17)^$C$39),Assumptions!$E$23)</f>
        <v>47.43585842083278</v>
      </c>
      <c r="I19" s="290">
        <f>MAX(Assumptions!$E$18/(1+$C$38*(I$8/I17)^$C$39),Assumptions!$E$23)</f>
        <v>47.236174362877016</v>
      </c>
      <c r="J19" s="290">
        <f>MAX(Assumptions!$E$18/(1+$C$38*(J$8/J17)^$C$39),Assumptions!$E$23)</f>
        <v>47.021916070830436</v>
      </c>
      <c r="K19" s="290">
        <f>MAX(Assumptions!$E$18/(1+$C$38*(K$8/K17)^$C$39),Assumptions!$E$23)</f>
        <v>46.792175947424305</v>
      </c>
      <c r="L19" s="290">
        <f>MAX(Assumptions!$E$18/(1+$C$38*(L$8/L17)^$C$39),Assumptions!$E$23)</f>
        <v>46.546014681180722</v>
      </c>
      <c r="M19" s="290">
        <f>MAX(Assumptions!$E$18/(1+$C$38*(M$8/M17)^$C$39),Assumptions!$E$23)</f>
        <v>46.282464306621264</v>
      </c>
      <c r="N19" s="290">
        <f>MAX(Assumptions!$E$18/(1+$C$38*(N$8/N17)^$C$39),Assumptions!$E$23)</f>
        <v>46.000532108073727</v>
      </c>
      <c r="O19" s="290">
        <f>MAX(Assumptions!$E$18/(1+$C$38*(O$8/O17)^$C$39),Assumptions!$E$23)</f>
        <v>45.699205460679629</v>
      </c>
      <c r="P19" s="290">
        <f>MAX(Assumptions!$E$18/(1+$C$38*(P$8/P17)^$C$39),Assumptions!$E$23)</f>
        <v>45.377457700801799</v>
      </c>
      <c r="Q19" s="290">
        <f>MAX(Assumptions!$E$18/(1+$C$38*(Q$8/Q17)^$C$39),Assumptions!$E$23)</f>
        <v>45.034255113449454</v>
      </c>
      <c r="R19" s="290">
        <f>MAX(Assumptions!$E$18/(1+$C$38*(R$8/R17)^$C$39),Assumptions!$E$23)</f>
        <v>44.668565115876582</v>
      </c>
      <c r="S19" s="290">
        <f>MAX(Assumptions!$E$18/(1+$C$38*(S$8/S17)^$C$39),Assumptions!$E$23)</f>
        <v>44.279365703438174</v>
      </c>
      <c r="T19" s="290">
        <f>MAX(Assumptions!$E$18/(1+$C$38*(T$8/T17)^$C$39),Assumptions!$E$23)</f>
        <v>43.86565620539124</v>
      </c>
      <c r="U19" s="290">
        <f>MAX(Assumptions!$E$18/(1+$C$38*(U$8/U17)^$C$39),Assumptions!$E$23)</f>
        <v>43.42646937394079</v>
      </c>
      <c r="V19" s="290">
        <f>MAX(Assumptions!$E$18/(1+$C$38*(V$8/V17)^$C$39),Assumptions!$E$23)</f>
        <v>42.960884798912211</v>
      </c>
      <c r="W19" s="293">
        <f>MAX(Assumptions!$E$18/(1+$C$38*(W$8/W17)^$C$39),Assumptions!$E$23)</f>
        <v>42.468043602627972</v>
      </c>
      <c r="X19" s="290">
        <f>MAX(Assumptions!$E$18/(1+$C$38*(X$8/X17)^$C$39),Assumptions!$E$23)</f>
        <v>41.94716432480088</v>
      </c>
      <c r="Y19" s="290">
        <f>MAX(Assumptions!$E$18/(1+$C$38*(Y$8/Y17)^$C$39),Assumptions!$E$23)</f>
        <v>41.397559855819182</v>
      </c>
      <c r="Z19" s="290">
        <f>MAX(Assumptions!$E$18/(1+$C$38*(Z$8/Z17)^$C$39),Assumptions!$E$23)</f>
        <v>40.818655219442633</v>
      </c>
      <c r="AA19" s="290">
        <f>MAX(Assumptions!$E$18/(1+$C$38*(AA$8/AA17)^$C$39),Assumptions!$E$23)</f>
        <v>40.210005943953313</v>
      </c>
    </row>
    <row r="20" spans="1:29" x14ac:dyDescent="0.25">
      <c r="B20" s="29" t="s">
        <v>115</v>
      </c>
      <c r="C20" s="294">
        <f>((Assumptions!$E$13/C14)-(Assumptions!$E$13/C19))*60*60</f>
        <v>0</v>
      </c>
      <c r="D20" s="294">
        <f>((Assumptions!$E$13/D14)-(Assumptions!$E$13/D19))*60*60</f>
        <v>0</v>
      </c>
      <c r="E20" s="294">
        <f>((Assumptions!$E$13/E14)-(Assumptions!$E$13/E19))*60*60</f>
        <v>0</v>
      </c>
      <c r="F20" s="295">
        <f>((Assumptions!$E$13/F14)-(Assumptions!$E$13/F19))*60*60</f>
        <v>-136.48447535624771</v>
      </c>
      <c r="G20" s="296">
        <f>((Assumptions!$E$13/G14)-(Assumptions!$E$13/G19))*60*60</f>
        <v>-132.47345984347282</v>
      </c>
      <c r="H20" s="378">
        <f>((Assumptions!$E$13/H14)-(Assumptions!$E$13/H19))*60*60</f>
        <v>33.659323615749578</v>
      </c>
      <c r="I20" s="294">
        <f>((Assumptions!$E$13/I14)-(Assumptions!$E$13/I19))*60*60</f>
        <v>36.433934365534817</v>
      </c>
      <c r="J20" s="294">
        <f>((Assumptions!$E$13/J14)-(Assumptions!$E$13/J19))*60*60</f>
        <v>39.437262272584114</v>
      </c>
      <c r="K20" s="294">
        <f>((Assumptions!$E$13/K14)-(Assumptions!$E$13/K19))*60*60</f>
        <v>42.688160986199755</v>
      </c>
      <c r="L20" s="294">
        <f>((Assumptions!$E$13/L14)-(Assumptions!$E$13/L19))*60*60</f>
        <v>46.207038302719951</v>
      </c>
      <c r="M20" s="294">
        <f>((Assumptions!$E$13/M14)-(Assumptions!$E$13/M19))*60*60</f>
        <v>50.01598427721575</v>
      </c>
      <c r="N20" s="294">
        <f>((Assumptions!$E$13/N14)-(Assumptions!$E$13/N19))*60*60</f>
        <v>54.138909895712729</v>
      </c>
      <c r="O20" s="294">
        <f>((Assumptions!$E$13/O14)-(Assumptions!$E$13/O19))*60*60</f>
        <v>58.601697178461677</v>
      </c>
      <c r="P20" s="294">
        <f>((Assumptions!$E$13/P14)-(Assumptions!$E$13/P19))*60*60</f>
        <v>63.432361656548302</v>
      </c>
      <c r="Q20" s="294">
        <f>((Assumptions!$E$13/Q14)-(Assumptions!$E$13/Q19))*60*60</f>
        <v>68.661228241798639</v>
      </c>
      <c r="R20" s="294">
        <f>((Assumptions!$E$13/R14)-(Assumptions!$E$13/R19))*60*60</f>
        <v>74.321121594023126</v>
      </c>
      <c r="S20" s="294">
        <f>((Assumptions!$E$13/S14)-(Assumptions!$E$13/S19))*60*60</f>
        <v>80.447572180641217</v>
      </c>
      <c r="T20" s="294">
        <f>((Assumptions!$E$13/T14)-(Assumptions!$E$13/T19))*60*60</f>
        <v>87.079039322247297</v>
      </c>
      <c r="U20" s="294">
        <f>((Assumptions!$E$13/U14)-(Assumptions!$E$13/U19))*60*60</f>
        <v>94.257152624305078</v>
      </c>
      <c r="V20" s="294">
        <f>((Assumptions!$E$13/V14)-(Assumptions!$E$13/V19))*60*60</f>
        <v>102.02697331057607</v>
      </c>
      <c r="W20" s="294">
        <f>((Assumptions!$E$13/W14)-(Assumptions!$E$13/W19))*60*60</f>
        <v>110.43727709882927</v>
      </c>
      <c r="X20" s="294">
        <f>((Assumptions!$E$13/X14)-(Assumptions!$E$13/X19))*60*60</f>
        <v>119.54086039460432</v>
      </c>
      <c r="Y20" s="294">
        <f>((Assumptions!$E$13/Y14)-(Assumptions!$E$13/Y19))*60*60</f>
        <v>129.39487172519011</v>
      </c>
      <c r="Z20" s="294">
        <f>((Assumptions!$E$13/Z14)-(Assumptions!$E$13/Z19))*60*60</f>
        <v>140.06117049442028</v>
      </c>
      <c r="AA20" s="294">
        <f>((Assumptions!$E$13/AA14)-(Assumptions!$E$13/AA19))*60*60</f>
        <v>151.60671531040353</v>
      </c>
    </row>
    <row r="21" spans="1:29" x14ac:dyDescent="0.25">
      <c r="B21" s="29" t="s">
        <v>72</v>
      </c>
      <c r="C21" s="297">
        <f>C20/60/60*C8*365*Assumptions!$E$57</f>
        <v>0</v>
      </c>
      <c r="D21" s="297">
        <f>D20/60/60*D8*365*Assumptions!$E$57</f>
        <v>0</v>
      </c>
      <c r="E21" s="297">
        <f>E20/60/60*E8*365*Assumptions!$E$57</f>
        <v>0</v>
      </c>
      <c r="F21" s="298">
        <f>F20/60/60*F8*365*Assumptions!$E$57</f>
        <v>-294287.52385948179</v>
      </c>
      <c r="G21" s="299">
        <f>G20/60/60*G8*365*Assumptions!$E$57</f>
        <v>-291351.76070486696</v>
      </c>
      <c r="H21" s="379">
        <f>H20/60/60*H8*365*Assumptions!$E$57</f>
        <v>75508.235954539967</v>
      </c>
      <c r="I21" s="297">
        <f>I20/60/60*I8*365*Assumptions!$E$57</f>
        <v>83367.193800903566</v>
      </c>
      <c r="J21" s="297">
        <f>J20/60/60*J8*365*Assumptions!$E$57</f>
        <v>92044.118292231753</v>
      </c>
      <c r="K21" s="297">
        <f>K20/60/60*K8*365*Assumptions!$E$57</f>
        <v>101624.14405392308</v>
      </c>
      <c r="L21" s="297">
        <f>L20/60/60*L8*365*Assumptions!$E$57</f>
        <v>112201.26659156797</v>
      </c>
      <c r="M21" s="297">
        <f>M20/60/60*M8*365*Assumptions!$E$57</f>
        <v>123879.26453847534</v>
      </c>
      <c r="N21" s="297">
        <f>N20/60/60*N8*365*Assumptions!$E$57</f>
        <v>136772.7178914652</v>
      </c>
      <c r="O21" s="297">
        <f>O20/60/60*O8*365*Assumptions!$E$57</f>
        <v>151008.13222545589</v>
      </c>
      <c r="P21" s="297">
        <f>P20/60/60*P8*365*Assumptions!$E$57</f>
        <v>166725.17991721348</v>
      </c>
      <c r="Q21" s="297">
        <f>Q20/60/60*Q8*365*Assumptions!$E$57</f>
        <v>184078.07055666123</v>
      </c>
      <c r="R21" s="297">
        <f>R20/60/60*R8*365*Assumptions!$E$57</f>
        <v>203237.06399170484</v>
      </c>
      <c r="S21" s="297">
        <f>S20/60/60*S8*365*Assumptions!$E$57</f>
        <v>224390.14085197166</v>
      </c>
      <c r="T21" s="297">
        <f>T20/60/60*T8*365*Assumptions!$E$57</f>
        <v>247744.8469420058</v>
      </c>
      <c r="U21" s="297">
        <f>U20/60/60*U8*365*Assumptions!$E$57</f>
        <v>273530.3296003908</v>
      </c>
      <c r="V21" s="297">
        <f>V20/60/60*V8*365*Assumptions!$E$57</f>
        <v>301999.58600475965</v>
      </c>
      <c r="W21" s="300">
        <f>W20/60/60*W8*365*Assumptions!$E$57</f>
        <v>333431.94548220286</v>
      </c>
      <c r="X21" s="297">
        <f>X20/60/60*X8*365*Assumptions!$E$57</f>
        <v>368135.8101805292</v>
      </c>
      <c r="Y21" s="297">
        <f>Y20/60/60*Y8*365*Assumptions!$E$57</f>
        <v>406451.68099080166</v>
      </c>
      <c r="Z21" s="297">
        <f>Z20/60/60*Z8*365*Assumptions!$E$57</f>
        <v>448755.4984103138</v>
      </c>
      <c r="AA21" s="297">
        <f>AA20/60/60*AA8*365*Assumptions!$E$57</f>
        <v>495462.33112527546</v>
      </c>
    </row>
    <row r="22" spans="1:29" x14ac:dyDescent="0.25">
      <c r="B22" s="29" t="s">
        <v>100</v>
      </c>
      <c r="C22" s="294">
        <f>C21*Assumptions!$E$22</f>
        <v>0</v>
      </c>
      <c r="D22" s="294">
        <f>D21*Assumptions!$E$22</f>
        <v>0</v>
      </c>
      <c r="E22" s="294">
        <f>E21*Assumptions!$E$22</f>
        <v>0</v>
      </c>
      <c r="F22" s="295">
        <f>F21*Assumptions!$E$22</f>
        <v>-5532605.4485582579</v>
      </c>
      <c r="G22" s="296">
        <f>G21*Assumptions!$E$22</f>
        <v>-5477413.1012514988</v>
      </c>
      <c r="H22" s="378">
        <f>H21*Assumptions!$E$22</f>
        <v>1419554.8359453515</v>
      </c>
      <c r="I22" s="294">
        <f>I21*Assumptions!$E$22</f>
        <v>1567303.2434569872</v>
      </c>
      <c r="J22" s="294">
        <f>J21*Assumptions!$E$22</f>
        <v>1730429.4238939569</v>
      </c>
      <c r="K22" s="294">
        <f>K21*Assumptions!$E$22</f>
        <v>1910533.908213754</v>
      </c>
      <c r="L22" s="294">
        <f>L21*Assumptions!$E$22</f>
        <v>2109383.8119214778</v>
      </c>
      <c r="M22" s="294">
        <f>M21*Assumptions!$E$22</f>
        <v>2328930.1733233365</v>
      </c>
      <c r="N22" s="294">
        <f>N21*Assumptions!$E$22</f>
        <v>2571327.0963595458</v>
      </c>
      <c r="O22" s="294">
        <f>O21*Assumptions!$E$22</f>
        <v>2838952.885838571</v>
      </c>
      <c r="P22" s="294">
        <f>P21*Assumptions!$E$22</f>
        <v>3134433.3824436134</v>
      </c>
      <c r="Q22" s="294">
        <f>Q21*Assumptions!$E$22</f>
        <v>3460667.7264652313</v>
      </c>
      <c r="R22" s="294">
        <f>R21*Assumptions!$E$22</f>
        <v>3820856.8030440509</v>
      </c>
      <c r="S22" s="294">
        <f>S21*Assumptions!$E$22</f>
        <v>4218534.6480170675</v>
      </c>
      <c r="T22" s="294">
        <f>T21*Assumptions!$E$22</f>
        <v>4657603.1225097096</v>
      </c>
      <c r="U22" s="294">
        <f>U21*Assumptions!$E$22</f>
        <v>5142370.1964873476</v>
      </c>
      <c r="V22" s="294">
        <f>V21*Assumptions!$E$22</f>
        <v>5677592.216889482</v>
      </c>
      <c r="W22" s="294">
        <f>W21*Assumptions!$E$22</f>
        <v>6268520.5750654144</v>
      </c>
      <c r="X22" s="294">
        <f>X21*Assumptions!$E$22</f>
        <v>6920953.2313939491</v>
      </c>
      <c r="Y22" s="294">
        <f>Y21*Assumptions!$E$22</f>
        <v>7641291.6026270716</v>
      </c>
      <c r="Z22" s="294">
        <f>Z21*Assumptions!$E$22</f>
        <v>8436603.3701138999</v>
      </c>
      <c r="AA22" s="294">
        <f>AA21*Assumptions!$E$22</f>
        <v>9314691.8251551799</v>
      </c>
      <c r="AC22" s="301">
        <f>SUMPRODUCT(H22:AA22,$H$33:$AA$33)/1000000</f>
        <v>25.901013184517215</v>
      </c>
    </row>
    <row r="23" spans="1:29" x14ac:dyDescent="0.25">
      <c r="C23" s="294">
        <f t="shared" ref="C23:D23" si="45">C22</f>
        <v>0</v>
      </c>
      <c r="D23" s="294">
        <f t="shared" si="45"/>
        <v>0</v>
      </c>
      <c r="E23" s="294">
        <f t="shared" ref="E23:G23" si="46">E22</f>
        <v>0</v>
      </c>
      <c r="F23" s="295">
        <f t="shared" si="46"/>
        <v>-5532605.4485582579</v>
      </c>
      <c r="G23" s="296">
        <f t="shared" si="46"/>
        <v>-5477413.1012514988</v>
      </c>
      <c r="H23" s="378">
        <f>H22</f>
        <v>1419554.8359453515</v>
      </c>
      <c r="I23" s="294">
        <f>H23*(1+Assumptions!$E$17)</f>
        <v>1447945.9326642586</v>
      </c>
      <c r="J23" s="294">
        <f>I23*(1+Assumptions!$E$17)</f>
        <v>1476904.8513175438</v>
      </c>
      <c r="K23" s="294">
        <f>J23*(1+Assumptions!$E$17)</f>
        <v>1506442.9483438947</v>
      </c>
      <c r="L23" s="294">
        <f>K23*(1+Assumptions!$E$17)</f>
        <v>1536571.8073107726</v>
      </c>
      <c r="M23" s="294">
        <f>L23*(1+Assumptions!$E$17)</f>
        <v>1567303.2434569881</v>
      </c>
      <c r="N23" s="294">
        <f>M23*(1+Assumptions!$E$17)</f>
        <v>1598649.3083261279</v>
      </c>
      <c r="O23" s="294">
        <f>N23*(1+Assumptions!$E$17)</f>
        <v>1630622.2944926505</v>
      </c>
      <c r="P23" s="294">
        <f>O23*(1+Assumptions!$E$17)</f>
        <v>1663234.7403825035</v>
      </c>
      <c r="Q23" s="294">
        <f>P23*(1+Assumptions!$E$17)</f>
        <v>1696499.4351901535</v>
      </c>
      <c r="R23" s="294">
        <f>Q23*(1+Assumptions!$E$17)</f>
        <v>1730429.4238939567</v>
      </c>
      <c r="S23" s="294">
        <f>R23*(1+Assumptions!$E$17)</f>
        <v>1765038.0123718358</v>
      </c>
      <c r="T23" s="294">
        <f>S23*(1+Assumptions!$E$17)</f>
        <v>1800338.7726192726</v>
      </c>
      <c r="U23" s="294">
        <f>T23*(1+Assumptions!$E$17)</f>
        <v>1836345.548071658</v>
      </c>
      <c r="V23" s="294">
        <f>U23*(1+Assumptions!$E$17)</f>
        <v>1873072.4590330911</v>
      </c>
      <c r="W23" s="294">
        <f>V23*(1+Assumptions!$E$17)</f>
        <v>1910533.908213753</v>
      </c>
      <c r="X23" s="294">
        <f>W23*(1+Assumptions!$E$17)</f>
        <v>1948744.5863780282</v>
      </c>
      <c r="Y23" s="294">
        <f>X23*(1+Assumptions!$E$17)</f>
        <v>1987719.4781055888</v>
      </c>
      <c r="Z23" s="294">
        <f>Y23*(1+Assumptions!$E$17)</f>
        <v>2027473.8676677006</v>
      </c>
      <c r="AA23" s="294">
        <f>Z23*(1+Assumptions!$E$17)</f>
        <v>2068023.3450210546</v>
      </c>
      <c r="AC23" s="301">
        <f>SUMPRODUCT(H23:AA23,$H$33:$AA$33)/1000000</f>
        <v>12.46941493245966</v>
      </c>
    </row>
    <row r="24" spans="1:29" x14ac:dyDescent="0.25">
      <c r="A24" s="351" t="s">
        <v>174</v>
      </c>
      <c r="C24" s="294"/>
      <c r="D24" s="294"/>
      <c r="E24" s="294"/>
      <c r="F24" s="295"/>
      <c r="G24" s="296"/>
      <c r="H24" s="378"/>
      <c r="I24" s="294"/>
      <c r="J24" s="294"/>
      <c r="K24" s="294"/>
      <c r="L24" s="294"/>
      <c r="M24" s="294"/>
      <c r="N24" s="294"/>
      <c r="O24" s="294"/>
      <c r="P24" s="294"/>
      <c r="Q24" s="294"/>
      <c r="R24" s="294"/>
      <c r="S24" s="294"/>
      <c r="T24" s="294"/>
      <c r="U24" s="294"/>
      <c r="V24" s="294"/>
      <c r="W24" s="294"/>
      <c r="X24" s="294"/>
      <c r="Y24" s="294"/>
      <c r="Z24" s="294"/>
      <c r="AA24" s="294"/>
      <c r="AC24" s="301"/>
    </row>
    <row r="25" spans="1:29" x14ac:dyDescent="0.25">
      <c r="B25" s="29" t="s">
        <v>70</v>
      </c>
      <c r="C25" s="267">
        <f t="shared" ref="C25:D25" si="47">C12</f>
        <v>13680</v>
      </c>
      <c r="D25" s="267">
        <f t="shared" si="47"/>
        <v>13680</v>
      </c>
      <c r="E25" s="267">
        <f>E12</f>
        <v>13680</v>
      </c>
      <c r="F25" s="274">
        <f t="shared" ref="F25:G25" si="48">F12</f>
        <v>13680</v>
      </c>
      <c r="G25" s="275">
        <f t="shared" si="48"/>
        <v>13680</v>
      </c>
      <c r="H25" s="374">
        <f>Assumptions!$E$28</f>
        <v>36000</v>
      </c>
      <c r="I25" s="279">
        <f>Assumptions!$E$28</f>
        <v>36000</v>
      </c>
      <c r="J25" s="279">
        <f>Assumptions!$E$28</f>
        <v>36000</v>
      </c>
      <c r="K25" s="279">
        <f>Assumptions!$E$28</f>
        <v>36000</v>
      </c>
      <c r="L25" s="279">
        <f>Assumptions!$E$28</f>
        <v>36000</v>
      </c>
      <c r="M25" s="279">
        <f>Assumptions!$E$28</f>
        <v>36000</v>
      </c>
      <c r="N25" s="279">
        <f>Assumptions!$E$28</f>
        <v>36000</v>
      </c>
      <c r="O25" s="279">
        <f>Assumptions!$E$28</f>
        <v>36000</v>
      </c>
      <c r="P25" s="279">
        <f>Assumptions!$E$28</f>
        <v>36000</v>
      </c>
      <c r="Q25" s="279">
        <f>Assumptions!$E$28</f>
        <v>36000</v>
      </c>
      <c r="R25" s="279">
        <f>Assumptions!$E$28</f>
        <v>36000</v>
      </c>
      <c r="S25" s="279">
        <f>Assumptions!$E$28</f>
        <v>36000</v>
      </c>
      <c r="T25" s="279">
        <f>Assumptions!$E$28</f>
        <v>36000</v>
      </c>
      <c r="U25" s="279">
        <f>Assumptions!$E$28</f>
        <v>36000</v>
      </c>
      <c r="V25" s="279">
        <f>Assumptions!$E$28</f>
        <v>36000</v>
      </c>
      <c r="W25" s="279">
        <f>Assumptions!$E$28</f>
        <v>36000</v>
      </c>
      <c r="X25" s="279">
        <f>Assumptions!$E$28</f>
        <v>36000</v>
      </c>
      <c r="Y25" s="279">
        <f>Assumptions!$E$28</f>
        <v>36000</v>
      </c>
      <c r="Z25" s="279">
        <f>Assumptions!$E$28</f>
        <v>36000</v>
      </c>
      <c r="AA25" s="279">
        <f>Assumptions!$E$28</f>
        <v>36000</v>
      </c>
      <c r="AC25" s="179"/>
    </row>
    <row r="26" spans="1:29" x14ac:dyDescent="0.25">
      <c r="B26" s="29" t="s">
        <v>71</v>
      </c>
      <c r="C26" s="282">
        <f t="shared" ref="C26:D26" si="49">C$8/C25</f>
        <v>0.8771929824561403</v>
      </c>
      <c r="D26" s="282">
        <f t="shared" si="49"/>
        <v>0.89473684210526316</v>
      </c>
      <c r="E26" s="282">
        <f t="shared" ref="E26:G26" si="50">E$8/E25</f>
        <v>0.91263157894736835</v>
      </c>
      <c r="F26" s="283">
        <f t="shared" si="50"/>
        <v>0.93088421052631576</v>
      </c>
      <c r="G26" s="284">
        <f t="shared" si="50"/>
        <v>0.9495018947368421</v>
      </c>
      <c r="H26" s="375">
        <f t="shared" ref="H26" si="51">H$8/H25</f>
        <v>0.36802693440000001</v>
      </c>
      <c r="I26" s="282">
        <f t="shared" ref="I26" si="52">I$8/I25</f>
        <v>0.37538747308800002</v>
      </c>
      <c r="J26" s="282">
        <f t="shared" ref="J26" si="53">J$8/J25</f>
        <v>0.38289522254975994</v>
      </c>
      <c r="K26" s="282">
        <f t="shared" ref="K26" si="54">K$8/K25</f>
        <v>0.39055312700075517</v>
      </c>
      <c r="L26" s="282">
        <f t="shared" ref="L26" si="55">L$8/L25</f>
        <v>0.3983641895407703</v>
      </c>
      <c r="M26" s="282">
        <f t="shared" ref="M26" si="56">M$8/M25</f>
        <v>0.4063314733315857</v>
      </c>
      <c r="N26" s="282">
        <f t="shared" ref="N26" si="57">N$8/N25</f>
        <v>0.41445810279821732</v>
      </c>
      <c r="O26" s="282">
        <f t="shared" ref="O26" si="58">O$8/O25</f>
        <v>0.42274726485418174</v>
      </c>
      <c r="P26" s="282">
        <f t="shared" ref="P26" si="59">P$8/P25</f>
        <v>0.43120221015126536</v>
      </c>
      <c r="Q26" s="282">
        <f t="shared" ref="Q26" si="60">Q$8/Q25</f>
        <v>0.43982625435429068</v>
      </c>
      <c r="R26" s="282">
        <f t="shared" ref="R26" si="61">R$8/R25</f>
        <v>0.44862277944137641</v>
      </c>
      <c r="S26" s="282">
        <f t="shared" ref="S26" si="62">S$8/S25</f>
        <v>0.457595235030204</v>
      </c>
      <c r="T26" s="282">
        <f t="shared" ref="T26" si="63">T$8/T25</f>
        <v>0.46674713973080817</v>
      </c>
      <c r="U26" s="282">
        <f t="shared" ref="U26" si="64">U$8/U25</f>
        <v>0.47608208252542428</v>
      </c>
      <c r="V26" s="282">
        <f t="shared" ref="V26" si="65">V$8/V25</f>
        <v>0.48560372417593267</v>
      </c>
      <c r="W26" s="285">
        <f t="shared" ref="W26" si="66">W$8/W25</f>
        <v>0.49531579865945141</v>
      </c>
      <c r="X26" s="282">
        <f t="shared" ref="X26" si="67">X$8/X25</f>
        <v>0.50522211463264044</v>
      </c>
      <c r="Y26" s="282">
        <f t="shared" ref="Y26" si="68">Y$8/Y25</f>
        <v>0.51532655692529317</v>
      </c>
      <c r="Z26" s="282">
        <f t="shared" ref="Z26" si="69">Z$8/Z25</f>
        <v>0.52563308806379905</v>
      </c>
      <c r="AA26" s="282">
        <f t="shared" ref="AA26" si="70">AA$8/AA25</f>
        <v>0.53614574982507501</v>
      </c>
      <c r="AC26" s="179"/>
    </row>
    <row r="27" spans="1:29" x14ac:dyDescent="0.25">
      <c r="B27" s="29" t="s">
        <v>102</v>
      </c>
      <c r="C27" s="290">
        <f>MAX(Assumptions!$E$18/(1+$C$38*(C$8/C25)^$C$39),Assumptions!$E$23)</f>
        <v>45.921608220158504</v>
      </c>
      <c r="D27" s="290">
        <f>MAX(Assumptions!$E$18/(1+$C$38*(D$8/D25)^$C$39),Assumptions!$E$23)</f>
        <v>45.614902153775503</v>
      </c>
      <c r="E27" s="290">
        <f>MAX(Assumptions!$E$18/(1+$C$38*(E$8/E25)^$C$39),Assumptions!$E$23)</f>
        <v>45.28749792001279</v>
      </c>
      <c r="F27" s="291">
        <f>Assumptions!$E$19</f>
        <v>35</v>
      </c>
      <c r="G27" s="292">
        <f>Assumptions!$E$19</f>
        <v>35</v>
      </c>
      <c r="H27" s="377">
        <f>MAX(Assumptions!$E$18/(1+$C$38*(H$8/H25)^$C$39),Assumptions!$E$23)</f>
        <v>49.862789846798023</v>
      </c>
      <c r="I27" s="290">
        <f>MAX(Assumptions!$E$18/(1+$C$38*(I$8/I25)^$C$39),Assumptions!$E$23)</f>
        <v>49.851512906848015</v>
      </c>
      <c r="J27" s="290">
        <f>MAX(Assumptions!$E$18/(1+$C$38*(J$8/J25)^$C$39),Assumptions!$E$23)</f>
        <v>49.839312131776886</v>
      </c>
      <c r="K27" s="290">
        <f>MAX(Assumptions!$E$18/(1+$C$38*(K$8/K25)^$C$39),Assumptions!$E$23)</f>
        <v>49.826112349501436</v>
      </c>
      <c r="L27" s="290">
        <f>MAX(Assumptions!$E$18/(1+$C$38*(L$8/L25)^$C$39),Assumptions!$E$23)</f>
        <v>49.811832358526949</v>
      </c>
      <c r="M27" s="290">
        <f>MAX(Assumptions!$E$18/(1+$C$38*(M$8/M25)^$C$39),Assumptions!$E$23)</f>
        <v>49.796384459276489</v>
      </c>
      <c r="N27" s="290">
        <f>MAX(Assumptions!$E$18/(1+$C$38*(N$8/N25)^$C$39),Assumptions!$E$23)</f>
        <v>49.779673951558934</v>
      </c>
      <c r="O27" s="290">
        <f>MAX(Assumptions!$E$18/(1+$C$38*(O$8/O25)^$C$39),Assumptions!$E$23)</f>
        <v>49.761598596179105</v>
      </c>
      <c r="P27" s="290">
        <f>MAX(Assumptions!$E$18/(1+$C$38*(P$8/P25)^$C$39),Assumptions!$E$23)</f>
        <v>49.742048038658204</v>
      </c>
      <c r="Q27" s="290">
        <f>MAX(Assumptions!$E$18/(1+$C$38*(Q$8/Q25)^$C$39),Assumptions!$E$23)</f>
        <v>49.720903193016149</v>
      </c>
      <c r="R27" s="290">
        <f>MAX(Assumptions!$E$18/(1+$C$38*(R$8/R25)^$C$39),Assumptions!$E$23)</f>
        <v>49.698035583572256</v>
      </c>
      <c r="S27" s="290">
        <f>MAX(Assumptions!$E$18/(1+$C$38*(S$8/S25)^$C$39),Assumptions!$E$23)</f>
        <v>49.673306642753772</v>
      </c>
      <c r="T27" s="290">
        <f>MAX(Assumptions!$E$18/(1+$C$38*(T$8/T25)^$C$39),Assumptions!$E$23)</f>
        <v>49.646566962968421</v>
      </c>
      <c r="U27" s="290">
        <f>MAX(Assumptions!$E$18/(1+$C$38*(U$8/U25)^$C$39),Assumptions!$E$23)</f>
        <v>49.617655500704856</v>
      </c>
      <c r="V27" s="290">
        <f>MAX(Assumptions!$E$18/(1+$C$38*(V$8/V25)^$C$39),Assumptions!$E$23)</f>
        <v>49.58639873118252</v>
      </c>
      <c r="W27" s="293">
        <f>MAX(Assumptions!$E$18/(1+$C$38*(W$8/W25)^$C$39),Assumptions!$E$23)</f>
        <v>49.552609752088713</v>
      </c>
      <c r="X27" s="290">
        <f>MAX(Assumptions!$E$18/(1+$C$38*(X$8/X25)^$C$39),Assumptions!$E$23)</f>
        <v>49.516087335227873</v>
      </c>
      <c r="Y27" s="290">
        <f>MAX(Assumptions!$E$18/(1+$C$38*(Y$8/Y25)^$C$39),Assumptions!$E$23)</f>
        <v>49.476614925278241</v>
      </c>
      <c r="Z27" s="290">
        <f>MAX(Assumptions!$E$18/(1+$C$38*(Z$8/Z25)^$C$39),Assumptions!$E$23)</f>
        <v>49.433959585318334</v>
      </c>
      <c r="AA27" s="290">
        <f>MAX(Assumptions!$E$18/(1+$C$38*(AA$8/AA25)^$C$39),Assumptions!$E$23)</f>
        <v>49.387870889367228</v>
      </c>
      <c r="AC27" s="179"/>
    </row>
    <row r="28" spans="1:29" x14ac:dyDescent="0.25">
      <c r="B28" s="29" t="s">
        <v>115</v>
      </c>
      <c r="C28" s="294">
        <f>((Assumptions!$E$13/C14)-(Assumptions!$E$13/C27))*60*60</f>
        <v>0</v>
      </c>
      <c r="D28" s="294">
        <f>((Assumptions!$E$13/D14)-(Assumptions!$E$13/D27))*60*60</f>
        <v>0</v>
      </c>
      <c r="E28" s="294">
        <f>((Assumptions!$E$13/E14)-(Assumptions!$E$13/E27))*60*60</f>
        <v>0</v>
      </c>
      <c r="F28" s="295">
        <f>((Assumptions!$E$13/F14)-(Assumptions!$E$13/F27))*60*60</f>
        <v>-136.48447535624771</v>
      </c>
      <c r="G28" s="296">
        <f>((Assumptions!$E$13/G14)-(Assumptions!$E$13/G27))*60*60</f>
        <v>-132.47345984347282</v>
      </c>
      <c r="H28" s="378">
        <f>((Assumptions!$E$13/H14)-(Assumptions!$E$13/H27))*60*60</f>
        <v>55.82229156788793</v>
      </c>
      <c r="I28" s="294">
        <f>((Assumptions!$E$13/I14)-(Assumptions!$E$13/I27))*60*60</f>
        <v>60.423843637978727</v>
      </c>
      <c r="J28" s="294">
        <f>((Assumptions!$E$13/J14)-(Assumptions!$E$13/J27))*60*60</f>
        <v>65.404711584559635</v>
      </c>
      <c r="K28" s="294">
        <f>((Assumptions!$E$13/K14)-(Assumptions!$E$13/K27))*60*60</f>
        <v>70.796163234652013</v>
      </c>
      <c r="L28" s="294">
        <f>((Assumptions!$E$13/L14)-(Assumptions!$E$13/L27))*60*60</f>
        <v>76.632043889796918</v>
      </c>
      <c r="M28" s="294">
        <f>((Assumptions!$E$13/M14)-(Assumptions!$E$13/M27))*60*60</f>
        <v>82.948988792847587</v>
      </c>
      <c r="N28" s="294">
        <f>((Assumptions!$E$13/N14)-(Assumptions!$E$13/N27))*60*60</f>
        <v>89.786653108857777</v>
      </c>
      <c r="O28" s="294">
        <f>((Assumptions!$E$13/O14)-(Assumptions!$E$13/O27))*60*60</f>
        <v>97.187960863791687</v>
      </c>
      <c r="P28" s="294">
        <f>((Assumptions!$E$13/P14)-(Assumptions!$E$13/P27))*60*60</f>
        <v>105.19937440378959</v>
      </c>
      <c r="Q28" s="294">
        <f>((Assumptions!$E$13/Q14)-(Assumptions!$E$13/Q27))*60*60</f>
        <v>113.87118606654266</v>
      </c>
      <c r="R28" s="294">
        <f>((Assumptions!$E$13/R14)-(Assumptions!$E$13/R27))*60*60</f>
        <v>123.25783389576952</v>
      </c>
      <c r="S28" s="294">
        <f>((Assumptions!$E$13/S14)-(Assumptions!$E$13/S27))*60*60</f>
        <v>133.41824338071913</v>
      </c>
      <c r="T28" s="294">
        <f>((Assumptions!$E$13/T14)-(Assumptions!$E$13/T27))*60*60</f>
        <v>144.41619736599756</v>
      </c>
      <c r="U28" s="294">
        <f>((Assumptions!$E$13/U14)-(Assumptions!$E$13/U27))*60*60</f>
        <v>156.32073645386305</v>
      </c>
      <c r="V28" s="294">
        <f>((Assumptions!$E$13/V14)-(Assumptions!$E$13/V27))*60*60</f>
        <v>169.20659241254555</v>
      </c>
      <c r="W28" s="294">
        <f>((Assumptions!$E$13/W14)-(Assumptions!$E$13/W27))*60*60</f>
        <v>183.15465731135143</v>
      </c>
      <c r="X28" s="294">
        <f>((Assumptions!$E$13/X14)-(Assumptions!$E$13/X27))*60*60</f>
        <v>198.25249132758594</v>
      </c>
      <c r="Y28" s="294">
        <f>((Assumptions!$E$13/Y14)-(Assumptions!$E$13/Y27))*60*60</f>
        <v>214.59487241310003</v>
      </c>
      <c r="Z28" s="294">
        <f>((Assumptions!$E$13/Z14)-(Assumptions!$E$13/Z27))*60*60</f>
        <v>232.28439127103618</v>
      </c>
      <c r="AA28" s="294">
        <f>((Assumptions!$E$13/AA14)-(Assumptions!$E$13/AA27))*60*60</f>
        <v>251.43209537779288</v>
      </c>
      <c r="AC28" s="179"/>
    </row>
    <row r="29" spans="1:29" x14ac:dyDescent="0.25">
      <c r="B29" s="29" t="s">
        <v>72</v>
      </c>
      <c r="C29" s="297">
        <f>C28/60/60*C8*365*Assumptions!$E$57</f>
        <v>0</v>
      </c>
      <c r="D29" s="297">
        <f>D28/60/60*D8*365*Assumptions!$E$57</f>
        <v>0</v>
      </c>
      <c r="E29" s="297">
        <f>E28/60/60*E8*365*Assumptions!$E$57</f>
        <v>0</v>
      </c>
      <c r="F29" s="298">
        <f>F28/60/60*F8*365*Assumptions!$E$57</f>
        <v>-294287.52385948179</v>
      </c>
      <c r="G29" s="299">
        <f>G28/60/60*G8*365*Assumptions!$E$57</f>
        <v>-291351.76070486696</v>
      </c>
      <c r="H29" s="379">
        <f>H28/60/60*H8*365*Assumptions!$E$57</f>
        <v>125226.60322440174</v>
      </c>
      <c r="I29" s="297">
        <f>I28/60/60*I8*365*Assumptions!$E$57</f>
        <v>138260.28867000522</v>
      </c>
      <c r="J29" s="297">
        <f>J28/60/60*J8*365*Assumptions!$E$57</f>
        <v>152650.53056544336</v>
      </c>
      <c r="K29" s="297">
        <f>K28/60/60*K8*365*Assumptions!$E$57</f>
        <v>168538.52039560111</v>
      </c>
      <c r="L29" s="297">
        <f>L28/60/60*L8*365*Assumptions!$E$57</f>
        <v>186080.14496851474</v>
      </c>
      <c r="M29" s="297">
        <f>M28/60/60*M8*365*Assumptions!$E$57</f>
        <v>205447.51591640996</v>
      </c>
      <c r="N29" s="297">
        <f>N28/60/60*N8*365*Assumptions!$E$57</f>
        <v>226830.65838843459</v>
      </c>
      <c r="O29" s="297">
        <f>O28/60/60*O8*365*Assumptions!$E$57</f>
        <v>250439.37550388789</v>
      </c>
      <c r="P29" s="297">
        <f>P28/60/60*P8*365*Assumptions!$E$57</f>
        <v>276505.30685923906</v>
      </c>
      <c r="Q29" s="297">
        <f>Q28/60/60*Q8*365*Assumptions!$E$57</f>
        <v>305284.20128621114</v>
      </c>
      <c r="R29" s="297">
        <f>R28/60/60*R8*365*Assumptions!$E$57</f>
        <v>337058.42616034998</v>
      </c>
      <c r="S29" s="297">
        <f>S28/60/60*S8*365*Assumptions!$E$57</f>
        <v>372139.73788044741</v>
      </c>
      <c r="T29" s="297">
        <f>T28/60/60*T8*365*Assumptions!$E$57</f>
        <v>410872.34070168209</v>
      </c>
      <c r="U29" s="297">
        <f>U28/60/60*U8*365*Assumptions!$E$57</f>
        <v>453636.26393457723</v>
      </c>
      <c r="V29" s="297">
        <f>V28/60/60*V8*365*Assumptions!$E$57</f>
        <v>500851.09064553451</v>
      </c>
      <c r="W29" s="300">
        <f>W28/60/60*W8*365*Assumptions!$E$57</f>
        <v>552980.0744435183</v>
      </c>
      <c r="X29" s="297">
        <f>X28/60/60*X8*365*Assumptions!$E$57</f>
        <v>610534.68474519555</v>
      </c>
      <c r="Y29" s="297">
        <f>Y28/60/60*Y8*365*Assumptions!$E$57</f>
        <v>674079.62511493405</v>
      </c>
      <c r="Z29" s="297">
        <f>Z28/60/60*Z8*365*Assumptions!$E$57</f>
        <v>744238.37391765078</v>
      </c>
      <c r="AA29" s="297">
        <f>AA28/60/60*AA8*365*Assumptions!$E$57</f>
        <v>821699.30164726195</v>
      </c>
      <c r="AC29" s="302">
        <f>SUM(H29:AA29)</f>
        <v>7513353.0649693003</v>
      </c>
    </row>
    <row r="30" spans="1:29" x14ac:dyDescent="0.25">
      <c r="B30" s="29" t="s">
        <v>100</v>
      </c>
      <c r="C30" s="294">
        <f>C29*Assumptions!$E$22</f>
        <v>0</v>
      </c>
      <c r="D30" s="294">
        <f>D29*Assumptions!$E$22</f>
        <v>0</v>
      </c>
      <c r="E30" s="294">
        <f>E29*Assumptions!$E$22</f>
        <v>0</v>
      </c>
      <c r="F30" s="295">
        <f>F29*Assumptions!$E$22</f>
        <v>-5532605.4485582579</v>
      </c>
      <c r="G30" s="296">
        <f>G29*Assumptions!$E$22</f>
        <v>-5477413.1012514988</v>
      </c>
      <c r="H30" s="380">
        <f>H29*Assumptions!$E$22</f>
        <v>2354260.1406187527</v>
      </c>
      <c r="I30" s="294">
        <f>I29*Assumptions!$E$22</f>
        <v>2599293.4269960984</v>
      </c>
      <c r="J30" s="294">
        <f>J29*Assumptions!$E$22</f>
        <v>2869829.9746303353</v>
      </c>
      <c r="K30" s="294">
        <f>K29*Assumptions!$E$22</f>
        <v>3168524.1834373008</v>
      </c>
      <c r="L30" s="294">
        <f>L29*Assumptions!$E$22</f>
        <v>3498306.7254080772</v>
      </c>
      <c r="M30" s="294">
        <f>M29*Assumptions!$E$22</f>
        <v>3862413.2992285076</v>
      </c>
      <c r="N30" s="294">
        <f>N29*Assumptions!$E$22</f>
        <v>4264416.3777025705</v>
      </c>
      <c r="O30" s="294">
        <f>O29*Assumptions!$E$22</f>
        <v>4708260.2594730929</v>
      </c>
      <c r="P30" s="294">
        <f>P29*Assumptions!$E$22</f>
        <v>5198299.768953695</v>
      </c>
      <c r="Q30" s="294">
        <f>Q29*Assumptions!$E$22</f>
        <v>5739342.9841807699</v>
      </c>
      <c r="R30" s="294">
        <f>R29*Assumptions!$E$22</f>
        <v>6336698.4118145797</v>
      </c>
      <c r="S30" s="294">
        <f>S29*Assumptions!$E$22</f>
        <v>6996227.0721524116</v>
      </c>
      <c r="T30" s="294">
        <f>T29*Assumptions!$E$22</f>
        <v>7724400.0051916232</v>
      </c>
      <c r="U30" s="294">
        <f>U29*Assumptions!$E$22</f>
        <v>8528361.7619700525</v>
      </c>
      <c r="V30" s="294">
        <f>V29*Assumptions!$E$22</f>
        <v>9416000.5041360483</v>
      </c>
      <c r="W30" s="294">
        <f>W29*Assumptions!$E$22</f>
        <v>10396025.399538144</v>
      </c>
      <c r="X30" s="294">
        <f>X29*Assumptions!$E$22</f>
        <v>11478052.073209677</v>
      </c>
      <c r="Y30" s="294">
        <f>Y29*Assumptions!$E$22</f>
        <v>12672696.952160761</v>
      </c>
      <c r="Z30" s="294">
        <f>Z29*Assumptions!$E$22</f>
        <v>13991681.429651836</v>
      </c>
      <c r="AA30" s="294">
        <f>AA29*Assumptions!$E$22</f>
        <v>15447946.870968524</v>
      </c>
      <c r="AC30" s="301">
        <f>SUMPRODUCT(H30:AA30,$H$33:$AA$33)/1000000</f>
        <v>42.955524786995426</v>
      </c>
    </row>
    <row r="31" spans="1:29" x14ac:dyDescent="0.25">
      <c r="C31" s="294">
        <f t="shared" ref="C31:D31" si="71">C30</f>
        <v>0</v>
      </c>
      <c r="D31" s="294">
        <f t="shared" si="71"/>
        <v>0</v>
      </c>
      <c r="E31" s="294">
        <f t="shared" ref="E31:G31" si="72">E30</f>
        <v>0</v>
      </c>
      <c r="F31" s="308">
        <f t="shared" si="72"/>
        <v>-5532605.4485582579</v>
      </c>
      <c r="G31" s="309">
        <f t="shared" si="72"/>
        <v>-5477413.1012514988</v>
      </c>
      <c r="H31" s="381">
        <f>H30</f>
        <v>2354260.1406187527</v>
      </c>
      <c r="I31" s="294">
        <f>H31*(1+Assumptions!$E$17)</f>
        <v>2401345.3434311277</v>
      </c>
      <c r="J31" s="294">
        <f>I31*(1+Assumptions!$E$17)</f>
        <v>2449372.2502997504</v>
      </c>
      <c r="K31" s="294">
        <f>J31*(1+Assumptions!$E$17)</f>
        <v>2498359.6953057456</v>
      </c>
      <c r="L31" s="294">
        <f>K31*(1+Assumptions!$E$17)</f>
        <v>2548326.8892118605</v>
      </c>
      <c r="M31" s="294">
        <f>L31*(1+Assumptions!$E$17)</f>
        <v>2599293.4269960979</v>
      </c>
      <c r="N31" s="294">
        <f>M31*(1+Assumptions!$E$17)</f>
        <v>2651279.2955360198</v>
      </c>
      <c r="O31" s="294">
        <f>N31*(1+Assumptions!$E$17)</f>
        <v>2704304.8814467401</v>
      </c>
      <c r="P31" s="294">
        <f>O31*(1+Assumptions!$E$17)</f>
        <v>2758390.9790756749</v>
      </c>
      <c r="Q31" s="294">
        <f>P31*(1+Assumptions!$E$17)</f>
        <v>2813558.7986571887</v>
      </c>
      <c r="R31" s="294">
        <f>Q31*(1+Assumptions!$E$17)</f>
        <v>2869829.9746303326</v>
      </c>
      <c r="S31" s="294">
        <f>R31*(1+Assumptions!$E$17)</f>
        <v>2927226.5741229393</v>
      </c>
      <c r="T31" s="294">
        <f>S31*(1+Assumptions!$E$17)</f>
        <v>2985771.1056053983</v>
      </c>
      <c r="U31" s="294">
        <f>T31*(1+Assumptions!$E$17)</f>
        <v>3045486.5277175065</v>
      </c>
      <c r="V31" s="294">
        <f>U31*(1+Assumptions!$E$17)</f>
        <v>3106396.2582718567</v>
      </c>
      <c r="W31" s="294">
        <f>V31*(1+Assumptions!$E$17)</f>
        <v>3168524.1834372939</v>
      </c>
      <c r="X31" s="294">
        <f>W31*(1+Assumptions!$E$17)</f>
        <v>3231894.6671060398</v>
      </c>
      <c r="Y31" s="294">
        <f>X31*(1+Assumptions!$E$17)</f>
        <v>3296532.5604481609</v>
      </c>
      <c r="Z31" s="294">
        <f>Y31*(1+Assumptions!$E$17)</f>
        <v>3362463.2116571241</v>
      </c>
      <c r="AA31" s="294">
        <f>Z31*(1+Assumptions!$E$17)</f>
        <v>3429712.4758902667</v>
      </c>
      <c r="AC31" s="301">
        <f>SUMPRODUCT(H31:AA31,$H$33:$AA$33)/1000000</f>
        <v>20.679896125869831</v>
      </c>
    </row>
    <row r="32" spans="1:29" x14ac:dyDescent="0.25">
      <c r="F32" s="265"/>
      <c r="J32" s="268"/>
      <c r="K32" s="269"/>
      <c r="M32" s="267"/>
      <c r="N32" s="267"/>
    </row>
    <row r="33" spans="2:27" s="382" customFormat="1" x14ac:dyDescent="0.25">
      <c r="C33" s="383"/>
      <c r="D33" s="383"/>
      <c r="E33" s="383">
        <f>INDEX('BCA - 5 lane'!$D:$D,MATCH('Time Savings'!E$6,'BCA - 5 lane'!$B:$B,0))</f>
        <v>0.81629787689085187</v>
      </c>
      <c r="F33" s="384">
        <f>INDEX('BCA - 5 lane'!$D:$D,MATCH('Time Savings'!F$6,'BCA - 5 lane'!$B:$B,0))</f>
        <v>0.76289521204752508</v>
      </c>
      <c r="G33" s="383">
        <f>INDEX('BCA - 5 lane'!$D:$D,MATCH('Time Savings'!G$6,'BCA - 5 lane'!$B:$B,0))</f>
        <v>0.71298617948366827</v>
      </c>
      <c r="H33" s="383">
        <f>INDEX('BCA - 5 lane'!$D:$D,MATCH('Time Savings'!H$6,'BCA - 5 lane'!$B:$B,0))</f>
        <v>0.66634222381651231</v>
      </c>
      <c r="I33" s="383">
        <f>INDEX('BCA - 5 lane'!$D:$D,MATCH('Time Savings'!I$6,'BCA - 5 lane'!$B:$B,0))</f>
        <v>0.62274974188459087</v>
      </c>
      <c r="J33" s="383">
        <f>INDEX('BCA - 5 lane'!$D:$D,MATCH('Time Savings'!J$6,'BCA - 5 lane'!$B:$B,0))</f>
        <v>0.58200910456503818</v>
      </c>
      <c r="K33" s="383">
        <f>INDEX('BCA - 5 lane'!$D:$D,MATCH('Time Savings'!K$6,'BCA - 5 lane'!$B:$B,0))</f>
        <v>0.54393374258414784</v>
      </c>
      <c r="L33" s="383">
        <f>INDEX('BCA - 5 lane'!$D:$D,MATCH('Time Savings'!L$6,'BCA - 5 lane'!$B:$B,0))</f>
        <v>0.50834929213471758</v>
      </c>
      <c r="M33" s="383">
        <f>INDEX('BCA - 5 lane'!$D:$D,MATCH('Time Savings'!M$6,'BCA - 5 lane'!$B:$B,0))</f>
        <v>0.4750927963875865</v>
      </c>
      <c r="N33" s="383">
        <f>INDEX('BCA - 5 lane'!$D:$D,MATCH('Time Savings'!N$6,'BCA - 5 lane'!$B:$B,0))</f>
        <v>0.444011959240735</v>
      </c>
      <c r="O33" s="383">
        <f>INDEX('BCA - 5 lane'!$D:$D,MATCH('Time Savings'!O$6,'BCA - 5 lane'!$B:$B,0))</f>
        <v>0.41496444788853737</v>
      </c>
      <c r="P33" s="383">
        <f>INDEX('BCA - 5 lane'!$D:$D,MATCH('Time Savings'!P$6,'BCA - 5 lane'!$B:$B,0))</f>
        <v>0.38781724101732462</v>
      </c>
      <c r="Q33" s="383">
        <f>INDEX('BCA - 5 lane'!$D:$D,MATCH('Time Savings'!Q$6,'BCA - 5 lane'!$B:$B,0))</f>
        <v>0.36244601964235945</v>
      </c>
      <c r="R33" s="383">
        <f>INDEX('BCA - 5 lane'!$D:$D,MATCH('Time Savings'!R$6,'BCA - 5 lane'!$B:$B,0))</f>
        <v>0.33873459779659759</v>
      </c>
      <c r="S33" s="383">
        <f>INDEX('BCA - 5 lane'!$D:$D,MATCH('Time Savings'!S$6,'BCA - 5 lane'!$B:$B,0))</f>
        <v>0.3165743904641099</v>
      </c>
      <c r="T33" s="383">
        <f>INDEX('BCA - 5 lane'!$D:$D,MATCH('Time Savings'!T$6,'BCA - 5 lane'!$B:$B,0))</f>
        <v>0.29586391632159803</v>
      </c>
      <c r="U33" s="383">
        <f>INDEX('BCA - 5 lane'!$D:$D,MATCH('Time Savings'!U$6,'BCA - 5 lane'!$B:$B,0))</f>
        <v>0.27650833301083927</v>
      </c>
      <c r="V33" s="383">
        <f>INDEX('BCA - 5 lane'!$D:$D,MATCH('Time Savings'!V$6,'BCA - 5 lane'!$B:$B,0))</f>
        <v>0.25841900281386848</v>
      </c>
      <c r="W33" s="383">
        <f>INDEX('BCA - 5 lane'!$D:$D,MATCH('Time Savings'!W$6,'BCA - 5 lane'!$B:$B,0))</f>
        <v>0.24151308674193314</v>
      </c>
      <c r="X33" s="383">
        <f>INDEX('BCA - 5 lane'!$D:$D,MATCH('Time Savings'!X$6,'BCA - 5 lane'!$B:$B,0))</f>
        <v>0.22571316517937676</v>
      </c>
      <c r="Y33" s="383">
        <f>INDEX('BCA - 5 lane'!$D:$D,MATCH('Time Savings'!Y$6,'BCA - 5 lane'!$B:$B,0))</f>
        <v>0.21094688334521192</v>
      </c>
      <c r="Z33" s="383">
        <f>INDEX('BCA - 5 lane'!$D:$D,MATCH('Time Savings'!Z$6,'BCA - 5 lane'!$B:$B,0))</f>
        <v>0.19714661994879618</v>
      </c>
      <c r="AA33" s="383">
        <f>INDEX('BCA - 5 lane'!$D:$D,MATCH('Time Savings'!AA$6,'BCA - 5 lane'!$B:$B,0))</f>
        <v>0.1842491775222394</v>
      </c>
    </row>
    <row r="34" spans="2:27" x14ac:dyDescent="0.25">
      <c r="F34" s="265"/>
      <c r="M34" s="267"/>
      <c r="N34" s="267"/>
    </row>
    <row r="35" spans="2:27" x14ac:dyDescent="0.25">
      <c r="M35" s="267"/>
      <c r="N35" s="267"/>
    </row>
    <row r="36" spans="2:27" x14ac:dyDescent="0.25">
      <c r="B36" s="352" t="s">
        <v>69</v>
      </c>
      <c r="C36" s="303"/>
    </row>
    <row r="37" spans="2:27" x14ac:dyDescent="0.25">
      <c r="B37" s="306" t="s">
        <v>73</v>
      </c>
      <c r="C37" s="304" t="s">
        <v>74</v>
      </c>
    </row>
    <row r="38" spans="2:27" x14ac:dyDescent="0.25">
      <c r="B38" s="306" t="s">
        <v>75</v>
      </c>
      <c r="C38" s="304">
        <v>0.15</v>
      </c>
    </row>
    <row r="39" spans="2:27" x14ac:dyDescent="0.25">
      <c r="B39" s="306" t="s">
        <v>76</v>
      </c>
      <c r="C39" s="304">
        <v>4</v>
      </c>
      <c r="F39" s="286"/>
    </row>
    <row r="40" spans="2:27" x14ac:dyDescent="0.25">
      <c r="B40" s="306" t="s">
        <v>77</v>
      </c>
      <c r="C40" s="304" t="s">
        <v>78</v>
      </c>
    </row>
    <row r="41" spans="2:27" x14ac:dyDescent="0.25">
      <c r="B41" s="307" t="s">
        <v>79</v>
      </c>
      <c r="C41" s="305" t="s">
        <v>70</v>
      </c>
      <c r="F41" s="290"/>
    </row>
    <row r="42" spans="2:27" x14ac:dyDescent="0.25">
      <c r="B42" s="81"/>
    </row>
    <row r="43" spans="2:27" x14ac:dyDescent="0.25">
      <c r="F43" s="290"/>
    </row>
    <row r="44" spans="2:27" x14ac:dyDescent="0.25">
      <c r="B44" s="81"/>
      <c r="F44" s="290"/>
    </row>
    <row r="45" spans="2:27" x14ac:dyDescent="0.25">
      <c r="B45" s="81"/>
      <c r="F45" s="290"/>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440F-765F-4DCB-8B2F-6C7E792FB10B}">
  <dimension ref="A1:V46"/>
  <sheetViews>
    <sheetView showGridLines="0" topLeftCell="A2" workbookViewId="0">
      <selection activeCell="J22" sqref="J22"/>
    </sheetView>
  </sheetViews>
  <sheetFormatPr defaultColWidth="8.7109375" defaultRowHeight="15" x14ac:dyDescent="0.25"/>
  <cols>
    <col min="1" max="1" width="8.7109375" style="29"/>
    <col min="2" max="2" width="18.5703125" style="29" customWidth="1"/>
    <col min="3" max="3" width="21" style="29" customWidth="1"/>
    <col min="4" max="5" width="20" style="29" customWidth="1"/>
    <col min="6" max="6" width="10.5703125" style="29" customWidth="1"/>
    <col min="7" max="7" width="8.7109375" style="254"/>
    <col min="8" max="8" width="25.42578125" style="29" customWidth="1"/>
    <col min="9" max="9" width="14.5703125" style="29" customWidth="1"/>
    <col min="10" max="10" width="15.42578125" style="179" customWidth="1"/>
    <col min="11" max="11" width="8.7109375" style="179"/>
    <col min="12" max="16384" width="8.7109375" style="29"/>
  </cols>
  <sheetData>
    <row r="1" spans="1:22" s="196" customFormat="1" x14ac:dyDescent="0.25">
      <c r="A1" s="190" t="s">
        <v>234</v>
      </c>
      <c r="C1" s="190"/>
      <c r="D1" s="190"/>
      <c r="E1" s="191"/>
      <c r="F1" s="191"/>
      <c r="G1" s="252"/>
      <c r="H1" s="190"/>
      <c r="J1" s="255"/>
      <c r="K1" s="255"/>
    </row>
    <row r="2" spans="1:22" s="249" customFormat="1" x14ac:dyDescent="0.25">
      <c r="A2" s="250"/>
      <c r="C2" s="250"/>
      <c r="D2" s="250"/>
      <c r="E2" s="251"/>
      <c r="F2" s="251"/>
      <c r="G2" s="262"/>
      <c r="H2" s="250"/>
      <c r="J2" s="263"/>
      <c r="K2" s="263"/>
    </row>
    <row r="3" spans="1:22" s="89" customFormat="1" x14ac:dyDescent="0.25">
      <c r="A3" s="152" t="s">
        <v>65</v>
      </c>
      <c r="B3" s="84"/>
      <c r="C3" s="84"/>
      <c r="D3" s="84"/>
      <c r="E3" s="64"/>
      <c r="G3" s="253"/>
      <c r="H3" s="228" t="s">
        <v>235</v>
      </c>
      <c r="J3" s="256"/>
      <c r="K3" s="256"/>
      <c r="M3" s="81"/>
      <c r="N3" s="181"/>
      <c r="O3" s="181"/>
      <c r="P3" s="181"/>
      <c r="Q3" s="81"/>
      <c r="R3" s="81"/>
      <c r="S3" s="81"/>
      <c r="T3" s="81"/>
      <c r="U3" s="81"/>
      <c r="V3" s="81"/>
    </row>
    <row r="4" spans="1:22" s="355" customFormat="1" ht="12" x14ac:dyDescent="0.2">
      <c r="B4" s="358" t="s">
        <v>179</v>
      </c>
      <c r="C4" s="358" t="s">
        <v>179</v>
      </c>
      <c r="D4" s="358" t="s">
        <v>179</v>
      </c>
      <c r="E4" s="358" t="s">
        <v>179</v>
      </c>
      <c r="G4" s="356"/>
      <c r="J4" s="357"/>
      <c r="K4" s="357"/>
    </row>
    <row r="5" spans="1:22" x14ac:dyDescent="0.25">
      <c r="A5" s="435" t="s">
        <v>62</v>
      </c>
      <c r="B5" s="323" t="s">
        <v>63</v>
      </c>
      <c r="C5" s="324" t="s">
        <v>64</v>
      </c>
      <c r="D5" s="324" t="s">
        <v>177</v>
      </c>
      <c r="E5" s="324" t="s">
        <v>178</v>
      </c>
    </row>
    <row r="6" spans="1:22" ht="25.5" x14ac:dyDescent="0.25">
      <c r="A6" s="435"/>
      <c r="B6" s="324" t="s">
        <v>65</v>
      </c>
      <c r="C6" s="324" t="s">
        <v>65</v>
      </c>
      <c r="D6" s="323" t="s">
        <v>66</v>
      </c>
      <c r="E6" s="323" t="s">
        <v>66</v>
      </c>
      <c r="H6" s="231" t="s">
        <v>250</v>
      </c>
      <c r="I6" s="360"/>
      <c r="J6" s="359" t="s">
        <v>166</v>
      </c>
    </row>
    <row r="7" spans="1:22" x14ac:dyDescent="0.25">
      <c r="A7" s="325">
        <v>2023</v>
      </c>
      <c r="B7" s="434">
        <v>0</v>
      </c>
      <c r="C7" s="434">
        <v>0</v>
      </c>
      <c r="D7" s="434">
        <v>0</v>
      </c>
      <c r="E7" s="434">
        <v>0</v>
      </c>
      <c r="F7" s="234">
        <f t="shared" ref="F7:F30" si="0">C7-B7</f>
        <v>0</v>
      </c>
      <c r="H7" s="235" t="s">
        <v>45</v>
      </c>
      <c r="I7" s="354">
        <f>SUM(I8:I15)</f>
        <v>33005892</v>
      </c>
      <c r="J7" s="257">
        <f>SUM(J8:J14)</f>
        <v>23107146.699999999</v>
      </c>
    </row>
    <row r="8" spans="1:22" x14ac:dyDescent="0.25">
      <c r="A8" s="325">
        <v>2024</v>
      </c>
      <c r="B8" s="434">
        <v>15000</v>
      </c>
      <c r="C8" s="434">
        <v>0</v>
      </c>
      <c r="D8" s="434">
        <f>$I$17/2</f>
        <v>19803534.5</v>
      </c>
      <c r="E8" s="434">
        <f>$J$17/2</f>
        <v>13864288.02</v>
      </c>
      <c r="F8" s="234">
        <f t="shared" si="0"/>
        <v>-15000</v>
      </c>
      <c r="H8" s="236" t="s">
        <v>121</v>
      </c>
      <c r="I8" s="354">
        <v>26394651</v>
      </c>
      <c r="J8" s="258">
        <f t="shared" ref="J8:J14" si="1">I8*K8</f>
        <v>18476255.699999999</v>
      </c>
      <c r="K8" s="259">
        <v>0.7</v>
      </c>
    </row>
    <row r="9" spans="1:22" x14ac:dyDescent="0.25">
      <c r="A9" s="325">
        <v>2025</v>
      </c>
      <c r="B9" s="434">
        <v>0</v>
      </c>
      <c r="C9" s="434">
        <v>0</v>
      </c>
      <c r="D9" s="434">
        <f>$I$17/2</f>
        <v>19803534.5</v>
      </c>
      <c r="E9" s="434">
        <f>$J$17/2</f>
        <v>13864288.02</v>
      </c>
      <c r="F9" s="234">
        <f t="shared" si="0"/>
        <v>0</v>
      </c>
      <c r="H9" s="236" t="s">
        <v>122</v>
      </c>
      <c r="I9" s="354">
        <v>808350</v>
      </c>
      <c r="J9" s="258">
        <f t="shared" si="1"/>
        <v>808350</v>
      </c>
      <c r="K9" s="259">
        <v>1</v>
      </c>
    </row>
    <row r="10" spans="1:22" x14ac:dyDescent="0.25">
      <c r="A10" s="325">
        <v>2026</v>
      </c>
      <c r="B10" s="434">
        <v>100000</v>
      </c>
      <c r="C10" s="434">
        <v>0</v>
      </c>
      <c r="D10" s="434">
        <v>0</v>
      </c>
      <c r="E10" s="434">
        <v>0</v>
      </c>
      <c r="F10" s="234">
        <f t="shared" si="0"/>
        <v>-100000</v>
      </c>
      <c r="H10" s="236" t="s">
        <v>123</v>
      </c>
      <c r="I10" s="354">
        <v>186881</v>
      </c>
      <c r="J10" s="258">
        <f t="shared" si="1"/>
        <v>186881</v>
      </c>
      <c r="K10" s="259">
        <v>1</v>
      </c>
    </row>
    <row r="11" spans="1:22" x14ac:dyDescent="0.25">
      <c r="A11" s="325">
        <v>2027</v>
      </c>
      <c r="B11" s="434">
        <v>0</v>
      </c>
      <c r="C11" s="434">
        <v>0</v>
      </c>
      <c r="D11" s="434">
        <v>0</v>
      </c>
      <c r="E11" s="434">
        <v>0</v>
      </c>
      <c r="F11" s="234">
        <f t="shared" si="0"/>
        <v>0</v>
      </c>
      <c r="H11" s="236" t="s">
        <v>124</v>
      </c>
      <c r="I11" s="354">
        <v>156400</v>
      </c>
      <c r="J11" s="258">
        <f t="shared" si="1"/>
        <v>156400</v>
      </c>
      <c r="K11" s="259">
        <v>1</v>
      </c>
    </row>
    <row r="12" spans="1:22" x14ac:dyDescent="0.25">
      <c r="A12" s="325">
        <v>2028</v>
      </c>
      <c r="B12" s="434">
        <v>2000000</v>
      </c>
      <c r="C12" s="434">
        <v>0</v>
      </c>
      <c r="D12" s="434">
        <v>0</v>
      </c>
      <c r="E12" s="434">
        <v>0</v>
      </c>
      <c r="F12" s="234">
        <f t="shared" si="0"/>
        <v>-2000000</v>
      </c>
      <c r="H12" s="236" t="s">
        <v>125</v>
      </c>
      <c r="I12" s="354">
        <v>900000</v>
      </c>
      <c r="J12" s="258">
        <f t="shared" si="1"/>
        <v>900000</v>
      </c>
      <c r="K12" s="259">
        <v>1</v>
      </c>
    </row>
    <row r="13" spans="1:22" x14ac:dyDescent="0.25">
      <c r="A13" s="325">
        <v>2029</v>
      </c>
      <c r="B13" s="434">
        <v>0</v>
      </c>
      <c r="C13" s="434">
        <v>0</v>
      </c>
      <c r="D13" s="434">
        <v>0</v>
      </c>
      <c r="E13" s="434">
        <v>0</v>
      </c>
      <c r="F13" s="234">
        <f t="shared" si="0"/>
        <v>0</v>
      </c>
      <c r="H13" s="236" t="s">
        <v>126</v>
      </c>
      <c r="I13" s="354">
        <v>1248000</v>
      </c>
      <c r="J13" s="258">
        <f t="shared" si="1"/>
        <v>1248000</v>
      </c>
      <c r="K13" s="259">
        <v>1</v>
      </c>
    </row>
    <row r="14" spans="1:22" x14ac:dyDescent="0.25">
      <c r="A14" s="325">
        <v>2030</v>
      </c>
      <c r="B14" s="434">
        <v>0</v>
      </c>
      <c r="C14" s="434">
        <v>0</v>
      </c>
      <c r="D14" s="434">
        <v>0</v>
      </c>
      <c r="E14" s="434">
        <v>0</v>
      </c>
      <c r="F14" s="234">
        <f t="shared" si="0"/>
        <v>0</v>
      </c>
      <c r="H14" s="236" t="s">
        <v>127</v>
      </c>
      <c r="I14" s="354">
        <v>1331260</v>
      </c>
      <c r="J14" s="258">
        <f t="shared" si="1"/>
        <v>1331260</v>
      </c>
      <c r="K14" s="259">
        <v>1</v>
      </c>
    </row>
    <row r="15" spans="1:22" x14ac:dyDescent="0.25">
      <c r="A15" s="325">
        <v>2032</v>
      </c>
      <c r="B15" s="434">
        <v>50000</v>
      </c>
      <c r="C15" s="434">
        <v>0</v>
      </c>
      <c r="D15" s="434">
        <v>0</v>
      </c>
      <c r="E15" s="434">
        <v>0</v>
      </c>
      <c r="F15" s="234">
        <f t="shared" si="0"/>
        <v>-50000</v>
      </c>
      <c r="H15" s="236" t="s">
        <v>211</v>
      </c>
      <c r="I15" s="354">
        <v>1980350</v>
      </c>
    </row>
    <row r="16" spans="1:22" ht="15.75" thickBot="1" x14ac:dyDescent="0.3">
      <c r="A16" s="325">
        <v>2034</v>
      </c>
      <c r="B16" s="434">
        <v>0</v>
      </c>
      <c r="C16" s="434">
        <v>55000</v>
      </c>
      <c r="D16" s="434">
        <v>0</v>
      </c>
      <c r="E16" s="434">
        <v>0</v>
      </c>
      <c r="F16" s="234">
        <f t="shared" si="0"/>
        <v>55000</v>
      </c>
      <c r="H16" s="237" t="s">
        <v>167</v>
      </c>
      <c r="I16" s="354">
        <v>6601177</v>
      </c>
      <c r="J16" s="260">
        <f>SUM(J8:J14)*20%</f>
        <v>4621429.34</v>
      </c>
    </row>
    <row r="17" spans="1:10" ht="15.75" thickTop="1" x14ac:dyDescent="0.25">
      <c r="A17" s="325">
        <v>2036</v>
      </c>
      <c r="B17" s="434">
        <v>50000</v>
      </c>
      <c r="C17" s="434">
        <v>0</v>
      </c>
      <c r="D17" s="434">
        <v>0</v>
      </c>
      <c r="E17" s="434">
        <v>0</v>
      </c>
      <c r="F17" s="234">
        <f t="shared" si="0"/>
        <v>-50000</v>
      </c>
      <c r="H17" s="238" t="s">
        <v>128</v>
      </c>
      <c r="I17" s="239">
        <f>I16+I7</f>
        <v>39607069</v>
      </c>
      <c r="J17" s="261">
        <f>SUM(J8:J16)</f>
        <v>27728576.039999999</v>
      </c>
    </row>
    <row r="18" spans="1:10" x14ac:dyDescent="0.25">
      <c r="A18" s="325">
        <v>2038</v>
      </c>
      <c r="B18" s="434">
        <v>15000</v>
      </c>
      <c r="C18" s="434">
        <v>20000</v>
      </c>
      <c r="D18" s="434">
        <v>0</v>
      </c>
      <c r="E18" s="434">
        <v>0</v>
      </c>
      <c r="F18" s="234">
        <f t="shared" si="0"/>
        <v>5000</v>
      </c>
      <c r="H18" s="156"/>
      <c r="I18" s="240"/>
    </row>
    <row r="19" spans="1:10" x14ac:dyDescent="0.25">
      <c r="A19" s="325">
        <v>2040</v>
      </c>
      <c r="B19" s="434">
        <v>100000</v>
      </c>
      <c r="C19" s="434">
        <v>50000</v>
      </c>
      <c r="D19" s="434">
        <v>0</v>
      </c>
      <c r="E19" s="434">
        <v>0</v>
      </c>
      <c r="F19" s="234">
        <f t="shared" si="0"/>
        <v>-50000</v>
      </c>
    </row>
    <row r="20" spans="1:10" x14ac:dyDescent="0.25">
      <c r="A20" s="325">
        <v>2042</v>
      </c>
      <c r="B20" s="434">
        <v>0</v>
      </c>
      <c r="C20" s="434">
        <v>50000</v>
      </c>
      <c r="D20" s="434">
        <v>0</v>
      </c>
      <c r="E20" s="434">
        <v>0</v>
      </c>
      <c r="F20" s="234">
        <f t="shared" si="0"/>
        <v>50000</v>
      </c>
    </row>
    <row r="21" spans="1:10" x14ac:dyDescent="0.25">
      <c r="A21" s="325">
        <v>2044</v>
      </c>
      <c r="B21" s="434">
        <v>2250000</v>
      </c>
      <c r="C21" s="434">
        <v>0</v>
      </c>
      <c r="D21" s="434">
        <v>0</v>
      </c>
      <c r="E21" s="434">
        <v>0</v>
      </c>
      <c r="F21" s="234">
        <f t="shared" si="0"/>
        <v>-2250000</v>
      </c>
    </row>
    <row r="22" spans="1:10" x14ac:dyDescent="0.25">
      <c r="A22" s="325">
        <v>2046</v>
      </c>
      <c r="B22" s="434">
        <v>0</v>
      </c>
      <c r="C22" s="434">
        <v>3000000</v>
      </c>
      <c r="D22" s="434">
        <v>0</v>
      </c>
      <c r="E22" s="434">
        <v>0</v>
      </c>
      <c r="F22" s="234">
        <f t="shared" si="0"/>
        <v>3000000</v>
      </c>
      <c r="J22" s="260"/>
    </row>
    <row r="23" spans="1:10" x14ac:dyDescent="0.25">
      <c r="A23" s="325">
        <v>2048</v>
      </c>
      <c r="B23" s="434">
        <v>0</v>
      </c>
      <c r="C23" s="434">
        <v>0</v>
      </c>
      <c r="D23" s="434">
        <v>0</v>
      </c>
      <c r="E23" s="434">
        <v>0</v>
      </c>
      <c r="F23" s="234">
        <f t="shared" si="0"/>
        <v>0</v>
      </c>
    </row>
    <row r="24" spans="1:10" x14ac:dyDescent="0.25">
      <c r="A24" s="325">
        <v>2050</v>
      </c>
      <c r="B24" s="434">
        <v>50000</v>
      </c>
      <c r="C24" s="434">
        <v>0</v>
      </c>
      <c r="D24" s="434">
        <v>0</v>
      </c>
      <c r="E24" s="434">
        <v>0</v>
      </c>
      <c r="F24" s="234">
        <f t="shared" si="0"/>
        <v>-50000</v>
      </c>
    </row>
    <row r="25" spans="1:10" x14ac:dyDescent="0.25">
      <c r="A25" s="325">
        <v>2052</v>
      </c>
      <c r="B25" s="434">
        <v>0</v>
      </c>
      <c r="C25" s="434">
        <v>50000</v>
      </c>
      <c r="D25" s="434">
        <v>0</v>
      </c>
      <c r="E25" s="434">
        <v>0</v>
      </c>
      <c r="F25" s="234">
        <f t="shared" si="0"/>
        <v>50000</v>
      </c>
    </row>
    <row r="26" spans="1:10" x14ac:dyDescent="0.25">
      <c r="A26" s="325">
        <v>2054</v>
      </c>
      <c r="B26" s="434">
        <v>75000</v>
      </c>
      <c r="C26" s="434">
        <v>25000</v>
      </c>
      <c r="D26" s="434">
        <v>0</v>
      </c>
      <c r="E26" s="434">
        <v>0</v>
      </c>
      <c r="F26" s="234">
        <f t="shared" si="0"/>
        <v>-50000</v>
      </c>
    </row>
    <row r="27" spans="1:10" x14ac:dyDescent="0.25">
      <c r="A27" s="325">
        <v>2056</v>
      </c>
      <c r="B27" s="434">
        <v>0</v>
      </c>
      <c r="C27" s="434">
        <v>0</v>
      </c>
      <c r="D27" s="434">
        <v>0</v>
      </c>
      <c r="E27" s="434">
        <v>0</v>
      </c>
      <c r="F27" s="234">
        <f t="shared" si="0"/>
        <v>0</v>
      </c>
    </row>
    <row r="28" spans="1:10" x14ac:dyDescent="0.25">
      <c r="A28" s="325">
        <v>2058</v>
      </c>
      <c r="B28" s="434">
        <v>2500000</v>
      </c>
      <c r="C28" s="434">
        <v>4000000</v>
      </c>
      <c r="D28" s="434">
        <v>0</v>
      </c>
      <c r="E28" s="434">
        <v>0</v>
      </c>
      <c r="F28" s="234">
        <f t="shared" si="0"/>
        <v>1500000</v>
      </c>
    </row>
    <row r="29" spans="1:10" x14ac:dyDescent="0.25">
      <c r="A29" s="325">
        <v>2060</v>
      </c>
      <c r="B29" s="434">
        <v>0</v>
      </c>
      <c r="C29" s="434">
        <v>0</v>
      </c>
      <c r="D29" s="434">
        <v>0</v>
      </c>
      <c r="E29" s="434">
        <v>0</v>
      </c>
      <c r="F29" s="234">
        <f t="shared" si="0"/>
        <v>0</v>
      </c>
    </row>
    <row r="30" spans="1:10" x14ac:dyDescent="0.25">
      <c r="A30" s="325">
        <v>2062</v>
      </c>
      <c r="B30" s="434">
        <v>0</v>
      </c>
      <c r="C30" s="434">
        <v>0</v>
      </c>
      <c r="D30" s="434">
        <v>0</v>
      </c>
      <c r="E30" s="434">
        <v>0</v>
      </c>
      <c r="F30" s="234">
        <f t="shared" si="0"/>
        <v>0</v>
      </c>
    </row>
    <row r="31" spans="1:10" x14ac:dyDescent="0.25">
      <c r="A31" s="326" t="s">
        <v>67</v>
      </c>
      <c r="B31" s="327">
        <f>SUM(B7:B30)</f>
        <v>7205000</v>
      </c>
      <c r="C31" s="327">
        <f>SUM(C7:C30)</f>
        <v>7250000</v>
      </c>
      <c r="D31" s="327">
        <f>SUM(D7:D30)</f>
        <v>39607069</v>
      </c>
      <c r="E31" s="327">
        <f>SUM(E7:E30)</f>
        <v>27728576.039999999</v>
      </c>
    </row>
    <row r="32" spans="1:10" ht="15.75" x14ac:dyDescent="0.25">
      <c r="A32" s="147"/>
      <c r="B32" s="147"/>
      <c r="C32" s="241"/>
      <c r="D32" s="146"/>
      <c r="E32" s="146"/>
    </row>
    <row r="33" spans="1:2" x14ac:dyDescent="0.25">
      <c r="A33" s="29" t="s">
        <v>246</v>
      </c>
    </row>
    <row r="45" spans="1:2" x14ac:dyDescent="0.25">
      <c r="A45" s="148"/>
    </row>
    <row r="46" spans="1:2" x14ac:dyDescent="0.25">
      <c r="A46" s="148"/>
      <c r="B46" s="148"/>
    </row>
  </sheetData>
  <mergeCells count="1">
    <mergeCell ref="A5:A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F99C5-0D02-4C37-A643-BC40354DFE02}">
  <dimension ref="A1:V69"/>
  <sheetViews>
    <sheetView showGridLines="0" workbookViewId="0">
      <pane ySplit="4" topLeftCell="A8" activePane="bottomLeft" state="frozen"/>
      <selection pane="bottomLeft" activeCell="D14" sqref="D14"/>
    </sheetView>
  </sheetViews>
  <sheetFormatPr defaultColWidth="8.7109375" defaultRowHeight="15" x14ac:dyDescent="0.25"/>
  <cols>
    <col min="1" max="1" width="8.7109375" style="220"/>
    <col min="2" max="2" width="8.7109375" style="242"/>
    <col min="3" max="8" width="19.42578125" style="243" customWidth="1"/>
    <col min="9" max="9" width="8.7109375" style="220"/>
    <col min="10" max="10" width="12.5703125" style="220" bestFit="1" customWidth="1"/>
    <col min="11" max="16384" width="8.7109375" style="220"/>
  </cols>
  <sheetData>
    <row r="1" spans="1:22" s="196" customFormat="1" x14ac:dyDescent="0.25">
      <c r="A1" s="190" t="s">
        <v>234</v>
      </c>
      <c r="C1" s="190"/>
      <c r="D1" s="190"/>
      <c r="E1" s="191"/>
      <c r="F1" s="191"/>
      <c r="H1" s="190"/>
    </row>
    <row r="2" spans="1:22" s="89" customFormat="1" x14ac:dyDescent="0.25">
      <c r="A2" s="152"/>
      <c r="B2" s="152"/>
      <c r="C2" s="152"/>
      <c r="D2" s="152"/>
      <c r="M2" s="81"/>
      <c r="N2" s="181"/>
      <c r="O2" s="181"/>
      <c r="P2" s="181"/>
      <c r="Q2" s="81"/>
      <c r="R2" s="81"/>
      <c r="S2" s="81"/>
      <c r="T2" s="81"/>
      <c r="U2" s="81"/>
      <c r="V2" s="81"/>
    </row>
    <row r="3" spans="1:22" x14ac:dyDescent="0.25">
      <c r="A3" s="220" t="s">
        <v>46</v>
      </c>
    </row>
    <row r="4" spans="1:22" s="101" customFormat="1" ht="51.75" customHeight="1" x14ac:dyDescent="0.25">
      <c r="B4" s="211" t="s">
        <v>49</v>
      </c>
      <c r="C4" s="211" t="s">
        <v>48</v>
      </c>
      <c r="D4" s="211" t="s">
        <v>47</v>
      </c>
      <c r="E4" s="211" t="s">
        <v>50</v>
      </c>
      <c r="F4" s="211" t="s">
        <v>129</v>
      </c>
      <c r="G4" s="211" t="s">
        <v>51</v>
      </c>
      <c r="H4" s="211" t="s">
        <v>42</v>
      </c>
    </row>
    <row r="5" spans="1:22" x14ac:dyDescent="0.25">
      <c r="B5" s="244">
        <v>2001</v>
      </c>
      <c r="C5" s="175">
        <v>79.783000000000001</v>
      </c>
      <c r="D5" s="245">
        <f t="shared" ref="D5:D26" si="0">$C$25/C5</f>
        <v>1.4902297481919706</v>
      </c>
    </row>
    <row r="6" spans="1:22" x14ac:dyDescent="0.25">
      <c r="B6" s="244">
        <v>2002</v>
      </c>
      <c r="C6" s="175">
        <v>81.025999999999996</v>
      </c>
      <c r="D6" s="245">
        <f t="shared" si="0"/>
        <v>1.4673684990003208</v>
      </c>
    </row>
    <row r="7" spans="1:22" x14ac:dyDescent="0.25">
      <c r="B7" s="244">
        <v>2003</v>
      </c>
      <c r="C7" s="175">
        <v>82.625</v>
      </c>
      <c r="D7" s="245">
        <f t="shared" si="0"/>
        <v>1.4389712556732224</v>
      </c>
    </row>
    <row r="8" spans="1:22" x14ac:dyDescent="0.25">
      <c r="B8" s="244">
        <v>2004</v>
      </c>
      <c r="C8" s="175">
        <v>84.843000000000004</v>
      </c>
      <c r="D8" s="245">
        <f t="shared" si="0"/>
        <v>1.4013530874674398</v>
      </c>
    </row>
    <row r="9" spans="1:22" x14ac:dyDescent="0.25">
      <c r="B9" s="244">
        <v>2005</v>
      </c>
      <c r="C9" s="175">
        <v>87.504000000000005</v>
      </c>
      <c r="D9" s="245">
        <f t="shared" si="0"/>
        <v>1.3587378862680561</v>
      </c>
    </row>
    <row r="10" spans="1:22" x14ac:dyDescent="0.25">
      <c r="B10" s="244">
        <v>2006</v>
      </c>
      <c r="C10" s="175">
        <v>90.203999999999994</v>
      </c>
      <c r="D10" s="245">
        <f t="shared" si="0"/>
        <v>1.3180679349031086</v>
      </c>
    </row>
    <row r="11" spans="1:22" x14ac:dyDescent="0.25">
      <c r="B11" s="244">
        <v>2007</v>
      </c>
      <c r="C11" s="175">
        <v>92.641999999999996</v>
      </c>
      <c r="D11" s="245">
        <f t="shared" si="0"/>
        <v>1.2833811877981909</v>
      </c>
    </row>
    <row r="12" spans="1:22" x14ac:dyDescent="0.25">
      <c r="B12" s="244">
        <v>2008</v>
      </c>
      <c r="C12" s="175">
        <v>94.418999999999997</v>
      </c>
      <c r="D12" s="245">
        <f t="shared" si="0"/>
        <v>1.2592274859932853</v>
      </c>
    </row>
    <row r="13" spans="1:22" x14ac:dyDescent="0.25">
      <c r="B13" s="244">
        <v>2009</v>
      </c>
      <c r="C13" s="175">
        <v>95.024000000000001</v>
      </c>
      <c r="D13" s="245">
        <f t="shared" si="0"/>
        <v>1.2512102205758544</v>
      </c>
    </row>
    <row r="14" spans="1:22" x14ac:dyDescent="0.25">
      <c r="B14" s="244">
        <v>2010</v>
      </c>
      <c r="C14" s="175">
        <v>96.165999999999997</v>
      </c>
      <c r="D14" s="245">
        <f t="shared" si="0"/>
        <v>1.236351725141942</v>
      </c>
    </row>
    <row r="15" spans="1:22" x14ac:dyDescent="0.25">
      <c r="B15" s="244">
        <v>2011</v>
      </c>
      <c r="C15" s="175">
        <v>98.164000000000001</v>
      </c>
      <c r="D15" s="245">
        <f t="shared" si="0"/>
        <v>1.2111874006764189</v>
      </c>
    </row>
    <row r="16" spans="1:22" x14ac:dyDescent="0.25">
      <c r="B16" s="244">
        <v>2012</v>
      </c>
      <c r="C16" s="175">
        <v>100</v>
      </c>
      <c r="D16" s="245">
        <f t="shared" si="0"/>
        <v>1.18895</v>
      </c>
    </row>
    <row r="17" spans="2:8" x14ac:dyDescent="0.25">
      <c r="B17" s="244">
        <v>2013</v>
      </c>
      <c r="C17" s="175">
        <v>101.751</v>
      </c>
      <c r="D17" s="245">
        <f t="shared" si="0"/>
        <v>1.1684897445725348</v>
      </c>
    </row>
    <row r="18" spans="2:8" x14ac:dyDescent="0.25">
      <c r="B18" s="244">
        <v>2014</v>
      </c>
      <c r="C18" s="175">
        <v>103.654</v>
      </c>
      <c r="D18" s="245">
        <f t="shared" si="0"/>
        <v>1.147037258571787</v>
      </c>
    </row>
    <row r="19" spans="2:8" x14ac:dyDescent="0.25">
      <c r="B19" s="244">
        <v>2015</v>
      </c>
      <c r="C19" s="175">
        <v>104.691</v>
      </c>
      <c r="D19" s="245">
        <f t="shared" si="0"/>
        <v>1.1356754639844877</v>
      </c>
    </row>
    <row r="20" spans="2:8" x14ac:dyDescent="0.25">
      <c r="B20" s="244">
        <v>2016</v>
      </c>
      <c r="C20" s="175">
        <v>105.74</v>
      </c>
      <c r="D20" s="245">
        <f t="shared" si="0"/>
        <v>1.1244089275581615</v>
      </c>
    </row>
    <row r="21" spans="2:8" x14ac:dyDescent="0.25">
      <c r="B21" s="244">
        <v>2017</v>
      </c>
      <c r="C21" s="175">
        <v>107.749</v>
      </c>
      <c r="D21" s="245">
        <f t="shared" si="0"/>
        <v>1.1034441154906309</v>
      </c>
    </row>
    <row r="22" spans="2:8" x14ac:dyDescent="0.25">
      <c r="B22" s="244">
        <v>2018</v>
      </c>
      <c r="C22" s="175">
        <v>110.339</v>
      </c>
      <c r="D22" s="245">
        <f t="shared" si="0"/>
        <v>1.0775428452315137</v>
      </c>
    </row>
    <row r="23" spans="2:8" x14ac:dyDescent="0.25">
      <c r="B23" s="244">
        <v>2019</v>
      </c>
      <c r="C23" s="175">
        <v>112.318</v>
      </c>
      <c r="D23" s="245">
        <f t="shared" si="0"/>
        <v>1.058556954361723</v>
      </c>
      <c r="E23" s="243">
        <f>IF(AND(B23&gt;=Assumptions!$E$9,B23&lt;=Assumptions!$E$10),1,0)</f>
        <v>0</v>
      </c>
    </row>
    <row r="24" spans="2:8" x14ac:dyDescent="0.25">
      <c r="B24" s="244">
        <v>2020</v>
      </c>
      <c r="C24" s="175">
        <v>113.78400000000001</v>
      </c>
      <c r="D24" s="245">
        <f t="shared" si="0"/>
        <v>1.0449184419602051</v>
      </c>
      <c r="E24" s="243">
        <f>IF(AND(B24&gt;=Assumptions!$E$9,B24&lt;=Assumptions!$E$10),1,0)</f>
        <v>0</v>
      </c>
    </row>
    <row r="25" spans="2:8" x14ac:dyDescent="0.25">
      <c r="B25" s="244">
        <v>2021</v>
      </c>
      <c r="C25" s="175">
        <v>118.895</v>
      </c>
      <c r="D25" s="245">
        <f t="shared" si="0"/>
        <v>1</v>
      </c>
      <c r="E25" s="243">
        <f>IF(AND(B25&gt;=Assumptions!$E$9,B25&lt;=Assumptions!$E$10),1,0)</f>
        <v>0</v>
      </c>
      <c r="F25" s="243">
        <v>1</v>
      </c>
      <c r="G25" s="243">
        <v>1</v>
      </c>
      <c r="H25" s="243">
        <f>IF(B25=Assumptions!$E$10,(Costs!$I$17/Assumptions!$E$12)*(Assumptions!$E$12-Assumptions!$E$14),0)</f>
        <v>0</v>
      </c>
    </row>
    <row r="26" spans="2:8" x14ac:dyDescent="0.25">
      <c r="B26" s="244">
        <v>2022</v>
      </c>
      <c r="C26" s="175">
        <v>127.19199999999999</v>
      </c>
      <c r="D26" s="246">
        <f t="shared" si="0"/>
        <v>0.93476790993144221</v>
      </c>
      <c r="E26" s="243">
        <f>IF(AND(B26&gt;=Assumptions!$E$9,B26&lt;=Assumptions!$E$10),1,0)</f>
        <v>0</v>
      </c>
      <c r="F26" s="44">
        <f>F25/(1+Assumptions!$E$5)</f>
        <v>0.93457943925233644</v>
      </c>
      <c r="G26" s="44">
        <f>G25/(1+Assumptions!$E$6)</f>
        <v>0.970873786407767</v>
      </c>
      <c r="H26" s="243">
        <f>IF(B26=Assumptions!$E$10,(Costs!$I$17/Assumptions!$E$12)*(Assumptions!$E$12-Assumptions!$E$14),0)</f>
        <v>0</v>
      </c>
    </row>
    <row r="27" spans="2:8" x14ac:dyDescent="0.25">
      <c r="B27" s="244">
        <v>2023</v>
      </c>
      <c r="E27" s="243">
        <f>IF(AND(B27&gt;=Assumptions!$E$9,B27&lt;=Assumptions!$E$10),1,0)</f>
        <v>0</v>
      </c>
      <c r="F27" s="44">
        <f>F26/(1+Assumptions!$E$5)</f>
        <v>0.87343872827321156</v>
      </c>
      <c r="G27" s="44">
        <f>G26/(1+Assumptions!$E$6)</f>
        <v>0.94259590913375435</v>
      </c>
      <c r="H27" s="243">
        <f>IF(B27=Assumptions!$E$10,(Costs!$I$17/Assumptions!$E$12)*(Assumptions!$E$12-Assumptions!$E$14),0)</f>
        <v>0</v>
      </c>
    </row>
    <row r="28" spans="2:8" x14ac:dyDescent="0.25">
      <c r="B28" s="244">
        <v>2024</v>
      </c>
      <c r="E28" s="243">
        <f>IF(AND(B28&gt;=Assumptions!$E$9,B28&lt;=Assumptions!$E$10),1,0)</f>
        <v>0</v>
      </c>
      <c r="F28" s="44">
        <f>F27/(1+Assumptions!$E$5)</f>
        <v>0.81629787689085187</v>
      </c>
      <c r="G28" s="44">
        <f>G27/(1+Assumptions!$E$6)</f>
        <v>0.9151416593531595</v>
      </c>
      <c r="H28" s="44">
        <f>IF(B28=Assumptions!$E$10,(Costs!$I$17/Assumptions!$E$12)*(Assumptions!$E$12-Assumptions!$E$14),0)</f>
        <v>0</v>
      </c>
    </row>
    <row r="29" spans="2:8" x14ac:dyDescent="0.25">
      <c r="B29" s="244">
        <v>2025</v>
      </c>
      <c r="E29" s="243">
        <f>IF(AND(B29&gt;=Assumptions!$E$9,B29&lt;=Assumptions!$E$10),1,0)</f>
        <v>0</v>
      </c>
      <c r="F29" s="44">
        <f>F28/(1+Assumptions!$E$5)</f>
        <v>0.76289521204752508</v>
      </c>
      <c r="G29" s="44">
        <f>G28/(1+Assumptions!$E$6)</f>
        <v>0.88848704791568878</v>
      </c>
      <c r="H29" s="44">
        <f>IF(B29=Assumptions!$E$10,(Costs!$I$17/Assumptions!$E$12)*(Assumptions!$E$12-Assumptions!$E$14),0)</f>
        <v>0</v>
      </c>
    </row>
    <row r="30" spans="2:8" x14ac:dyDescent="0.25">
      <c r="B30" s="244">
        <v>2026</v>
      </c>
      <c r="E30" s="243">
        <f>IF(AND(B30&gt;=Assumptions!$E$9,B30&lt;=Assumptions!$E$10),1,0)</f>
        <v>0</v>
      </c>
      <c r="F30" s="44">
        <f>F29/(1+Assumptions!$E$5)</f>
        <v>0.71298617948366827</v>
      </c>
      <c r="G30" s="44">
        <f>G29/(1+Assumptions!$E$6)</f>
        <v>0.86260878438416388</v>
      </c>
      <c r="H30" s="44">
        <f>IF(B30=Assumptions!$E$10,(Costs!$I$17/Assumptions!$E$12)*(Assumptions!$E$12-Assumptions!$E$14),0)</f>
        <v>0</v>
      </c>
    </row>
    <row r="31" spans="2:8" x14ac:dyDescent="0.25">
      <c r="B31" s="244">
        <v>2027</v>
      </c>
      <c r="E31" s="243">
        <f>IF(AND(B31&gt;=Assumptions!$E$9,B31&lt;=Assumptions!$E$10),1,0)</f>
        <v>1</v>
      </c>
      <c r="F31" s="44">
        <f>F30/(1+Assumptions!$E$5)</f>
        <v>0.66634222381651231</v>
      </c>
      <c r="G31" s="44">
        <f>G30/(1+Assumptions!$E$6)</f>
        <v>0.83748425668365423</v>
      </c>
      <c r="H31" s="44">
        <f>IF(B31=Assumptions!$E$10,(Costs!$I$17/Assumptions!$E$12)*(Assumptions!$E$12-Assumptions!$E$14),0)</f>
        <v>0</v>
      </c>
    </row>
    <row r="32" spans="2:8" x14ac:dyDescent="0.25">
      <c r="B32" s="244">
        <v>2028</v>
      </c>
      <c r="E32" s="243">
        <f>IF(AND(B32&gt;=Assumptions!$E$9,B32&lt;=Assumptions!$E$10),1,0)</f>
        <v>1</v>
      </c>
      <c r="F32" s="44">
        <f>F31/(1+Assumptions!$E$5)</f>
        <v>0.62274974188459087</v>
      </c>
      <c r="G32" s="44">
        <f>G31/(1+Assumptions!$E$6)</f>
        <v>0.81309151134335356</v>
      </c>
      <c r="H32" s="44">
        <f>IF(B32=Assumptions!$E$10,(Costs!$I$17/Assumptions!$E$12)*(Assumptions!$E$12-Assumptions!$E$14),0)</f>
        <v>0</v>
      </c>
    </row>
    <row r="33" spans="2:8" x14ac:dyDescent="0.25">
      <c r="B33" s="244">
        <v>2029</v>
      </c>
      <c r="E33" s="243">
        <f>IF(AND(B33&gt;=Assumptions!$E$9,B33&lt;=Assumptions!$E$10),1,0)</f>
        <v>1</v>
      </c>
      <c r="F33" s="44">
        <f>F32/(1+Assumptions!$E$5)</f>
        <v>0.58200910456503818</v>
      </c>
      <c r="G33" s="44">
        <f>G32/(1+Assumptions!$E$6)</f>
        <v>0.7894092343139355</v>
      </c>
      <c r="H33" s="44">
        <f>IF(B33=Assumptions!$E$10,(Costs!$I$17/Assumptions!$E$12)*(Assumptions!$E$12-Assumptions!$E$14),0)</f>
        <v>0</v>
      </c>
    </row>
    <row r="34" spans="2:8" x14ac:dyDescent="0.25">
      <c r="B34" s="244">
        <v>2030</v>
      </c>
      <c r="E34" s="243">
        <f>IF(AND(B34&gt;=Assumptions!$E$9,B34&lt;=Assumptions!$E$10),1,0)</f>
        <v>1</v>
      </c>
      <c r="F34" s="44">
        <f>F33/(1+Assumptions!$E$5)</f>
        <v>0.54393374258414784</v>
      </c>
      <c r="G34" s="44">
        <f>G33/(1+Assumptions!$E$6)</f>
        <v>0.76641673234362673</v>
      </c>
      <c r="H34" s="44">
        <f>IF(B34=Assumptions!$E$10,(Costs!$I$17/Assumptions!$E$12)*(Assumptions!$E$12-Assumptions!$E$14),0)</f>
        <v>0</v>
      </c>
    </row>
    <row r="35" spans="2:8" x14ac:dyDescent="0.25">
      <c r="B35" s="244">
        <v>2031</v>
      </c>
      <c r="E35" s="243">
        <f>IF(AND(B35&gt;=Assumptions!$E$9,B35&lt;=Assumptions!$E$10),1,0)</f>
        <v>1</v>
      </c>
      <c r="F35" s="44">
        <f>F34/(1+Assumptions!$E$5)</f>
        <v>0.50834929213471758</v>
      </c>
      <c r="G35" s="44">
        <f>G34/(1+Assumptions!$E$6)</f>
        <v>0.74409391489672494</v>
      </c>
      <c r="H35" s="44">
        <f>IF(B35=Assumptions!$E$10,(Costs!$I$17/Assumptions!$E$12)*(Assumptions!$E$12-Assumptions!$E$14),0)</f>
        <v>0</v>
      </c>
    </row>
    <row r="36" spans="2:8" x14ac:dyDescent="0.25">
      <c r="B36" s="244">
        <v>2032</v>
      </c>
      <c r="E36" s="243">
        <f>IF(AND(B36&gt;=Assumptions!$E$9,B36&lt;=Assumptions!$E$10),1,0)</f>
        <v>1</v>
      </c>
      <c r="F36" s="44">
        <f>F35/(1+Assumptions!$E$5)</f>
        <v>0.4750927963875865</v>
      </c>
      <c r="G36" s="44">
        <f>G35/(1+Assumptions!$E$6)</f>
        <v>0.7224212765987621</v>
      </c>
      <c r="H36" s="44">
        <f>IF(B36=Assumptions!$E$10,(Costs!$I$17/Assumptions!$E$12)*(Assumptions!$E$12-Assumptions!$E$14),0)</f>
        <v>0</v>
      </c>
    </row>
    <row r="37" spans="2:8" x14ac:dyDescent="0.25">
      <c r="B37" s="244">
        <v>2033</v>
      </c>
      <c r="E37" s="243">
        <f>IF(AND(B37&gt;=Assumptions!$E$9,B37&lt;=Assumptions!$E$10),1,0)</f>
        <v>1</v>
      </c>
      <c r="F37" s="44">
        <f>F36/(1+Assumptions!$E$5)</f>
        <v>0.444011959240735</v>
      </c>
      <c r="G37" s="44">
        <f>G36/(1+Assumptions!$E$6)</f>
        <v>0.70137988019297293</v>
      </c>
      <c r="H37" s="44">
        <f>IF(B37=Assumptions!$E$10,(Costs!$I$17/Assumptions!$E$12)*(Assumptions!$E$12-Assumptions!$E$14),0)</f>
        <v>0</v>
      </c>
    </row>
    <row r="38" spans="2:8" x14ac:dyDescent="0.25">
      <c r="B38" s="244">
        <v>2034</v>
      </c>
      <c r="E38" s="243">
        <f>IF(AND(B38&gt;=Assumptions!$E$9,B38&lt;=Assumptions!$E$10),1,0)</f>
        <v>1</v>
      </c>
      <c r="F38" s="44">
        <f>F37/(1+Assumptions!$E$5)</f>
        <v>0.41496444788853737</v>
      </c>
      <c r="G38" s="44">
        <f>G37/(1+Assumptions!$E$6)</f>
        <v>0.68095133999317758</v>
      </c>
      <c r="H38" s="44">
        <f>IF(B38=Assumptions!$E$10,(Costs!$I$17/Assumptions!$E$12)*(Assumptions!$E$12-Assumptions!$E$14),0)</f>
        <v>0</v>
      </c>
    </row>
    <row r="39" spans="2:8" x14ac:dyDescent="0.25">
      <c r="B39" s="244">
        <v>2035</v>
      </c>
      <c r="E39" s="243">
        <f>IF(AND(B39&gt;=Assumptions!$E$9,B39&lt;=Assumptions!$E$10),1,0)</f>
        <v>1</v>
      </c>
      <c r="F39" s="44">
        <f>F38/(1+Assumptions!$E$5)</f>
        <v>0.38781724101732462</v>
      </c>
      <c r="G39" s="44">
        <f>G38/(1+Assumptions!$E$6)</f>
        <v>0.66111780581861901</v>
      </c>
      <c r="H39" s="44">
        <f>IF(B39=Assumptions!$E$10,(Costs!$I$17/Assumptions!$E$12)*(Assumptions!$E$12-Assumptions!$E$14),0)</f>
        <v>0</v>
      </c>
    </row>
    <row r="40" spans="2:8" x14ac:dyDescent="0.25">
      <c r="B40" s="244">
        <v>2036</v>
      </c>
      <c r="E40" s="243">
        <f>IF(AND(B40&gt;=Assumptions!$E$9,B40&lt;=Assumptions!$E$10),1,0)</f>
        <v>1</v>
      </c>
      <c r="F40" s="44">
        <f>F39/(1+Assumptions!$E$5)</f>
        <v>0.36244601964235945</v>
      </c>
      <c r="G40" s="44">
        <f>G39/(1+Assumptions!$E$6)</f>
        <v>0.64186194739671742</v>
      </c>
      <c r="H40" s="44">
        <f>IF(B40=Assumptions!$E$10,(Costs!$I$17/Assumptions!$E$12)*(Assumptions!$E$12-Assumptions!$E$14),0)</f>
        <v>0</v>
      </c>
    </row>
    <row r="41" spans="2:8" x14ac:dyDescent="0.25">
      <c r="B41" s="244">
        <v>2037</v>
      </c>
      <c r="E41" s="243">
        <f>IF(AND(B41&gt;=Assumptions!$E$9,B41&lt;=Assumptions!$E$10),1,0)</f>
        <v>1</v>
      </c>
      <c r="F41" s="44">
        <f>F40/(1+Assumptions!$E$5)</f>
        <v>0.33873459779659759</v>
      </c>
      <c r="G41" s="44">
        <f>G40/(1+Assumptions!$E$6)</f>
        <v>0.62316693922011401</v>
      </c>
      <c r="H41" s="44">
        <f>IF(B41=Assumptions!$E$10,(Costs!$I$17/Assumptions!$E$12)*(Assumptions!$E$12-Assumptions!$E$14),0)</f>
        <v>0</v>
      </c>
    </row>
    <row r="42" spans="2:8" x14ac:dyDescent="0.25">
      <c r="B42" s="244">
        <v>2038</v>
      </c>
      <c r="E42" s="243">
        <f>IF(AND(B42&gt;=Assumptions!$E$9,B42&lt;=Assumptions!$E$10),1,0)</f>
        <v>1</v>
      </c>
      <c r="F42" s="44">
        <f>F41/(1+Assumptions!$E$5)</f>
        <v>0.3165743904641099</v>
      </c>
      <c r="G42" s="44">
        <f>G41/(1+Assumptions!$E$6)</f>
        <v>0.60501644584477088</v>
      </c>
      <c r="H42" s="44">
        <f>IF(B42=Assumptions!$E$10,(Costs!$I$17/Assumptions!$E$12)*(Assumptions!$E$12-Assumptions!$E$14),0)</f>
        <v>0</v>
      </c>
    </row>
    <row r="43" spans="2:8" x14ac:dyDescent="0.25">
      <c r="B43" s="244">
        <v>2039</v>
      </c>
      <c r="E43" s="243">
        <f>IF(AND(B43&gt;=Assumptions!$E$9,B43&lt;=Assumptions!$E$10),1,0)</f>
        <v>1</v>
      </c>
      <c r="F43" s="44">
        <f>F42/(1+Assumptions!$E$5)</f>
        <v>0.29586391632159803</v>
      </c>
      <c r="G43" s="44">
        <f>G42/(1+Assumptions!$E$6)</f>
        <v>0.58739460761628237</v>
      </c>
      <c r="H43" s="44">
        <f>IF(B43=Assumptions!$E$10,(Costs!$I$17/Assumptions!$E$12)*(Assumptions!$E$12-Assumptions!$E$14),0)</f>
        <v>0</v>
      </c>
    </row>
    <row r="44" spans="2:8" x14ac:dyDescent="0.25">
      <c r="B44" s="244">
        <v>2040</v>
      </c>
      <c r="E44" s="243">
        <f>IF(AND(B44&gt;=Assumptions!$E$9,B44&lt;=Assumptions!$E$10),1,0)</f>
        <v>1</v>
      </c>
      <c r="F44" s="44">
        <f>F43/(1+Assumptions!$E$5)</f>
        <v>0.27650833301083927</v>
      </c>
      <c r="G44" s="44">
        <f>G43/(1+Assumptions!$E$6)</f>
        <v>0.57028602681192464</v>
      </c>
      <c r="H44" s="44">
        <f>IF(B44=Assumptions!$E$10,(Costs!$I$17/Assumptions!$E$12)*(Assumptions!$E$12-Assumptions!$E$14),0)</f>
        <v>0</v>
      </c>
    </row>
    <row r="45" spans="2:8" x14ac:dyDescent="0.25">
      <c r="B45" s="244">
        <v>2041</v>
      </c>
      <c r="E45" s="243">
        <f>IF(AND(B45&gt;=Assumptions!$E$9,B45&lt;=Assumptions!$E$10),1,0)</f>
        <v>1</v>
      </c>
      <c r="F45" s="44">
        <f>F44/(1+Assumptions!$E$5)</f>
        <v>0.25841900281386848</v>
      </c>
      <c r="G45" s="44">
        <f>G44/(1+Assumptions!$E$6)</f>
        <v>0.55367575418633463</v>
      </c>
      <c r="H45" s="44">
        <f>IF(B45=Assumptions!$E$10,(Costs!$I$17/Assumptions!$E$12)*(Assumptions!$E$12-Assumptions!$E$14),0)</f>
        <v>0</v>
      </c>
    </row>
    <row r="46" spans="2:8" x14ac:dyDescent="0.25">
      <c r="B46" s="244">
        <v>2042</v>
      </c>
      <c r="E46" s="243">
        <f>IF(AND(B46&gt;=Assumptions!$E$9,B46&lt;=Assumptions!$E$10),1,0)</f>
        <v>1</v>
      </c>
      <c r="F46" s="44">
        <f>F45/(1+Assumptions!$E$5)</f>
        <v>0.24151308674193314</v>
      </c>
      <c r="G46" s="44">
        <f>G45/(1+Assumptions!$E$6)</f>
        <v>0.53754927590906276</v>
      </c>
      <c r="H46" s="44">
        <f>IF(B46=Assumptions!$E$10,(Costs!$I$17/Assumptions!$E$12)*(Assumptions!$E$12-Assumptions!$E$14),0)</f>
        <v>0</v>
      </c>
    </row>
    <row r="47" spans="2:8" x14ac:dyDescent="0.25">
      <c r="B47" s="244">
        <v>2043</v>
      </c>
      <c r="E47" s="243">
        <f>IF(AND(B47&gt;=Assumptions!$E$9,B47&lt;=Assumptions!$E$10),1,0)</f>
        <v>1</v>
      </c>
      <c r="F47" s="44">
        <f>F46/(1+Assumptions!$E$5)</f>
        <v>0.22571316517937676</v>
      </c>
      <c r="G47" s="44">
        <f>G46/(1+Assumptions!$E$6)</f>
        <v>0.52189250088258521</v>
      </c>
      <c r="H47" s="44">
        <f>IF(B47=Assumptions!$E$10,(Costs!$I$17/Assumptions!$E$12)*(Assumptions!$E$12-Assumptions!$E$14),0)</f>
        <v>0</v>
      </c>
    </row>
    <row r="48" spans="2:8" x14ac:dyDescent="0.25">
      <c r="B48" s="244">
        <v>2044</v>
      </c>
      <c r="E48" s="243">
        <f>IF(AND(B48&gt;=Assumptions!$E$9,B48&lt;=Assumptions!$E$10),1,0)</f>
        <v>1</v>
      </c>
      <c r="F48" s="44">
        <f>F47/(1+Assumptions!$E$5)</f>
        <v>0.21094688334521192</v>
      </c>
      <c r="G48" s="44">
        <f>G47/(1+Assumptions!$E$6)</f>
        <v>0.50669174842969433</v>
      </c>
      <c r="H48" s="44">
        <f>IF(B48=Assumptions!$E$10,(Costs!$I$17/Assumptions!$E$12)*(Assumptions!$E$12-Assumptions!$E$14),0)</f>
        <v>0</v>
      </c>
    </row>
    <row r="49" spans="2:10" x14ac:dyDescent="0.25">
      <c r="B49" s="244">
        <v>2045</v>
      </c>
      <c r="E49" s="243">
        <f>IF(AND(B49&gt;=Assumptions!$E$9,B49&lt;=Assumptions!$E$10),1,0)</f>
        <v>1</v>
      </c>
      <c r="F49" s="44">
        <f>F48/(1+Assumptions!$E$5)</f>
        <v>0.19714661994879618</v>
      </c>
      <c r="G49" s="44">
        <f>G48/(1+Assumptions!$E$6)</f>
        <v>0.49193373633950904</v>
      </c>
      <c r="H49" s="44">
        <f>IF(B49=Assumptions!$E$10,(Costs!$I$17/Assumptions!$E$12)*(Assumptions!$E$12-Assumptions!$E$14),0)</f>
        <v>0</v>
      </c>
    </row>
    <row r="50" spans="2:10" x14ac:dyDescent="0.25">
      <c r="B50" s="244">
        <v>2046</v>
      </c>
      <c r="E50" s="243">
        <f>IF(AND(B50&gt;=Assumptions!$E$9,B50&lt;=Assumptions!$E$10),1,0)</f>
        <v>1</v>
      </c>
      <c r="F50" s="44">
        <f>F49/(1+Assumptions!$E$5)</f>
        <v>0.1842491775222394</v>
      </c>
      <c r="G50" s="44">
        <f>G49/(1+Assumptions!$E$6)</f>
        <v>0.47760556926165926</v>
      </c>
      <c r="H50" s="247">
        <f>IF(B50=Assumptions!$E$10,(Costs!$I$17/Assumptions!$E$12)*(Assumptions!$E$12-Assumptions!$E$14),0)</f>
        <v>10561885.066666666</v>
      </c>
      <c r="J50" s="248">
        <f>Costs!$I$17/Assumptions!$E$12</f>
        <v>1320235.6333333333</v>
      </c>
    </row>
    <row r="51" spans="2:10" x14ac:dyDescent="0.25">
      <c r="B51" s="244">
        <v>2047</v>
      </c>
      <c r="E51" s="243">
        <f>IF(AND(B51&gt;=Assumptions!$E$9,B51&lt;=Assumptions!$E$10),1,0)</f>
        <v>0</v>
      </c>
      <c r="F51" s="44">
        <f>F50/(1+Assumptions!$E$5)</f>
        <v>0.17219549301143869</v>
      </c>
      <c r="G51" s="44">
        <f>G50/(1+Assumptions!$E$6)</f>
        <v>0.4636947274385041</v>
      </c>
      <c r="H51" s="44">
        <f>IF(B51=Assumptions!$E$10,(Costs!$I$17/Assumptions!$E$12)*(Assumptions!$E$12-Assumptions!$E$14),0)</f>
        <v>0</v>
      </c>
    </row>
    <row r="52" spans="2:10" x14ac:dyDescent="0.25">
      <c r="B52" s="244">
        <v>2048</v>
      </c>
      <c r="E52" s="243">
        <f>IF(AND(B52&gt;=Assumptions!$E$9,B52&lt;=Assumptions!$E$10),1,0)</f>
        <v>0</v>
      </c>
      <c r="F52" s="44">
        <f>F51/(1+Assumptions!$E$5)</f>
        <v>0.16093036730040999</v>
      </c>
      <c r="G52" s="44">
        <f>G51/(1+Assumptions!$E$6)</f>
        <v>0.45018905576553797</v>
      </c>
      <c r="H52" s="44">
        <f>IF(B52=Assumptions!$E$10,(Costs!$I$17/Assumptions!$E$12)*(Assumptions!$E$12-Assumptions!$E$14),0)</f>
        <v>0</v>
      </c>
    </row>
    <row r="53" spans="2:10" x14ac:dyDescent="0.25">
      <c r="B53" s="244">
        <v>2049</v>
      </c>
      <c r="E53" s="243">
        <f>IF(AND(B53&gt;=Assumptions!$E$9,B53&lt;=Assumptions!$E$10),1,0)</f>
        <v>0</v>
      </c>
      <c r="F53" s="44">
        <f>F52/(1+Assumptions!$E$5)</f>
        <v>0.1504022124302897</v>
      </c>
      <c r="G53" s="44">
        <f>G52/(1+Assumptions!$E$6)</f>
        <v>0.43707675317042521</v>
      </c>
      <c r="H53" s="44">
        <f>IF(B53=Assumptions!$E$10,(Costs!$I$17/Assumptions!$E$12)*(Assumptions!$E$12-Assumptions!$E$14),0)</f>
        <v>0</v>
      </c>
    </row>
    <row r="54" spans="2:10" x14ac:dyDescent="0.25">
      <c r="B54" s="244">
        <v>2050</v>
      </c>
      <c r="E54" s="243">
        <f>IF(AND(B54&gt;=Assumptions!$E$9,B54&lt;=Assumptions!$E$10),1,0)</f>
        <v>0</v>
      </c>
      <c r="F54" s="44">
        <f>F53/(1+Assumptions!$E$5)</f>
        <v>0.14056281535541093</v>
      </c>
      <c r="G54" s="44">
        <f>G53/(1+Assumptions!$E$6)</f>
        <v>0.42434636230138367</v>
      </c>
      <c r="H54" s="44">
        <f>IF(B54=Assumptions!$E$10,(Costs!$I$17/Assumptions!$E$12)*(Assumptions!$E$12-Assumptions!$E$14),0)</f>
        <v>0</v>
      </c>
    </row>
    <row r="55" spans="2:10" x14ac:dyDescent="0.25">
      <c r="B55" s="244">
        <v>2051</v>
      </c>
      <c r="E55" s="243">
        <f>IF(AND(B55&gt;=Assumptions!$E$9,B55&lt;=Assumptions!$E$10),1,0)</f>
        <v>0</v>
      </c>
      <c r="F55" s="44">
        <f>F54/(1+Assumptions!$E$5)</f>
        <v>0.13136711715458965</v>
      </c>
      <c r="G55" s="44">
        <f>G54/(1+Assumptions!$E$6)</f>
        <v>0.41198675951590646</v>
      </c>
      <c r="H55" s="44">
        <f>IF(B55=Assumptions!$E$10,(Costs!$I$17/Assumptions!$E$12)*(Assumptions!$E$12-Assumptions!$E$14),0)</f>
        <v>0</v>
      </c>
    </row>
    <row r="56" spans="2:10" x14ac:dyDescent="0.25">
      <c r="B56" s="244">
        <v>2052</v>
      </c>
      <c r="E56" s="243">
        <f>IF(AND(B56&gt;=Assumptions!$E$9,B56&lt;=Assumptions!$E$10),1,0)</f>
        <v>0</v>
      </c>
      <c r="F56" s="44">
        <f>F55/(1+Assumptions!$E$5)</f>
        <v>0.12277300668653238</v>
      </c>
      <c r="G56" s="44">
        <f>G55/(1+Assumptions!$E$6)</f>
        <v>0.39998714516107425</v>
      </c>
      <c r="H56" s="44">
        <f>IF(B56=Assumptions!$E$10,(Costs!$I$17/Assumptions!$E$12)*(Assumptions!$E$12-Assumptions!$E$14),0)</f>
        <v>0</v>
      </c>
    </row>
    <row r="57" spans="2:10" x14ac:dyDescent="0.25">
      <c r="B57" s="244">
        <v>2053</v>
      </c>
      <c r="E57" s="243">
        <f>IF(AND(B57&gt;=Assumptions!$E$9,B57&lt;=Assumptions!$E$10),1,0)</f>
        <v>0</v>
      </c>
      <c r="F57" s="44">
        <f>F56/(1+Assumptions!$E$5)</f>
        <v>0.11474112774442277</v>
      </c>
      <c r="G57" s="44">
        <f>G56/(1+Assumptions!$E$6)</f>
        <v>0.3883370341369653</v>
      </c>
      <c r="H57" s="44">
        <f>IF(B57=Assumptions!$E$10,(Costs!$I$17/Assumptions!$E$12)*(Assumptions!$E$12-Assumptions!$E$14),0)</f>
        <v>0</v>
      </c>
    </row>
    <row r="58" spans="2:10" x14ac:dyDescent="0.25">
      <c r="B58" s="244">
        <v>2054</v>
      </c>
      <c r="E58" s="243">
        <f>IF(AND(B58&gt;=Assumptions!$E$9,B58&lt;=Assumptions!$E$10),1,0)</f>
        <v>0</v>
      </c>
      <c r="F58" s="44">
        <f>F57/(1+Assumptions!$E$5)</f>
        <v>0.10723469882656333</v>
      </c>
      <c r="G58" s="44">
        <f>G57/(1+Assumptions!$E$6)</f>
        <v>0.37702624673491775</v>
      </c>
      <c r="H58" s="44">
        <f>IF(B58=Assumptions!$E$10,(Costs!$I$17/Assumptions!$E$12)*(Assumptions!$E$12-Assumptions!$E$14),0)</f>
        <v>0</v>
      </c>
    </row>
    <row r="59" spans="2:10" x14ac:dyDescent="0.25">
      <c r="B59" s="244">
        <v>2055</v>
      </c>
      <c r="E59" s="243">
        <f>IF(AND(B59&gt;=Assumptions!$E$9,B59&lt;=Assumptions!$E$10),1,0)</f>
        <v>0</v>
      </c>
      <c r="F59" s="44">
        <f>F58/(1+Assumptions!$E$5)</f>
        <v>0.10021934469772274</v>
      </c>
      <c r="G59" s="44">
        <f>G58/(1+Assumptions!$E$6)</f>
        <v>0.3660448997426386</v>
      </c>
      <c r="H59" s="44">
        <f>IF(B59=Assumptions!$E$10,(Costs!$I$17/Assumptions!$E$12)*(Assumptions!$E$12-Assumptions!$E$14),0)</f>
        <v>0</v>
      </c>
    </row>
    <row r="60" spans="2:10" x14ac:dyDescent="0.25">
      <c r="B60" s="244">
        <v>2056</v>
      </c>
      <c r="E60" s="243">
        <f>IF(AND(B60&gt;=Assumptions!$E$9,B60&lt;=Assumptions!$E$10),1,0)</f>
        <v>0</v>
      </c>
      <c r="F60" s="44">
        <f>F59/(1+Assumptions!$E$5)</f>
        <v>9.3662938969834339E-2</v>
      </c>
      <c r="G60" s="44">
        <f>G59/(1+Assumptions!$E$6)</f>
        <v>0.35538339780838696</v>
      </c>
      <c r="H60" s="44">
        <f>IF(B60=Assumptions!$E$10,(Costs!$I$17/Assumptions!$E$12)*(Assumptions!$E$12-Assumptions!$E$14),0)</f>
        <v>0</v>
      </c>
    </row>
    <row r="61" spans="2:10" x14ac:dyDescent="0.25">
      <c r="B61" s="244">
        <v>2057</v>
      </c>
      <c r="E61" s="243">
        <f>IF(AND(B61&gt;=Assumptions!$E$9,B61&lt;=Assumptions!$E$10),1,0)</f>
        <v>0</v>
      </c>
      <c r="F61" s="44">
        <f>F60/(1+Assumptions!$E$5)</f>
        <v>8.7535456981153587E-2</v>
      </c>
      <c r="G61" s="44">
        <f>G60/(1+Assumptions!$E$6)</f>
        <v>0.34503242505668635</v>
      </c>
      <c r="H61" s="44">
        <f>IF(B61=Assumptions!$E$10,(Costs!$I$17/Assumptions!$E$12)*(Assumptions!$E$12-Assumptions!$E$14),0)</f>
        <v>0</v>
      </c>
    </row>
    <row r="62" spans="2:10" x14ac:dyDescent="0.25">
      <c r="B62" s="244">
        <v>2058</v>
      </c>
      <c r="E62" s="243">
        <f>IF(AND(B62&gt;=Assumptions!$E$9,B62&lt;=Assumptions!$E$10),1,0)</f>
        <v>0</v>
      </c>
      <c r="F62" s="44">
        <f>F61/(1+Assumptions!$E$5)</f>
        <v>8.180883830014353E-2</v>
      </c>
      <c r="G62" s="44">
        <f>G61/(1+Assumptions!$E$6)</f>
        <v>0.33498293694823916</v>
      </c>
      <c r="H62" s="44">
        <f>IF(B62=Assumptions!$E$10,(Costs!$I$17/Assumptions!$E$12)*(Assumptions!$E$12-Assumptions!$E$14),0)</f>
        <v>0</v>
      </c>
    </row>
    <row r="63" spans="2:10" x14ac:dyDescent="0.25">
      <c r="B63" s="244">
        <v>2059</v>
      </c>
      <c r="E63" s="243">
        <f>IF(AND(B63&gt;=Assumptions!$E$9,B63&lt;=Assumptions!$E$10),1,0)</f>
        <v>0</v>
      </c>
      <c r="F63" s="44">
        <f>F62/(1+Assumptions!$E$5)</f>
        <v>7.6456858224433197E-2</v>
      </c>
      <c r="G63" s="44">
        <f>G62/(1+Assumptions!$E$6)</f>
        <v>0.3252261523769312</v>
      </c>
      <c r="H63" s="44">
        <f>IF(B63=Assumptions!$E$10,(Costs!$I$17/Assumptions!$E$12)*(Assumptions!$E$12-Assumptions!$E$14),0)</f>
        <v>0</v>
      </c>
    </row>
    <row r="64" spans="2:10" x14ac:dyDescent="0.25">
      <c r="B64" s="244">
        <v>2060</v>
      </c>
      <c r="E64" s="243">
        <f>IF(AND(B64&gt;=Assumptions!$E$9,B64&lt;=Assumptions!$E$10),1,0)</f>
        <v>0</v>
      </c>
      <c r="F64" s="44">
        <f>F63/(1+Assumptions!$E$5)</f>
        <v>7.1455007686386157E-2</v>
      </c>
      <c r="G64" s="44">
        <f>G63/(1+Assumptions!$E$6)</f>
        <v>0.31575354599702055</v>
      </c>
      <c r="H64" s="44">
        <f>IF(B64=Assumptions!$E$10,(Costs!$I$17/Assumptions!$E$12)*(Assumptions!$E$12-Assumptions!$E$14),0)</f>
        <v>0</v>
      </c>
    </row>
    <row r="65" spans="2:8" x14ac:dyDescent="0.25">
      <c r="B65" s="244"/>
      <c r="F65" s="44"/>
      <c r="G65" s="44"/>
      <c r="H65" s="44"/>
    </row>
    <row r="66" spans="2:8" x14ac:dyDescent="0.25">
      <c r="B66" s="244"/>
      <c r="F66" s="44"/>
      <c r="G66" s="44"/>
      <c r="H66" s="44"/>
    </row>
    <row r="67" spans="2:8" x14ac:dyDescent="0.25">
      <c r="B67" s="244"/>
      <c r="F67" s="44"/>
      <c r="G67" s="44"/>
      <c r="H67" s="44"/>
    </row>
    <row r="68" spans="2:8" x14ac:dyDescent="0.25">
      <c r="F68" s="44"/>
      <c r="G68" s="44"/>
      <c r="H68" s="44"/>
    </row>
    <row r="69" spans="2:8" x14ac:dyDescent="0.25">
      <c r="F69" s="44"/>
      <c r="G69" s="44"/>
      <c r="H69" s="44"/>
    </row>
  </sheetData>
  <pageMargins left="0.7" right="0.7" top="0.75" bottom="0.75" header="0.3" footer="0.3"/>
  <pageSetup orientation="portrait"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50"/>
  <sheetViews>
    <sheetView showGridLines="0" topLeftCell="A2" zoomScaleNormal="100" workbookViewId="0">
      <selection activeCell="M11" sqref="M11"/>
    </sheetView>
  </sheetViews>
  <sheetFormatPr defaultColWidth="9.28515625" defaultRowHeight="15" x14ac:dyDescent="0.25"/>
  <cols>
    <col min="1" max="1" width="3.7109375" style="96" customWidth="1"/>
    <col min="2" max="2" width="6.28515625" style="96" customWidth="1"/>
    <col min="3" max="3" width="12.28515625" style="120" customWidth="1"/>
    <col min="4" max="4" width="13.28515625" style="109" customWidth="1"/>
    <col min="5" max="5" width="14.28515625" style="109" customWidth="1"/>
    <col min="6" max="6" width="3.5703125" style="390" customWidth="1"/>
    <col min="7" max="7" width="16.28515625" style="96" bestFit="1" customWidth="1"/>
    <col min="8" max="8" width="16.7109375" style="96" customWidth="1"/>
    <col min="9" max="9" width="4.140625" style="96" customWidth="1"/>
    <col min="10" max="13" width="16.7109375" style="96" customWidth="1"/>
    <col min="14" max="15" width="18.7109375" style="96" customWidth="1"/>
    <col min="16" max="16" width="17.42578125" style="96" customWidth="1"/>
    <col min="17" max="17" width="14.28515625" style="96" customWidth="1"/>
    <col min="18" max="18" width="16.7109375" style="96" customWidth="1"/>
    <col min="19" max="16384" width="9.28515625" style="96"/>
  </cols>
  <sheetData>
    <row r="1" spans="1:23" s="196" customFormat="1" x14ac:dyDescent="0.25">
      <c r="A1" s="190" t="s">
        <v>234</v>
      </c>
      <c r="C1" s="190"/>
      <c r="D1" s="190"/>
      <c r="E1" s="191"/>
      <c r="F1" s="191"/>
      <c r="G1" s="191"/>
      <c r="I1" s="190"/>
    </row>
    <row r="2" spans="1:23" s="89" customFormat="1" x14ac:dyDescent="0.25">
      <c r="A2" s="152"/>
      <c r="B2" s="152"/>
      <c r="C2" s="152"/>
      <c r="D2" s="152"/>
      <c r="F2" s="385"/>
      <c r="N2" s="81"/>
      <c r="O2" s="181"/>
      <c r="P2" s="181"/>
      <c r="Q2" s="181"/>
      <c r="R2" s="81"/>
      <c r="S2" s="81"/>
      <c r="T2" s="81"/>
      <c r="U2" s="81"/>
      <c r="V2" s="81"/>
      <c r="W2" s="81"/>
    </row>
    <row r="4" spans="1:23" ht="14.25" customHeight="1" x14ac:dyDescent="0.25">
      <c r="A4" s="83"/>
      <c r="B4" s="83"/>
      <c r="C4" s="82"/>
      <c r="D4" s="83"/>
      <c r="E4" s="83"/>
      <c r="F4" s="387"/>
      <c r="G4" s="110" t="s">
        <v>59</v>
      </c>
      <c r="H4" s="111"/>
      <c r="I4" s="83"/>
      <c r="J4" s="110" t="s">
        <v>149</v>
      </c>
      <c r="K4" s="112"/>
      <c r="L4" s="112"/>
      <c r="M4" s="112"/>
      <c r="N4" s="112"/>
      <c r="O4" s="112"/>
      <c r="P4" s="113"/>
      <c r="Q4" s="113"/>
      <c r="R4" s="111"/>
    </row>
    <row r="5" spans="1:23" s="98" customFormat="1" ht="48" customHeight="1" x14ac:dyDescent="0.25">
      <c r="B5" s="211" t="s">
        <v>44</v>
      </c>
      <c r="C5" s="211" t="s">
        <v>60</v>
      </c>
      <c r="D5" s="211" t="s">
        <v>147</v>
      </c>
      <c r="E5" s="211" t="s">
        <v>148</v>
      </c>
      <c r="F5" s="388"/>
      <c r="G5" s="211" t="s">
        <v>13</v>
      </c>
      <c r="H5" s="211" t="s">
        <v>61</v>
      </c>
      <c r="I5" s="97"/>
      <c r="J5" s="211" t="s">
        <v>150</v>
      </c>
      <c r="K5" s="211" t="s">
        <v>54</v>
      </c>
      <c r="L5" s="211" t="s">
        <v>185</v>
      </c>
      <c r="M5" s="211" t="s">
        <v>151</v>
      </c>
      <c r="N5" s="211" t="s">
        <v>152</v>
      </c>
      <c r="O5" s="211" t="s">
        <v>118</v>
      </c>
      <c r="P5" s="211" t="s">
        <v>103</v>
      </c>
      <c r="Q5" s="211" t="s">
        <v>113</v>
      </c>
      <c r="R5" s="211" t="s">
        <v>153</v>
      </c>
      <c r="T5" s="114"/>
      <c r="U5" s="109"/>
    </row>
    <row r="6" spans="1:23" s="417" customFormat="1" ht="8.65" customHeight="1" x14ac:dyDescent="0.25">
      <c r="B6" s="416"/>
      <c r="C6" s="416"/>
      <c r="D6" s="416"/>
      <c r="E6" s="416"/>
      <c r="F6" s="416"/>
      <c r="G6" s="416"/>
      <c r="H6" s="416"/>
      <c r="I6" s="415"/>
      <c r="J6" s="416"/>
      <c r="K6" s="416"/>
      <c r="L6" s="416"/>
      <c r="M6" s="416"/>
      <c r="N6" s="416"/>
      <c r="O6" s="416"/>
      <c r="P6" s="416"/>
      <c r="Q6" s="416"/>
      <c r="R6" s="416"/>
      <c r="T6" s="418"/>
      <c r="U6" s="390"/>
    </row>
    <row r="7" spans="1:23" s="417" customFormat="1" ht="8.65" customHeight="1" x14ac:dyDescent="0.25">
      <c r="B7" s="416"/>
      <c r="C7" s="416"/>
      <c r="D7" s="416"/>
      <c r="E7" s="416"/>
      <c r="F7" s="416"/>
      <c r="G7" s="416"/>
      <c r="H7" s="416"/>
      <c r="I7" s="415"/>
      <c r="J7" s="416"/>
      <c r="K7" s="416"/>
      <c r="L7" s="416"/>
      <c r="M7" s="416"/>
      <c r="N7" s="416"/>
      <c r="O7" s="416"/>
      <c r="P7" s="416"/>
      <c r="Q7" s="416"/>
      <c r="R7" s="416"/>
      <c r="T7" s="418"/>
      <c r="U7" s="390"/>
    </row>
    <row r="8" spans="1:23" x14ac:dyDescent="0.25">
      <c r="A8" s="107"/>
      <c r="B8" s="96">
        <f>Assumptions!E7</f>
        <v>2024</v>
      </c>
      <c r="C8" s="64">
        <f>Factors!E28</f>
        <v>0</v>
      </c>
      <c r="D8" s="328">
        <f>Factors!F28</f>
        <v>0.81629787689085187</v>
      </c>
      <c r="E8" s="328">
        <f>Factors!G28</f>
        <v>0.9151416593531595</v>
      </c>
      <c r="F8" s="389"/>
      <c r="G8" s="153">
        <f>IFERROR(INDEX(Costs!D:D,MATCH($B8,Costs!$A:$A,0))*Factors!$D$26*D8,0)</f>
        <v>15111068.390105657</v>
      </c>
      <c r="H8" s="153">
        <f>IFERROR(INDEX(Costs!F:F,MATCH($B8,Costs!A:A,0))*Factors!$D$26*D8,0)</f>
        <v>-11445.735903941029</v>
      </c>
      <c r="I8" s="153"/>
      <c r="J8" s="153">
        <f>SUMIFS('Time Savings'!$E$29:$AA$29,'Time Savings'!$E$6:$AA$6,$B8)*Assumptions!$E$22*D8</f>
        <v>0</v>
      </c>
      <c r="K8" s="153">
        <f>Safety!$M$17*(1+Assumptions!$E$17)^(B8-Assumptions!$E$92)*C8*D8</f>
        <v>0</v>
      </c>
      <c r="L8" s="153">
        <f>'Reduced VMT'!H8*D8*C8</f>
        <v>0</v>
      </c>
      <c r="M8" s="153">
        <f>SUM('Reduced VMT'!AQ8:AT8)*C8*'BCA - 5 lane'!E8</f>
        <v>0</v>
      </c>
      <c r="N8" s="153">
        <f>SUM(PedBike!J8:K8)*'BCA - 5 lane'!C8*'BCA - 5 lane'!D8</f>
        <v>0</v>
      </c>
      <c r="O8" s="153">
        <f>SUM(PedBike!G8:H8)*'BCA - 5 lane'!C8*'BCA - 5 lane'!D8</f>
        <v>0</v>
      </c>
      <c r="P8" s="153">
        <f>'Reduced VMT'!N6*'BCA - 5 lane'!C8*'BCA - 5 lane'!D8</f>
        <v>0</v>
      </c>
      <c r="Q8" s="153">
        <f>SUM('Reduced VMT'!J6:L6)*'BCA - 5 lane'!C8*'BCA - 5 lane'!D8</f>
        <v>0</v>
      </c>
      <c r="R8" s="153">
        <f>Factors!H28*'BCA - 5 lane'!C8*'BCA - 5 lane'!D8</f>
        <v>0</v>
      </c>
    </row>
    <row r="9" spans="1:23" x14ac:dyDescent="0.25">
      <c r="A9" s="107"/>
      <c r="B9" s="96">
        <f t="shared" ref="B9:B30" si="0">B8+1</f>
        <v>2025</v>
      </c>
      <c r="C9" s="64">
        <f>Factors!E29</f>
        <v>0</v>
      </c>
      <c r="D9" s="328">
        <f>Factors!F29</f>
        <v>0.76289521204752508</v>
      </c>
      <c r="E9" s="328">
        <f>Factors!G29</f>
        <v>0.88848704791568878</v>
      </c>
      <c r="F9" s="389"/>
      <c r="G9" s="153">
        <f>IFERROR(INDEX(Costs!D:D,MATCH($B9,Costs!$A:$A,0))*Factors!$D$26*D9,0)</f>
        <v>14122493.822528651</v>
      </c>
      <c r="H9" s="153">
        <f>IFERROR(INDEX(Costs!F:F,MATCH($B9,Costs!A:A,0))*Factors!$D$26*D9,0)</f>
        <v>0</v>
      </c>
      <c r="I9" s="153"/>
      <c r="J9" s="153">
        <f>SUMIFS('Time Savings'!$E$29:$AA$29,'Time Savings'!$E$6:$AA$6,$B9)*Assumptions!$E$22*D9</f>
        <v>-4220798.2068531448</v>
      </c>
      <c r="K9" s="153">
        <f>Safety!$M$17*(1+Assumptions!$E$17)^(B9-Assumptions!$E$92)*C9*D9</f>
        <v>0</v>
      </c>
      <c r="L9" s="153">
        <f>'Reduced VMT'!H9*D9*C9</f>
        <v>0</v>
      </c>
      <c r="M9" s="153">
        <f>SUM('Reduced VMT'!AQ9:AT9)*C9*'BCA - 5 lane'!E9</f>
        <v>0</v>
      </c>
      <c r="N9" s="153">
        <f>SUM(PedBike!J9:K9)*'BCA - 5 lane'!C9*'BCA - 5 lane'!D9</f>
        <v>0</v>
      </c>
      <c r="O9" s="153">
        <f>SUM(PedBike!G9:H9)*'BCA - 5 lane'!C9*'BCA - 5 lane'!D9</f>
        <v>0</v>
      </c>
      <c r="P9" s="153">
        <f>'Reduced VMT'!N7*'BCA - 5 lane'!C9*'BCA - 5 lane'!D9</f>
        <v>0</v>
      </c>
      <c r="Q9" s="153">
        <f>SUM('Reduced VMT'!J7:L7)*'BCA - 5 lane'!C9*'BCA - 5 lane'!D9</f>
        <v>0</v>
      </c>
      <c r="R9" s="153">
        <f>Factors!H29*'BCA - 5 lane'!C9*'BCA - 5 lane'!D9</f>
        <v>0</v>
      </c>
    </row>
    <row r="10" spans="1:23" x14ac:dyDescent="0.25">
      <c r="A10" s="107"/>
      <c r="B10" s="96">
        <f t="shared" si="0"/>
        <v>2026</v>
      </c>
      <c r="C10" s="64">
        <f>Factors!E30</f>
        <v>0</v>
      </c>
      <c r="D10" s="328">
        <f>Factors!F30</f>
        <v>0.71298617948366827</v>
      </c>
      <c r="E10" s="328">
        <f>Factors!G30</f>
        <v>0.86260878438416388</v>
      </c>
      <c r="F10" s="389"/>
      <c r="G10" s="153">
        <f>IFERROR(INDEX(Costs!D:D,MATCH($B10,Costs!$A:$A,0))*Factors!$D$26*D10,0)</f>
        <v>0</v>
      </c>
      <c r="H10" s="153">
        <f>IFERROR(INDEX(Costs!F:F,MATCH($B10,Costs!A:A,0))*Factors!$D$26*D10,0)</f>
        <v>-66647.660080595277</v>
      </c>
      <c r="I10" s="153"/>
      <c r="J10" s="153">
        <f>SUMIFS('Time Savings'!$E$29:$AA$29,'Time Savings'!$E$6:$AA$6,$B10)*Assumptions!$E$22*D10</f>
        <v>-3905319.8405150971</v>
      </c>
      <c r="K10" s="153">
        <f>Safety!$M$17*(1+Assumptions!$E$17)^(B10-Assumptions!$E$92)*C10*D10</f>
        <v>0</v>
      </c>
      <c r="L10" s="153">
        <f>'Reduced VMT'!H10*D10*C10</f>
        <v>0</v>
      </c>
      <c r="M10" s="153">
        <f>SUM('Reduced VMT'!AQ10:AT10)*C10*'BCA - 5 lane'!E10</f>
        <v>0</v>
      </c>
      <c r="N10" s="153">
        <f>SUM(PedBike!J10:K10)*'BCA - 5 lane'!C10*'BCA - 5 lane'!D10</f>
        <v>0</v>
      </c>
      <c r="O10" s="153">
        <f>SUM(PedBike!G10:H10)*'BCA - 5 lane'!C10*'BCA - 5 lane'!D10</f>
        <v>0</v>
      </c>
      <c r="P10" s="153">
        <f>'Reduced VMT'!N8*'BCA - 5 lane'!C10*'BCA - 5 lane'!D10</f>
        <v>0</v>
      </c>
      <c r="Q10" s="153">
        <f>SUM('Reduced VMT'!J8:L8)*'BCA - 5 lane'!C10*'BCA - 5 lane'!D10</f>
        <v>0</v>
      </c>
      <c r="R10" s="153">
        <f>Factors!H30*'BCA - 5 lane'!C10*'BCA - 5 lane'!D10</f>
        <v>0</v>
      </c>
    </row>
    <row r="11" spans="1:23" x14ac:dyDescent="0.25">
      <c r="A11" s="107"/>
      <c r="B11" s="96">
        <f t="shared" si="0"/>
        <v>2027</v>
      </c>
      <c r="C11" s="64">
        <f>Factors!E31</f>
        <v>1</v>
      </c>
      <c r="D11" s="328">
        <f>Factors!F31</f>
        <v>0.66634222381651231</v>
      </c>
      <c r="E11" s="328">
        <f>Factors!G31</f>
        <v>0.83748425668365423</v>
      </c>
      <c r="F11" s="389"/>
      <c r="G11" s="153">
        <f>IFERROR(INDEX(Costs!D:D,MATCH($B11,Costs!$A:$A,0))*Factors!$D$26*D11,0)</f>
        <v>0</v>
      </c>
      <c r="H11" s="153">
        <f>IFERROR(INDEX(Costs!F:F,MATCH($B11,Costs!A:A,0))*Factors!$D$26*D11,0)</f>
        <v>0</v>
      </c>
      <c r="I11" s="153"/>
      <c r="J11" s="153">
        <f>SUMIFS('Time Savings'!$E$29:$AA$29,'Time Savings'!$E$6:$AA$6,$B11)*Assumptions!$E$22*D11</f>
        <v>1568742.9375424746</v>
      </c>
      <c r="K11" s="153">
        <f>Safety!$M$17*(1+Assumptions!$E$17)^(B11-Assumptions!$E$92)*C11*D11</f>
        <v>2506514.675476836</v>
      </c>
      <c r="L11" s="153">
        <f>'Reduced VMT'!H11*D11*C11</f>
        <v>25685.881381666157</v>
      </c>
      <c r="M11" s="153">
        <f>SUM('Reduced VMT'!AQ11:AT11)*C11*'BCA - 5 lane'!E11</f>
        <v>4633.7587842847142</v>
      </c>
      <c r="N11" s="153">
        <f>SUM(PedBike!J11:K11)*'BCA - 5 lane'!C11*'BCA - 5 lane'!D11</f>
        <v>206801.23202236101</v>
      </c>
      <c r="O11" s="153">
        <f>SUM(PedBike!G11:H11)*'BCA - 5 lane'!C11*'BCA - 5 lane'!D11</f>
        <v>617463.88096980716</v>
      </c>
      <c r="P11" s="153">
        <f>'Reduced VMT'!N9*'BCA - 5 lane'!C11*'BCA - 5 lane'!D11</f>
        <v>13417.645273173648</v>
      </c>
      <c r="Q11" s="153">
        <f>SUM('Reduced VMT'!J9:L9)*'BCA - 5 lane'!C11*'BCA - 5 lane'!D11</f>
        <v>5807.1568742295558</v>
      </c>
      <c r="R11" s="153">
        <f>Factors!H31*'BCA - 5 lane'!C11*'BCA - 5 lane'!D11</f>
        <v>0</v>
      </c>
    </row>
    <row r="12" spans="1:23" x14ac:dyDescent="0.25">
      <c r="A12" s="107"/>
      <c r="B12" s="96">
        <f t="shared" si="0"/>
        <v>2028</v>
      </c>
      <c r="C12" s="64">
        <f>Factors!E32</f>
        <v>1</v>
      </c>
      <c r="D12" s="328">
        <f>Factors!F32</f>
        <v>0.62274974188459087</v>
      </c>
      <c r="E12" s="328">
        <f>Factors!G32</f>
        <v>0.81309151134335356</v>
      </c>
      <c r="F12" s="389"/>
      <c r="G12" s="153">
        <f>IFERROR(INDEX(Costs!D:D,MATCH($B12,Costs!$A:$A,0))*Factors!$D$26*D12,0)</f>
        <v>0</v>
      </c>
      <c r="H12" s="153">
        <f>IFERROR(INDEX(Costs!F:F,MATCH($B12,Costs!A:A,0))*Factors!$D$26*D12,0)</f>
        <v>-1164252.9492636083</v>
      </c>
      <c r="I12" s="153"/>
      <c r="J12" s="153">
        <f>SUMIFS('Time Savings'!$E$29:$AA$29,'Time Savings'!$E$6:$AA$6,$B12)*Assumptions!$E$22*D12</f>
        <v>1618709.310744134</v>
      </c>
      <c r="K12" s="153">
        <f>Safety!$M$17*(1+Assumptions!$E$17)^(B12-Assumptions!$E$92)*C12*D12</f>
        <v>2389387.8214825913</v>
      </c>
      <c r="L12" s="153">
        <f>'Reduced VMT'!H12*D12*C12</f>
        <v>24485.606550747169</v>
      </c>
      <c r="M12" s="153">
        <f>SUM('Reduced VMT'!AQ12:AT12)*C12*'BCA - 5 lane'!E12</f>
        <v>4594.902758229402</v>
      </c>
      <c r="N12" s="153">
        <f>SUM(PedBike!J12:K12)*'BCA - 5 lane'!C12*'BCA - 5 lane'!D12</f>
        <v>197137.62304935348</v>
      </c>
      <c r="O12" s="153">
        <f>SUM(PedBike!G12:H12)*'BCA - 5 lane'!C12*'BCA - 5 lane'!D12</f>
        <v>588610.42858804041</v>
      </c>
      <c r="P12" s="153">
        <f>'Reduced VMT'!N10*'BCA - 5 lane'!C12*'BCA - 5 lane'!D12</f>
        <v>12790.652503399182</v>
      </c>
      <c r="Q12" s="153">
        <f>SUM('Reduced VMT'!J10:L10)*'BCA - 5 lane'!C12*'BCA - 5 lane'!D12</f>
        <v>5535.7944034711654</v>
      </c>
      <c r="R12" s="153">
        <f>Factors!H32*'BCA - 5 lane'!C12*'BCA - 5 lane'!D12</f>
        <v>0</v>
      </c>
    </row>
    <row r="13" spans="1:23" x14ac:dyDescent="0.25">
      <c r="A13" s="107"/>
      <c r="B13" s="96">
        <f t="shared" si="0"/>
        <v>2029</v>
      </c>
      <c r="C13" s="64">
        <f>Factors!E33</f>
        <v>1</v>
      </c>
      <c r="D13" s="328">
        <f>Factors!F33</f>
        <v>0.58200910456503818</v>
      </c>
      <c r="E13" s="328">
        <f>Factors!G33</f>
        <v>0.7894092343139355</v>
      </c>
      <c r="F13" s="389"/>
      <c r="G13" s="153">
        <f>IFERROR(INDEX(Costs!D:D,MATCH($B13,Costs!$A:$A,0))*Factors!$D$26*D13,0)</f>
        <v>0</v>
      </c>
      <c r="H13" s="153">
        <f>IFERROR(INDEX(Costs!F:F,MATCH($B13,Costs!A:A,0))*Factors!$D$26*D13,0)</f>
        <v>0</v>
      </c>
      <c r="I13" s="153"/>
      <c r="J13" s="153">
        <f>SUMIFS('Time Savings'!$E$29:$AA$29,'Time Savings'!$E$6:$AA$6,$B13)*Assumptions!$E$22*D13</f>
        <v>1670267.1737885077</v>
      </c>
      <c r="K13" s="153">
        <f>Safety!$M$17*(1+Assumptions!$E$17)^(B13-Assumptions!$E$92)*C13*D13</f>
        <v>2277734.1849647122</v>
      </c>
      <c r="L13" s="153">
        <f>'Reduced VMT'!H13*D13*C13</f>
        <v>23341.419328749638</v>
      </c>
      <c r="M13" s="153">
        <f>SUM('Reduced VMT'!AQ13:AT13)*C13*'BCA - 5 lane'!E13</f>
        <v>8041.2394394071798</v>
      </c>
      <c r="N13" s="153">
        <f>SUM(PedBike!J13:K13)*'BCA - 5 lane'!C13*'BCA - 5 lane'!D13</f>
        <v>187925.58458910324</v>
      </c>
      <c r="O13" s="153">
        <f>SUM(PedBike!G13:H13)*'BCA - 5 lane'!C13*'BCA - 5 lane'!D13</f>
        <v>561105.26837364596</v>
      </c>
      <c r="P13" s="153">
        <f>'Reduced VMT'!N11*'BCA - 5 lane'!C13*'BCA - 5 lane'!D13</f>
        <v>12192.958461184264</v>
      </c>
      <c r="Q13" s="153">
        <f>SUM('Reduced VMT'!J11:L11)*'BCA - 5 lane'!C13*'BCA - 5 lane'!D13</f>
        <v>5277.1124220005486</v>
      </c>
      <c r="R13" s="153">
        <f>Factors!H33*'BCA - 5 lane'!C13*'BCA - 5 lane'!D13</f>
        <v>0</v>
      </c>
    </row>
    <row r="14" spans="1:23" x14ac:dyDescent="0.25">
      <c r="A14" s="107"/>
      <c r="B14" s="96">
        <f t="shared" si="0"/>
        <v>2030</v>
      </c>
      <c r="C14" s="64">
        <f>Factors!E34</f>
        <v>1</v>
      </c>
      <c r="D14" s="328">
        <f>Factors!F34</f>
        <v>0.54393374258414784</v>
      </c>
      <c r="E14" s="328">
        <f>Factors!G34</f>
        <v>0.76641673234362673</v>
      </c>
      <c r="F14" s="389"/>
      <c r="G14" s="153">
        <f>IFERROR(INDEX(Costs!D:D,MATCH($B14,Costs!$A:$A,0))*Factors!$D$26*D14,0)</f>
        <v>0</v>
      </c>
      <c r="H14" s="153">
        <f>IFERROR(INDEX(Costs!F:F,MATCH($B14,Costs!A:A,0))*Factors!$D$26*D14,0)</f>
        <v>0</v>
      </c>
      <c r="I14" s="153"/>
      <c r="J14" s="153">
        <f>SUMIFS('Time Savings'!$E$29:$AA$29,'Time Savings'!$E$6:$AA$6,$B14)*Assumptions!$E$22*D14</f>
        <v>1723467.217565432</v>
      </c>
      <c r="K14" s="153">
        <f>Safety!$M$17*(1+Assumptions!$E$17)^(B14-Assumptions!$E$92)*C14*D14</f>
        <v>2171298.0080972025</v>
      </c>
      <c r="L14" s="153">
        <f>'Reduced VMT'!H14*D14*C14</f>
        <v>22250.698799368816</v>
      </c>
      <c r="M14" s="153">
        <f>SUM('Reduced VMT'!AQ14:AT14)*C14*'BCA - 5 lane'!E14</f>
        <v>8114.3103671611116</v>
      </c>
      <c r="N14" s="153">
        <f>SUM(PedBike!J14:K14)*'BCA - 5 lane'!C14*'BCA - 5 lane'!D14</f>
        <v>179144.01521578073</v>
      </c>
      <c r="O14" s="153">
        <f>SUM(PedBike!G14:H14)*'BCA - 5 lane'!C14*'BCA - 5 lane'!D14</f>
        <v>534885.39601973735</v>
      </c>
      <c r="P14" s="153">
        <f>'Reduced VMT'!N12*'BCA - 5 lane'!C14*'BCA - 5 lane'!D14</f>
        <v>11623.194047110233</v>
      </c>
      <c r="Q14" s="153">
        <f>SUM('Reduced VMT'!J12:L12)*'BCA - 5 lane'!C14*'BCA - 5 lane'!D14</f>
        <v>5030.5183835893085</v>
      </c>
      <c r="R14" s="153">
        <f>Factors!H34*'BCA - 5 lane'!C14*'BCA - 5 lane'!D14</f>
        <v>0</v>
      </c>
    </row>
    <row r="15" spans="1:23" x14ac:dyDescent="0.25">
      <c r="A15" s="107"/>
      <c r="B15" s="96">
        <f t="shared" si="0"/>
        <v>2031</v>
      </c>
      <c r="C15" s="64">
        <f>Factors!E35</f>
        <v>1</v>
      </c>
      <c r="D15" s="328">
        <f>Factors!F35</f>
        <v>0.50834929213471758</v>
      </c>
      <c r="E15" s="328">
        <f>Factors!G35</f>
        <v>0.74409391489672494</v>
      </c>
      <c r="F15" s="389"/>
      <c r="G15" s="153">
        <f>IFERROR(INDEX(Costs!D:D,MATCH($B15,Costs!$A:$A,0))*Factors!$D$26*D15,0)</f>
        <v>0</v>
      </c>
      <c r="H15" s="153">
        <f>IFERROR(INDEX(Costs!F:F,MATCH($B15,Costs!A:A,0))*Factors!$D$26*D15,0)</f>
        <v>0</v>
      </c>
      <c r="I15" s="153"/>
      <c r="J15" s="153">
        <f>SUMIFS('Time Savings'!$E$29:$AA$29,'Time Savings'!$E$6:$AA$6,$B15)*Assumptions!$E$22*D15</f>
        <v>1778361.7475313179</v>
      </c>
      <c r="K15" s="153">
        <f>Safety!$M$17*(1+Assumptions!$E$17)^(B15-Assumptions!$E$92)*C15*D15</f>
        <v>2069835.4843543426</v>
      </c>
      <c r="L15" s="153">
        <f>'Reduced VMT'!H15*D15*C15</f>
        <v>21210.946519024477</v>
      </c>
      <c r="M15" s="153">
        <f>SUM('Reduced VMT'!AQ15:AT15)*C15*'BCA - 5 lane'!E15</f>
        <v>11616.852235225264</v>
      </c>
      <c r="N15" s="153">
        <f>SUM(PedBike!J15:K15)*'BCA - 5 lane'!C15*'BCA - 5 lane'!D15</f>
        <v>170772.79955149189</v>
      </c>
      <c r="O15" s="153">
        <f>SUM(PedBike!G15:H15)*'BCA - 5 lane'!C15*'BCA - 5 lane'!D15</f>
        <v>509890.75134591782</v>
      </c>
      <c r="P15" s="153">
        <f>'Reduced VMT'!N13*'BCA - 5 lane'!C15*'BCA - 5 lane'!D15</f>
        <v>11080.054138366762</v>
      </c>
      <c r="Q15" s="153">
        <f>SUM('Reduced VMT'!J13:L13)*'BCA - 5 lane'!C15*'BCA - 5 lane'!D15</f>
        <v>4795.4474310851347</v>
      </c>
      <c r="R15" s="153">
        <f>Factors!H35*'BCA - 5 lane'!C15*'BCA - 5 lane'!D15</f>
        <v>0</v>
      </c>
    </row>
    <row r="16" spans="1:23" x14ac:dyDescent="0.25">
      <c r="A16" s="107"/>
      <c r="B16" s="96">
        <f t="shared" si="0"/>
        <v>2032</v>
      </c>
      <c r="C16" s="64">
        <f>Factors!E36</f>
        <v>1</v>
      </c>
      <c r="D16" s="328">
        <f>Factors!F36</f>
        <v>0.4750927963875865</v>
      </c>
      <c r="E16" s="328">
        <f>Factors!G36</f>
        <v>0.7224212765987621</v>
      </c>
      <c r="F16" s="389"/>
      <c r="G16" s="153">
        <f>IFERROR(INDEX(Costs!D:D,MATCH($B16,Costs!$A:$A,0))*Factors!$D$26*D16,0)</f>
        <v>0</v>
      </c>
      <c r="H16" s="153">
        <f>IFERROR(INDEX(Costs!F:F,MATCH($B16,Costs!A:A,0))*Factors!$D$26*D16,0)</f>
        <v>-22205.075015135426</v>
      </c>
      <c r="I16" s="153"/>
      <c r="J16" s="153">
        <f>SUMIFS('Time Savings'!$E$29:$AA$29,'Time Savings'!$E$6:$AA$6,$B16)*Assumptions!$E$22*D16</f>
        <v>1835004.7351350756</v>
      </c>
      <c r="K16" s="153">
        <f>Safety!$M$17*(1+Assumptions!$E$17)^(B16-Assumptions!$E$92)*C16*D16</f>
        <v>1973114.2000387192</v>
      </c>
      <c r="L16" s="153">
        <f>'Reduced VMT'!H16*D16*C16</f>
        <v>20219.78079383642</v>
      </c>
      <c r="M16" s="153">
        <f>SUM('Reduced VMT'!AQ16:AT16)*C16*'BCA - 5 lane'!E16</f>
        <v>11560.194513990109</v>
      </c>
      <c r="N16" s="153">
        <f>SUM(PedBike!J16:K16)*'BCA - 5 lane'!C16*'BCA - 5 lane'!D16</f>
        <v>162792.76218927265</v>
      </c>
      <c r="O16" s="153">
        <f>SUM(PedBike!G16:H16)*'BCA - 5 lane'!C16*'BCA - 5 lane'!D16</f>
        <v>486064.08072227682</v>
      </c>
      <c r="P16" s="153">
        <f>'Reduced VMT'!N14*'BCA - 5 lane'!C16*'BCA - 5 lane'!D16</f>
        <v>10562.294599190747</v>
      </c>
      <c r="Q16" s="153">
        <f>SUM('Reduced VMT'!J14:L14)*'BCA - 5 lane'!C16*'BCA - 5 lane'!D16</f>
        <v>4571.361102529755</v>
      </c>
      <c r="R16" s="153">
        <f>Factors!H36*'BCA - 5 lane'!C16*'BCA - 5 lane'!D16</f>
        <v>0</v>
      </c>
    </row>
    <row r="17" spans="1:18" x14ac:dyDescent="0.25">
      <c r="A17" s="107"/>
      <c r="B17" s="96">
        <f t="shared" si="0"/>
        <v>2033</v>
      </c>
      <c r="C17" s="64">
        <f>Factors!E37</f>
        <v>1</v>
      </c>
      <c r="D17" s="328">
        <f>Factors!F37</f>
        <v>0.444011959240735</v>
      </c>
      <c r="E17" s="328">
        <f>Factors!G37</f>
        <v>0.70137988019297293</v>
      </c>
      <c r="F17" s="389"/>
      <c r="G17" s="153">
        <f>IFERROR(INDEX(Costs!D:D,MATCH($B17,Costs!$A:$A,0))*Factors!$D$26*D17,0)</f>
        <v>0</v>
      </c>
      <c r="H17" s="153">
        <f>IFERROR(INDEX(Costs!F:F,MATCH($B17,Costs!A:A,0))*Factors!$D$26*D17,0)</f>
        <v>0</v>
      </c>
      <c r="I17" s="153"/>
      <c r="J17" s="153">
        <f>SUMIFS('Time Savings'!$E$29:$AA$29,'Time Savings'!$E$6:$AA$6,$B17)*Assumptions!$E$22*D17</f>
        <v>1893451.8708819966</v>
      </c>
      <c r="K17" s="153">
        <f>Safety!$M$17*(1+Assumptions!$E$17)^(B17-Assumptions!$E$92)*C17*D17</f>
        <v>1880912.6019060682</v>
      </c>
      <c r="L17" s="153">
        <f>'Reduced VMT'!H17*D17*C17</f>
        <v>19274.931224030974</v>
      </c>
      <c r="M17" s="153">
        <f>SUM('Reduced VMT'!AQ17:AT17)*C17*'BCA - 5 lane'!E17</f>
        <v>15093.20211359383</v>
      </c>
      <c r="N17" s="153">
        <f>SUM(PedBike!J17:K17)*'BCA - 5 lane'!C17*'BCA - 5 lane'!D17</f>
        <v>155185.62376921315</v>
      </c>
      <c r="O17" s="153">
        <f>SUM(PedBike!G17:H17)*'BCA - 5 lane'!C17*'BCA - 5 lane'!D17</f>
        <v>463350.80592217023</v>
      </c>
      <c r="P17" s="153">
        <f>'Reduced VMT'!N15*'BCA - 5 lane'!C17*'BCA - 5 lane'!D17</f>
        <v>10068.72943100426</v>
      </c>
      <c r="Q17" s="153">
        <f>SUM('Reduced VMT'!J15:L15)*'BCA - 5 lane'!C17*'BCA - 5 lane'!D17</f>
        <v>4357.7460977386445</v>
      </c>
      <c r="R17" s="153">
        <f>Factors!H37*'BCA - 5 lane'!C17*'BCA - 5 lane'!D17</f>
        <v>0</v>
      </c>
    </row>
    <row r="18" spans="1:18" x14ac:dyDescent="0.25">
      <c r="A18" s="107"/>
      <c r="B18" s="96">
        <f t="shared" si="0"/>
        <v>2034</v>
      </c>
      <c r="C18" s="64">
        <f>Factors!E38</f>
        <v>1</v>
      </c>
      <c r="D18" s="328">
        <f>Factors!F38</f>
        <v>0.41496444788853737</v>
      </c>
      <c r="E18" s="328">
        <f>Factors!G38</f>
        <v>0.68095133999317758</v>
      </c>
      <c r="F18" s="389"/>
      <c r="G18" s="153">
        <f>IFERROR(INDEX(Costs!D:D,MATCH($B18,Costs!$A:$A,0))*Factors!$D$26*D18,0)</f>
        <v>0</v>
      </c>
      <c r="H18" s="153">
        <f>IFERROR(INDEX(Costs!F:F,MATCH($B18,Costs!A:A,0))*Factors!$D$26*D18,0)</f>
        <v>21334.249730674259</v>
      </c>
      <c r="I18" s="153"/>
      <c r="J18" s="153">
        <f>SUMIFS('Time Savings'!$E$29:$AA$29,'Time Savings'!$E$6:$AA$6,$B18)*Assumptions!$E$22*D18</f>
        <v>1953760.6190877936</v>
      </c>
      <c r="K18" s="153">
        <f>Safety!$M$17*(1+Assumptions!$E$17)^(B18-Assumptions!$E$92)*C18*D18</f>
        <v>1793019.4896674671</v>
      </c>
      <c r="L18" s="153">
        <f>'Reduced VMT'!H18*D18*C18</f>
        <v>18374.233503281866</v>
      </c>
      <c r="M18" s="153">
        <f>SUM('Reduced VMT'!AQ18:AT18)*C18*'BCA - 5 lane'!E18</f>
        <v>15051.62087281363</v>
      </c>
      <c r="N18" s="153">
        <f>SUM(PedBike!J18:K18)*'BCA - 5 lane'!C18*'BCA - 5 lane'!D18</f>
        <v>147933.95910710038</v>
      </c>
      <c r="O18" s="153">
        <f>SUM(PedBike!G18:H18)*'BCA - 5 lane'!C18*'BCA - 5 lane'!D18</f>
        <v>441698.89910337719</v>
      </c>
      <c r="P18" s="153">
        <f>'Reduced VMT'!N16*'BCA - 5 lane'!C18*'BCA - 5 lane'!D18</f>
        <v>9598.22805572369</v>
      </c>
      <c r="Q18" s="153">
        <f>SUM('Reduced VMT'!J16:L16)*'BCA - 5 lane'!C18*'BCA - 5 lane'!D18</f>
        <v>4154.1131025172135</v>
      </c>
      <c r="R18" s="153">
        <f>Factors!H38*'BCA - 5 lane'!C18*'BCA - 5 lane'!D18</f>
        <v>0</v>
      </c>
    </row>
    <row r="19" spans="1:18" x14ac:dyDescent="0.25">
      <c r="A19" s="107"/>
      <c r="B19" s="96">
        <f t="shared" si="0"/>
        <v>2035</v>
      </c>
      <c r="C19" s="64">
        <f>Factors!E39</f>
        <v>1</v>
      </c>
      <c r="D19" s="328">
        <f>Factors!F39</f>
        <v>0.38781724101732462</v>
      </c>
      <c r="E19" s="328">
        <f>Factors!G39</f>
        <v>0.66111780581861901</v>
      </c>
      <c r="F19" s="389"/>
      <c r="G19" s="153">
        <f>IFERROR(INDEX(Costs!D:D,MATCH($B19,Costs!$A:$A,0))*Factors!$D$26*D19,0)</f>
        <v>0</v>
      </c>
      <c r="H19" s="153">
        <f>IFERROR(INDEX(Costs!F:F,MATCH($B19,Costs!A:A,0))*Factors!$D$26*D19,0)</f>
        <v>0</v>
      </c>
      <c r="I19" s="153"/>
      <c r="J19" s="153">
        <f>SUMIFS('Time Savings'!$E$29:$AA$29,'Time Savings'!$E$6:$AA$6,$B19)*Assumptions!$E$22*D19</f>
        <v>2015990.274376618</v>
      </c>
      <c r="K19" s="153">
        <f>Safety!$M$17*(1+Assumptions!$E$17)^(B19-Assumptions!$E$92)*C19*D19</f>
        <v>1709233.53220637</v>
      </c>
      <c r="L19" s="153">
        <f>'Reduced VMT'!H19*D19*C19</f>
        <v>17515.624461072428</v>
      </c>
      <c r="M19" s="153">
        <f>SUM('Reduced VMT'!AQ19:AT19)*C19*'BCA - 5 lane'!E19</f>
        <v>18622.338565735405</v>
      </c>
      <c r="N19" s="153">
        <f>SUM(PedBike!J19:K19)*'BCA - 5 lane'!C19*'BCA - 5 lane'!D19</f>
        <v>141021.15727966576</v>
      </c>
      <c r="O19" s="153">
        <f>SUM(PedBike!G19:H19)*'BCA - 5 lane'!C19*'BCA - 5 lane'!D19</f>
        <v>421058.76363125676</v>
      </c>
      <c r="P19" s="153">
        <f>'Reduced VMT'!N17*'BCA - 5 lane'!C19*'BCA - 5 lane'!D19</f>
        <v>9149.7127260169727</v>
      </c>
      <c r="Q19" s="153">
        <f>SUM('Reduced VMT'!J17:L17)*'BCA - 5 lane'!C19*'BCA - 5 lane'!D19</f>
        <v>3959.9956678201456</v>
      </c>
      <c r="R19" s="153">
        <f>Factors!H39*'BCA - 5 lane'!C19*'BCA - 5 lane'!D19</f>
        <v>0</v>
      </c>
    </row>
    <row r="20" spans="1:18" x14ac:dyDescent="0.25">
      <c r="A20" s="107"/>
      <c r="B20" s="96">
        <f t="shared" si="0"/>
        <v>2036</v>
      </c>
      <c r="C20" s="64">
        <f>Factors!E40</f>
        <v>1</v>
      </c>
      <c r="D20" s="328">
        <f>Factors!F40</f>
        <v>0.36244601964235945</v>
      </c>
      <c r="E20" s="328">
        <f>Factors!G40</f>
        <v>0.64186194739671742</v>
      </c>
      <c r="F20" s="389"/>
      <c r="G20" s="153">
        <f>IFERROR(INDEX(Costs!D:D,MATCH($B20,Costs!$A:$A,0))*Factors!$D$26*D20,0)</f>
        <v>0</v>
      </c>
      <c r="H20" s="153">
        <f>IFERROR(INDEX(Costs!F:F,MATCH($B20,Costs!A:A,0))*Factors!$D$26*D20,0)</f>
        <v>-16940.145412202939</v>
      </c>
      <c r="I20" s="153"/>
      <c r="J20" s="153">
        <f>SUMIFS('Time Savings'!$E$29:$AA$29,'Time Savings'!$E$6:$AA$6,$B20)*Assumptions!$E$22*D20</f>
        <v>2080202.0199786213</v>
      </c>
      <c r="K20" s="153">
        <f>Safety!$M$17*(1+Assumptions!$E$17)^(B20-Assumptions!$E$92)*C20*D20</f>
        <v>1629362.8064023342</v>
      </c>
      <c r="L20" s="153">
        <f>'Reduced VMT'!H20*D20*C20</f>
        <v>16697.137336723252</v>
      </c>
      <c r="M20" s="153">
        <f>SUM('Reduced VMT'!AQ20:AT20)*C20*'BCA - 5 lane'!E20</f>
        <v>25736.048230390606</v>
      </c>
      <c r="N20" s="153">
        <f>SUM(PedBike!J20:K20)*'BCA - 5 lane'!C20*'BCA - 5 lane'!D20</f>
        <v>134431.38357500851</v>
      </c>
      <c r="O20" s="153">
        <f>SUM(PedBike!G20:H20)*'BCA - 5 lane'!C20*'BCA - 5 lane'!D20</f>
        <v>401383.12047091761</v>
      </c>
      <c r="P20" s="153">
        <f>'Reduced VMT'!N18*'BCA - 5 lane'!C20*'BCA - 5 lane'!D20</f>
        <v>8722.1560565769287</v>
      </c>
      <c r="Q20" s="153">
        <f>SUM('Reduced VMT'!J18:L18)*'BCA - 5 lane'!C20*'BCA - 5 lane'!D20</f>
        <v>3774.949141286495</v>
      </c>
      <c r="R20" s="153">
        <f>Factors!H40*'BCA - 5 lane'!C20*'BCA - 5 lane'!D20</f>
        <v>0</v>
      </c>
    </row>
    <row r="21" spans="1:18" x14ac:dyDescent="0.25">
      <c r="A21" s="107"/>
      <c r="B21" s="96">
        <f t="shared" si="0"/>
        <v>2037</v>
      </c>
      <c r="C21" s="64">
        <f>Factors!E41</f>
        <v>1</v>
      </c>
      <c r="D21" s="328">
        <f>Factors!F41</f>
        <v>0.33873459779659759</v>
      </c>
      <c r="E21" s="328">
        <f>Factors!G41</f>
        <v>0.62316693922011401</v>
      </c>
      <c r="F21" s="389"/>
      <c r="G21" s="153">
        <f>IFERROR(INDEX(Costs!D:D,MATCH($B21,Costs!$A:$A,0))*Factors!$D$26*D21,0)</f>
        <v>0</v>
      </c>
      <c r="H21" s="153">
        <f>IFERROR(INDEX(Costs!F:F,MATCH($B21,Costs!A:A,0))*Factors!$D$26*D21,0)</f>
        <v>0</v>
      </c>
      <c r="I21" s="153"/>
      <c r="J21" s="153">
        <f>SUMIFS('Time Savings'!$E$29:$AA$29,'Time Savings'!$E$6:$AA$6,$B21)*Assumptions!$E$22*D21</f>
        <v>2146458.9878843506</v>
      </c>
      <c r="K21" s="153">
        <f>Safety!$M$17*(1+Assumptions!$E$17)^(B21-Assumptions!$E$92)*C21*D21</f>
        <v>1553224.3575050286</v>
      </c>
      <c r="L21" s="153">
        <f>'Reduced VMT'!H21*D21*C21</f>
        <v>15916.897274259543</v>
      </c>
      <c r="M21" s="153">
        <f>SUM('Reduced VMT'!AQ21:AT21)*C21*'BCA - 5 lane'!E21</f>
        <v>25686.80706446799</v>
      </c>
      <c r="N21" s="153">
        <f>SUM(PedBike!J21:K21)*'BCA - 5 lane'!C21*'BCA - 5 lane'!D21</f>
        <v>128149.54322103607</v>
      </c>
      <c r="O21" s="153">
        <f>SUM(PedBike!G21:H21)*'BCA - 5 lane'!C21*'BCA - 5 lane'!D21</f>
        <v>382626.89988816442</v>
      </c>
      <c r="P21" s="153">
        <f>'Reduced VMT'!N19*'BCA - 5 lane'!C21*'BCA - 5 lane'!D21</f>
        <v>8314.5786707555744</v>
      </c>
      <c r="Q21" s="153">
        <f>SUM('Reduced VMT'!J19:L19)*'BCA - 5 lane'!C21*'BCA - 5 lane'!D21</f>
        <v>3598.5496487030123</v>
      </c>
      <c r="R21" s="153">
        <f>Factors!H41*'BCA - 5 lane'!C21*'BCA - 5 lane'!D21</f>
        <v>0</v>
      </c>
    </row>
    <row r="22" spans="1:18" x14ac:dyDescent="0.25">
      <c r="A22" s="107"/>
      <c r="B22" s="96">
        <f t="shared" si="0"/>
        <v>2038</v>
      </c>
      <c r="C22" s="64">
        <f>Factors!E42</f>
        <v>1</v>
      </c>
      <c r="D22" s="328">
        <f>Factors!F42</f>
        <v>0.3165743904641099</v>
      </c>
      <c r="E22" s="328">
        <f>Factors!G42</f>
        <v>0.60501644584477088</v>
      </c>
      <c r="F22" s="389"/>
      <c r="G22" s="153">
        <f>IFERROR(INDEX(Costs!D:D,MATCH($B22,Costs!$A:$A,0))*Factors!$D$26*D22,0)</f>
        <v>0</v>
      </c>
      <c r="H22" s="153">
        <f>IFERROR(INDEX(Costs!F:F,MATCH($B22,Costs!A:A,0))*Factors!$D$26*D22,0)</f>
        <v>1479.6179065597814</v>
      </c>
      <c r="I22" s="153"/>
      <c r="J22" s="153">
        <f>SUMIFS('Time Savings'!$E$29:$AA$29,'Time Savings'!$E$6:$AA$6,$B22)*Assumptions!$E$22*D22</f>
        <v>2214826.3209151537</v>
      </c>
      <c r="K22" s="153">
        <f>Safety!$M$17*(1+Assumptions!$E$17)^(B22-Assumptions!$E$92)*C22*D22</f>
        <v>1480643.7800515227</v>
      </c>
      <c r="L22" s="153">
        <f>'Reduced VMT'!H22*D22*C22</f>
        <v>15173.11702779882</v>
      </c>
      <c r="M22" s="153">
        <f>SUM('Reduced VMT'!AQ22:AT22)*C22*'BCA - 5 lane'!E22</f>
        <v>32718.91511436176</v>
      </c>
      <c r="N22" s="153">
        <f>SUM(PedBike!J22:K22)*'BCA - 5 lane'!C22*'BCA - 5 lane'!D22</f>
        <v>122161.24680883816</v>
      </c>
      <c r="O22" s="153">
        <f>SUM(PedBike!G22:H22)*'BCA - 5 lane'!C22*'BCA - 5 lane'!D22</f>
        <v>364747.13821114751</v>
      </c>
      <c r="P22" s="153">
        <f>'Reduced VMT'!N20*'BCA - 5 lane'!C22*'BCA - 5 lane'!D22</f>
        <v>7926.0469571688664</v>
      </c>
      <c r="Q22" s="153">
        <f>SUM('Reduced VMT'!J20:L20)*'BCA - 5 lane'!C22*'BCA - 5 lane'!D22</f>
        <v>3430.3931230626854</v>
      </c>
      <c r="R22" s="153">
        <f>Factors!H42*'BCA - 5 lane'!C22*'BCA - 5 lane'!D22</f>
        <v>0</v>
      </c>
    </row>
    <row r="23" spans="1:18" x14ac:dyDescent="0.25">
      <c r="A23" s="107"/>
      <c r="B23" s="96">
        <f t="shared" si="0"/>
        <v>2039</v>
      </c>
      <c r="C23" s="64">
        <f>Factors!E43</f>
        <v>1</v>
      </c>
      <c r="D23" s="328">
        <f>Factors!F43</f>
        <v>0.29586391632159803</v>
      </c>
      <c r="E23" s="328">
        <f>Factors!G43</f>
        <v>0.58739460761628237</v>
      </c>
      <c r="F23" s="389"/>
      <c r="G23" s="153">
        <f>IFERROR(INDEX(Costs!D:D,MATCH($B23,Costs!$A:$A,0))*Factors!$D$26*D23,0)</f>
        <v>0</v>
      </c>
      <c r="H23" s="153">
        <f>IFERROR(INDEX(Costs!F:F,MATCH($B23,Costs!A:A,0))*Factors!$D$26*D23,0)</f>
        <v>0</v>
      </c>
      <c r="I23" s="153"/>
      <c r="J23" s="153">
        <f>SUMIFS('Time Savings'!$E$29:$AA$29,'Time Savings'!$E$6:$AA$6,$B23)*Assumptions!$E$22*D23</f>
        <v>2285371.2367705656</v>
      </c>
      <c r="K23" s="153">
        <f>Safety!$M$17*(1+Assumptions!$E$17)^(B23-Assumptions!$E$92)*C23*D23</f>
        <v>1411454.8183668724</v>
      </c>
      <c r="L23" s="153">
        <f>'Reduced VMT'!H23*D23*C23</f>
        <v>14464.092867621303</v>
      </c>
      <c r="M23" s="153">
        <f>SUM('Reduced VMT'!AQ23:AT23)*C23*'BCA - 5 lane'!E23</f>
        <v>39941.164951367195</v>
      </c>
      <c r="N23" s="153">
        <f>SUM(PedBike!J23:K23)*'BCA - 5 lane'!C23*'BCA - 5 lane'!D23</f>
        <v>116452.77733178966</v>
      </c>
      <c r="O23" s="153">
        <f>SUM(PedBike!G23:H23)*'BCA - 5 lane'!C23*'BCA - 5 lane'!D23</f>
        <v>347702.87941623409</v>
      </c>
      <c r="P23" s="153">
        <f>'Reduced VMT'!N21*'BCA - 5 lane'!C23*'BCA - 5 lane'!D23</f>
        <v>7555.6709311329369</v>
      </c>
      <c r="Q23" s="153">
        <f>SUM('Reduced VMT'!J21:L21)*'BCA - 5 lane'!C23*'BCA - 5 lane'!D23</f>
        <v>3270.0943789943353</v>
      </c>
      <c r="R23" s="153">
        <f>Factors!H43*'BCA - 5 lane'!C23*'BCA - 5 lane'!D23</f>
        <v>0</v>
      </c>
    </row>
    <row r="24" spans="1:18" x14ac:dyDescent="0.25">
      <c r="A24" s="107"/>
      <c r="B24" s="96">
        <f t="shared" si="0"/>
        <v>2040</v>
      </c>
      <c r="C24" s="64">
        <f>Factors!E44</f>
        <v>1</v>
      </c>
      <c r="D24" s="328">
        <f>Factors!F44</f>
        <v>0.27650833301083927</v>
      </c>
      <c r="E24" s="328">
        <f>Factors!G44</f>
        <v>0.57028602681192464</v>
      </c>
      <c r="F24" s="389"/>
      <c r="G24" s="153">
        <f>IFERROR(INDEX(Costs!D:D,MATCH($B24,Costs!$A:$A,0))*Factors!$D$26*D24,0)</f>
        <v>0</v>
      </c>
      <c r="H24" s="153">
        <f>IFERROR(INDEX(Costs!F:F,MATCH($B24,Costs!A:A,0))*Factors!$D$26*D24,0)</f>
        <v>-12923.555826358472</v>
      </c>
      <c r="I24" s="153"/>
      <c r="J24" s="153">
        <f>SUMIFS('Time Savings'!$E$29:$AA$29,'Time Savings'!$E$6:$AA$6,$B24)*Assumptions!$E$22*D24</f>
        <v>2358163.0941157234</v>
      </c>
      <c r="K24" s="153">
        <f>Safety!$M$17*(1+Assumptions!$E$17)^(B24-Assumptions!$E$92)*C24*D24</f>
        <v>1345498.985732906</v>
      </c>
      <c r="L24" s="153">
        <f>'Reduced VMT'!H24*D24*C24</f>
        <v>13788.200677545541</v>
      </c>
      <c r="M24" s="153">
        <f>SUM('Reduced VMT'!AQ24:AT24)*C24*'BCA - 5 lane'!E24</f>
        <v>39901.107162110646</v>
      </c>
      <c r="N24" s="153">
        <f>SUM(PedBike!J24:K24)*'BCA - 5 lane'!C24*'BCA - 5 lane'!D24</f>
        <v>111011.05876488358</v>
      </c>
      <c r="O24" s="153">
        <f>SUM(PedBike!G24:H24)*'BCA - 5 lane'!C24*'BCA - 5 lane'!D24</f>
        <v>331455.08131267165</v>
      </c>
      <c r="P24" s="153">
        <f>'Reduced VMT'!N22*'BCA - 5 lane'!C24*'BCA - 5 lane'!D24</f>
        <v>7202.6021960332673</v>
      </c>
      <c r="Q24" s="153">
        <f>SUM('Reduced VMT'!J22:L22)*'BCA - 5 lane'!C24*'BCA - 5 lane'!D24</f>
        <v>3117.2862304431983</v>
      </c>
      <c r="R24" s="153">
        <f>Factors!H44*'BCA - 5 lane'!C24*'BCA - 5 lane'!D24</f>
        <v>0</v>
      </c>
    </row>
    <row r="25" spans="1:18" x14ac:dyDescent="0.25">
      <c r="A25" s="107"/>
      <c r="B25" s="96">
        <f t="shared" si="0"/>
        <v>2041</v>
      </c>
      <c r="C25" s="64">
        <f>Factors!E45</f>
        <v>1</v>
      </c>
      <c r="D25" s="328">
        <f>Factors!F45</f>
        <v>0.25841900281386848</v>
      </c>
      <c r="E25" s="328">
        <f>Factors!G45</f>
        <v>0.55367575418633463</v>
      </c>
      <c r="F25" s="389"/>
      <c r="G25" s="153">
        <f>IFERROR(INDEX(Costs!D:D,MATCH($B25,Costs!$A:$A,0))*Factors!$D$26*D25,0)</f>
        <v>0</v>
      </c>
      <c r="H25" s="153">
        <f>IFERROR(INDEX(Costs!F:F,MATCH($B25,Costs!A:A,0))*Factors!$D$26*D25,0)</f>
        <v>0</v>
      </c>
      <c r="I25" s="153"/>
      <c r="J25" s="153">
        <f>SUMIFS('Time Savings'!$E$29:$AA$29,'Time Savings'!$E$6:$AA$6,$B25)*Assumptions!$E$22*D25</f>
        <v>2433273.4607737204</v>
      </c>
      <c r="K25" s="153">
        <f>Safety!$M$17*(1+Assumptions!$E$17)^(B25-Assumptions!$E$92)*C25*D25</f>
        <v>1282625.2013528638</v>
      </c>
      <c r="L25" s="153">
        <f>'Reduced VMT'!H25*D25*C25</f>
        <v>13143.89223466958</v>
      </c>
      <c r="M25" s="153">
        <f>SUM('Reduced VMT'!AQ25:AT25)*C25*'BCA - 5 lane'!E25</f>
        <v>47961.141214684845</v>
      </c>
      <c r="N25" s="153">
        <f>SUM(PedBike!J25:K25)*'BCA - 5 lane'!C25*'BCA - 5 lane'!D25</f>
        <v>105823.6261123189</v>
      </c>
      <c r="O25" s="153">
        <f>SUM(PedBike!G25:H25)*'BCA - 5 lane'!C25*'BCA - 5 lane'!D25</f>
        <v>315966.52611114492</v>
      </c>
      <c r="P25" s="153">
        <f>'Reduced VMT'!N23*'BCA - 5 lane'!C25*'BCA - 5 lane'!D25</f>
        <v>6866.0319999569465</v>
      </c>
      <c r="Q25" s="153">
        <f>SUM('Reduced VMT'!J23:L23)*'BCA - 5 lane'!C25*'BCA - 5 lane'!D25</f>
        <v>2971.6186495813663</v>
      </c>
      <c r="R25" s="153">
        <f>Factors!H45*'BCA - 5 lane'!C25*'BCA - 5 lane'!D25</f>
        <v>0</v>
      </c>
    </row>
    <row r="26" spans="1:18" x14ac:dyDescent="0.25">
      <c r="A26" s="107"/>
      <c r="B26" s="96">
        <f t="shared" si="0"/>
        <v>2042</v>
      </c>
      <c r="C26" s="64">
        <f>Factors!E46</f>
        <v>1</v>
      </c>
      <c r="D26" s="328">
        <f>Factors!F46</f>
        <v>0.24151308674193314</v>
      </c>
      <c r="E26" s="328">
        <f>Factors!G46</f>
        <v>0.53754927590906276</v>
      </c>
      <c r="F26" s="389"/>
      <c r="G26" s="153">
        <f>IFERROR(INDEX(Costs!D:D,MATCH($B26,Costs!$A:$A,0))*Factors!$D$26*D26,0)</f>
        <v>0</v>
      </c>
      <c r="H26" s="153">
        <f>IFERROR(INDEX(Costs!F:F,MATCH($B26,Costs!A:A,0))*Factors!$D$26*D26,0)</f>
        <v>11287.934165742397</v>
      </c>
      <c r="I26" s="153"/>
      <c r="J26" s="153">
        <f>SUMIFS('Time Savings'!$E$29:$AA$29,'Time Savings'!$E$6:$AA$6,$B26)*Assumptions!$E$22*D26</f>
        <v>2510776.1840899959</v>
      </c>
      <c r="K26" s="153">
        <f>Safety!$M$17*(1+Assumptions!$E$17)^(B26-Assumptions!$E$92)*C26*D26</f>
        <v>1222689.4442803001</v>
      </c>
      <c r="L26" s="153">
        <f>'Reduced VMT'!H26*D26*C26</f>
        <v>12529.691662956051</v>
      </c>
      <c r="M26" s="153">
        <f>SUM('Reduced VMT'!AQ26:AT26)*C26*'BCA - 5 lane'!E26</f>
        <v>55710.208913395822</v>
      </c>
      <c r="N26" s="153">
        <f>SUM(PedBike!J26:K26)*'BCA - 5 lane'!C26*'BCA - 5 lane'!D26</f>
        <v>100878.59685473393</v>
      </c>
      <c r="O26" s="153">
        <f>SUM(PedBike!G26:H26)*'BCA - 5 lane'!C26*'BCA - 5 lane'!D26</f>
        <v>301201.73517137178</v>
      </c>
      <c r="P26" s="153">
        <f>'Reduced VMT'!N24*'BCA - 5 lane'!C26*'BCA - 5 lane'!D26</f>
        <v>6545.1893831365278</v>
      </c>
      <c r="Q26" s="153">
        <f>SUM('Reduced VMT'!J24:L24)*'BCA - 5 lane'!C26*'BCA - 5 lane'!D26</f>
        <v>2832.7579650214893</v>
      </c>
      <c r="R26" s="153">
        <f>Factors!H46*'BCA - 5 lane'!C26*'BCA - 5 lane'!D26</f>
        <v>0</v>
      </c>
    </row>
    <row r="27" spans="1:18" x14ac:dyDescent="0.25">
      <c r="A27" s="107"/>
      <c r="B27" s="96">
        <f t="shared" si="0"/>
        <v>2043</v>
      </c>
      <c r="C27" s="64">
        <f>Factors!E47</f>
        <v>1</v>
      </c>
      <c r="D27" s="328">
        <f>Factors!F47</f>
        <v>0.22571316517937676</v>
      </c>
      <c r="E27" s="328">
        <f>Factors!G47</f>
        <v>0.52189250088258521</v>
      </c>
      <c r="F27" s="389"/>
      <c r="G27" s="153">
        <f>IFERROR(INDEX(Costs!D:D,MATCH($B27,Costs!$A:$A,0))*Factors!$D$26*D27,0)</f>
        <v>0</v>
      </c>
      <c r="H27" s="153">
        <f>IFERROR(INDEX(Costs!F:F,MATCH($B27,Costs!A:A,0))*Factors!$D$26*D27,0)</f>
        <v>0</v>
      </c>
      <c r="I27" s="153"/>
      <c r="J27" s="153">
        <f>SUMIFS('Time Savings'!$E$29:$AA$29,'Time Savings'!$E$6:$AA$6,$B27)*Assumptions!$E$22*D27</f>
        <v>2590747.4635378635</v>
      </c>
      <c r="K27" s="153">
        <f>Safety!$M$17*(1+Assumptions!$E$17)^(B27-Assumptions!$E$92)*C27*D27</f>
        <v>1165554.4235195382</v>
      </c>
      <c r="L27" s="153">
        <f>'Reduced VMT'!H27*D27*C27</f>
        <v>11944.192052537541</v>
      </c>
      <c r="M27" s="153">
        <f>SUM('Reduced VMT'!AQ27:AT27)*C27*'BCA - 5 lane'!E27</f>
        <v>66829.328318041735</v>
      </c>
      <c r="N27" s="153">
        <f>SUM(PedBike!J27:K27)*'BCA - 5 lane'!C27*'BCA - 5 lane'!D27</f>
        <v>96164.643730680924</v>
      </c>
      <c r="O27" s="153">
        <f>SUM(PedBike!G27:H27)*'BCA - 5 lane'!C27*'BCA - 5 lane'!D27</f>
        <v>287126.8877334572</v>
      </c>
      <c r="P27" s="153">
        <f>'Reduced VMT'!N25*'BCA - 5 lane'!C27*'BCA - 5 lane'!D27</f>
        <v>6239.3394119619225</v>
      </c>
      <c r="Q27" s="153">
        <f>SUM('Reduced VMT'!J25:L25)*'BCA - 5 lane'!C27*'BCA - 5 lane'!D27</f>
        <v>2700.3860974971203</v>
      </c>
      <c r="R27" s="153">
        <f>Factors!H47*'BCA - 5 lane'!C27*'BCA - 5 lane'!D27</f>
        <v>0</v>
      </c>
    </row>
    <row r="28" spans="1:18" x14ac:dyDescent="0.25">
      <c r="A28" s="107"/>
      <c r="B28" s="96">
        <f t="shared" si="0"/>
        <v>2044</v>
      </c>
      <c r="C28" s="64">
        <f>Factors!E48</f>
        <v>1</v>
      </c>
      <c r="D28" s="328">
        <f>Factors!F48</f>
        <v>0.21094688334521192</v>
      </c>
      <c r="E28" s="328">
        <f>Factors!G48</f>
        <v>0.50669174842969433</v>
      </c>
      <c r="F28" s="389"/>
      <c r="G28" s="153">
        <f>IFERROR(INDEX(Costs!D:D,MATCH($B28,Costs!$A:$A,0))*Factors!$D$26*D28,0)</f>
        <v>0</v>
      </c>
      <c r="H28" s="153">
        <f>IFERROR(INDEX(Costs!F:F,MATCH($B28,Costs!A:A,0))*Factors!$D$26*D28,0)</f>
        <v>-443669.34881509986</v>
      </c>
      <c r="I28" s="153"/>
      <c r="J28" s="153">
        <f>SUMIFS('Time Savings'!$E$29:$AA$29,'Time Savings'!$E$6:$AA$6,$B28)*Assumptions!$E$22*D28</f>
        <v>2673265.9256366785</v>
      </c>
      <c r="K28" s="153">
        <f>Safety!$M$17*(1+Assumptions!$E$17)^(B28-Assumptions!$E$92)*C28*D28</f>
        <v>1111089.2635419897</v>
      </c>
      <c r="L28" s="153">
        <f>'Reduced VMT'!H28*D28*C28</f>
        <v>11386.052236998405</v>
      </c>
      <c r="M28" s="153">
        <f>SUM('Reduced VMT'!AQ28:AT28)*C28*'BCA - 5 lane'!E28</f>
        <v>78523.772877148993</v>
      </c>
      <c r="N28" s="153">
        <f>SUM(PedBike!J28:K28)*'BCA - 5 lane'!C28*'BCA - 5 lane'!D28</f>
        <v>91670.968789994906</v>
      </c>
      <c r="O28" s="153">
        <f>SUM(PedBike!G28:H28)*'BCA - 5 lane'!C28*'BCA - 5 lane'!D28</f>
        <v>273709.74344684707</v>
      </c>
      <c r="P28" s="153">
        <f>'Reduced VMT'!N26*'BCA - 5 lane'!C28*'BCA - 5 lane'!D28</f>
        <v>5947.7814955151052</v>
      </c>
      <c r="Q28" s="153">
        <f>SUM('Reduced VMT'!J26:L26)*'BCA - 5 lane'!C28*'BCA - 5 lane'!D28</f>
        <v>2574.1998312589376</v>
      </c>
      <c r="R28" s="153">
        <f>Factors!H48*'BCA - 5 lane'!C28*'BCA - 5 lane'!D28</f>
        <v>0</v>
      </c>
    </row>
    <row r="29" spans="1:18" x14ac:dyDescent="0.25">
      <c r="A29" s="107"/>
      <c r="B29" s="96">
        <f t="shared" si="0"/>
        <v>2045</v>
      </c>
      <c r="C29" s="64">
        <f>Factors!E49</f>
        <v>1</v>
      </c>
      <c r="D29" s="328">
        <f>Factors!F49</f>
        <v>0.19714661994879618</v>
      </c>
      <c r="E29" s="328">
        <f>Factors!G49</f>
        <v>0.49193373633950904</v>
      </c>
      <c r="F29" s="389"/>
      <c r="G29" s="153">
        <f>IFERROR(INDEX(Costs!D:D,MATCH($B29,Costs!$A:$A,0))*Factors!$D$26*D29,0)</f>
        <v>0</v>
      </c>
      <c r="H29" s="153">
        <f>IFERROR(INDEX(Costs!F:F,MATCH($B29,Costs!A:A,0))*Factors!$D$26*D29,0)</f>
        <v>0</v>
      </c>
      <c r="I29" s="153"/>
      <c r="J29" s="153">
        <f>SUMIFS('Time Savings'!$E$29:$AA$29,'Time Savings'!$E$6:$AA$6,$B29)*Assumptions!$E$22*D29</f>
        <v>2758412.7012561997</v>
      </c>
      <c r="K29" s="153">
        <f>Safety!$M$17*(1+Assumptions!$E$17)^(B29-Assumptions!$E$92)*C29*D29</f>
        <v>1059169.2044979713</v>
      </c>
      <c r="L29" s="153">
        <f>'Reduced VMT'!H29*D29*C29</f>
        <v>10853.993721250812</v>
      </c>
      <c r="M29" s="153">
        <f>SUM('Reduced VMT'!AQ29:AT29)*C29*'BCA - 5 lane'!E29</f>
        <v>90694.457707492256</v>
      </c>
      <c r="N29" s="153">
        <f>SUM(PedBike!J29:K29)*'BCA - 5 lane'!C29*'BCA - 5 lane'!D29</f>
        <v>87387.278659621297</v>
      </c>
      <c r="O29" s="153">
        <f>SUM(PedBike!G29:H29)*'BCA - 5 lane'!C29*'BCA - 5 lane'!D29</f>
        <v>260919.56851942427</v>
      </c>
      <c r="P29" s="153">
        <f>'Reduced VMT'!N27*'BCA - 5 lane'!C29*'BCA - 5 lane'!D29</f>
        <v>5669.847780771408</v>
      </c>
      <c r="Q29" s="153">
        <f>SUM('Reduced VMT'!J27:L27)*'BCA - 5 lane'!C29*'BCA - 5 lane'!D29</f>
        <v>2453.9101195178655</v>
      </c>
      <c r="R29" s="153">
        <f>Factors!H49*'BCA - 5 lane'!C29*'BCA - 5 lane'!D29</f>
        <v>0</v>
      </c>
    </row>
    <row r="30" spans="1:18" x14ac:dyDescent="0.25">
      <c r="A30" s="107"/>
      <c r="B30" s="96">
        <f t="shared" si="0"/>
        <v>2046</v>
      </c>
      <c r="C30" s="64">
        <f>Factors!E50</f>
        <v>1</v>
      </c>
      <c r="D30" s="328">
        <f>Factors!F50</f>
        <v>0.1842491775222394</v>
      </c>
      <c r="E30" s="328">
        <f>Factors!G50</f>
        <v>0.47760556926165926</v>
      </c>
      <c r="F30" s="389"/>
      <c r="G30" s="153">
        <f>IFERROR(INDEX(Costs!D:D,MATCH($B30,Costs!$A:$A,0))*Factors!$D$26*D30,0)</f>
        <v>0</v>
      </c>
      <c r="H30" s="153">
        <f>IFERROR(INDEX(Costs!F:F,MATCH($B30,Costs!A:A,0))*Factors!$D$26*D30,0)</f>
        <v>516690.65573715296</v>
      </c>
      <c r="I30" s="153"/>
      <c r="J30" s="153">
        <f>SUMIFS('Time Savings'!$E$29:$AA$29,'Time Savings'!$E$6:$AA$6,$B30)*Assumptions!$E$22*D30</f>
        <v>2846271.5053832023</v>
      </c>
      <c r="K30" s="153">
        <f>Safety!$M$17*(1+Assumptions!$E$17)^(B30-Assumptions!$E$92)*C30*D30</f>
        <v>1009675.3164373183</v>
      </c>
      <c r="L30" s="153">
        <f>'Reduced VMT'!H30*D30*C30</f>
        <v>10346.797752968065</v>
      </c>
      <c r="M30" s="153">
        <f>SUM('Reduced VMT'!AQ30:AT30)*C30*'BCA - 5 lane'!E30</f>
        <v>104687.85942635399</v>
      </c>
      <c r="N30" s="153">
        <f>SUM(PedBike!J30:K30)*'BCA - 5 lane'!C30*'BCA - 5 lane'!D30</f>
        <v>83303.76096524646</v>
      </c>
      <c r="O30" s="153">
        <f>SUM(PedBike!G30:H30)*'BCA - 5 lane'!C30*'BCA - 5 lane'!D30</f>
        <v>248727.06531758199</v>
      </c>
      <c r="P30" s="153">
        <f>'Reduced VMT'!N28*'BCA - 5 lane'!C30*'BCA - 5 lane'!D30</f>
        <v>5404.9016227914353</v>
      </c>
      <c r="Q30" s="153">
        <f>SUM('Reduced VMT'!J28:L28)*'BCA - 5 lane'!C30*'BCA - 5 lane'!D30</f>
        <v>2339.2414223441333</v>
      </c>
      <c r="R30" s="153">
        <f>Factors!H50*'BCA - 5 lane'!C30*'BCA - 5 lane'!D30</f>
        <v>1946018.636617756</v>
      </c>
    </row>
    <row r="31" spans="1:18" x14ac:dyDescent="0.25">
      <c r="A31" s="107"/>
      <c r="G31" s="103"/>
      <c r="H31" s="104"/>
      <c r="I31" s="104"/>
      <c r="J31" s="103"/>
      <c r="K31" s="329"/>
      <c r="L31" s="330"/>
      <c r="M31" s="329"/>
      <c r="N31" s="330"/>
      <c r="O31" s="330"/>
      <c r="P31" s="331"/>
    </row>
    <row r="32" spans="1:18" s="206" customFormat="1" x14ac:dyDescent="0.25">
      <c r="A32" s="98"/>
      <c r="B32" s="98"/>
      <c r="C32" s="332"/>
      <c r="D32" s="333"/>
      <c r="E32" s="333"/>
      <c r="F32" s="391"/>
      <c r="G32" s="413">
        <f t="shared" ref="G32:N32" si="1">SUM(G8:G30)</f>
        <v>29233562.21263431</v>
      </c>
      <c r="H32" s="413">
        <f t="shared" si="1"/>
        <v>-1187292.0127768116</v>
      </c>
      <c r="I32" s="413"/>
      <c r="J32" s="413">
        <f t="shared" si="1"/>
        <v>34829406.739627182</v>
      </c>
      <c r="K32" s="413">
        <f>SUM(K8:K30)</f>
        <v>33042037.599882957</v>
      </c>
      <c r="L32" s="413">
        <f t="shared" si="1"/>
        <v>338603.18740710674</v>
      </c>
      <c r="M32" s="413">
        <f>SUM(M8:M30)</f>
        <v>705719.23063025647</v>
      </c>
      <c r="N32" s="413">
        <f t="shared" si="1"/>
        <v>2726149.6415874939</v>
      </c>
      <c r="O32" s="413">
        <f>SUM(O8:O30)</f>
        <v>8139694.9202751936</v>
      </c>
      <c r="P32" s="413">
        <f>SUM(P8:P30)</f>
        <v>176877.61574097068</v>
      </c>
      <c r="Q32" s="413">
        <f>SUM(Q8:Q30)</f>
        <v>76552.632092692103</v>
      </c>
      <c r="R32" s="413">
        <f>SUM(R8:R30)</f>
        <v>1946018.636617756</v>
      </c>
    </row>
    <row r="33" spans="1:18" s="206" customFormat="1" x14ac:dyDescent="0.25">
      <c r="A33" s="108"/>
      <c r="C33" s="120"/>
      <c r="D33" s="109"/>
      <c r="E33" s="109"/>
      <c r="F33" s="390"/>
      <c r="G33" s="105"/>
      <c r="H33" s="106"/>
      <c r="I33" s="106"/>
      <c r="J33" s="105"/>
      <c r="K33" s="106"/>
      <c r="L33" s="106"/>
      <c r="M33" s="106"/>
      <c r="N33" s="106"/>
      <c r="O33" s="106"/>
      <c r="R33" s="334"/>
    </row>
    <row r="34" spans="1:18" s="109" customFormat="1" x14ac:dyDescent="0.25">
      <c r="B34" s="121" t="s">
        <v>160</v>
      </c>
      <c r="C34" s="122"/>
      <c r="D34" s="122"/>
      <c r="E34" s="122"/>
      <c r="F34" s="392"/>
      <c r="G34" s="335">
        <f>G37/G48</f>
        <v>2.9230646221285483</v>
      </c>
    </row>
    <row r="35" spans="1:18" s="109" customFormat="1" x14ac:dyDescent="0.25">
      <c r="B35" s="123" t="s">
        <v>52</v>
      </c>
      <c r="F35" s="390"/>
      <c r="G35" s="124">
        <f>G37-G48</f>
        <v>53934790.004004121</v>
      </c>
    </row>
    <row r="36" spans="1:18" s="109" customFormat="1" x14ac:dyDescent="0.25">
      <c r="B36" s="123"/>
      <c r="F36" s="390"/>
      <c r="G36" s="124"/>
    </row>
    <row r="37" spans="1:18" s="109" customFormat="1" x14ac:dyDescent="0.25">
      <c r="B37" s="125" t="s">
        <v>53</v>
      </c>
      <c r="F37" s="390"/>
      <c r="G37" s="336">
        <f>SUM(J32:R32)</f>
        <v>81981060.203861624</v>
      </c>
    </row>
    <row r="38" spans="1:18" s="109" customFormat="1" x14ac:dyDescent="0.25">
      <c r="B38" s="123" t="s">
        <v>54</v>
      </c>
      <c r="F38" s="390"/>
      <c r="G38" s="337">
        <f>K32</f>
        <v>33042037.599882957</v>
      </c>
    </row>
    <row r="39" spans="1:18" s="109" customFormat="1" x14ac:dyDescent="0.25">
      <c r="B39" s="123" t="s">
        <v>55</v>
      </c>
      <c r="F39" s="390"/>
      <c r="G39" s="337">
        <f>J32</f>
        <v>34829406.739627182</v>
      </c>
    </row>
    <row r="40" spans="1:18" s="109" customFormat="1" x14ac:dyDescent="0.25">
      <c r="B40" s="123" t="s">
        <v>207</v>
      </c>
      <c r="F40" s="390"/>
      <c r="G40" s="337">
        <f>N32</f>
        <v>2726149.6415874939</v>
      </c>
    </row>
    <row r="41" spans="1:18" s="109" customFormat="1" x14ac:dyDescent="0.25">
      <c r="B41" s="123" t="s">
        <v>118</v>
      </c>
      <c r="F41" s="390"/>
      <c r="G41" s="337">
        <f>O32</f>
        <v>8139694.9202751936</v>
      </c>
    </row>
    <row r="42" spans="1:18" s="109" customFormat="1" x14ac:dyDescent="0.25">
      <c r="B42" s="123" t="s">
        <v>155</v>
      </c>
      <c r="F42" s="390"/>
      <c r="G42" s="337">
        <f>L32</f>
        <v>338603.18740710674</v>
      </c>
    </row>
    <row r="43" spans="1:18" s="109" customFormat="1" x14ac:dyDescent="0.25">
      <c r="B43" s="123" t="s">
        <v>154</v>
      </c>
      <c r="F43" s="390"/>
      <c r="G43" s="337">
        <f>SUM('BCA - 5 lane'!M32:M32)</f>
        <v>705719.23063025647</v>
      </c>
    </row>
    <row r="44" spans="1:18" s="109" customFormat="1" x14ac:dyDescent="0.25">
      <c r="B44" s="123" t="s">
        <v>103</v>
      </c>
      <c r="F44" s="390"/>
      <c r="G44" s="338">
        <f>P32</f>
        <v>176877.61574097068</v>
      </c>
    </row>
    <row r="45" spans="1:18" x14ac:dyDescent="0.25">
      <c r="B45" s="123" t="s">
        <v>113</v>
      </c>
      <c r="C45" s="109"/>
      <c r="G45" s="338">
        <f>Q32</f>
        <v>76552.632092692103</v>
      </c>
    </row>
    <row r="46" spans="1:18" x14ac:dyDescent="0.25">
      <c r="B46" s="123" t="s">
        <v>56</v>
      </c>
      <c r="G46" s="337">
        <f>R32</f>
        <v>1946018.636617756</v>
      </c>
    </row>
    <row r="47" spans="1:18" x14ac:dyDescent="0.25">
      <c r="B47" s="123"/>
      <c r="G47" s="126"/>
    </row>
    <row r="48" spans="1:18" x14ac:dyDescent="0.25">
      <c r="B48" s="125" t="s">
        <v>57</v>
      </c>
      <c r="G48" s="339">
        <f>SUM(G32:H32)</f>
        <v>28046270.199857499</v>
      </c>
    </row>
    <row r="49" spans="2:7" x14ac:dyDescent="0.25">
      <c r="B49" s="123" t="s">
        <v>43</v>
      </c>
      <c r="G49" s="124">
        <f>G32</f>
        <v>29233562.21263431</v>
      </c>
    </row>
    <row r="50" spans="2:7" x14ac:dyDescent="0.25">
      <c r="B50" s="127" t="s">
        <v>58</v>
      </c>
      <c r="C50" s="128"/>
      <c r="D50" s="129"/>
      <c r="E50" s="129"/>
      <c r="F50" s="393"/>
      <c r="G50" s="421">
        <f>H32</f>
        <v>-1187292.0127768116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26DE6886438D4EA47984DFDB23363E" ma:contentTypeVersion="13" ma:contentTypeDescription="Create a new document." ma:contentTypeScope="" ma:versionID="aca5cc0b4d3bff9173cb63783afe5e83">
  <xsd:schema xmlns:xsd="http://www.w3.org/2001/XMLSchema" xmlns:xs="http://www.w3.org/2001/XMLSchema" xmlns:p="http://schemas.microsoft.com/office/2006/metadata/properties" xmlns:ns2="92d0239a-0285-4984-bd55-52368d09cfec" xmlns:ns3="c94f7d6e-5a50-42bf-b164-1c6a8df0301b" targetNamespace="http://schemas.microsoft.com/office/2006/metadata/properties" ma:root="true" ma:fieldsID="af91ca31c9a1fe82490fcff5920b9482" ns2:_="" ns3:_="">
    <xsd:import namespace="92d0239a-0285-4984-bd55-52368d09cfec"/>
    <xsd:import namespace="c94f7d6e-5a50-42bf-b164-1c6a8df0301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0239a-0285-4984-bd55-52368d09cf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dafd165-6beb-44bd-9039-5187b9f5b6eb"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f7d6e-5a50-42bf-b164-1c6a8df0301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24a75cc-2c4a-4da8-98ee-3ea641cb13c7}" ma:internalName="TaxCatchAll" ma:showField="CatchAllData" ma:web="c94f7d6e-5a50-42bf-b164-1c6a8df0301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workbookData xmlns="https://www.arixcel.com/schemas/workbookData" version="8.3.8304">
  <sheet name="PedBike">
    <highlights>
      <block r="1 6 1 25" o="1 -4142 0" h="2 0 7471103"/>
      <block r="2 6 4 1" o="1 -4142 0" h="2 0 37360"/>
      <block r="7 6 2 1" o="1 -4142 0" h="2 0 37360"/>
      <block r="10 6 2 1" o="1 -4142 0" h="2 0 37360"/>
      <block r="13 6 1 1" o="1 -4142 0" h="2 0 49407"/>
      <block r="14 6 3 1" o="1 -4142 0" h="2 0 14994616"/>
      <block r="3 7 1 1" o="1 -4142 0" h="2 0 10213059"/>
      <block r="7 7 1 1" o="1 -4142 0" h="2 0 10213059"/>
      <block r="10 7 2 24" o="1 -4142 0" h="2 0 10213059"/>
      <block r="13 7 1 25" o="1 -4142 0" h="2 0 10213059"/>
      <block r="14 7 3 25" o="1 -4142 0" h="2 0 9944516"/>
      <block r="7 8 2 23" o="1 -4142 0" h="2 0 10213059"/>
      <block r="8 7 1 1" o="1 -4142 0" h="2 0 10213059"/>
      <block r="2 8 4 23" o="1 -4142 0" h="2 0 10213059"/>
      <block r="4 7 2 1" o="1 -4142 0" h="2 0 10213059"/>
      <block r="2 7 1 1" o="1 -4142 0" h="2 0 10213059"/>
    </highlights>
  </sheet>
  <sheet name="Reduced VMT">
    <highlights>
      <block r="1 6 1 1" o="1 -4142 0" h="2 0 7471103"/>
      <block r="2 6 2 1" o="1 -4142 0" h="2 0 37360"/>
      <block r="4 6 1 1" o="1 -4142 0" h="2 0 49407"/>
      <block r="5 6 2 1" o="1 -4142 0" h="2 0 37360"/>
      <block r="8 6 1 1" o="1 -4142 0" h="2 0 37360"/>
      <block r="10 6 3 1" o="1 -4142 0" h="2 0 37360"/>
      <block r="14 6 1 1" o="1 -4142 0" h="2 0 37360"/>
      <block r="16 6 6 1" o="1 -4142 0" h="2 0 37360"/>
      <block r="22 6 2 1" o="1 -4142 0" h="2 0 14994616"/>
      <block r="25 6 3 25" o="1 -4142 0" h="2 0 7471103"/>
      <block r="28 6 3 1" o="1 -4142 0" h="2 0 49407"/>
      <block r="32 6 4 25" o="1 -4142 0" h="2 0 7471103"/>
      <block r="37 6 1 1" o="1 -4142 0" h="2 0 37360"/>
      <block r="38 6 2 1" o="1 -4142 0" h="2 0 14994616"/>
      <block r="40 6 2 1" o="1 -4142 0" h="2 0 37360"/>
      <block r="43 6 1 1" o="1 -4142 0" h="2 0 49407"/>
      <block r="44 6 2 1" o="1 -4142 0" h="2 0 14994616"/>
      <block r="46 6 2 1" o="1 -4142 0" h="2 0 49407"/>
      <block r="1 7 1 1" o="1 -4142 0" h="2 0 49407"/>
      <block r="2 7 5 1" o="1 -4142 0" h="2 0 10213059"/>
      <block r="8 7 1 24" o="1 -4142 0" h="2 0 10213059"/>
      <block r="10 7 3 24" o="1 -4142 0" h="2 0 10213059"/>
      <block r="14 7 1 24" o="1 -4142 0" h="2 0 10213059"/>
      <block r="16 7 6 24" o="1 -4142 0" h="2 0 10213059"/>
      <block r="22 7 2 24" o="1 -4142 0" h="2 0 9944516"/>
      <block r="28 7 3 24" o="1 -4142 0" h="2 0 10213059"/>
      <block r="37 7 1 24" o="1 -4142 0" h="2 0 10213059"/>
      <block r="38 7 2 24" o="1 -4142 0" h="2 0 9944516"/>
      <block r="40 7 2 24" o="1 -4142 0" h="2 0 10213059"/>
      <block r="43 7 1 24" o="1 -4142 0" h="2 0 10213059"/>
      <block r="44 7 2 24" o="1 -4142 0" h="2 0 9944516"/>
      <block r="46 7 2 24" o="1 -4142 0" h="2 0 10213059"/>
      <block r="1 8 6 23" o="1 -4142 0" h="2 0 10213059"/>
      <block r="41 32 1 1" o="1 -4142 0" h="2 0 49407"/>
      <block r="43 32 1 1" o="1 -4142 0" h="2 0 49407"/>
      <block r="44 32 3 1" o="1 -4142 0" h="2 0 14994616"/>
    </highlights>
  </sheet>
</workbookDat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2d0239a-0285-4984-bd55-52368d09cfec">
      <Terms xmlns="http://schemas.microsoft.com/office/infopath/2007/PartnerControls"/>
    </lcf76f155ced4ddcb4097134ff3c332f>
    <TaxCatchAll xmlns="c94f7d6e-5a50-42bf-b164-1c6a8df0301b" xsi:nil="true"/>
  </documentManagement>
</p:properties>
</file>

<file path=customXml/itemProps1.xml><?xml version="1.0" encoding="utf-8"?>
<ds:datastoreItem xmlns:ds="http://schemas.openxmlformats.org/officeDocument/2006/customXml" ds:itemID="{35209851-B937-422C-B638-659F10C601D3}">
  <ds:schemaRefs>
    <ds:schemaRef ds:uri="http://schemas.microsoft.com/sharepoint/v3/contenttype/forms"/>
  </ds:schemaRefs>
</ds:datastoreItem>
</file>

<file path=customXml/itemProps2.xml><?xml version="1.0" encoding="utf-8"?>
<ds:datastoreItem xmlns:ds="http://schemas.openxmlformats.org/officeDocument/2006/customXml" ds:itemID="{F25DFB55-B27A-41B5-A41E-C0AB3EDA2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0239a-0285-4984-bd55-52368d09cfec"/>
    <ds:schemaRef ds:uri="c94f7d6e-5a50-42bf-b164-1c6a8df030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E6A1C7-13A9-4742-B221-B9F4A406A74B}">
  <ds:schemaRefs>
    <ds:schemaRef ds:uri="https://www.arixcel.com/schemas/workbookData"/>
  </ds:schemaRefs>
</ds:datastoreItem>
</file>

<file path=customXml/itemProps4.xml><?xml version="1.0" encoding="utf-8"?>
<ds:datastoreItem xmlns:ds="http://schemas.openxmlformats.org/officeDocument/2006/customXml" ds:itemID="{77268E82-B957-4A2D-831E-577F209A248E}">
  <ds:schemaRefs>
    <ds:schemaRef ds:uri="http://schemas.microsoft.com/office/infopath/2007/PartnerControls"/>
    <ds:schemaRef ds:uri="92d0239a-0285-4984-bd55-52368d09cfe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c94f7d6e-5a50-42bf-b164-1c6a8df0301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Assumptions</vt:lpstr>
      <vt:lpstr>Safety</vt:lpstr>
      <vt:lpstr>PedBike</vt:lpstr>
      <vt:lpstr>Reduced VMT</vt:lpstr>
      <vt:lpstr>Time Savings</vt:lpstr>
      <vt:lpstr>Costs</vt:lpstr>
      <vt:lpstr>Factors</vt:lpstr>
      <vt:lpstr>BCA - 5 lane</vt:lpstr>
      <vt:lpstr>BCA - 3 lane</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Sarah.Freeman@jacobs.com</dc:creator>
  <cp:keywords/>
  <dc:description/>
  <cp:lastModifiedBy>Freeman, Sarah</cp:lastModifiedBy>
  <cp:revision/>
  <dcterms:created xsi:type="dcterms:W3CDTF">2018-07-02T21:37:38Z</dcterms:created>
  <dcterms:modified xsi:type="dcterms:W3CDTF">2023-08-18T20:42:21Z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0x010100D926DE6886438D4EA47984DFDB23363E</vt:lpwstr>
  </property>
  <property fmtid="{D5CDD505-2E9C-101B-9397-08002B2CF9AE}" pid="3" name="Document Type">
    <vt:lpwstr/>
  </property>
  <property fmtid="{D5CDD505-2E9C-101B-9397-08002B2CF9AE}" pid="4" name="MediaServiceImageTags">
    <vt:lpwstr/>
  </property>
</Properties>
</file>