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ficemgmtentserv-my.sharepoint.com/personal/gflynn_odot_org/Documents/Project Management/Grants/2023/MPDG/1. I-35 OK River-Highstreet/Grants.gov-Final/10. BCA Spreadsheet/"/>
    </mc:Choice>
  </mc:AlternateContent>
  <xr:revisionPtr revIDLastSave="0" documentId="8_{C3D410EE-39AD-4B59-A352-B551D08BB961}" xr6:coauthVersionLast="47" xr6:coauthVersionMax="47" xr10:uidLastSave="{00000000-0000-0000-0000-000000000000}"/>
  <bookViews>
    <workbookView xWindow="-120" yWindow="-120" windowWidth="29040" windowHeight="15840" tabRatio="641" xr2:uid="{D9592330-F94D-418B-A55C-A04D45C285FD}"/>
  </bookViews>
  <sheets>
    <sheet name="Results" sheetId="3" r:id="rId1"/>
    <sheet name="Capital Costs" sheetId="1" r:id="rId2"/>
    <sheet name="Maintenance $ Cost Savings" sheetId="28" r:id="rId3"/>
    <sheet name="Maintenance Saving Table" sheetId="25" r:id="rId4"/>
    <sheet name="Land Productivity Benefits" sheetId="16" state="hidden" r:id="rId5"/>
    <sheet name="Reduced Pavement Damage" sheetId="21" state="hidden" r:id="rId6"/>
    <sheet name="Travel Time Savings - Hours" sheetId="31" r:id="rId7"/>
    <sheet name="TT $ Benefits " sheetId="34" r:id="rId8"/>
    <sheet name="Crash Reduction $ Benefit" sheetId="40" r:id="rId9"/>
    <sheet name="Fuel Savings $ Benefits " sheetId="35" state="hidden" r:id="rId10"/>
    <sheet name="Supply Chain $ Benefits" sheetId="41" state="hidden" r:id="rId11"/>
    <sheet name="Emission $ Benefits" sheetId="33" r:id="rId12"/>
    <sheet name="Bike and Ped Lane Benefits" sheetId="42" r:id="rId13"/>
    <sheet name="Look Up Data" sheetId="44" r:id="rId14"/>
    <sheet name="Active Transportation Tables" sheetId="52" r:id="rId15"/>
    <sheet name="Active Data" sheetId="45" r:id="rId16"/>
    <sheet name="Pedestrian Benefits" sheetId="46" r:id="rId17"/>
    <sheet name="Cyclist Benefits" sheetId="47" r:id="rId18"/>
    <sheet name="Parameters" sheetId="48" r:id="rId19"/>
    <sheet name="Age" sheetId="49" r:id="rId20"/>
    <sheet name="Commute Characteristics" sheetId="50" r:id="rId21"/>
    <sheet name="Export Table" sheetId="51" r:id="rId22"/>
    <sheet name="Sheet2" sheetId="53" r:id="rId23"/>
    <sheet name="Avoided Emissions Summary" sheetId="38" state="hidden" r:id="rId24"/>
    <sheet name="Sheet1" sheetId="9" state="hidden"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2" i="40" l="1"/>
  <c r="AG42" i="40"/>
  <c r="AF42" i="40"/>
  <c r="AE42" i="40"/>
  <c r="AD42" i="40"/>
  <c r="AC42" i="40"/>
  <c r="AB42" i="40"/>
  <c r="AA42" i="40"/>
  <c r="Z42" i="40"/>
  <c r="Y42" i="40"/>
  <c r="X42" i="40"/>
  <c r="W42" i="40"/>
  <c r="V42" i="40"/>
  <c r="U42" i="40"/>
  <c r="T42" i="40"/>
  <c r="S42" i="40"/>
  <c r="R42" i="40"/>
  <c r="Q42" i="40"/>
  <c r="P42" i="40"/>
  <c r="AH41" i="40"/>
  <c r="AG41" i="40"/>
  <c r="AF41" i="40"/>
  <c r="AE41" i="40"/>
  <c r="AD41" i="40"/>
  <c r="AC41" i="40"/>
  <c r="AB41" i="40"/>
  <c r="AA41" i="40"/>
  <c r="Z41" i="40"/>
  <c r="Y41" i="40"/>
  <c r="X41" i="40"/>
  <c r="W41" i="40"/>
  <c r="V41" i="40"/>
  <c r="U41" i="40"/>
  <c r="T41" i="40"/>
  <c r="S41" i="40"/>
  <c r="R41" i="40"/>
  <c r="Q41" i="40"/>
  <c r="P41" i="40"/>
  <c r="AH40" i="40"/>
  <c r="AG40" i="40"/>
  <c r="AF40" i="40"/>
  <c r="AE40" i="40"/>
  <c r="AD40" i="40"/>
  <c r="AC40" i="40"/>
  <c r="AB40" i="40"/>
  <c r="AA40" i="40"/>
  <c r="Z40" i="40"/>
  <c r="Y40" i="40"/>
  <c r="X40" i="40"/>
  <c r="W40" i="40"/>
  <c r="V40" i="40"/>
  <c r="U40" i="40"/>
  <c r="T40" i="40"/>
  <c r="S40" i="40"/>
  <c r="R40" i="40"/>
  <c r="Q40" i="40"/>
  <c r="P40" i="40"/>
  <c r="AH39" i="40"/>
  <c r="AG39" i="40"/>
  <c r="AF39" i="40"/>
  <c r="AE39" i="40"/>
  <c r="AD39" i="40"/>
  <c r="AC39" i="40"/>
  <c r="AB39" i="40"/>
  <c r="AA39" i="40"/>
  <c r="Z39" i="40"/>
  <c r="Y39" i="40"/>
  <c r="X39" i="40"/>
  <c r="W39" i="40"/>
  <c r="V39" i="40"/>
  <c r="U39" i="40"/>
  <c r="T39" i="40"/>
  <c r="S39" i="40"/>
  <c r="R39" i="40"/>
  <c r="Q39" i="40"/>
  <c r="P39" i="40"/>
  <c r="AH38" i="40"/>
  <c r="AG38" i="40"/>
  <c r="AF38" i="40"/>
  <c r="AE38" i="40"/>
  <c r="AD38" i="40"/>
  <c r="AC38" i="40"/>
  <c r="AB38" i="40"/>
  <c r="AA38" i="40"/>
  <c r="Z38" i="40"/>
  <c r="Y38" i="40"/>
  <c r="X38" i="40"/>
  <c r="W38" i="40"/>
  <c r="V38" i="40"/>
  <c r="U38" i="40"/>
  <c r="T38" i="40"/>
  <c r="S38" i="40"/>
  <c r="R38" i="40"/>
  <c r="Q38" i="40"/>
  <c r="P38" i="40"/>
  <c r="O42" i="40"/>
  <c r="O40" i="40"/>
  <c r="O39" i="40"/>
  <c r="O38" i="40"/>
  <c r="AA27" i="40"/>
  <c r="AB27" i="40" s="1"/>
  <c r="AC27" i="40" s="1"/>
  <c r="AD27" i="40" s="1"/>
  <c r="AE27" i="40" s="1"/>
  <c r="AF27" i="40" s="1"/>
  <c r="AG27" i="40" s="1"/>
  <c r="AH27" i="40" s="1"/>
  <c r="Z27" i="40"/>
  <c r="B68" i="40"/>
  <c r="AA5" i="33"/>
  <c r="AB5" i="33"/>
  <c r="AC5" i="33"/>
  <c r="AD5" i="33"/>
  <c r="AD7" i="33" s="1"/>
  <c r="AE5" i="33"/>
  <c r="AE7" i="33" s="1"/>
  <c r="AB7" i="33"/>
  <c r="AB11" i="33" s="1"/>
  <c r="AB17" i="33" s="1"/>
  <c r="AC7" i="33"/>
  <c r="AC11" i="33" s="1"/>
  <c r="AC17" i="33" s="1"/>
  <c r="B123" i="44"/>
  <c r="AG19" i="3"/>
  <c r="AF19" i="3"/>
  <c r="I19" i="31"/>
  <c r="I20" i="31" s="1"/>
  <c r="G19" i="31"/>
  <c r="G20" i="31" s="1"/>
  <c r="E19" i="31"/>
  <c r="E20" i="31" s="1"/>
  <c r="C19" i="31"/>
  <c r="C20" i="31" s="1"/>
  <c r="I15" i="31"/>
  <c r="I16" i="31" s="1"/>
  <c r="G15" i="31"/>
  <c r="G16" i="31" s="1"/>
  <c r="E15" i="31"/>
  <c r="E16" i="31" s="1"/>
  <c r="AE10" i="33" l="1"/>
  <c r="AE16" i="33" s="1"/>
  <c r="AE12" i="33"/>
  <c r="AE18" i="33" s="1"/>
  <c r="AE11" i="33"/>
  <c r="AE17" i="33" s="1"/>
  <c r="AE13" i="33"/>
  <c r="AE19" i="33" s="1"/>
  <c r="AD11" i="33"/>
  <c r="AD17" i="33" s="1"/>
  <c r="AD13" i="33"/>
  <c r="AD19" i="33" s="1"/>
  <c r="AD10" i="33"/>
  <c r="AD16" i="33" s="1"/>
  <c r="AD12" i="33"/>
  <c r="AD18" i="33" s="1"/>
  <c r="AC12" i="33"/>
  <c r="AC18" i="33" s="1"/>
  <c r="AB12" i="33"/>
  <c r="AB18" i="33" s="1"/>
  <c r="AC10" i="33"/>
  <c r="AC16" i="33" s="1"/>
  <c r="AC13" i="33"/>
  <c r="AC19" i="33" s="1"/>
  <c r="AB10" i="33"/>
  <c r="AB16" i="33" s="1"/>
  <c r="AB13" i="33"/>
  <c r="AB19" i="33" s="1"/>
  <c r="O18" i="31"/>
  <c r="B24" i="44" s="1"/>
  <c r="I44" i="1"/>
  <c r="K44" i="1" s="1"/>
  <c r="K43" i="1"/>
  <c r="K42" i="1"/>
  <c r="K41" i="1"/>
  <c r="K40" i="1"/>
  <c r="K39" i="1"/>
  <c r="I38" i="1"/>
  <c r="K38" i="1" s="1"/>
  <c r="K31" i="1"/>
  <c r="K30" i="1"/>
  <c r="I29" i="1"/>
  <c r="K29" i="1" s="1"/>
  <c r="K28" i="1"/>
  <c r="K27" i="1"/>
  <c r="I25" i="1"/>
  <c r="K25" i="1" s="1"/>
  <c r="K24" i="1"/>
  <c r="K23" i="1"/>
  <c r="K22" i="1"/>
  <c r="E5" i="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M4" i="1"/>
  <c r="N4" i="1" s="1"/>
  <c r="O4" i="1" s="1"/>
  <c r="P4" i="1" s="1"/>
  <c r="Q4" i="1" s="1"/>
  <c r="R4" i="1" s="1"/>
  <c r="S4" i="1" s="1"/>
  <c r="T4" i="1" s="1"/>
  <c r="U4" i="1" s="1"/>
  <c r="V4" i="1" s="1"/>
  <c r="W4" i="1" s="1"/>
  <c r="X4" i="1" s="1"/>
  <c r="Y4" i="1" s="1"/>
  <c r="Z4" i="1" s="1"/>
  <c r="AA4" i="1" s="1"/>
  <c r="AB4" i="1" s="1"/>
  <c r="AC4" i="1" s="1"/>
  <c r="AD4" i="1" s="1"/>
  <c r="AE4" i="1" s="1"/>
  <c r="K46" i="1" l="1"/>
  <c r="K47" i="1" s="1"/>
  <c r="K48" i="1" s="1"/>
  <c r="K33" i="1"/>
  <c r="K34" i="1" l="1"/>
  <c r="K36" i="1" s="1"/>
  <c r="K50" i="1" s="1"/>
  <c r="D39" i="1" l="1"/>
  <c r="D38" i="1"/>
  <c r="G10" i="1" l="1"/>
  <c r="J10" i="1"/>
  <c r="E10" i="1"/>
  <c r="F10" i="1"/>
  <c r="H10" i="1"/>
  <c r="I10" i="1"/>
  <c r="K10" i="1"/>
  <c r="G11" i="1"/>
  <c r="J11" i="1"/>
  <c r="I11" i="1"/>
  <c r="F11" i="1"/>
  <c r="H11" i="1"/>
  <c r="E11" i="1"/>
  <c r="K11" i="1"/>
  <c r="D42" i="1"/>
  <c r="B11" i="1" l="1"/>
  <c r="B10" i="1"/>
  <c r="C10" i="1"/>
  <c r="C11" i="1"/>
  <c r="B12" i="1" l="1"/>
  <c r="H33" i="25"/>
  <c r="E33" i="25"/>
  <c r="D33" i="25"/>
  <c r="C33" i="25"/>
  <c r="I32" i="25"/>
  <c r="F32" i="25"/>
  <c r="I31" i="25"/>
  <c r="F31" i="25"/>
  <c r="I30" i="25"/>
  <c r="F30" i="25"/>
  <c r="I29" i="25"/>
  <c r="F29" i="25"/>
  <c r="I28" i="25"/>
  <c r="F28" i="25"/>
  <c r="I27" i="25"/>
  <c r="F27" i="25"/>
  <c r="I26" i="25"/>
  <c r="F26" i="25"/>
  <c r="I25" i="25"/>
  <c r="F25" i="25"/>
  <c r="I24" i="25"/>
  <c r="F24" i="25"/>
  <c r="I23" i="25"/>
  <c r="F23" i="25"/>
  <c r="I22" i="25"/>
  <c r="F22" i="25"/>
  <c r="I21" i="25"/>
  <c r="F21" i="25"/>
  <c r="I20" i="25"/>
  <c r="F20" i="25"/>
  <c r="I19" i="25"/>
  <c r="F19" i="25"/>
  <c r="I18" i="25"/>
  <c r="F18" i="25"/>
  <c r="I17" i="25"/>
  <c r="F17" i="25"/>
  <c r="I16" i="25"/>
  <c r="F16" i="25"/>
  <c r="I15" i="25"/>
  <c r="F15" i="25"/>
  <c r="I14" i="25"/>
  <c r="F14" i="25"/>
  <c r="I13" i="25"/>
  <c r="F13" i="25"/>
  <c r="I12" i="25"/>
  <c r="F12" i="25"/>
  <c r="I11" i="25"/>
  <c r="F11" i="25"/>
  <c r="I10" i="25"/>
  <c r="F10" i="25"/>
  <c r="I9" i="25"/>
  <c r="F9" i="25"/>
  <c r="I8" i="25"/>
  <c r="F8" i="25"/>
  <c r="I7" i="25"/>
  <c r="F7" i="25"/>
  <c r="I6" i="25"/>
  <c r="F6" i="25"/>
  <c r="I5" i="25"/>
  <c r="I33" i="25" s="1"/>
  <c r="F5" i="25"/>
  <c r="F33" i="25" s="1"/>
  <c r="H28" i="51"/>
  <c r="F23" i="49"/>
  <c r="E23" i="49"/>
  <c r="D23" i="49"/>
  <c r="C23" i="49"/>
  <c r="B23" i="49"/>
  <c r="F22" i="49"/>
  <c r="E22" i="49"/>
  <c r="D22" i="49"/>
  <c r="C22" i="49"/>
  <c r="B22" i="49"/>
  <c r="AG23" i="47"/>
  <c r="AF23" i="47"/>
  <c r="AE23" i="47"/>
  <c r="AD23" i="47"/>
  <c r="AC23" i="47"/>
  <c r="AB23" i="47"/>
  <c r="AA23" i="47"/>
  <c r="Z23" i="47"/>
  <c r="Y23" i="47"/>
  <c r="X23" i="47"/>
  <c r="W23" i="47"/>
  <c r="V23" i="47"/>
  <c r="U23" i="47"/>
  <c r="T23" i="47"/>
  <c r="S23" i="47"/>
  <c r="R23" i="47"/>
  <c r="Q23" i="47"/>
  <c r="P23" i="47"/>
  <c r="O23" i="47"/>
  <c r="N23" i="47"/>
  <c r="M23" i="47"/>
  <c r="L23" i="47"/>
  <c r="K23" i="47"/>
  <c r="J23" i="47"/>
  <c r="I23" i="47"/>
  <c r="H23" i="47"/>
  <c r="G23" i="47"/>
  <c r="F23" i="47"/>
  <c r="E23" i="47"/>
  <c r="D23" i="47"/>
  <c r="AG20" i="47"/>
  <c r="AF20" i="47"/>
  <c r="AE20" i="47"/>
  <c r="AD20" i="47"/>
  <c r="AC20" i="47"/>
  <c r="AB20" i="47"/>
  <c r="AA20" i="47"/>
  <c r="Z20" i="47"/>
  <c r="Y20" i="47"/>
  <c r="X20" i="47"/>
  <c r="W20" i="47"/>
  <c r="V20" i="47"/>
  <c r="U20" i="47"/>
  <c r="T20" i="47"/>
  <c r="S20" i="47"/>
  <c r="R20" i="47"/>
  <c r="Q20" i="47"/>
  <c r="P20" i="47"/>
  <c r="O20" i="47"/>
  <c r="N20" i="47"/>
  <c r="M20" i="47"/>
  <c r="L20" i="47"/>
  <c r="K20" i="47"/>
  <c r="J20" i="47"/>
  <c r="I20" i="47"/>
  <c r="H20" i="47"/>
  <c r="G20" i="47"/>
  <c r="F20" i="47"/>
  <c r="E20" i="47"/>
  <c r="D20" i="47"/>
  <c r="AG19" i="47"/>
  <c r="AF19" i="47"/>
  <c r="AE19" i="47"/>
  <c r="AD19" i="47"/>
  <c r="AC19" i="47"/>
  <c r="AB19" i="47"/>
  <c r="AA19" i="47"/>
  <c r="Z19" i="47"/>
  <c r="Y19" i="47"/>
  <c r="X19" i="47"/>
  <c r="W19" i="47"/>
  <c r="V19" i="47"/>
  <c r="U19" i="47"/>
  <c r="T19" i="47"/>
  <c r="S19" i="47"/>
  <c r="R19" i="47"/>
  <c r="Q19" i="47"/>
  <c r="P19" i="47"/>
  <c r="O19" i="47"/>
  <c r="N19" i="47"/>
  <c r="M19" i="47"/>
  <c r="L19" i="47"/>
  <c r="K19" i="47"/>
  <c r="J19" i="47"/>
  <c r="I19" i="47"/>
  <c r="H19" i="47"/>
  <c r="G19" i="47"/>
  <c r="F19" i="47"/>
  <c r="E19" i="47"/>
  <c r="D19" i="47"/>
  <c r="AG18" i="47"/>
  <c r="AF18" i="47"/>
  <c r="AE18" i="47"/>
  <c r="AD18" i="47"/>
  <c r="AC18" i="47"/>
  <c r="AB18" i="47"/>
  <c r="AA18" i="47"/>
  <c r="Z18" i="47"/>
  <c r="Y18" i="47"/>
  <c r="X18" i="47"/>
  <c r="W18" i="47"/>
  <c r="V18" i="47"/>
  <c r="U18" i="47"/>
  <c r="T18" i="47"/>
  <c r="S18" i="47"/>
  <c r="R18" i="47"/>
  <c r="Q18" i="47"/>
  <c r="P18" i="47"/>
  <c r="O18" i="47"/>
  <c r="N18" i="47"/>
  <c r="M18" i="47"/>
  <c r="L18" i="47"/>
  <c r="K18" i="47"/>
  <c r="J18" i="47"/>
  <c r="I18" i="47"/>
  <c r="H18" i="47"/>
  <c r="G18" i="47"/>
  <c r="F18" i="47"/>
  <c r="E18" i="47"/>
  <c r="D18" i="47"/>
  <c r="AG17" i="47"/>
  <c r="AF17" i="47"/>
  <c r="AE17" i="47"/>
  <c r="AD17" i="47"/>
  <c r="AC17" i="47"/>
  <c r="AB17" i="47"/>
  <c r="AA17" i="47"/>
  <c r="Z17" i="47"/>
  <c r="Y17" i="47"/>
  <c r="X17" i="47"/>
  <c r="W17" i="47"/>
  <c r="V17" i="47"/>
  <c r="U17" i="47"/>
  <c r="T17" i="47"/>
  <c r="S17" i="47"/>
  <c r="R17" i="47"/>
  <c r="Q17" i="47"/>
  <c r="P17" i="47"/>
  <c r="O17" i="47"/>
  <c r="N17" i="47"/>
  <c r="M17" i="47"/>
  <c r="L17" i="47"/>
  <c r="K17" i="47"/>
  <c r="J17" i="47"/>
  <c r="I17" i="47"/>
  <c r="H17" i="47"/>
  <c r="G17" i="47"/>
  <c r="F17" i="47"/>
  <c r="E17" i="47"/>
  <c r="D17" i="47"/>
  <c r="B21" i="47" s="1"/>
  <c r="AG12" i="47"/>
  <c r="AF12" i="47"/>
  <c r="AE12" i="47"/>
  <c r="AD12" i="47"/>
  <c r="AC12" i="47"/>
  <c r="AB12" i="47"/>
  <c r="AA12" i="47"/>
  <c r="Z12" i="47"/>
  <c r="Y12" i="47"/>
  <c r="X12" i="47"/>
  <c r="W12" i="47"/>
  <c r="V12" i="47"/>
  <c r="U12" i="47"/>
  <c r="T12" i="47"/>
  <c r="S12" i="47"/>
  <c r="R12" i="47"/>
  <c r="Q12" i="47"/>
  <c r="P12" i="47"/>
  <c r="O12" i="47"/>
  <c r="N12" i="47"/>
  <c r="M12" i="47"/>
  <c r="L12" i="47"/>
  <c r="K12" i="47"/>
  <c r="J12" i="47"/>
  <c r="I12" i="47"/>
  <c r="H12" i="47"/>
  <c r="G12" i="47"/>
  <c r="F12" i="47"/>
  <c r="E12" i="47"/>
  <c r="D12" i="47"/>
  <c r="AG9" i="47"/>
  <c r="AF9" i="47"/>
  <c r="AE9" i="47"/>
  <c r="AD9" i="47"/>
  <c r="AC9" i="47"/>
  <c r="AB9" i="47"/>
  <c r="AA9" i="47"/>
  <c r="Z9" i="47"/>
  <c r="Y9" i="47"/>
  <c r="X9" i="47"/>
  <c r="W9" i="47"/>
  <c r="V9" i="47"/>
  <c r="U9" i="47"/>
  <c r="T9" i="47"/>
  <c r="S9" i="47"/>
  <c r="R9" i="47"/>
  <c r="Q9" i="47"/>
  <c r="P9" i="47"/>
  <c r="O9" i="47"/>
  <c r="N9" i="47"/>
  <c r="M9" i="47"/>
  <c r="L9" i="47"/>
  <c r="K9" i="47"/>
  <c r="J9" i="47"/>
  <c r="I9" i="47"/>
  <c r="H9" i="47"/>
  <c r="G9" i="47"/>
  <c r="F9" i="47"/>
  <c r="E9" i="47"/>
  <c r="D9" i="47"/>
  <c r="AG8" i="47"/>
  <c r="AF8" i="47"/>
  <c r="AE8" i="47"/>
  <c r="AD8" i="47"/>
  <c r="AC8" i="47"/>
  <c r="AB8" i="47"/>
  <c r="AA8" i="47"/>
  <c r="Z8" i="47"/>
  <c r="Y8" i="47"/>
  <c r="X8" i="47"/>
  <c r="W8" i="47"/>
  <c r="V8" i="47"/>
  <c r="U8" i="47"/>
  <c r="T8" i="47"/>
  <c r="S8" i="47"/>
  <c r="R8" i="47"/>
  <c r="Q8" i="47"/>
  <c r="P8" i="47"/>
  <c r="O8" i="47"/>
  <c r="N8" i="47"/>
  <c r="M8" i="47"/>
  <c r="L8" i="47"/>
  <c r="K8" i="47"/>
  <c r="J8" i="47"/>
  <c r="I8" i="47"/>
  <c r="H8" i="47"/>
  <c r="G8" i="47"/>
  <c r="F8" i="47"/>
  <c r="E8" i="47"/>
  <c r="D8" i="47"/>
  <c r="AG7" i="47"/>
  <c r="AF7" i="47"/>
  <c r="AE7" i="47"/>
  <c r="AD7" i="47"/>
  <c r="AC7" i="47"/>
  <c r="AB7" i="47"/>
  <c r="AA7" i="47"/>
  <c r="Z7" i="47"/>
  <c r="Y7" i="47"/>
  <c r="X7" i="47"/>
  <c r="W7" i="47"/>
  <c r="V7" i="47"/>
  <c r="U7" i="47"/>
  <c r="T7" i="47"/>
  <c r="S7" i="47"/>
  <c r="R7" i="47"/>
  <c r="Q7" i="47"/>
  <c r="P7" i="47"/>
  <c r="O7" i="47"/>
  <c r="N7" i="47"/>
  <c r="M7" i="47"/>
  <c r="L7" i="47"/>
  <c r="K7" i="47"/>
  <c r="J7" i="47"/>
  <c r="I7" i="47"/>
  <c r="H7" i="47"/>
  <c r="G7" i="47"/>
  <c r="F7" i="47"/>
  <c r="E7" i="47"/>
  <c r="D7" i="47"/>
  <c r="B10" i="47" s="1"/>
  <c r="E4" i="47"/>
  <c r="F4" i="47" s="1"/>
  <c r="G4" i="47" s="1"/>
  <c r="H4" i="47" s="1"/>
  <c r="I4" i="47" s="1"/>
  <c r="J4" i="47" s="1"/>
  <c r="K4" i="47" s="1"/>
  <c r="L4" i="47" s="1"/>
  <c r="M4" i="47" s="1"/>
  <c r="N4" i="47" s="1"/>
  <c r="O4" i="47" s="1"/>
  <c r="P4" i="47" s="1"/>
  <c r="Q4" i="47" s="1"/>
  <c r="R4" i="47" s="1"/>
  <c r="S4" i="47" s="1"/>
  <c r="T4" i="47" s="1"/>
  <c r="U4" i="47" s="1"/>
  <c r="V4" i="47" s="1"/>
  <c r="W4" i="47" s="1"/>
  <c r="X4" i="47" s="1"/>
  <c r="Y4" i="47" s="1"/>
  <c r="Z4" i="47" s="1"/>
  <c r="AA4" i="47" s="1"/>
  <c r="AB4" i="47" s="1"/>
  <c r="AC4" i="47" s="1"/>
  <c r="AD4" i="47" s="1"/>
  <c r="AE4" i="47" s="1"/>
  <c r="AF4" i="47" s="1"/>
  <c r="AG4" i="47" s="1"/>
  <c r="E3" i="47"/>
  <c r="F3" i="47" s="1"/>
  <c r="G3" i="47" s="1"/>
  <c r="H3" i="47" s="1"/>
  <c r="I3" i="47" s="1"/>
  <c r="J3" i="47" s="1"/>
  <c r="K3" i="47" s="1"/>
  <c r="L3" i="47" s="1"/>
  <c r="M3" i="47" s="1"/>
  <c r="N3" i="47" s="1"/>
  <c r="O3" i="47" s="1"/>
  <c r="P3" i="47" s="1"/>
  <c r="Q3" i="47" s="1"/>
  <c r="R3" i="47" s="1"/>
  <c r="S3" i="47" s="1"/>
  <c r="T3" i="47" s="1"/>
  <c r="U3" i="47" s="1"/>
  <c r="V3" i="47" s="1"/>
  <c r="W3" i="47" s="1"/>
  <c r="X3" i="47" s="1"/>
  <c r="Y3" i="47" s="1"/>
  <c r="Z3" i="47" s="1"/>
  <c r="AA3" i="47" s="1"/>
  <c r="AB3" i="47" s="1"/>
  <c r="AC3" i="47" s="1"/>
  <c r="AD3" i="47" s="1"/>
  <c r="AE3" i="47" s="1"/>
  <c r="AF3" i="47" s="1"/>
  <c r="AG3" i="47" s="1"/>
  <c r="V23" i="46"/>
  <c r="U23" i="46"/>
  <c r="T23" i="46"/>
  <c r="S23" i="46"/>
  <c r="R23" i="46"/>
  <c r="Q23" i="46"/>
  <c r="P23" i="46"/>
  <c r="O23" i="46"/>
  <c r="N23" i="46"/>
  <c r="M23" i="46"/>
  <c r="L23" i="46"/>
  <c r="K23" i="46"/>
  <c r="J23" i="46"/>
  <c r="I23" i="46"/>
  <c r="H23" i="46"/>
  <c r="G23" i="46"/>
  <c r="F23" i="46"/>
  <c r="E23" i="46"/>
  <c r="D23" i="46"/>
  <c r="C23" i="46"/>
  <c r="V20" i="46"/>
  <c r="U20" i="46"/>
  <c r="T20" i="46"/>
  <c r="S20" i="46"/>
  <c r="R20" i="46"/>
  <c r="Q20" i="46"/>
  <c r="P20" i="46"/>
  <c r="O20" i="46"/>
  <c r="N20" i="46"/>
  <c r="M20" i="46"/>
  <c r="L20" i="46"/>
  <c r="K20" i="46"/>
  <c r="J20" i="46"/>
  <c r="I20" i="46"/>
  <c r="H20" i="46"/>
  <c r="G20" i="46"/>
  <c r="F20" i="46"/>
  <c r="E20" i="46"/>
  <c r="D20" i="46"/>
  <c r="C20" i="46"/>
  <c r="V19" i="46"/>
  <c r="U19" i="46"/>
  <c r="T19" i="46"/>
  <c r="S19" i="46"/>
  <c r="R19" i="46"/>
  <c r="Q19" i="46"/>
  <c r="P19" i="46"/>
  <c r="O19" i="46"/>
  <c r="N19" i="46"/>
  <c r="M19" i="46"/>
  <c r="L19" i="46"/>
  <c r="K19" i="46"/>
  <c r="J19" i="46"/>
  <c r="I19" i="46"/>
  <c r="H19" i="46"/>
  <c r="G19" i="46"/>
  <c r="F19" i="46"/>
  <c r="E19" i="46"/>
  <c r="D19" i="46"/>
  <c r="C19" i="46"/>
  <c r="V18" i="46"/>
  <c r="U18" i="46"/>
  <c r="T18" i="46"/>
  <c r="S18" i="46"/>
  <c r="R18" i="46"/>
  <c r="Q18" i="46"/>
  <c r="P18" i="46"/>
  <c r="O18" i="46"/>
  <c r="N18" i="46"/>
  <c r="M18" i="46"/>
  <c r="L18" i="46"/>
  <c r="K18" i="46"/>
  <c r="J18" i="46"/>
  <c r="I18" i="46"/>
  <c r="H18" i="46"/>
  <c r="G18" i="46"/>
  <c r="F18" i="46"/>
  <c r="E18" i="46"/>
  <c r="D18" i="46"/>
  <c r="C18" i="46"/>
  <c r="V17" i="46"/>
  <c r="U17" i="46"/>
  <c r="T17" i="46"/>
  <c r="S17" i="46"/>
  <c r="R17" i="46"/>
  <c r="Q17" i="46"/>
  <c r="P17" i="46"/>
  <c r="O17" i="46"/>
  <c r="N17" i="46"/>
  <c r="M17" i="46"/>
  <c r="L17" i="46"/>
  <c r="K17" i="46"/>
  <c r="J17" i="46"/>
  <c r="I17" i="46"/>
  <c r="H17" i="46"/>
  <c r="G17" i="46"/>
  <c r="F17" i="46"/>
  <c r="E17" i="46"/>
  <c r="D17" i="46"/>
  <c r="C17" i="46"/>
  <c r="V12" i="46"/>
  <c r="U12" i="46"/>
  <c r="T12" i="46"/>
  <c r="S12" i="46"/>
  <c r="R12" i="46"/>
  <c r="Q12" i="46"/>
  <c r="P12" i="46"/>
  <c r="O12" i="46"/>
  <c r="N12" i="46"/>
  <c r="M12" i="46"/>
  <c r="L12" i="46"/>
  <c r="K12" i="46"/>
  <c r="J12" i="46"/>
  <c r="I12" i="46"/>
  <c r="H12" i="46"/>
  <c r="G12" i="46"/>
  <c r="F12" i="46"/>
  <c r="E12" i="46"/>
  <c r="D12" i="46"/>
  <c r="C12" i="46"/>
  <c r="V9" i="46"/>
  <c r="U9" i="46"/>
  <c r="T9" i="46"/>
  <c r="S9" i="46"/>
  <c r="R9" i="46"/>
  <c r="Q9" i="46"/>
  <c r="P9" i="46"/>
  <c r="O9" i="46"/>
  <c r="N9" i="46"/>
  <c r="M9" i="46"/>
  <c r="L9" i="46"/>
  <c r="K9" i="46"/>
  <c r="J9" i="46"/>
  <c r="I9" i="46"/>
  <c r="H9" i="46"/>
  <c r="G9" i="46"/>
  <c r="F9" i="46"/>
  <c r="E9" i="46"/>
  <c r="D9" i="46"/>
  <c r="C9" i="46"/>
  <c r="V8" i="46"/>
  <c r="U8" i="46"/>
  <c r="T8" i="46"/>
  <c r="S8" i="46"/>
  <c r="R8" i="46"/>
  <c r="Q8" i="46"/>
  <c r="P8" i="46"/>
  <c r="O8" i="46"/>
  <c r="N8" i="46"/>
  <c r="M8" i="46"/>
  <c r="L8" i="46"/>
  <c r="K8" i="46"/>
  <c r="J8" i="46"/>
  <c r="I8" i="46"/>
  <c r="H8" i="46"/>
  <c r="G8" i="46"/>
  <c r="F8" i="46"/>
  <c r="E8" i="46"/>
  <c r="D8" i="46"/>
  <c r="C8" i="46"/>
  <c r="V7" i="46"/>
  <c r="U7" i="46"/>
  <c r="T7" i="46"/>
  <c r="S7" i="46"/>
  <c r="R7" i="46"/>
  <c r="Q7" i="46"/>
  <c r="P7" i="46"/>
  <c r="O7" i="46"/>
  <c r="N7" i="46"/>
  <c r="M7" i="46"/>
  <c r="L7" i="46"/>
  <c r="K7" i="46"/>
  <c r="J7" i="46"/>
  <c r="I7" i="46"/>
  <c r="H7" i="46"/>
  <c r="G7" i="46"/>
  <c r="F7" i="46"/>
  <c r="E7" i="46"/>
  <c r="D7" i="46"/>
  <c r="C7" i="46"/>
  <c r="D4" i="46"/>
  <c r="E4" i="46" s="1"/>
  <c r="F4" i="46" s="1"/>
  <c r="G4" i="46" s="1"/>
  <c r="H4" i="46" s="1"/>
  <c r="I4" i="46" s="1"/>
  <c r="J4" i="46" s="1"/>
  <c r="K4" i="46" s="1"/>
  <c r="L4" i="46" s="1"/>
  <c r="M4" i="46" s="1"/>
  <c r="N4" i="46" s="1"/>
  <c r="O4" i="46" s="1"/>
  <c r="P4" i="46" s="1"/>
  <c r="Q4" i="46" s="1"/>
  <c r="R4" i="46" s="1"/>
  <c r="S4" i="46" s="1"/>
  <c r="T4" i="46" s="1"/>
  <c r="U4" i="46" s="1"/>
  <c r="V4" i="46" s="1"/>
  <c r="D3" i="46"/>
  <c r="E3" i="46" s="1"/>
  <c r="F3" i="46" s="1"/>
  <c r="G3" i="46" s="1"/>
  <c r="H3" i="46" s="1"/>
  <c r="I3" i="46" s="1"/>
  <c r="J3" i="46" s="1"/>
  <c r="K3" i="46" s="1"/>
  <c r="L3" i="46" s="1"/>
  <c r="M3" i="46" s="1"/>
  <c r="N3" i="46" s="1"/>
  <c r="O3" i="46" s="1"/>
  <c r="P3" i="46" s="1"/>
  <c r="Q3" i="46" s="1"/>
  <c r="R3" i="46" s="1"/>
  <c r="S3" i="46" s="1"/>
  <c r="T3" i="46" s="1"/>
  <c r="U3" i="46" s="1"/>
  <c r="V3" i="46" s="1"/>
  <c r="F35" i="45"/>
  <c r="F41" i="45" s="1"/>
  <c r="E35" i="45"/>
  <c r="E41" i="45" s="1"/>
  <c r="D35" i="45"/>
  <c r="D41" i="45" s="1"/>
  <c r="C35" i="45"/>
  <c r="C41" i="45" s="1"/>
  <c r="B35" i="45"/>
  <c r="B41" i="45" s="1"/>
  <c r="G41" i="45" s="1"/>
  <c r="F34" i="45"/>
  <c r="F40" i="45" s="1"/>
  <c r="E34" i="45"/>
  <c r="E40" i="45" s="1"/>
  <c r="D34" i="45"/>
  <c r="D40" i="45" s="1"/>
  <c r="C34" i="45"/>
  <c r="C40" i="45" s="1"/>
  <c r="B34" i="45"/>
  <c r="B40" i="45" s="1"/>
  <c r="G40" i="45" s="1"/>
  <c r="F21" i="45"/>
  <c r="F27" i="45" s="1"/>
  <c r="F31" i="45" s="1"/>
  <c r="E21" i="45"/>
  <c r="E27" i="45" s="1"/>
  <c r="E31" i="45" s="1"/>
  <c r="D21" i="45"/>
  <c r="D27" i="45" s="1"/>
  <c r="D31" i="45" s="1"/>
  <c r="C21" i="45"/>
  <c r="C27" i="45" s="1"/>
  <c r="C31" i="45" s="1"/>
  <c r="B21" i="45"/>
  <c r="B27" i="45" s="1"/>
  <c r="F20" i="45"/>
  <c r="F26" i="45" s="1"/>
  <c r="F30" i="45" s="1"/>
  <c r="E20" i="45"/>
  <c r="E26" i="45" s="1"/>
  <c r="E30" i="45" s="1"/>
  <c r="D20" i="45"/>
  <c r="D26" i="45" s="1"/>
  <c r="D30" i="45" s="1"/>
  <c r="C20" i="45"/>
  <c r="C26" i="45" s="1"/>
  <c r="C30" i="45" s="1"/>
  <c r="B20" i="45"/>
  <c r="B26" i="45" s="1"/>
  <c r="I15" i="45"/>
  <c r="F7" i="45"/>
  <c r="F13" i="45" s="1"/>
  <c r="F17" i="45" s="1"/>
  <c r="E7" i="45"/>
  <c r="E13" i="45" s="1"/>
  <c r="E17" i="45" s="1"/>
  <c r="D7" i="45"/>
  <c r="D13" i="45" s="1"/>
  <c r="D17" i="45" s="1"/>
  <c r="C7" i="45"/>
  <c r="C13" i="45" s="1"/>
  <c r="C17" i="45" s="1"/>
  <c r="B7" i="45"/>
  <c r="B13" i="45" s="1"/>
  <c r="F6" i="45"/>
  <c r="F12" i="45" s="1"/>
  <c r="F16" i="45" s="1"/>
  <c r="E6" i="45"/>
  <c r="E12" i="45" s="1"/>
  <c r="E16" i="45" s="1"/>
  <c r="D6" i="45"/>
  <c r="D12" i="45" s="1"/>
  <c r="D16" i="45" s="1"/>
  <c r="C6" i="45"/>
  <c r="C12" i="45" s="1"/>
  <c r="C16" i="45" s="1"/>
  <c r="B6" i="45"/>
  <c r="B12" i="45" s="1"/>
  <c r="G3" i="45"/>
  <c r="G2" i="45"/>
  <c r="L19" i="31"/>
  <c r="K19" i="31"/>
  <c r="M19" i="31" s="1"/>
  <c r="L17" i="31"/>
  <c r="M17" i="31" s="1"/>
  <c r="K17" i="31"/>
  <c r="H3" i="33"/>
  <c r="I3" i="33" s="1"/>
  <c r="J3" i="33" s="1"/>
  <c r="K3" i="33" s="1"/>
  <c r="L3" i="33" s="1"/>
  <c r="M3" i="33" s="1"/>
  <c r="N3" i="33" s="1"/>
  <c r="O3" i="33" s="1"/>
  <c r="P3" i="33" s="1"/>
  <c r="Q3" i="33" s="1"/>
  <c r="R3" i="33" s="1"/>
  <c r="S3" i="33" s="1"/>
  <c r="T3" i="33" s="1"/>
  <c r="U3" i="33" s="1"/>
  <c r="V3" i="33" s="1"/>
  <c r="W3" i="33" s="1"/>
  <c r="X3" i="33" s="1"/>
  <c r="Y3" i="33" s="1"/>
  <c r="Z3" i="33" s="1"/>
  <c r="AA3" i="33" s="1"/>
  <c r="AB3" i="33" s="1"/>
  <c r="AC3" i="33" s="1"/>
  <c r="AD3" i="33" s="1"/>
  <c r="AE3" i="33" s="1"/>
  <c r="D4" i="33"/>
  <c r="E4" i="33" s="1"/>
  <c r="F4" i="33" s="1"/>
  <c r="G4" i="33" s="1"/>
  <c r="D5" i="33"/>
  <c r="D7" i="33" s="1"/>
  <c r="E5" i="33"/>
  <c r="F5" i="33"/>
  <c r="D6" i="33"/>
  <c r="V11" i="42"/>
  <c r="U11" i="42"/>
  <c r="T11" i="42"/>
  <c r="S11" i="42"/>
  <c r="R11" i="42"/>
  <c r="Q11" i="42"/>
  <c r="P11" i="42"/>
  <c r="O11" i="42"/>
  <c r="N11" i="42"/>
  <c r="M11" i="42"/>
  <c r="L11" i="42"/>
  <c r="K11" i="42"/>
  <c r="J11" i="42"/>
  <c r="I11" i="42"/>
  <c r="H11" i="42"/>
  <c r="G11" i="42"/>
  <c r="F11" i="42"/>
  <c r="E11" i="42"/>
  <c r="D11" i="42"/>
  <c r="C11" i="42"/>
  <c r="D6" i="42"/>
  <c r="E6" i="42" s="1"/>
  <c r="F6" i="42" s="1"/>
  <c r="G6" i="42" s="1"/>
  <c r="H6" i="42" s="1"/>
  <c r="I6" i="42" s="1"/>
  <c r="J6" i="42" s="1"/>
  <c r="K6" i="42" s="1"/>
  <c r="L6" i="42" s="1"/>
  <c r="M6" i="42" s="1"/>
  <c r="N6" i="42" s="1"/>
  <c r="O6" i="42" s="1"/>
  <c r="P6" i="42" s="1"/>
  <c r="Q6" i="42" s="1"/>
  <c r="R6" i="42" s="1"/>
  <c r="S6" i="42" s="1"/>
  <c r="T6" i="42" s="1"/>
  <c r="U6" i="42" s="1"/>
  <c r="V6" i="42" s="1"/>
  <c r="D5" i="42"/>
  <c r="E5" i="42" s="1"/>
  <c r="F5" i="42" s="1"/>
  <c r="G5" i="42" s="1"/>
  <c r="H5" i="42" s="1"/>
  <c r="I5" i="42" s="1"/>
  <c r="J5" i="42" s="1"/>
  <c r="K5" i="42" s="1"/>
  <c r="L5" i="42" s="1"/>
  <c r="M5" i="42" s="1"/>
  <c r="N5" i="42" s="1"/>
  <c r="O5" i="42" s="1"/>
  <c r="P5" i="42" s="1"/>
  <c r="Q5" i="42" s="1"/>
  <c r="R5" i="42" s="1"/>
  <c r="S5" i="42" s="1"/>
  <c r="T5" i="42" s="1"/>
  <c r="U5" i="42" s="1"/>
  <c r="V5" i="42" s="1"/>
  <c r="AB5" i="41"/>
  <c r="AB6" i="41" s="1"/>
  <c r="AA5" i="41"/>
  <c r="AA6" i="41" s="1"/>
  <c r="Z5" i="41"/>
  <c r="Z6" i="41" s="1"/>
  <c r="AA4" i="41"/>
  <c r="AB4" i="41" s="1"/>
  <c r="Z4" i="41"/>
  <c r="Z3" i="41"/>
  <c r="AA3" i="41" s="1"/>
  <c r="AB3" i="41" s="1"/>
  <c r="J19" i="31"/>
  <c r="J20" i="31" s="1"/>
  <c r="H19" i="31"/>
  <c r="H20" i="31" s="1"/>
  <c r="F19" i="31"/>
  <c r="F20" i="31" s="1"/>
  <c r="D19" i="31"/>
  <c r="D20" i="31" s="1"/>
  <c r="J15" i="31"/>
  <c r="J16" i="31" s="1"/>
  <c r="F15" i="31"/>
  <c r="F16" i="31" s="1"/>
  <c r="H15" i="31"/>
  <c r="C15" i="31"/>
  <c r="E21" i="40"/>
  <c r="D21" i="40"/>
  <c r="C21" i="40"/>
  <c r="B21" i="40"/>
  <c r="E9" i="3"/>
  <c r="E8" i="3"/>
  <c r="D9" i="3"/>
  <c r="D8" i="3"/>
  <c r="F119" i="44"/>
  <c r="G119" i="44" s="1"/>
  <c r="H119" i="44" s="1"/>
  <c r="I119" i="44" s="1"/>
  <c r="J119" i="44" s="1"/>
  <c r="K119" i="44" s="1"/>
  <c r="L119" i="44" s="1"/>
  <c r="M119" i="44" s="1"/>
  <c r="N119" i="44" s="1"/>
  <c r="O119" i="44" s="1"/>
  <c r="P119" i="44" s="1"/>
  <c r="Q119" i="44" s="1"/>
  <c r="R119" i="44" s="1"/>
  <c r="S119" i="44" s="1"/>
  <c r="T119" i="44" s="1"/>
  <c r="U119" i="44" s="1"/>
  <c r="V119" i="44" s="1"/>
  <c r="W119" i="44" s="1"/>
  <c r="X119" i="44" s="1"/>
  <c r="Y119" i="44" s="1"/>
  <c r="Z119" i="44" s="1"/>
  <c r="AA119" i="44" s="1"/>
  <c r="AB119" i="44" s="1"/>
  <c r="AC119" i="44" s="1"/>
  <c r="AD119" i="44" s="1"/>
  <c r="AE119" i="44" s="1"/>
  <c r="AF119" i="44" s="1"/>
  <c r="AG119" i="44" s="1"/>
  <c r="AH119" i="44" s="1"/>
  <c r="AI119" i="44" s="1"/>
  <c r="AJ119" i="44" s="1"/>
  <c r="AK119" i="44" s="1"/>
  <c r="AL119" i="44" s="1"/>
  <c r="AM119" i="44" s="1"/>
  <c r="AN119" i="44" s="1"/>
  <c r="AO119" i="44" s="1"/>
  <c r="F117" i="44"/>
  <c r="G117" i="44" s="1"/>
  <c r="H117" i="44" s="1"/>
  <c r="I117" i="44" s="1"/>
  <c r="J117" i="44" s="1"/>
  <c r="K117" i="44" s="1"/>
  <c r="L117" i="44" s="1"/>
  <c r="M117" i="44" s="1"/>
  <c r="N117" i="44" s="1"/>
  <c r="O117" i="44" s="1"/>
  <c r="P117" i="44" s="1"/>
  <c r="Q117" i="44" s="1"/>
  <c r="R117" i="44" s="1"/>
  <c r="S117" i="44" s="1"/>
  <c r="T117" i="44" s="1"/>
  <c r="U117" i="44" s="1"/>
  <c r="V117" i="44" s="1"/>
  <c r="W117" i="44" s="1"/>
  <c r="X117" i="44" s="1"/>
  <c r="Y117" i="44" s="1"/>
  <c r="Z117" i="44" s="1"/>
  <c r="AA117" i="44" s="1"/>
  <c r="AB117" i="44" s="1"/>
  <c r="AC117" i="44" s="1"/>
  <c r="AD117" i="44" s="1"/>
  <c r="AE117" i="44" s="1"/>
  <c r="AF117" i="44" s="1"/>
  <c r="AG117" i="44" s="1"/>
  <c r="AH117" i="44" s="1"/>
  <c r="AI117" i="44" s="1"/>
  <c r="AJ117" i="44" s="1"/>
  <c r="AK117" i="44" s="1"/>
  <c r="AL117" i="44" s="1"/>
  <c r="AM117" i="44" s="1"/>
  <c r="AN117" i="44" s="1"/>
  <c r="AO117" i="44" s="1"/>
  <c r="F116" i="44"/>
  <c r="G116" i="44" s="1"/>
  <c r="H116" i="44" s="1"/>
  <c r="I116" i="44" s="1"/>
  <c r="J116" i="44" s="1"/>
  <c r="K116" i="44" s="1"/>
  <c r="L116" i="44" s="1"/>
  <c r="M116" i="44" s="1"/>
  <c r="N116" i="44" s="1"/>
  <c r="O116" i="44" s="1"/>
  <c r="P116" i="44" s="1"/>
  <c r="Q116" i="44" s="1"/>
  <c r="R116" i="44" s="1"/>
  <c r="S116" i="44" s="1"/>
  <c r="T116" i="44" s="1"/>
  <c r="U116" i="44" s="1"/>
  <c r="V116" i="44" s="1"/>
  <c r="W116" i="44" s="1"/>
  <c r="X116" i="44" s="1"/>
  <c r="Y116" i="44" s="1"/>
  <c r="Z116" i="44" s="1"/>
  <c r="AA116" i="44" s="1"/>
  <c r="AB116" i="44" s="1"/>
  <c r="AC116" i="44" s="1"/>
  <c r="AD116" i="44" s="1"/>
  <c r="AE116" i="44" s="1"/>
  <c r="AF116" i="44" s="1"/>
  <c r="AG116" i="44" s="1"/>
  <c r="AH116" i="44" s="1"/>
  <c r="AI116" i="44" s="1"/>
  <c r="AJ116" i="44" s="1"/>
  <c r="AK116" i="44" s="1"/>
  <c r="AL116" i="44" s="1"/>
  <c r="AM116" i="44" s="1"/>
  <c r="AN116" i="44" s="1"/>
  <c r="AO116" i="44" s="1"/>
  <c r="G112" i="44"/>
  <c r="H112" i="44" s="1"/>
  <c r="I112" i="44" s="1"/>
  <c r="J112" i="44" s="1"/>
  <c r="K112" i="44" s="1"/>
  <c r="L112" i="44" s="1"/>
  <c r="M112" i="44" s="1"/>
  <c r="N112" i="44" s="1"/>
  <c r="O112" i="44" s="1"/>
  <c r="P112" i="44" s="1"/>
  <c r="Q112" i="44" s="1"/>
  <c r="R112" i="44" s="1"/>
  <c r="S112" i="44" s="1"/>
  <c r="T112" i="44" s="1"/>
  <c r="U112" i="44" s="1"/>
  <c r="V112" i="44" s="1"/>
  <c r="W112" i="44" s="1"/>
  <c r="X112" i="44" s="1"/>
  <c r="Y112" i="44" s="1"/>
  <c r="Z112" i="44" s="1"/>
  <c r="AA112" i="44" s="1"/>
  <c r="AB112" i="44" s="1"/>
  <c r="AC112" i="44" s="1"/>
  <c r="AD112" i="44" s="1"/>
  <c r="AE112" i="44" s="1"/>
  <c r="AF112" i="44" s="1"/>
  <c r="AG112" i="44" s="1"/>
  <c r="AH112" i="44" s="1"/>
  <c r="AI112" i="44" s="1"/>
  <c r="AJ112" i="44" s="1"/>
  <c r="AK112" i="44" s="1"/>
  <c r="AL112" i="44" s="1"/>
  <c r="AM112" i="44" s="1"/>
  <c r="G111" i="44"/>
  <c r="H111" i="44" s="1"/>
  <c r="I111" i="44" s="1"/>
  <c r="J111" i="44" s="1"/>
  <c r="K111" i="44" s="1"/>
  <c r="L111" i="44" s="1"/>
  <c r="M111" i="44" s="1"/>
  <c r="N111" i="44" s="1"/>
  <c r="O111" i="44" s="1"/>
  <c r="P111" i="44" s="1"/>
  <c r="Q111" i="44" s="1"/>
  <c r="R111" i="44" s="1"/>
  <c r="S111" i="44" s="1"/>
  <c r="T111" i="44" s="1"/>
  <c r="U111" i="44" s="1"/>
  <c r="V111" i="44" s="1"/>
  <c r="W111" i="44" s="1"/>
  <c r="X111" i="44" s="1"/>
  <c r="Y111" i="44" s="1"/>
  <c r="Z111" i="44" s="1"/>
  <c r="AA111" i="44" s="1"/>
  <c r="AB111" i="44" s="1"/>
  <c r="AC111" i="44" s="1"/>
  <c r="AD111" i="44" s="1"/>
  <c r="AE111" i="44" s="1"/>
  <c r="AF111" i="44" s="1"/>
  <c r="AG111" i="44" s="1"/>
  <c r="AH111" i="44" s="1"/>
  <c r="AI111" i="44" s="1"/>
  <c r="AJ111" i="44" s="1"/>
  <c r="AK111" i="44" s="1"/>
  <c r="AL111" i="44" s="1"/>
  <c r="G110" i="44"/>
  <c r="H110" i="44" s="1"/>
  <c r="I110" i="44" s="1"/>
  <c r="J110" i="44" s="1"/>
  <c r="K110" i="44" s="1"/>
  <c r="L110" i="44" s="1"/>
  <c r="M110" i="44" s="1"/>
  <c r="N110" i="44" s="1"/>
  <c r="O110" i="44" s="1"/>
  <c r="P110" i="44" s="1"/>
  <c r="Q110" i="44" s="1"/>
  <c r="R110" i="44" s="1"/>
  <c r="S110" i="44" s="1"/>
  <c r="T110" i="44" s="1"/>
  <c r="U110" i="44" s="1"/>
  <c r="V110" i="44" s="1"/>
  <c r="W110" i="44" s="1"/>
  <c r="X110" i="44" s="1"/>
  <c r="Y110" i="44" s="1"/>
  <c r="Z110" i="44" s="1"/>
  <c r="AA110" i="44" s="1"/>
  <c r="AB110" i="44" s="1"/>
  <c r="AC110" i="44" s="1"/>
  <c r="AD110" i="44" s="1"/>
  <c r="AE110" i="44" s="1"/>
  <c r="AF110" i="44" s="1"/>
  <c r="AG110" i="44" s="1"/>
  <c r="AH110" i="44" s="1"/>
  <c r="AI110" i="44" s="1"/>
  <c r="AJ110" i="44" s="1"/>
  <c r="AK110" i="44" s="1"/>
  <c r="AL110" i="44" s="1"/>
  <c r="AM110" i="44" s="1"/>
  <c r="G109" i="44"/>
  <c r="H109" i="44" s="1"/>
  <c r="I109" i="44" s="1"/>
  <c r="J109" i="44" s="1"/>
  <c r="K109" i="44" s="1"/>
  <c r="L109" i="44" s="1"/>
  <c r="M109" i="44" s="1"/>
  <c r="N109" i="44" s="1"/>
  <c r="O109" i="44" s="1"/>
  <c r="P109" i="44" s="1"/>
  <c r="Q109" i="44" s="1"/>
  <c r="R109" i="44" s="1"/>
  <c r="S109" i="44" s="1"/>
  <c r="T109" i="44" s="1"/>
  <c r="U109" i="44" s="1"/>
  <c r="V109" i="44" s="1"/>
  <c r="W109" i="44" s="1"/>
  <c r="X109" i="44" s="1"/>
  <c r="Y109" i="44" s="1"/>
  <c r="Z109" i="44" s="1"/>
  <c r="AA109" i="44" s="1"/>
  <c r="AB109" i="44" s="1"/>
  <c r="AC109" i="44" s="1"/>
  <c r="AD109" i="44" s="1"/>
  <c r="AE109" i="44" s="1"/>
  <c r="AF109" i="44" s="1"/>
  <c r="AG109" i="44" s="1"/>
  <c r="AH109" i="44" s="1"/>
  <c r="AI109" i="44" s="1"/>
  <c r="AJ109" i="44" s="1"/>
  <c r="AK109" i="44" s="1"/>
  <c r="AL109" i="44" s="1"/>
  <c r="AM109" i="44" s="1"/>
  <c r="F108" i="44"/>
  <c r="G108" i="44" s="1"/>
  <c r="H108" i="44" s="1"/>
  <c r="I108" i="44" s="1"/>
  <c r="J108" i="44" s="1"/>
  <c r="K108" i="44" s="1"/>
  <c r="L108" i="44" s="1"/>
  <c r="M108" i="44" s="1"/>
  <c r="N108" i="44" s="1"/>
  <c r="O108" i="44" s="1"/>
  <c r="P108" i="44" s="1"/>
  <c r="Q108" i="44" s="1"/>
  <c r="R108" i="44" s="1"/>
  <c r="S108" i="44" s="1"/>
  <c r="T108" i="44" s="1"/>
  <c r="U108" i="44" s="1"/>
  <c r="V108" i="44" s="1"/>
  <c r="W108" i="44" s="1"/>
  <c r="X108" i="44" s="1"/>
  <c r="Y108" i="44" s="1"/>
  <c r="Z108" i="44" s="1"/>
  <c r="AA108" i="44" s="1"/>
  <c r="AB108" i="44" s="1"/>
  <c r="AC108" i="44" s="1"/>
  <c r="AD108" i="44" s="1"/>
  <c r="AE108" i="44" s="1"/>
  <c r="AF108" i="44" s="1"/>
  <c r="AG108" i="44" s="1"/>
  <c r="AH108" i="44" s="1"/>
  <c r="AI108" i="44" s="1"/>
  <c r="AJ108" i="44" s="1"/>
  <c r="AK108" i="44" s="1"/>
  <c r="AL108" i="44" s="1"/>
  <c r="AM108" i="44" s="1"/>
  <c r="F101" i="44"/>
  <c r="G101" i="44" s="1"/>
  <c r="H101" i="44" s="1"/>
  <c r="I101" i="44" s="1"/>
  <c r="J101" i="44" s="1"/>
  <c r="K101" i="44" s="1"/>
  <c r="L101" i="44" s="1"/>
  <c r="M101" i="44" s="1"/>
  <c r="N101" i="44" s="1"/>
  <c r="O101" i="44" s="1"/>
  <c r="P101" i="44" s="1"/>
  <c r="Q101" i="44" s="1"/>
  <c r="R101" i="44" s="1"/>
  <c r="S101" i="44" s="1"/>
  <c r="T101" i="44" s="1"/>
  <c r="U101" i="44" s="1"/>
  <c r="V101" i="44" s="1"/>
  <c r="W101" i="44" s="1"/>
  <c r="X101" i="44" s="1"/>
  <c r="Y101" i="44" s="1"/>
  <c r="Z101" i="44" s="1"/>
  <c r="AA101" i="44" s="1"/>
  <c r="AB101" i="44" s="1"/>
  <c r="AC101" i="44" s="1"/>
  <c r="AD101" i="44" s="1"/>
  <c r="AE101" i="44" s="1"/>
  <c r="AF101" i="44" s="1"/>
  <c r="AG101" i="44" s="1"/>
  <c r="AH101" i="44" s="1"/>
  <c r="AI101" i="44" s="1"/>
  <c r="AJ101" i="44" s="1"/>
  <c r="AK101" i="44" s="1"/>
  <c r="AL101" i="44" s="1"/>
  <c r="L97" i="44"/>
  <c r="L96" i="44"/>
  <c r="J96" i="44"/>
  <c r="L95" i="44"/>
  <c r="L94" i="44"/>
  <c r="L92" i="44"/>
  <c r="L91" i="44"/>
  <c r="L90" i="44"/>
  <c r="L89" i="44"/>
  <c r="L87" i="44"/>
  <c r="L86" i="44"/>
  <c r="L85" i="44"/>
  <c r="L84" i="44"/>
  <c r="F83" i="44"/>
  <c r="G83" i="44" s="1"/>
  <c r="H83" i="44" s="1"/>
  <c r="I83" i="44" s="1"/>
  <c r="I60" i="44"/>
  <c r="I59" i="44"/>
  <c r="J59" i="44" s="1"/>
  <c r="I58" i="44"/>
  <c r="I57" i="44"/>
  <c r="I55" i="44"/>
  <c r="I54" i="44"/>
  <c r="I53" i="44"/>
  <c r="I52" i="44"/>
  <c r="I50" i="44"/>
  <c r="I49" i="44"/>
  <c r="I48" i="44"/>
  <c r="I47" i="44"/>
  <c r="B33" i="44"/>
  <c r="B34" i="44" s="1"/>
  <c r="I64" i="44" s="1"/>
  <c r="J64" i="44" s="1"/>
  <c r="B29" i="44"/>
  <c r="B27" i="44"/>
  <c r="B25" i="44"/>
  <c r="B14" i="44"/>
  <c r="B15" i="44" s="1"/>
  <c r="B16" i="44" s="1"/>
  <c r="B12" i="44"/>
  <c r="B10" i="46" l="1"/>
  <c r="B21" i="46"/>
  <c r="R21" i="46" s="1"/>
  <c r="R25" i="46" s="1"/>
  <c r="E6" i="33"/>
  <c r="F6" i="33" s="1"/>
  <c r="F7" i="33" s="1"/>
  <c r="E7" i="33"/>
  <c r="E11" i="33" s="1"/>
  <c r="E17" i="33" s="1"/>
  <c r="AG10" i="47"/>
  <c r="AG14" i="47" s="1"/>
  <c r="AF10" i="47"/>
  <c r="AF14" i="47" s="1"/>
  <c r="AE10" i="47"/>
  <c r="AE14" i="47" s="1"/>
  <c r="AD10" i="47"/>
  <c r="AD14" i="47" s="1"/>
  <c r="AC10" i="47"/>
  <c r="AC14" i="47" s="1"/>
  <c r="AB10" i="47"/>
  <c r="AB14" i="47" s="1"/>
  <c r="AA10" i="47"/>
  <c r="AA14" i="47" s="1"/>
  <c r="Z10" i="47"/>
  <c r="Z14" i="47" s="1"/>
  <c r="Y10" i="47"/>
  <c r="Y14" i="47" s="1"/>
  <c r="X10" i="47"/>
  <c r="X14" i="47" s="1"/>
  <c r="W10" i="47"/>
  <c r="W14" i="47" s="1"/>
  <c r="V10" i="47"/>
  <c r="V14" i="47" s="1"/>
  <c r="U10" i="47"/>
  <c r="U14" i="47" s="1"/>
  <c r="T10" i="47"/>
  <c r="T14" i="47" s="1"/>
  <c r="S10" i="47"/>
  <c r="S14" i="47" s="1"/>
  <c r="R10" i="47"/>
  <c r="R14" i="47" s="1"/>
  <c r="Q10" i="47"/>
  <c r="Q14" i="47" s="1"/>
  <c r="P10" i="47"/>
  <c r="P14" i="47" s="1"/>
  <c r="O10" i="47"/>
  <c r="O14" i="47" s="1"/>
  <c r="N10" i="47"/>
  <c r="N14" i="47" s="1"/>
  <c r="M10" i="47"/>
  <c r="M14" i="47" s="1"/>
  <c r="L10" i="47"/>
  <c r="L14" i="47" s="1"/>
  <c r="K10" i="47"/>
  <c r="K14" i="47" s="1"/>
  <c r="J10" i="47"/>
  <c r="J14" i="47" s="1"/>
  <c r="I10" i="47"/>
  <c r="I14" i="47" s="1"/>
  <c r="H10" i="47"/>
  <c r="H14" i="47" s="1"/>
  <c r="G10" i="47"/>
  <c r="G14" i="47" s="1"/>
  <c r="F10" i="47"/>
  <c r="F14" i="47" s="1"/>
  <c r="E10" i="47"/>
  <c r="E14" i="47" s="1"/>
  <c r="D10" i="47"/>
  <c r="D14" i="47" s="1"/>
  <c r="AG21" i="47"/>
  <c r="AG25" i="47" s="1"/>
  <c r="AF21" i="47"/>
  <c r="AF25" i="47" s="1"/>
  <c r="AE21" i="47"/>
  <c r="AE25" i="47" s="1"/>
  <c r="AD21" i="47"/>
  <c r="AD25" i="47" s="1"/>
  <c r="AC21" i="47"/>
  <c r="AC25" i="47" s="1"/>
  <c r="AB21" i="47"/>
  <c r="AB25" i="47" s="1"/>
  <c r="AA21" i="47"/>
  <c r="AA25" i="47" s="1"/>
  <c r="Z21" i="47"/>
  <c r="Z25" i="47" s="1"/>
  <c r="Y21" i="47"/>
  <c r="Y25" i="47" s="1"/>
  <c r="X21" i="47"/>
  <c r="X25" i="47" s="1"/>
  <c r="W21" i="47"/>
  <c r="W25" i="47" s="1"/>
  <c r="V21" i="47"/>
  <c r="V25" i="47" s="1"/>
  <c r="U21" i="47"/>
  <c r="U25" i="47" s="1"/>
  <c r="T21" i="47"/>
  <c r="T25" i="47" s="1"/>
  <c r="S21" i="47"/>
  <c r="S25" i="47" s="1"/>
  <c r="R21" i="47"/>
  <c r="R25" i="47" s="1"/>
  <c r="Q21" i="47"/>
  <c r="Q25" i="47" s="1"/>
  <c r="P21" i="47"/>
  <c r="P25" i="47" s="1"/>
  <c r="O21" i="47"/>
  <c r="O25" i="47" s="1"/>
  <c r="N21" i="47"/>
  <c r="N25" i="47" s="1"/>
  <c r="M21" i="47"/>
  <c r="M25" i="47" s="1"/>
  <c r="L21" i="47"/>
  <c r="L25" i="47" s="1"/>
  <c r="K21" i="47"/>
  <c r="K25" i="47" s="1"/>
  <c r="J21" i="47"/>
  <c r="J25" i="47" s="1"/>
  <c r="I21" i="47"/>
  <c r="I25" i="47" s="1"/>
  <c r="H21" i="47"/>
  <c r="H25" i="47" s="1"/>
  <c r="G21" i="47"/>
  <c r="G25" i="47" s="1"/>
  <c r="F21" i="47"/>
  <c r="F25" i="47" s="1"/>
  <c r="E21" i="47"/>
  <c r="E25" i="47" s="1"/>
  <c r="D21" i="47"/>
  <c r="D25" i="47" s="1"/>
  <c r="V10" i="46"/>
  <c r="V14" i="46" s="1"/>
  <c r="U10" i="46"/>
  <c r="U14" i="46" s="1"/>
  <c r="T10" i="46"/>
  <c r="T14" i="46" s="1"/>
  <c r="S10" i="46"/>
  <c r="S14" i="46" s="1"/>
  <c r="R10" i="46"/>
  <c r="R14" i="46" s="1"/>
  <c r="Q10" i="46"/>
  <c r="Q14" i="46" s="1"/>
  <c r="P10" i="46"/>
  <c r="P14" i="46" s="1"/>
  <c r="O10" i="46"/>
  <c r="O14" i="46" s="1"/>
  <c r="N10" i="46"/>
  <c r="N14" i="46" s="1"/>
  <c r="M10" i="46"/>
  <c r="M14" i="46" s="1"/>
  <c r="L10" i="46"/>
  <c r="L14" i="46" s="1"/>
  <c r="K10" i="46"/>
  <c r="K14" i="46" s="1"/>
  <c r="J10" i="46"/>
  <c r="J14" i="46" s="1"/>
  <c r="I10" i="46"/>
  <c r="I14" i="46" s="1"/>
  <c r="H10" i="46"/>
  <c r="H14" i="46" s="1"/>
  <c r="G10" i="46"/>
  <c r="G14" i="46" s="1"/>
  <c r="F10" i="46"/>
  <c r="F14" i="46" s="1"/>
  <c r="E10" i="46"/>
  <c r="E14" i="46" s="1"/>
  <c r="D10" i="46"/>
  <c r="D14" i="46" s="1"/>
  <c r="C10" i="46"/>
  <c r="C14" i="46" s="1"/>
  <c r="V21" i="46"/>
  <c r="V25" i="46" s="1"/>
  <c r="U21" i="46"/>
  <c r="U25" i="46" s="1"/>
  <c r="T21" i="46"/>
  <c r="T25" i="46" s="1"/>
  <c r="S21" i="46"/>
  <c r="S25" i="46" s="1"/>
  <c r="Q21" i="46"/>
  <c r="Q25" i="46" s="1"/>
  <c r="P21" i="46"/>
  <c r="P25" i="46" s="1"/>
  <c r="O21" i="46"/>
  <c r="O25" i="46" s="1"/>
  <c r="N21" i="46"/>
  <c r="N25" i="46" s="1"/>
  <c r="M21" i="46"/>
  <c r="M25" i="46" s="1"/>
  <c r="L21" i="46"/>
  <c r="L25" i="46" s="1"/>
  <c r="K21" i="46"/>
  <c r="K25" i="46" s="1"/>
  <c r="I21" i="46"/>
  <c r="I25" i="46" s="1"/>
  <c r="H21" i="46"/>
  <c r="H25" i="46" s="1"/>
  <c r="G21" i="46"/>
  <c r="G25" i="46" s="1"/>
  <c r="F21" i="46"/>
  <c r="F25" i="46" s="1"/>
  <c r="E21" i="46"/>
  <c r="E25" i="46" s="1"/>
  <c r="D21" i="46"/>
  <c r="D25" i="46" s="1"/>
  <c r="C21" i="46"/>
  <c r="C25" i="46" s="1"/>
  <c r="B16" i="45"/>
  <c r="G16" i="45" s="1"/>
  <c r="G12" i="45"/>
  <c r="B17" i="45"/>
  <c r="G17" i="45" s="1"/>
  <c r="G13" i="45"/>
  <c r="B30" i="45"/>
  <c r="G30" i="45" s="1"/>
  <c r="G26" i="45"/>
  <c r="B31" i="45"/>
  <c r="G31" i="45" s="1"/>
  <c r="G27" i="45"/>
  <c r="C17" i="31"/>
  <c r="C18" i="31" s="1"/>
  <c r="H17" i="31"/>
  <c r="H18" i="31" s="1"/>
  <c r="G17" i="31"/>
  <c r="G18" i="31" s="1"/>
  <c r="D15" i="31"/>
  <c r="E10" i="33"/>
  <c r="E16" i="33" s="1"/>
  <c r="E13" i="33"/>
  <c r="E19" i="33" s="1"/>
  <c r="D11" i="33"/>
  <c r="D17" i="33" s="1"/>
  <c r="D12" i="33"/>
  <c r="D18" i="33" s="1"/>
  <c r="D10" i="33"/>
  <c r="D16" i="33" s="1"/>
  <c r="D13" i="33"/>
  <c r="D19" i="33" s="1"/>
  <c r="I17" i="31"/>
  <c r="I18" i="31" s="1"/>
  <c r="C16" i="31"/>
  <c r="E17" i="31"/>
  <c r="E18" i="31" s="1"/>
  <c r="J17" i="31"/>
  <c r="J18" i="31" s="1"/>
  <c r="F17" i="31"/>
  <c r="D16" i="31"/>
  <c r="D17" i="31"/>
  <c r="G5" i="41"/>
  <c r="G6" i="41" s="1"/>
  <c r="J21" i="46" l="1"/>
  <c r="J25" i="46" s="1"/>
  <c r="F10" i="33"/>
  <c r="F16" i="33" s="1"/>
  <c r="F11" i="33"/>
  <c r="F17" i="33" s="1"/>
  <c r="E12" i="33"/>
  <c r="E18" i="33" s="1"/>
  <c r="F18" i="31"/>
  <c r="N7" i="31"/>
  <c r="C6" i="34" s="1"/>
  <c r="D27" i="47"/>
  <c r="E27" i="47"/>
  <c r="F27" i="47"/>
  <c r="G27" i="47"/>
  <c r="H27" i="47"/>
  <c r="I27" i="47"/>
  <c r="J27" i="47"/>
  <c r="K27" i="47"/>
  <c r="L27" i="47"/>
  <c r="M27" i="47"/>
  <c r="N27" i="47"/>
  <c r="O27" i="47"/>
  <c r="P27" i="47"/>
  <c r="Q27" i="47"/>
  <c r="R27" i="47"/>
  <c r="S27" i="47"/>
  <c r="T27" i="47"/>
  <c r="U27" i="47"/>
  <c r="V27" i="47"/>
  <c r="W27" i="47"/>
  <c r="X27" i="47"/>
  <c r="Y27" i="47"/>
  <c r="Z27" i="47"/>
  <c r="AA27" i="47"/>
  <c r="AB27" i="47"/>
  <c r="AC27" i="47"/>
  <c r="AD27" i="47"/>
  <c r="AE27" i="47"/>
  <c r="AF27" i="47"/>
  <c r="AG27" i="47"/>
  <c r="C27" i="46"/>
  <c r="D27" i="46"/>
  <c r="E27" i="46"/>
  <c r="F27" i="46"/>
  <c r="G27" i="46"/>
  <c r="H27" i="46"/>
  <c r="I27" i="46"/>
  <c r="J27" i="46"/>
  <c r="K27" i="46"/>
  <c r="L27" i="46"/>
  <c r="M27" i="46"/>
  <c r="N27" i="46"/>
  <c r="O27" i="46"/>
  <c r="P27" i="46"/>
  <c r="Q27" i="46"/>
  <c r="R27" i="46"/>
  <c r="S27" i="46"/>
  <c r="T27" i="46"/>
  <c r="U27" i="46"/>
  <c r="V27" i="46"/>
  <c r="F12" i="33"/>
  <c r="F18" i="33" s="1"/>
  <c r="F13" i="33"/>
  <c r="F19" i="33" s="1"/>
  <c r="H16" i="31"/>
  <c r="AM111" i="44"/>
  <c r="B28" i="3"/>
  <c r="B27" i="3"/>
  <c r="AC15" i="28"/>
  <c r="AB15" i="28"/>
  <c r="AA15" i="28"/>
  <c r="Z15" i="28"/>
  <c r="Y15" i="28"/>
  <c r="X15" i="28"/>
  <c r="W15" i="28"/>
  <c r="V15" i="28"/>
  <c r="U15" i="28"/>
  <c r="T15" i="28"/>
  <c r="S15" i="28"/>
  <c r="R15" i="28"/>
  <c r="Q15" i="28"/>
  <c r="P15" i="28"/>
  <c r="O15" i="28"/>
  <c r="N15" i="28"/>
  <c r="M15" i="28"/>
  <c r="L15" i="28"/>
  <c r="K15" i="28"/>
  <c r="J15" i="28"/>
  <c r="I15" i="28"/>
  <c r="H15" i="28"/>
  <c r="G15" i="28"/>
  <c r="F15" i="28"/>
  <c r="E15" i="28"/>
  <c r="D15" i="28"/>
  <c r="C15" i="28"/>
  <c r="B15" i="28"/>
  <c r="AC14" i="28"/>
  <c r="AC16" i="28" s="1"/>
  <c r="AB14" i="28"/>
  <c r="AB16" i="28" s="1"/>
  <c r="AA14" i="28"/>
  <c r="AA16" i="28" s="1"/>
  <c r="Z14" i="28"/>
  <c r="Z16" i="28" s="1"/>
  <c r="Y14" i="28"/>
  <c r="Y16" i="28" s="1"/>
  <c r="X14" i="28"/>
  <c r="X16" i="28" s="1"/>
  <c r="W14" i="28"/>
  <c r="W16" i="28" s="1"/>
  <c r="V14" i="28"/>
  <c r="V16" i="28" s="1"/>
  <c r="U14" i="28"/>
  <c r="U16" i="28" s="1"/>
  <c r="T14" i="28"/>
  <c r="T16" i="28" s="1"/>
  <c r="S14" i="28"/>
  <c r="S16" i="28" s="1"/>
  <c r="R14" i="28"/>
  <c r="R16" i="28" s="1"/>
  <c r="Q14" i="28"/>
  <c r="Q16" i="28" s="1"/>
  <c r="P14" i="28"/>
  <c r="P16" i="28" s="1"/>
  <c r="O14" i="28"/>
  <c r="O16" i="28" s="1"/>
  <c r="N14" i="28"/>
  <c r="N16" i="28" s="1"/>
  <c r="M14" i="28"/>
  <c r="M16" i="28" s="1"/>
  <c r="L14" i="28"/>
  <c r="L16" i="28" s="1"/>
  <c r="K14" i="28"/>
  <c r="K16" i="28" s="1"/>
  <c r="J14" i="28"/>
  <c r="J16" i="28" s="1"/>
  <c r="I14" i="28"/>
  <c r="I16" i="28" s="1"/>
  <c r="H14" i="28"/>
  <c r="H16" i="28" s="1"/>
  <c r="G14" i="28"/>
  <c r="G16" i="28" s="1"/>
  <c r="F14" i="28"/>
  <c r="F16" i="28" s="1"/>
  <c r="E14" i="28"/>
  <c r="E16" i="28" s="1"/>
  <c r="D14" i="28"/>
  <c r="D16" i="28" s="1"/>
  <c r="C14" i="28"/>
  <c r="C16" i="28" s="1"/>
  <c r="B14" i="28"/>
  <c r="B16" i="28" s="1"/>
  <c r="C94" i="28"/>
  <c r="I90" i="28"/>
  <c r="H90" i="28"/>
  <c r="E90" i="28"/>
  <c r="D90" i="28"/>
  <c r="C90" i="28"/>
  <c r="J89" i="28"/>
  <c r="F89" i="28"/>
  <c r="J88" i="28"/>
  <c r="F88" i="28"/>
  <c r="J87" i="28"/>
  <c r="F87" i="28"/>
  <c r="J86" i="28"/>
  <c r="F86" i="28"/>
  <c r="J85" i="28"/>
  <c r="F85" i="28"/>
  <c r="J84" i="28"/>
  <c r="F84" i="28"/>
  <c r="J83" i="28"/>
  <c r="F83" i="28"/>
  <c r="J82" i="28"/>
  <c r="F82" i="28"/>
  <c r="J81" i="28"/>
  <c r="F81" i="28"/>
  <c r="J80" i="28"/>
  <c r="F80" i="28"/>
  <c r="J79" i="28"/>
  <c r="F79" i="28"/>
  <c r="J78" i="28"/>
  <c r="F78" i="28"/>
  <c r="J77" i="28"/>
  <c r="F77" i="28"/>
  <c r="J76" i="28"/>
  <c r="F76" i="28"/>
  <c r="J75" i="28"/>
  <c r="F75" i="28"/>
  <c r="J74" i="28"/>
  <c r="F74" i="28"/>
  <c r="F73" i="28"/>
  <c r="J72" i="28"/>
  <c r="F72" i="28"/>
  <c r="J71" i="28"/>
  <c r="F71" i="28"/>
  <c r="J70" i="28"/>
  <c r="F70" i="28"/>
  <c r="J69" i="28"/>
  <c r="F69" i="28"/>
  <c r="J68" i="28"/>
  <c r="F68" i="28"/>
  <c r="J67" i="28"/>
  <c r="F67" i="28"/>
  <c r="J66" i="28"/>
  <c r="F66" i="28"/>
  <c r="J65" i="28"/>
  <c r="F65" i="28"/>
  <c r="J64" i="28"/>
  <c r="F64" i="28"/>
  <c r="J63" i="28"/>
  <c r="F63" i="28"/>
  <c r="J62" i="28"/>
  <c r="F62" i="28"/>
  <c r="I55" i="28"/>
  <c r="E55" i="28"/>
  <c r="D55" i="28"/>
  <c r="C55" i="28"/>
  <c r="J54" i="28"/>
  <c r="F54" i="28"/>
  <c r="J53" i="28"/>
  <c r="F53" i="28"/>
  <c r="J52" i="28"/>
  <c r="F52" i="28"/>
  <c r="J51" i="28"/>
  <c r="F51" i="28"/>
  <c r="J50" i="28"/>
  <c r="F50" i="28"/>
  <c r="J49" i="28"/>
  <c r="F49" i="28"/>
  <c r="J48" i="28"/>
  <c r="F48" i="28"/>
  <c r="J47" i="28"/>
  <c r="F47" i="28"/>
  <c r="J46" i="28"/>
  <c r="F46" i="28"/>
  <c r="J45" i="28"/>
  <c r="F45" i="28"/>
  <c r="J44" i="28"/>
  <c r="F44" i="28"/>
  <c r="J43" i="28"/>
  <c r="F43" i="28"/>
  <c r="J42" i="28"/>
  <c r="F42" i="28"/>
  <c r="J41" i="28"/>
  <c r="F41" i="28"/>
  <c r="J40" i="28"/>
  <c r="F40" i="28"/>
  <c r="J39" i="28"/>
  <c r="F39" i="28"/>
  <c r="J38" i="28"/>
  <c r="F38" i="28"/>
  <c r="J37" i="28"/>
  <c r="F37" i="28"/>
  <c r="J36" i="28"/>
  <c r="F36" i="28"/>
  <c r="J35" i="28"/>
  <c r="F35" i="28"/>
  <c r="J34" i="28"/>
  <c r="F34" i="28"/>
  <c r="J33" i="28"/>
  <c r="F33" i="28"/>
  <c r="J32" i="28"/>
  <c r="F32" i="28"/>
  <c r="J31" i="28"/>
  <c r="F31" i="28"/>
  <c r="J30" i="28"/>
  <c r="F30" i="28"/>
  <c r="J29" i="28"/>
  <c r="F29" i="28"/>
  <c r="J28" i="28"/>
  <c r="F28" i="28"/>
  <c r="J27" i="28"/>
  <c r="F27" i="28"/>
  <c r="D18" i="31" l="1"/>
  <c r="N8" i="31" s="1"/>
  <c r="F90" i="28"/>
  <c r="J90" i="28"/>
  <c r="F55" i="28"/>
  <c r="J55" i="28"/>
  <c r="O8" i="31" l="1"/>
  <c r="C7" i="34"/>
  <c r="O7" i="31"/>
  <c r="D6" i="34" s="1"/>
  <c r="F33" i="40"/>
  <c r="C9" i="35"/>
  <c r="C11" i="35" s="1"/>
  <c r="F7" i="3"/>
  <c r="G6" i="33"/>
  <c r="H6" i="33" s="1"/>
  <c r="I6" i="33" s="1"/>
  <c r="J6" i="33" s="1"/>
  <c r="K6" i="33" s="1"/>
  <c r="L6" i="33" s="1"/>
  <c r="D10" i="35"/>
  <c r="E10" i="35"/>
  <c r="F10" i="35"/>
  <c r="G10" i="35"/>
  <c r="H10" i="35"/>
  <c r="I10" i="35"/>
  <c r="J10" i="35"/>
  <c r="K10" i="35"/>
  <c r="L10" i="35"/>
  <c r="M10" i="35"/>
  <c r="N10" i="35"/>
  <c r="O10" i="35"/>
  <c r="P10" i="35"/>
  <c r="Q10" i="35"/>
  <c r="R10" i="35"/>
  <c r="S10" i="35"/>
  <c r="T10" i="35"/>
  <c r="U10" i="35"/>
  <c r="V10" i="35"/>
  <c r="W10" i="35"/>
  <c r="X10" i="35"/>
  <c r="Y10" i="35"/>
  <c r="Z10" i="35"/>
  <c r="AA10" i="35"/>
  <c r="B18" i="35"/>
  <c r="B15" i="41"/>
  <c r="B16" i="41" s="1"/>
  <c r="E4" i="41"/>
  <c r="F4" i="41" s="1"/>
  <c r="G4" i="41" s="1"/>
  <c r="H4" i="41" s="1"/>
  <c r="I4" i="41" s="1"/>
  <c r="J4" i="41" s="1"/>
  <c r="K4" i="41" s="1"/>
  <c r="L4" i="41" s="1"/>
  <c r="M4" i="41" s="1"/>
  <c r="N4" i="41" s="1"/>
  <c r="O4" i="41" s="1"/>
  <c r="P4" i="41" s="1"/>
  <c r="Q4" i="41" s="1"/>
  <c r="R4" i="41" s="1"/>
  <c r="S4" i="41" s="1"/>
  <c r="T4" i="41" s="1"/>
  <c r="U4" i="41" s="1"/>
  <c r="V4" i="41" s="1"/>
  <c r="W4" i="41" s="1"/>
  <c r="X4" i="41" s="1"/>
  <c r="Y4" i="41" s="1"/>
  <c r="E3" i="41"/>
  <c r="F3" i="41" s="1"/>
  <c r="G3" i="41" s="1"/>
  <c r="H3" i="41" s="1"/>
  <c r="I3" i="41" s="1"/>
  <c r="J3" i="41" s="1"/>
  <c r="K3" i="41" s="1"/>
  <c r="L3" i="41" s="1"/>
  <c r="M3" i="41" s="1"/>
  <c r="N3" i="41" s="1"/>
  <c r="O3" i="41" s="1"/>
  <c r="P3" i="41" s="1"/>
  <c r="Q3" i="41" s="1"/>
  <c r="R3" i="41" s="1"/>
  <c r="S3" i="41" s="1"/>
  <c r="T3" i="41" s="1"/>
  <c r="U3" i="41" s="1"/>
  <c r="V3" i="41" s="1"/>
  <c r="W3" i="41" s="1"/>
  <c r="X3" i="41" s="1"/>
  <c r="Y3" i="41" s="1"/>
  <c r="K25" i="40"/>
  <c r="J25" i="40" s="1"/>
  <c r="I25" i="40" s="1"/>
  <c r="H25" i="40" s="1"/>
  <c r="G25" i="40" s="1"/>
  <c r="F25" i="40" s="1"/>
  <c r="M25" i="40"/>
  <c r="N25" i="40" s="1"/>
  <c r="O25" i="40" s="1"/>
  <c r="P25" i="40" s="1"/>
  <c r="Q25" i="40" s="1"/>
  <c r="R25" i="40" s="1"/>
  <c r="S25" i="40" s="1"/>
  <c r="T25" i="40" s="1"/>
  <c r="U25" i="40" s="1"/>
  <c r="V25" i="40" s="1"/>
  <c r="W25" i="40" s="1"/>
  <c r="X25" i="40" s="1"/>
  <c r="Y25" i="40" s="1"/>
  <c r="Z25" i="40" s="1"/>
  <c r="AA25" i="40" s="1"/>
  <c r="AB25" i="40" s="1"/>
  <c r="AC25" i="40" s="1"/>
  <c r="AD25" i="40" s="1"/>
  <c r="AE25" i="40" s="1"/>
  <c r="AF25" i="40" s="1"/>
  <c r="AG25" i="40" s="1"/>
  <c r="AH25" i="40" s="1"/>
  <c r="G30" i="40"/>
  <c r="P26" i="40"/>
  <c r="Q26" i="40" s="1"/>
  <c r="R26" i="40" s="1"/>
  <c r="H4" i="33"/>
  <c r="I4" i="33" s="1"/>
  <c r="J4" i="33" s="1"/>
  <c r="K4" i="33" s="1"/>
  <c r="L4" i="33" s="1"/>
  <c r="M4" i="33" s="1"/>
  <c r="N4" i="33" s="1"/>
  <c r="O4" i="33" s="1"/>
  <c r="P4" i="33" s="1"/>
  <c r="Q4" i="33" s="1"/>
  <c r="R4" i="33" s="1"/>
  <c r="S4" i="33" s="1"/>
  <c r="T4" i="33" s="1"/>
  <c r="U4" i="33" s="1"/>
  <c r="V4" i="33" s="1"/>
  <c r="W4" i="33" s="1"/>
  <c r="X4" i="33" s="1"/>
  <c r="Y4" i="33" s="1"/>
  <c r="Z4" i="33" s="1"/>
  <c r="AA4" i="33" s="1"/>
  <c r="AB4" i="33" s="1"/>
  <c r="AC4" i="33" s="1"/>
  <c r="AD4" i="33" s="1"/>
  <c r="AE4" i="33" s="1"/>
  <c r="D4" i="35"/>
  <c r="E4" i="35"/>
  <c r="F4" i="35"/>
  <c r="G4" i="35"/>
  <c r="H4" i="35"/>
  <c r="I4" i="35"/>
  <c r="J4" i="35"/>
  <c r="K4" i="35"/>
  <c r="L4" i="35"/>
  <c r="M4" i="35"/>
  <c r="N4" i="35"/>
  <c r="O4" i="35"/>
  <c r="P4" i="35"/>
  <c r="Q4" i="35"/>
  <c r="R4" i="35"/>
  <c r="S4" i="35"/>
  <c r="T4" i="35"/>
  <c r="U4" i="35"/>
  <c r="V4" i="35"/>
  <c r="W4" i="35"/>
  <c r="X4" i="35"/>
  <c r="Y4" i="35"/>
  <c r="Z4" i="35"/>
  <c r="AA4" i="35"/>
  <c r="AB4" i="35"/>
  <c r="F4" i="3"/>
  <c r="G4" i="3" s="1"/>
  <c r="H4" i="3" s="1"/>
  <c r="I4" i="3" s="1"/>
  <c r="J4" i="3" s="1"/>
  <c r="K4" i="3" s="1"/>
  <c r="L4" i="3" s="1"/>
  <c r="M4" i="3" s="1"/>
  <c r="N4" i="3" s="1"/>
  <c r="O4" i="3" s="1"/>
  <c r="P4" i="3" s="1"/>
  <c r="Q4" i="3" s="1"/>
  <c r="R4" i="3" s="1"/>
  <c r="S4" i="3" s="1"/>
  <c r="T4" i="3" s="1"/>
  <c r="U4" i="3" s="1"/>
  <c r="V4" i="3" s="1"/>
  <c r="W4" i="3" s="1"/>
  <c r="X4" i="3" s="1"/>
  <c r="Y4" i="3" s="1"/>
  <c r="Z4" i="3" s="1"/>
  <c r="AA4" i="3" s="1"/>
  <c r="AB4" i="3" s="1"/>
  <c r="AC4" i="3" s="1"/>
  <c r="AD4" i="3" s="1"/>
  <c r="AE4" i="3" s="1"/>
  <c r="AF4" i="3" s="1"/>
  <c r="AG4" i="3" s="1"/>
  <c r="E3" i="35"/>
  <c r="F3" i="35"/>
  <c r="G3" i="35"/>
  <c r="H3" i="35"/>
  <c r="I3" i="35"/>
  <c r="J3" i="35"/>
  <c r="K3" i="35"/>
  <c r="L3" i="35"/>
  <c r="M3" i="35"/>
  <c r="N3" i="35"/>
  <c r="O3" i="35"/>
  <c r="P3" i="35"/>
  <c r="Q3" i="35"/>
  <c r="R3" i="35"/>
  <c r="S3" i="35"/>
  <c r="T3" i="35"/>
  <c r="U3" i="35"/>
  <c r="V3" i="35"/>
  <c r="W3" i="35"/>
  <c r="X3" i="35"/>
  <c r="Y3" i="35"/>
  <c r="Z3" i="35"/>
  <c r="AA3" i="35"/>
  <c r="AB3" i="35"/>
  <c r="D4" i="34"/>
  <c r="E4" i="34" s="1"/>
  <c r="F4" i="34" s="1"/>
  <c r="G4" i="34" s="1"/>
  <c r="H4" i="34" s="1"/>
  <c r="I4" i="34" s="1"/>
  <c r="J4" i="34" s="1"/>
  <c r="K4" i="34" s="1"/>
  <c r="L4" i="34" s="1"/>
  <c r="M4" i="34" s="1"/>
  <c r="N4" i="34" s="1"/>
  <c r="O4" i="34" s="1"/>
  <c r="P4" i="34" s="1"/>
  <c r="Q4" i="34" s="1"/>
  <c r="R4" i="34" s="1"/>
  <c r="S4" i="34" s="1"/>
  <c r="T4" i="34" s="1"/>
  <c r="U4" i="34" s="1"/>
  <c r="V4" i="34" s="1"/>
  <c r="D3" i="34"/>
  <c r="E3" i="34" s="1"/>
  <c r="F3" i="34" s="1"/>
  <c r="G3" i="34" s="1"/>
  <c r="H3" i="34" s="1"/>
  <c r="I3" i="34" s="1"/>
  <c r="J3" i="34" s="1"/>
  <c r="K3" i="34" s="1"/>
  <c r="L3" i="34" s="1"/>
  <c r="M3" i="34" s="1"/>
  <c r="N3" i="34" s="1"/>
  <c r="O3" i="34" s="1"/>
  <c r="P3" i="34" s="1"/>
  <c r="Q3" i="34" s="1"/>
  <c r="R3" i="34" s="1"/>
  <c r="S3" i="34" s="1"/>
  <c r="T3" i="34" s="1"/>
  <c r="U3" i="34" s="1"/>
  <c r="V3" i="34" s="1"/>
  <c r="O4" i="31"/>
  <c r="P4" i="31" s="1"/>
  <c r="Q4" i="31" s="1"/>
  <c r="R4" i="31" s="1"/>
  <c r="S4" i="31" s="1"/>
  <c r="T4" i="31" s="1"/>
  <c r="U4" i="31" s="1"/>
  <c r="V4" i="31" s="1"/>
  <c r="W4" i="31" s="1"/>
  <c r="X4" i="31" s="1"/>
  <c r="Y4" i="31" s="1"/>
  <c r="Z4" i="31" s="1"/>
  <c r="AA4" i="31" s="1"/>
  <c r="AB4" i="31" s="1"/>
  <c r="AC4" i="31" s="1"/>
  <c r="AD4" i="31" s="1"/>
  <c r="AE4" i="31" s="1"/>
  <c r="AF4" i="31" s="1"/>
  <c r="AG4" i="31" s="1"/>
  <c r="O3" i="31"/>
  <c r="P3" i="31" s="1"/>
  <c r="Q3" i="31" s="1"/>
  <c r="R3" i="31" s="1"/>
  <c r="S3" i="31" s="1"/>
  <c r="T3" i="31" s="1"/>
  <c r="U3" i="31" s="1"/>
  <c r="V3" i="31" s="1"/>
  <c r="W3" i="31" s="1"/>
  <c r="X3" i="31" s="1"/>
  <c r="Y3" i="31" s="1"/>
  <c r="Z3" i="31" s="1"/>
  <c r="AA3" i="31" s="1"/>
  <c r="AB3" i="31" s="1"/>
  <c r="AC3" i="31" s="1"/>
  <c r="AD3" i="31" s="1"/>
  <c r="AE3" i="31" s="1"/>
  <c r="AF3" i="31" s="1"/>
  <c r="AG3" i="31" s="1"/>
  <c r="C4" i="28"/>
  <c r="D4" i="28" s="1"/>
  <c r="E4" i="28" s="1"/>
  <c r="F4" i="28" s="1"/>
  <c r="G4" i="28" s="1"/>
  <c r="H4" i="28" s="1"/>
  <c r="I4" i="28" s="1"/>
  <c r="J4" i="28" s="1"/>
  <c r="K4" i="28" s="1"/>
  <c r="L4" i="28" s="1"/>
  <c r="M4" i="28" s="1"/>
  <c r="N4" i="28" s="1"/>
  <c r="O4" i="28" s="1"/>
  <c r="P4" i="28" s="1"/>
  <c r="Q4" i="28" s="1"/>
  <c r="R4" i="28" s="1"/>
  <c r="S4" i="28" s="1"/>
  <c r="T4" i="28" s="1"/>
  <c r="U4" i="28" s="1"/>
  <c r="V4" i="28" s="1"/>
  <c r="W4" i="28" s="1"/>
  <c r="X4" i="28" s="1"/>
  <c r="Y4" i="28" s="1"/>
  <c r="Z4" i="28" s="1"/>
  <c r="AA4" i="28" s="1"/>
  <c r="AB4" i="28" s="1"/>
  <c r="AC4" i="28" s="1"/>
  <c r="K3" i="28"/>
  <c r="L3" i="28" s="1"/>
  <c r="M3" i="28" s="1"/>
  <c r="N3" i="28" s="1"/>
  <c r="O3" i="28" s="1"/>
  <c r="P3" i="28" s="1"/>
  <c r="Q3" i="28" s="1"/>
  <c r="R3" i="28" s="1"/>
  <c r="S3" i="28" s="1"/>
  <c r="T3" i="28" s="1"/>
  <c r="U3" i="28" s="1"/>
  <c r="V3" i="28" s="1"/>
  <c r="W3" i="28" s="1"/>
  <c r="X3" i="28" s="1"/>
  <c r="Y3" i="28" s="1"/>
  <c r="Z3" i="28" s="1"/>
  <c r="AA3" i="28" s="1"/>
  <c r="AB3" i="28" s="1"/>
  <c r="AC3" i="28" s="1"/>
  <c r="O6" i="3"/>
  <c r="P6" i="3" s="1"/>
  <c r="Q6" i="3" s="1"/>
  <c r="R6" i="3" s="1"/>
  <c r="S6" i="3" s="1"/>
  <c r="T6" i="3" s="1"/>
  <c r="U6" i="3" s="1"/>
  <c r="V6" i="3" s="1"/>
  <c r="W6" i="3" s="1"/>
  <c r="X6" i="3" s="1"/>
  <c r="Y6" i="3" s="1"/>
  <c r="Z6" i="3" s="1"/>
  <c r="AA6" i="3" s="1"/>
  <c r="AB6" i="3" s="1"/>
  <c r="AC6" i="3" s="1"/>
  <c r="AD6" i="3" s="1"/>
  <c r="AE6" i="3" s="1"/>
  <c r="AF6" i="3" s="1"/>
  <c r="AG6" i="3" s="1"/>
  <c r="B6" i="21"/>
  <c r="C6" i="21" s="1"/>
  <c r="D6" i="21" s="1"/>
  <c r="E6" i="21" s="1"/>
  <c r="F6" i="21" s="1"/>
  <c r="G6" i="21" s="1"/>
  <c r="H6" i="21" s="1"/>
  <c r="I6" i="21" s="1"/>
  <c r="J6" i="21" s="1"/>
  <c r="K6" i="21" s="1"/>
  <c r="L6" i="21" s="1"/>
  <c r="M6" i="21" s="1"/>
  <c r="N6" i="21" s="1"/>
  <c r="O6" i="21" s="1"/>
  <c r="P6" i="21" s="1"/>
  <c r="Q6" i="21" s="1"/>
  <c r="R6" i="21" s="1"/>
  <c r="S6" i="21" s="1"/>
  <c r="T6" i="21" s="1"/>
  <c r="U6" i="21" s="1"/>
  <c r="D5" i="21"/>
  <c r="E5" i="21"/>
  <c r="F5" i="21"/>
  <c r="G5" i="21"/>
  <c r="H5" i="21"/>
  <c r="I5" i="21"/>
  <c r="J5" i="21"/>
  <c r="K5" i="21"/>
  <c r="L5" i="21"/>
  <c r="M5" i="21"/>
  <c r="N5" i="21"/>
  <c r="O5" i="21"/>
  <c r="P5" i="21"/>
  <c r="Q5" i="21"/>
  <c r="R5" i="21"/>
  <c r="S5" i="21"/>
  <c r="T5" i="21"/>
  <c r="U5" i="21"/>
  <c r="C5" i="21"/>
  <c r="S26" i="40" l="1"/>
  <c r="R27" i="40"/>
  <c r="P8" i="31"/>
  <c r="D7" i="34"/>
  <c r="M6" i="33"/>
  <c r="N6" i="33" s="1"/>
  <c r="O6" i="33" s="1"/>
  <c r="P6" i="33" s="1"/>
  <c r="Q6" i="33" s="1"/>
  <c r="R6" i="33" s="1"/>
  <c r="S6" i="33" s="1"/>
  <c r="T6" i="33" s="1"/>
  <c r="U6" i="33" s="1"/>
  <c r="V6" i="33" s="1"/>
  <c r="W6" i="33" s="1"/>
  <c r="X6" i="33" s="1"/>
  <c r="Y6" i="33" s="1"/>
  <c r="Z6" i="33" s="1"/>
  <c r="AA6" i="33" s="1"/>
  <c r="AA7" i="33" s="1"/>
  <c r="F9" i="3"/>
  <c r="F8" i="3"/>
  <c r="P7" i="31"/>
  <c r="E6" i="34" s="1"/>
  <c r="G32" i="40"/>
  <c r="J32" i="40"/>
  <c r="I31" i="40"/>
  <c r="H34" i="40"/>
  <c r="K30" i="40"/>
  <c r="C12" i="35"/>
  <c r="C13" i="35"/>
  <c r="G7" i="3"/>
  <c r="L31" i="40"/>
  <c r="J33" i="40"/>
  <c r="H30" i="40"/>
  <c r="K33" i="40"/>
  <c r="K41" i="40" s="1"/>
  <c r="K55" i="40" s="1"/>
  <c r="G34" i="40"/>
  <c r="H31" i="40"/>
  <c r="F32" i="40"/>
  <c r="K34" i="40"/>
  <c r="K42" i="40" s="1"/>
  <c r="K56" i="40" s="1"/>
  <c r="L30" i="40"/>
  <c r="L33" i="40"/>
  <c r="F34" i="40"/>
  <c r="K31" i="40"/>
  <c r="K39" i="40" s="1"/>
  <c r="I32" i="40"/>
  <c r="J34" i="40"/>
  <c r="G31" i="40"/>
  <c r="H32" i="40"/>
  <c r="J30" i="40"/>
  <c r="H33" i="40"/>
  <c r="F31" i="40"/>
  <c r="L32" i="40"/>
  <c r="I30" i="40"/>
  <c r="G33" i="40"/>
  <c r="I34" i="40"/>
  <c r="J31" i="40"/>
  <c r="F30" i="40"/>
  <c r="I33" i="40"/>
  <c r="L34" i="40"/>
  <c r="K32" i="40"/>
  <c r="K40" i="40" s="1"/>
  <c r="K54" i="40" s="1"/>
  <c r="D9" i="35"/>
  <c r="AA11" i="33" l="1"/>
  <c r="AA17" i="33" s="1"/>
  <c r="AA13" i="33"/>
  <c r="AA19" i="33" s="1"/>
  <c r="AA10" i="33"/>
  <c r="AA16" i="33" s="1"/>
  <c r="AA12" i="33"/>
  <c r="AA18" i="33" s="1"/>
  <c r="R31" i="40"/>
  <c r="R46" i="40" s="1"/>
  <c r="R53" i="40" s="1"/>
  <c r="R30" i="40"/>
  <c r="R45" i="40" s="1"/>
  <c r="R52" i="40" s="1"/>
  <c r="R33" i="40"/>
  <c r="R48" i="40" s="1"/>
  <c r="R55" i="40" s="1"/>
  <c r="R32" i="40"/>
  <c r="R47" i="40" s="1"/>
  <c r="R54" i="40" s="1"/>
  <c r="R34" i="40"/>
  <c r="R49" i="40" s="1"/>
  <c r="R56" i="40" s="1"/>
  <c r="T26" i="40"/>
  <c r="U26" i="40" s="1"/>
  <c r="V26" i="40" s="1"/>
  <c r="W26" i="40" s="1"/>
  <c r="S27" i="40"/>
  <c r="Q8" i="31"/>
  <c r="E7" i="34"/>
  <c r="G9" i="3"/>
  <c r="G8" i="3"/>
  <c r="Q7" i="31"/>
  <c r="F6" i="34" s="1"/>
  <c r="K57" i="40"/>
  <c r="C14" i="35"/>
  <c r="C16" i="35" s="1"/>
  <c r="H7" i="3"/>
  <c r="L40" i="40"/>
  <c r="L54" i="40" s="1"/>
  <c r="M32" i="40"/>
  <c r="M34" i="40"/>
  <c r="L42" i="40"/>
  <c r="L56" i="40" s="1"/>
  <c r="M33" i="40"/>
  <c r="L41" i="40"/>
  <c r="L55" i="40" s="1"/>
  <c r="M31" i="40"/>
  <c r="L39" i="40"/>
  <c r="D11" i="35"/>
  <c r="E9" i="35"/>
  <c r="M30" i="40"/>
  <c r="G14" i="3" l="1"/>
  <c r="G13" i="3"/>
  <c r="S30" i="40"/>
  <c r="S45" i="40" s="1"/>
  <c r="S52" i="40" s="1"/>
  <c r="S32" i="40"/>
  <c r="S47" i="40" s="1"/>
  <c r="S54" i="40" s="1"/>
  <c r="S33" i="40"/>
  <c r="S48" i="40" s="1"/>
  <c r="S55" i="40" s="1"/>
  <c r="S31" i="40"/>
  <c r="S46" i="40" s="1"/>
  <c r="S53" i="40" s="1"/>
  <c r="S34" i="40"/>
  <c r="S49" i="40" s="1"/>
  <c r="S56" i="40" s="1"/>
  <c r="R57" i="40"/>
  <c r="X26" i="40"/>
  <c r="Y26" i="40" s="1"/>
  <c r="Z26" i="40" s="1"/>
  <c r="AA26" i="40" s="1"/>
  <c r="AB26" i="40" s="1"/>
  <c r="AC26" i="40" s="1"/>
  <c r="AD26" i="40" s="1"/>
  <c r="AE26" i="40" s="1"/>
  <c r="AF26" i="40" s="1"/>
  <c r="AG26" i="40" s="1"/>
  <c r="AH26" i="40" s="1"/>
  <c r="W27" i="40"/>
  <c r="R8" i="31"/>
  <c r="F7" i="34"/>
  <c r="H9" i="3"/>
  <c r="H8" i="3"/>
  <c r="R7" i="31"/>
  <c r="G6" i="34" s="1"/>
  <c r="I7" i="3"/>
  <c r="N30" i="40"/>
  <c r="L57" i="40"/>
  <c r="M41" i="40"/>
  <c r="M55" i="40" s="1"/>
  <c r="N33" i="40"/>
  <c r="N34" i="40"/>
  <c r="M42" i="40"/>
  <c r="M56" i="40" s="1"/>
  <c r="F9" i="35"/>
  <c r="E11" i="35"/>
  <c r="N31" i="40"/>
  <c r="M39" i="40"/>
  <c r="D12" i="35"/>
  <c r="D13" i="35"/>
  <c r="N32" i="40"/>
  <c r="M40" i="40"/>
  <c r="M54" i="40" s="1"/>
  <c r="W34" i="40" l="1"/>
  <c r="W49" i="40" s="1"/>
  <c r="W56" i="40" s="1"/>
  <c r="W30" i="40"/>
  <c r="W45" i="40" s="1"/>
  <c r="W52" i="40" s="1"/>
  <c r="W31" i="40"/>
  <c r="W46" i="40" s="1"/>
  <c r="W53" i="40" s="1"/>
  <c r="W33" i="40"/>
  <c r="W48" i="40" s="1"/>
  <c r="W55" i="40" s="1"/>
  <c r="W32" i="40"/>
  <c r="W47" i="40" s="1"/>
  <c r="W54" i="40" s="1"/>
  <c r="S57" i="40"/>
  <c r="S8" i="31"/>
  <c r="G7" i="34"/>
  <c r="I8" i="3"/>
  <c r="I9" i="3"/>
  <c r="S7" i="31"/>
  <c r="H14" i="3"/>
  <c r="H13" i="3"/>
  <c r="M57" i="40"/>
  <c r="J7" i="3"/>
  <c r="H5" i="33"/>
  <c r="H7" i="33" s="1"/>
  <c r="N42" i="40"/>
  <c r="N56" i="40" s="1"/>
  <c r="N39" i="40"/>
  <c r="G9" i="35"/>
  <c r="F11" i="35"/>
  <c r="G5" i="33"/>
  <c r="G7" i="33" s="1"/>
  <c r="N41" i="40"/>
  <c r="N55" i="40" s="1"/>
  <c r="N40" i="40"/>
  <c r="N54" i="40" s="1"/>
  <c r="E12" i="35"/>
  <c r="E13" i="35"/>
  <c r="D14" i="35"/>
  <c r="D16" i="35" s="1"/>
  <c r="L5" i="33" l="1"/>
  <c r="L7" i="33" s="1"/>
  <c r="L12" i="33" s="1"/>
  <c r="L18" i="33" s="1"/>
  <c r="H6" i="34"/>
  <c r="W57" i="40"/>
  <c r="G13" i="33"/>
  <c r="G19" i="33" s="1"/>
  <c r="G12" i="33"/>
  <c r="G18" i="33" s="1"/>
  <c r="G11" i="33"/>
  <c r="G17" i="33" s="1"/>
  <c r="G10" i="33"/>
  <c r="G16" i="33" s="1"/>
  <c r="H13" i="33"/>
  <c r="H19" i="33" s="1"/>
  <c r="H12" i="33"/>
  <c r="H18" i="33" s="1"/>
  <c r="H11" i="33"/>
  <c r="H17" i="33" s="1"/>
  <c r="H10" i="33"/>
  <c r="H16" i="33" s="1"/>
  <c r="T8" i="31"/>
  <c r="H7" i="34"/>
  <c r="J8" i="3"/>
  <c r="J9" i="3"/>
  <c r="T7" i="31"/>
  <c r="I6" i="34" s="1"/>
  <c r="I13" i="3"/>
  <c r="I14" i="3"/>
  <c r="K7" i="3"/>
  <c r="E14" i="35"/>
  <c r="E16" i="35" s="1"/>
  <c r="G11" i="35"/>
  <c r="H9" i="35"/>
  <c r="I5" i="33"/>
  <c r="I7" i="33" s="1"/>
  <c r="F12" i="35"/>
  <c r="F13" i="35"/>
  <c r="O27" i="40"/>
  <c r="D5" i="41"/>
  <c r="D6" i="41" s="1"/>
  <c r="N57" i="40"/>
  <c r="L10" i="33" l="1"/>
  <c r="L16" i="33" s="1"/>
  <c r="L13" i="33"/>
  <c r="L19" i="33" s="1"/>
  <c r="L11" i="33"/>
  <c r="L17" i="33" s="1"/>
  <c r="U8" i="31"/>
  <c r="I7" i="34"/>
  <c r="O30" i="40"/>
  <c r="O45" i="40" s="1"/>
  <c r="O52" i="40" s="1"/>
  <c r="O34" i="40"/>
  <c r="O49" i="40" s="1"/>
  <c r="O56" i="40" s="1"/>
  <c r="O33" i="40"/>
  <c r="O41" i="40" s="1"/>
  <c r="O48" i="40" s="1"/>
  <c r="O55" i="40" s="1"/>
  <c r="O32" i="40"/>
  <c r="O47" i="40" s="1"/>
  <c r="O54" i="40" s="1"/>
  <c r="O31" i="40"/>
  <c r="O46" i="40" s="1"/>
  <c r="O53" i="40" s="1"/>
  <c r="I13" i="33"/>
  <c r="I19" i="33" s="1"/>
  <c r="I12" i="33"/>
  <c r="I18" i="33" s="1"/>
  <c r="I11" i="33"/>
  <c r="I17" i="33" s="1"/>
  <c r="I10" i="33"/>
  <c r="I16" i="33" s="1"/>
  <c r="K8" i="3"/>
  <c r="K9" i="3"/>
  <c r="U7" i="31"/>
  <c r="J6" i="34" s="1"/>
  <c r="J14" i="3"/>
  <c r="J13" i="3"/>
  <c r="L7" i="3"/>
  <c r="H11" i="35"/>
  <c r="I9" i="35"/>
  <c r="G12" i="35"/>
  <c r="G13" i="35"/>
  <c r="F14" i="35"/>
  <c r="F16" i="35" s="1"/>
  <c r="M5" i="33"/>
  <c r="M7" i="33" s="1"/>
  <c r="H5" i="41"/>
  <c r="H6" i="41" s="1"/>
  <c r="O57" i="40" l="1"/>
  <c r="M13" i="33"/>
  <c r="M19" i="33" s="1"/>
  <c r="M12" i="33"/>
  <c r="M18" i="33" s="1"/>
  <c r="M11" i="33"/>
  <c r="M17" i="33" s="1"/>
  <c r="M10" i="33"/>
  <c r="M16" i="33" s="1"/>
  <c r="V8" i="31"/>
  <c r="J7" i="34"/>
  <c r="I5" i="41"/>
  <c r="I6" i="41" s="1"/>
  <c r="T27" i="40"/>
  <c r="U27" i="40"/>
  <c r="J5" i="41"/>
  <c r="J6" i="41" s="1"/>
  <c r="T33" i="40" l="1"/>
  <c r="T48" i="40" s="1"/>
  <c r="T55" i="40" s="1"/>
  <c r="T32" i="40"/>
  <c r="T47" i="40" s="1"/>
  <c r="T54" i="40" s="1"/>
  <c r="T34" i="40"/>
  <c r="T49" i="40" s="1"/>
  <c r="T56" i="40" s="1"/>
  <c r="T31" i="40"/>
  <c r="T46" i="40" s="1"/>
  <c r="T53" i="40" s="1"/>
  <c r="T30" i="40"/>
  <c r="T45" i="40" s="1"/>
  <c r="T52" i="40" s="1"/>
  <c r="W8" i="31"/>
  <c r="K7" i="34"/>
  <c r="U32" i="40"/>
  <c r="U47" i="40" s="1"/>
  <c r="U54" i="40" s="1"/>
  <c r="U34" i="40"/>
  <c r="U49" i="40" s="1"/>
  <c r="U56" i="40" s="1"/>
  <c r="U30" i="40"/>
  <c r="U45" i="40" s="1"/>
  <c r="U52" i="40" s="1"/>
  <c r="U33" i="40"/>
  <c r="U48" i="40" s="1"/>
  <c r="U55" i="40" s="1"/>
  <c r="U31" i="40"/>
  <c r="U46" i="40" s="1"/>
  <c r="U53" i="40" s="1"/>
  <c r="V27" i="40"/>
  <c r="T5" i="41"/>
  <c r="T6" i="41" s="1"/>
  <c r="T57" i="40" l="1"/>
  <c r="X8" i="31"/>
  <c r="Y8" i="31" s="1"/>
  <c r="Z8" i="31" s="1"/>
  <c r="AA8" i="31" s="1"/>
  <c r="AB8" i="31" s="1"/>
  <c r="AC8" i="31" s="1"/>
  <c r="AD8" i="31" s="1"/>
  <c r="AE8" i="31" s="1"/>
  <c r="AF8" i="31" s="1"/>
  <c r="AG8" i="31" s="1"/>
  <c r="L7" i="34"/>
  <c r="AE34" i="40"/>
  <c r="AE49" i="40" s="1"/>
  <c r="AE56" i="40" s="1"/>
  <c r="AE33" i="40"/>
  <c r="AE48" i="40" s="1"/>
  <c r="AE55" i="40" s="1"/>
  <c r="AE32" i="40"/>
  <c r="AE47" i="40" s="1"/>
  <c r="AE54" i="40" s="1"/>
  <c r="AE31" i="40"/>
  <c r="AE46" i="40" s="1"/>
  <c r="AE53" i="40" s="1"/>
  <c r="AE30" i="40"/>
  <c r="AE45" i="40" s="1"/>
  <c r="AE52" i="40" s="1"/>
  <c r="U57" i="40"/>
  <c r="V32" i="40"/>
  <c r="V47" i="40" s="1"/>
  <c r="V54" i="40" s="1"/>
  <c r="V30" i="40"/>
  <c r="V45" i="40" s="1"/>
  <c r="V52" i="40" s="1"/>
  <c r="V33" i="40"/>
  <c r="V48" i="40" s="1"/>
  <c r="V55" i="40" s="1"/>
  <c r="V34" i="40"/>
  <c r="V49" i="40" s="1"/>
  <c r="V56" i="40" s="1"/>
  <c r="V31" i="40"/>
  <c r="V46" i="40" s="1"/>
  <c r="V53" i="40" s="1"/>
  <c r="U5" i="41"/>
  <c r="U6" i="41" s="1"/>
  <c r="AE57" i="40" l="1"/>
  <c r="AF32" i="40"/>
  <c r="AF47" i="40" s="1"/>
  <c r="AF54" i="40" s="1"/>
  <c r="AF31" i="40"/>
  <c r="AF46" i="40" s="1"/>
  <c r="AF53" i="40" s="1"/>
  <c r="AF30" i="40"/>
  <c r="AF45" i="40" s="1"/>
  <c r="AF52" i="40" s="1"/>
  <c r="AF33" i="40"/>
  <c r="AF48" i="40" s="1"/>
  <c r="AF55" i="40" s="1"/>
  <c r="AF34" i="40"/>
  <c r="AF49" i="40" s="1"/>
  <c r="AF56" i="40" s="1"/>
  <c r="V57" i="40"/>
  <c r="M7" i="34"/>
  <c r="S5" i="41"/>
  <c r="S6" i="41" s="1"/>
  <c r="P5" i="41"/>
  <c r="P6" i="41" s="1"/>
  <c r="N7" i="34" l="1"/>
  <c r="AD33" i="40"/>
  <c r="AD48" i="40" s="1"/>
  <c r="AD55" i="40" s="1"/>
  <c r="AD32" i="40"/>
  <c r="AD47" i="40" s="1"/>
  <c r="AD54" i="40" s="1"/>
  <c r="AD30" i="40"/>
  <c r="AD45" i="40" s="1"/>
  <c r="AD52" i="40" s="1"/>
  <c r="AD34" i="40"/>
  <c r="AD49" i="40" s="1"/>
  <c r="AD56" i="40" s="1"/>
  <c r="AD31" i="40"/>
  <c r="AD46" i="40" s="1"/>
  <c r="AD53" i="40" s="1"/>
  <c r="AF57" i="40"/>
  <c r="AA32" i="40"/>
  <c r="AA47" i="40" s="1"/>
  <c r="AA54" i="40" s="1"/>
  <c r="AA31" i="40"/>
  <c r="AA30" i="40"/>
  <c r="AA45" i="40" s="1"/>
  <c r="AA52" i="40" s="1"/>
  <c r="AA34" i="40"/>
  <c r="AA49" i="40" s="1"/>
  <c r="AA56" i="40" s="1"/>
  <c r="AA33" i="40"/>
  <c r="AA48" i="40" s="1"/>
  <c r="AA55" i="40" s="1"/>
  <c r="Q5" i="41"/>
  <c r="Q6" i="41" s="1"/>
  <c r="K5" i="41"/>
  <c r="K6" i="41" s="1"/>
  <c r="AD57" i="40" l="1"/>
  <c r="AB34" i="40"/>
  <c r="AB49" i="40" s="1"/>
  <c r="AB56" i="40" s="1"/>
  <c r="AB33" i="40"/>
  <c r="AB48" i="40" s="1"/>
  <c r="AB55" i="40" s="1"/>
  <c r="AB32" i="40"/>
  <c r="AB47" i="40" s="1"/>
  <c r="AB54" i="40" s="1"/>
  <c r="AB31" i="40"/>
  <c r="AB46" i="40" s="1"/>
  <c r="AB53" i="40" s="1"/>
  <c r="AB30" i="40"/>
  <c r="AB45" i="40" s="1"/>
  <c r="AB52" i="40" s="1"/>
  <c r="AB57" i="40" s="1"/>
  <c r="AA46" i="40"/>
  <c r="AA53" i="40" s="1"/>
  <c r="AA57" i="40" s="1"/>
  <c r="O7" i="34"/>
  <c r="K5" i="33"/>
  <c r="K7" i="33" s="1"/>
  <c r="J9" i="35"/>
  <c r="I11" i="35"/>
  <c r="J11" i="35" l="1"/>
  <c r="K9" i="35"/>
  <c r="I12" i="35"/>
  <c r="I13" i="35"/>
  <c r="K13" i="33"/>
  <c r="K19" i="33" s="1"/>
  <c r="K12" i="33"/>
  <c r="K18" i="33" s="1"/>
  <c r="K11" i="33"/>
  <c r="K17" i="33" s="1"/>
  <c r="K10" i="33"/>
  <c r="K16" i="33" s="1"/>
  <c r="P7" i="34"/>
  <c r="E5" i="41"/>
  <c r="E6" i="41" s="1"/>
  <c r="P27" i="40"/>
  <c r="J5" i="33"/>
  <c r="J7" i="33" s="1"/>
  <c r="J13" i="33" l="1"/>
  <c r="J19" i="33" s="1"/>
  <c r="J12" i="33"/>
  <c r="J18" i="33" s="1"/>
  <c r="J11" i="33"/>
  <c r="J17" i="33" s="1"/>
  <c r="J10" i="33"/>
  <c r="J16" i="33" s="1"/>
  <c r="I14" i="35"/>
  <c r="I16" i="35" s="1"/>
  <c r="P32" i="40"/>
  <c r="P47" i="40" s="1"/>
  <c r="P54" i="40" s="1"/>
  <c r="P31" i="40"/>
  <c r="P46" i="40" s="1"/>
  <c r="P53" i="40" s="1"/>
  <c r="P30" i="40"/>
  <c r="P45" i="40" s="1"/>
  <c r="P52" i="40" s="1"/>
  <c r="P33" i="40"/>
  <c r="P48" i="40" s="1"/>
  <c r="P55" i="40" s="1"/>
  <c r="P34" i="40"/>
  <c r="P49" i="40" s="1"/>
  <c r="P56" i="40" s="1"/>
  <c r="L9" i="35"/>
  <c r="K11" i="35"/>
  <c r="Q7" i="34"/>
  <c r="J12" i="35"/>
  <c r="J13" i="35"/>
  <c r="L9" i="3"/>
  <c r="L8" i="3"/>
  <c r="V7" i="31"/>
  <c r="K6" i="34" s="1"/>
  <c r="K14" i="3"/>
  <c r="K13" i="3"/>
  <c r="G14" i="35"/>
  <c r="G16" i="35" s="1"/>
  <c r="M7" i="3"/>
  <c r="H13" i="35"/>
  <c r="H12" i="35"/>
  <c r="F5" i="41"/>
  <c r="F6" i="41" s="1"/>
  <c r="Q27" i="40"/>
  <c r="Y5" i="41"/>
  <c r="Y6" i="41" s="1"/>
  <c r="P57" i="40" l="1"/>
  <c r="H14" i="35"/>
  <c r="H16" i="35" s="1"/>
  <c r="J14" i="35"/>
  <c r="J16" i="35" s="1"/>
  <c r="Q30" i="40"/>
  <c r="Q45" i="40" s="1"/>
  <c r="Q52" i="40" s="1"/>
  <c r="Q34" i="40"/>
  <c r="Q49" i="40" s="1"/>
  <c r="Q56" i="40" s="1"/>
  <c r="Q33" i="40"/>
  <c r="Q48" i="40" s="1"/>
  <c r="Q55" i="40" s="1"/>
  <c r="Q32" i="40"/>
  <c r="Q47" i="40" s="1"/>
  <c r="Q54" i="40" s="1"/>
  <c r="Q31" i="40"/>
  <c r="Q46" i="40" s="1"/>
  <c r="Q53" i="40" s="1"/>
  <c r="O5" i="33"/>
  <c r="O7" i="33" s="1"/>
  <c r="W7" i="31"/>
  <c r="L6" i="34" s="1"/>
  <c r="M9" i="35"/>
  <c r="L11" i="35"/>
  <c r="R7" i="34"/>
  <c r="L14" i="3"/>
  <c r="L13" i="3"/>
  <c r="M9" i="3"/>
  <c r="N7" i="3"/>
  <c r="M8" i="3"/>
  <c r="X7" i="31" l="1"/>
  <c r="P5" i="33"/>
  <c r="P7" i="33" s="1"/>
  <c r="O13" i="33"/>
  <c r="O19" i="33" s="1"/>
  <c r="O12" i="33"/>
  <c r="O18" i="33" s="1"/>
  <c r="O11" i="33"/>
  <c r="O17" i="33" s="1"/>
  <c r="O10" i="33"/>
  <c r="O16" i="33" s="1"/>
  <c r="L13" i="35"/>
  <c r="L12" i="35"/>
  <c r="S7" i="34"/>
  <c r="M11" i="35"/>
  <c r="N9" i="35"/>
  <c r="Q57" i="40"/>
  <c r="M14" i="3"/>
  <c r="B14" i="3" s="1"/>
  <c r="M13" i="3"/>
  <c r="B13" i="3" s="1"/>
  <c r="N9" i="3"/>
  <c r="N25" i="3" s="1"/>
  <c r="O7" i="3"/>
  <c r="N8" i="3"/>
  <c r="N36" i="3" s="1"/>
  <c r="B36" i="3" s="1"/>
  <c r="M6" i="34" l="1"/>
  <c r="Y7" i="31"/>
  <c r="Z7" i="31" s="1"/>
  <c r="AA7" i="31" s="1"/>
  <c r="AB7" i="31" s="1"/>
  <c r="AC7" i="31" s="1"/>
  <c r="AD7" i="31" s="1"/>
  <c r="AE7" i="31" s="1"/>
  <c r="AF7" i="31" s="1"/>
  <c r="AG7" i="31" s="1"/>
  <c r="N11" i="35"/>
  <c r="O9" i="35"/>
  <c r="P13" i="33"/>
  <c r="P19" i="33" s="1"/>
  <c r="P12" i="33"/>
  <c r="P18" i="33" s="1"/>
  <c r="P11" i="33"/>
  <c r="P17" i="33" s="1"/>
  <c r="P10" i="33"/>
  <c r="P16" i="33" s="1"/>
  <c r="T7" i="34"/>
  <c r="M12" i="35"/>
  <c r="M13" i="35"/>
  <c r="L14" i="35"/>
  <c r="L16" i="35" s="1"/>
  <c r="N6" i="34"/>
  <c r="N26" i="3"/>
  <c r="N35" i="3"/>
  <c r="N34" i="3"/>
  <c r="O8" i="3"/>
  <c r="P7" i="3"/>
  <c r="O9" i="3"/>
  <c r="O25" i="3" s="1"/>
  <c r="N19" i="3"/>
  <c r="N22" i="3"/>
  <c r="N21" i="3"/>
  <c r="N23" i="3"/>
  <c r="U7" i="34" l="1"/>
  <c r="O35" i="3"/>
  <c r="O34" i="3"/>
  <c r="O26" i="3"/>
  <c r="M5" i="41"/>
  <c r="M6" i="41" s="1"/>
  <c r="X27" i="40"/>
  <c r="R5" i="33"/>
  <c r="R7" i="33" s="1"/>
  <c r="X34" i="40" l="1"/>
  <c r="X49" i="40" s="1"/>
  <c r="X56" i="40" s="1"/>
  <c r="X33" i="40"/>
  <c r="X48" i="40" s="1"/>
  <c r="X55" i="40" s="1"/>
  <c r="X32" i="40"/>
  <c r="X47" i="40" s="1"/>
  <c r="X54" i="40" s="1"/>
  <c r="X31" i="40"/>
  <c r="X46" i="40" s="1"/>
  <c r="X53" i="40" s="1"/>
  <c r="X30" i="40"/>
  <c r="X45" i="40" s="1"/>
  <c r="X52" i="40" s="1"/>
  <c r="R13" i="33"/>
  <c r="R19" i="33" s="1"/>
  <c r="R12" i="33"/>
  <c r="R18" i="33" s="1"/>
  <c r="R11" i="33"/>
  <c r="R17" i="33" s="1"/>
  <c r="R10" i="33"/>
  <c r="R16" i="33" s="1"/>
  <c r="V7" i="34"/>
  <c r="Y27" i="40"/>
  <c r="N5" i="41"/>
  <c r="N6" i="41" s="1"/>
  <c r="M14" i="35"/>
  <c r="M16" i="35" s="1"/>
  <c r="Q5" i="33"/>
  <c r="Q7" i="33" s="1"/>
  <c r="O11" i="35"/>
  <c r="P9" i="35"/>
  <c r="L5" i="41"/>
  <c r="L6" i="41" s="1"/>
  <c r="N12" i="35"/>
  <c r="N13" i="35"/>
  <c r="X57" i="40" l="1"/>
  <c r="Y33" i="40"/>
  <c r="Y48" i="40" s="1"/>
  <c r="Y55" i="40" s="1"/>
  <c r="Y32" i="40"/>
  <c r="Y47" i="40" s="1"/>
  <c r="Y54" i="40" s="1"/>
  <c r="Y34" i="40"/>
  <c r="Y49" i="40" s="1"/>
  <c r="Y56" i="40" s="1"/>
  <c r="Y31" i="40"/>
  <c r="Y46" i="40" s="1"/>
  <c r="Y53" i="40" s="1"/>
  <c r="Y30" i="40"/>
  <c r="Y45" i="40" s="1"/>
  <c r="Y52" i="40" s="1"/>
  <c r="Y57" i="40" s="1"/>
  <c r="Q13" i="33"/>
  <c r="Q19" i="33" s="1"/>
  <c r="Q12" i="33"/>
  <c r="Q18" i="33" s="1"/>
  <c r="Q11" i="33"/>
  <c r="Q17" i="33" s="1"/>
  <c r="Q10" i="33"/>
  <c r="Q16" i="33" s="1"/>
  <c r="N14" i="35"/>
  <c r="N16" i="35" s="1"/>
  <c r="Q9" i="35"/>
  <c r="P11" i="35"/>
  <c r="P13" i="35" s="1"/>
  <c r="O12" i="35"/>
  <c r="O13" i="35"/>
  <c r="Q11" i="35" l="1"/>
  <c r="Q13" i="35" s="1"/>
  <c r="R9" i="35"/>
  <c r="P12" i="35"/>
  <c r="O14" i="35"/>
  <c r="O16" i="35" s="1"/>
  <c r="O5" i="41"/>
  <c r="O6" i="41" s="1"/>
  <c r="Q12" i="35" l="1"/>
  <c r="Q14" i="35"/>
  <c r="Q16" i="35" s="1"/>
  <c r="W5" i="41"/>
  <c r="W6" i="41" s="1"/>
  <c r="K12" i="35"/>
  <c r="K13" i="35"/>
  <c r="N5" i="33"/>
  <c r="N7" i="33" s="1"/>
  <c r="K14" i="35" l="1"/>
  <c r="K16" i="35" s="1"/>
  <c r="AH31" i="40"/>
  <c r="AH46" i="40" s="1"/>
  <c r="AH53" i="40" s="1"/>
  <c r="AH30" i="40"/>
  <c r="AH45" i="40" s="1"/>
  <c r="AH52" i="40" s="1"/>
  <c r="AH32" i="40"/>
  <c r="AH47" i="40" s="1"/>
  <c r="AH54" i="40" s="1"/>
  <c r="AH34" i="40"/>
  <c r="AH49" i="40" s="1"/>
  <c r="AH56" i="40" s="1"/>
  <c r="AH33" i="40"/>
  <c r="AH48" i="40" s="1"/>
  <c r="AH55" i="40" s="1"/>
  <c r="N13" i="33"/>
  <c r="N19" i="33" s="1"/>
  <c r="N12" i="33"/>
  <c r="N18" i="33" s="1"/>
  <c r="N11" i="33"/>
  <c r="N17" i="33" s="1"/>
  <c r="N10" i="33"/>
  <c r="N16" i="33" s="1"/>
  <c r="O22" i="3"/>
  <c r="O23" i="3"/>
  <c r="O21" i="3"/>
  <c r="P9" i="3"/>
  <c r="P25" i="3" s="1"/>
  <c r="P8" i="3"/>
  <c r="O19" i="3"/>
  <c r="O6" i="34"/>
  <c r="Q7" i="3"/>
  <c r="P6" i="34" l="1"/>
  <c r="S5" i="33"/>
  <c r="S7" i="33" s="1"/>
  <c r="AH57" i="40"/>
  <c r="P35" i="3"/>
  <c r="P34" i="3"/>
  <c r="P26" i="3"/>
  <c r="P22" i="3"/>
  <c r="P23" i="3"/>
  <c r="P21" i="3"/>
  <c r="P19" i="3"/>
  <c r="Q9" i="3"/>
  <c r="Q25" i="3" s="1"/>
  <c r="R7" i="3"/>
  <c r="Q8" i="3"/>
  <c r="S13" i="33" l="1"/>
  <c r="S19" i="33" s="1"/>
  <c r="S12" i="33"/>
  <c r="S18" i="33" s="1"/>
  <c r="S11" i="33"/>
  <c r="S17" i="33" s="1"/>
  <c r="S10" i="33"/>
  <c r="S16" i="33" s="1"/>
  <c r="T5" i="33"/>
  <c r="T7" i="33" s="1"/>
  <c r="Q6" i="34"/>
  <c r="Q34" i="3"/>
  <c r="Q26" i="3"/>
  <c r="Q35" i="3"/>
  <c r="Q19" i="3"/>
  <c r="Q21" i="3"/>
  <c r="Q22" i="3"/>
  <c r="Q23" i="3"/>
  <c r="R8" i="3"/>
  <c r="R9" i="3"/>
  <c r="R25" i="3" s="1"/>
  <c r="S7" i="3"/>
  <c r="X5" i="41"/>
  <c r="X6" i="41" s="1"/>
  <c r="S9" i="35"/>
  <c r="R11" i="35"/>
  <c r="P14" i="35"/>
  <c r="P16" i="35" s="1"/>
  <c r="T13" i="33" l="1"/>
  <c r="T19" i="33" s="1"/>
  <c r="T12" i="33"/>
  <c r="T18" i="33" s="1"/>
  <c r="T11" i="33"/>
  <c r="T17" i="33" s="1"/>
  <c r="T10" i="33"/>
  <c r="T16" i="33" s="1"/>
  <c r="Z33" i="40"/>
  <c r="Z48" i="40" s="1"/>
  <c r="Z55" i="40" s="1"/>
  <c r="Z32" i="40"/>
  <c r="Z47" i="40" s="1"/>
  <c r="Z54" i="40" s="1"/>
  <c r="Z34" i="40"/>
  <c r="Z49" i="40" s="1"/>
  <c r="Z56" i="40" s="1"/>
  <c r="Z31" i="40"/>
  <c r="Z46" i="40" s="1"/>
  <c r="Z53" i="40" s="1"/>
  <c r="Z30" i="40"/>
  <c r="Z45" i="40" s="1"/>
  <c r="Z52" i="40" s="1"/>
  <c r="R12" i="35"/>
  <c r="R13" i="35"/>
  <c r="U5" i="33"/>
  <c r="U7" i="33" s="1"/>
  <c r="R6" i="34"/>
  <c r="T9" i="35"/>
  <c r="S11" i="35"/>
  <c r="R34" i="3"/>
  <c r="R35" i="3"/>
  <c r="R26" i="3"/>
  <c r="R19" i="3"/>
  <c r="R22" i="3"/>
  <c r="R23" i="3"/>
  <c r="R21" i="3"/>
  <c r="S8" i="3"/>
  <c r="S9" i="3"/>
  <c r="S25" i="3" s="1"/>
  <c r="T7" i="3"/>
  <c r="B8" i="31"/>
  <c r="R14" i="35" l="1"/>
  <c r="R16" i="35" s="1"/>
  <c r="U13" i="33"/>
  <c r="U19" i="33" s="1"/>
  <c r="U12" i="33"/>
  <c r="U18" i="33" s="1"/>
  <c r="U11" i="33"/>
  <c r="U17" i="33" s="1"/>
  <c r="U10" i="33"/>
  <c r="U16" i="33" s="1"/>
  <c r="Z57" i="40"/>
  <c r="V5" i="33"/>
  <c r="V7" i="33" s="1"/>
  <c r="S6" i="34"/>
  <c r="S13" i="35"/>
  <c r="S12" i="35"/>
  <c r="S14" i="35" s="1"/>
  <c r="S16" i="35" s="1"/>
  <c r="T11" i="35"/>
  <c r="T12" i="35" s="1"/>
  <c r="U9" i="35"/>
  <c r="U11" i="35" s="1"/>
  <c r="S34" i="3"/>
  <c r="S26" i="3"/>
  <c r="S35" i="3"/>
  <c r="S19" i="3"/>
  <c r="S22" i="3"/>
  <c r="S23" i="3"/>
  <c r="S21" i="3"/>
  <c r="T9" i="3"/>
  <c r="T25" i="3" s="1"/>
  <c r="T8" i="3"/>
  <c r="U7" i="3"/>
  <c r="V5" i="41"/>
  <c r="V6" i="41" s="1"/>
  <c r="R5" i="41"/>
  <c r="R6" i="41" s="1"/>
  <c r="T13" i="35" l="1"/>
  <c r="T14" i="35" s="1"/>
  <c r="T16" i="35" s="1"/>
  <c r="W5" i="33"/>
  <c r="W7" i="33" s="1"/>
  <c r="W10" i="33" s="1"/>
  <c r="W16" i="33" s="1"/>
  <c r="U12" i="35"/>
  <c r="U13" i="35"/>
  <c r="V9" i="35"/>
  <c r="T6" i="34"/>
  <c r="AG30" i="40"/>
  <c r="AG45" i="40" s="1"/>
  <c r="AG52" i="40" s="1"/>
  <c r="AG34" i="40"/>
  <c r="AG49" i="40" s="1"/>
  <c r="AG56" i="40" s="1"/>
  <c r="AG31" i="40"/>
  <c r="AG46" i="40" s="1"/>
  <c r="AG53" i="40" s="1"/>
  <c r="AG33" i="40"/>
  <c r="AG48" i="40" s="1"/>
  <c r="AG55" i="40" s="1"/>
  <c r="AG32" i="40"/>
  <c r="AG47" i="40" s="1"/>
  <c r="AG54" i="40" s="1"/>
  <c r="V13" i="33"/>
  <c r="V19" i="33" s="1"/>
  <c r="V12" i="33"/>
  <c r="V18" i="33" s="1"/>
  <c r="V11" i="33"/>
  <c r="V17" i="33" s="1"/>
  <c r="V10" i="33"/>
  <c r="V16" i="33" s="1"/>
  <c r="W11" i="33"/>
  <c r="W17" i="33" s="1"/>
  <c r="AC32" i="40"/>
  <c r="AC47" i="40" s="1"/>
  <c r="AC54" i="40" s="1"/>
  <c r="AC34" i="40"/>
  <c r="AC49" i="40" s="1"/>
  <c r="AC56" i="40" s="1"/>
  <c r="AC33" i="40"/>
  <c r="AC48" i="40" s="1"/>
  <c r="AC55" i="40" s="1"/>
  <c r="AC31" i="40"/>
  <c r="AC46" i="40" s="1"/>
  <c r="AC53" i="40" s="1"/>
  <c r="AC30" i="40"/>
  <c r="AC45" i="40" s="1"/>
  <c r="AC52" i="40" s="1"/>
  <c r="T35" i="3"/>
  <c r="T26" i="3"/>
  <c r="T34" i="3"/>
  <c r="U9" i="3"/>
  <c r="U25" i="3" s="1"/>
  <c r="V7" i="3"/>
  <c r="U8" i="3"/>
  <c r="T23" i="3"/>
  <c r="T21" i="3"/>
  <c r="T22" i="3"/>
  <c r="T19" i="3"/>
  <c r="W12" i="33" l="1"/>
  <c r="W18" i="33" s="1"/>
  <c r="W13" i="33"/>
  <c r="W19" i="33" s="1"/>
  <c r="AC57" i="40"/>
  <c r="AG57" i="40"/>
  <c r="X5" i="33"/>
  <c r="X7" i="33" s="1"/>
  <c r="U6" i="34"/>
  <c r="V11" i="35"/>
  <c r="W9" i="35"/>
  <c r="U14" i="35"/>
  <c r="U16" i="35" s="1"/>
  <c r="U26" i="3"/>
  <c r="U35" i="3"/>
  <c r="U34" i="3"/>
  <c r="U19" i="3"/>
  <c r="U22" i="3"/>
  <c r="U23" i="3"/>
  <c r="U21" i="3"/>
  <c r="V8" i="3"/>
  <c r="W7" i="3"/>
  <c r="V9" i="3"/>
  <c r="V25" i="3" s="1"/>
  <c r="W11" i="35" l="1"/>
  <c r="X9" i="35"/>
  <c r="V13" i="35"/>
  <c r="V12" i="35"/>
  <c r="V14" i="35" s="1"/>
  <c r="V16" i="35" s="1"/>
  <c r="Y5" i="33"/>
  <c r="Y7" i="33" s="1"/>
  <c r="V6" i="34"/>
  <c r="X13" i="33"/>
  <c r="X19" i="33" s="1"/>
  <c r="X12" i="33"/>
  <c r="X18" i="33" s="1"/>
  <c r="X11" i="33"/>
  <c r="X17" i="33" s="1"/>
  <c r="X10" i="33"/>
  <c r="X16" i="33" s="1"/>
  <c r="V26" i="3"/>
  <c r="V34" i="3"/>
  <c r="V35" i="3"/>
  <c r="X7" i="3"/>
  <c r="W9" i="3"/>
  <c r="W25" i="3" s="1"/>
  <c r="W8" i="3"/>
  <c r="V22" i="3"/>
  <c r="V23" i="3"/>
  <c r="V21" i="3"/>
  <c r="V19" i="3"/>
  <c r="Y13" i="33" l="1"/>
  <c r="Y19" i="33" s="1"/>
  <c r="Y12" i="33"/>
  <c r="Y18" i="33" s="1"/>
  <c r="Y11" i="33"/>
  <c r="Y17" i="33" s="1"/>
  <c r="Y10" i="33"/>
  <c r="Y16" i="33" s="1"/>
  <c r="Z5" i="33"/>
  <c r="Z7" i="33" s="1"/>
  <c r="X11" i="35"/>
  <c r="Y9" i="35"/>
  <c r="W13" i="35"/>
  <c r="W12" i="35"/>
  <c r="W35" i="3"/>
  <c r="W26" i="3"/>
  <c r="W34" i="3"/>
  <c r="W23" i="3"/>
  <c r="W22" i="3"/>
  <c r="W21" i="3"/>
  <c r="W19" i="3"/>
  <c r="X9" i="3"/>
  <c r="X25" i="3" s="1"/>
  <c r="X8" i="3"/>
  <c r="Y7" i="3"/>
  <c r="W14" i="35" l="1"/>
  <c r="W16" i="35" s="1"/>
  <c r="Z13" i="33"/>
  <c r="Z19" i="33" s="1"/>
  <c r="Z12" i="33"/>
  <c r="Z18" i="33" s="1"/>
  <c r="Z11" i="33"/>
  <c r="Z17" i="33" s="1"/>
  <c r="Z10" i="33"/>
  <c r="Z16" i="33" s="1"/>
  <c r="X13" i="35"/>
  <c r="X12" i="35"/>
  <c r="Z9" i="35"/>
  <c r="Y11" i="35"/>
  <c r="X35" i="3"/>
  <c r="X34" i="3"/>
  <c r="X26" i="3"/>
  <c r="Z7" i="3"/>
  <c r="Y9" i="3"/>
  <c r="Y25" i="3" s="1"/>
  <c r="Y8" i="3"/>
  <c r="X19" i="3"/>
  <c r="X22" i="3"/>
  <c r="X23" i="3"/>
  <c r="X21" i="3"/>
  <c r="Y13" i="35" l="1"/>
  <c r="Y12" i="35"/>
  <c r="AA9" i="35"/>
  <c r="Z11" i="35"/>
  <c r="B7" i="31"/>
  <c r="X14" i="35"/>
  <c r="X16" i="35" s="1"/>
  <c r="Y34" i="3"/>
  <c r="Y35" i="3"/>
  <c r="Y26" i="3"/>
  <c r="Y19" i="3"/>
  <c r="Y23" i="3"/>
  <c r="Y22" i="3"/>
  <c r="Y21" i="3"/>
  <c r="Z8" i="3"/>
  <c r="AA7" i="3"/>
  <c r="Z9" i="3"/>
  <c r="Z25" i="3" s="1"/>
  <c r="Y14" i="35" l="1"/>
  <c r="Y16" i="35" s="1"/>
  <c r="Z12" i="35"/>
  <c r="Z13" i="35"/>
  <c r="AB9" i="35"/>
  <c r="AB11" i="35" s="1"/>
  <c r="AA11" i="35"/>
  <c r="Z34" i="3"/>
  <c r="Z35" i="3"/>
  <c r="Z26" i="3"/>
  <c r="AA9" i="3"/>
  <c r="AA25" i="3" s="1"/>
  <c r="AA8" i="3"/>
  <c r="AB7" i="3"/>
  <c r="Z21" i="3"/>
  <c r="Z22" i="3"/>
  <c r="Z23" i="3"/>
  <c r="Z19" i="3"/>
  <c r="AA13" i="35" l="1"/>
  <c r="AA12" i="35"/>
  <c r="AB12" i="35"/>
  <c r="AB13" i="35"/>
  <c r="Z14" i="35"/>
  <c r="Z16" i="35" s="1"/>
  <c r="AA34" i="3"/>
  <c r="AA26" i="3"/>
  <c r="AA35" i="3"/>
  <c r="AB9" i="3"/>
  <c r="AB25" i="3" s="1"/>
  <c r="AB8" i="3"/>
  <c r="AC7" i="3"/>
  <c r="AA23" i="3"/>
  <c r="AA21" i="3"/>
  <c r="AA22" i="3"/>
  <c r="AA19" i="3"/>
  <c r="AA14" i="35" l="1"/>
  <c r="AA16" i="35" s="1"/>
  <c r="AB14" i="35"/>
  <c r="AB16" i="35" s="1"/>
  <c r="AB26" i="3"/>
  <c r="AB34" i="3"/>
  <c r="AB35" i="3"/>
  <c r="AC9" i="3"/>
  <c r="AC25" i="3" s="1"/>
  <c r="AD7" i="3"/>
  <c r="AC8" i="3"/>
  <c r="AB23" i="3"/>
  <c r="AB21" i="3"/>
  <c r="AB22" i="3"/>
  <c r="AB19" i="3"/>
  <c r="AC26" i="3" l="1"/>
  <c r="AC35" i="3"/>
  <c r="AC34" i="3"/>
  <c r="AD8" i="3"/>
  <c r="AD9" i="3"/>
  <c r="AD25" i="3" s="1"/>
  <c r="AE7" i="3"/>
  <c r="AC19" i="3"/>
  <c r="AC22" i="3"/>
  <c r="AC23" i="3"/>
  <c r="AC21" i="3"/>
  <c r="AD26" i="3" l="1"/>
  <c r="AD34" i="3"/>
  <c r="AD35" i="3"/>
  <c r="AF7" i="3"/>
  <c r="AE8" i="3"/>
  <c r="AE9" i="3"/>
  <c r="AE25" i="3" s="1"/>
  <c r="AD19" i="3"/>
  <c r="AD21" i="3"/>
  <c r="AD22" i="3"/>
  <c r="AD23" i="3"/>
  <c r="AE35" i="3" l="1"/>
  <c r="AE34" i="3"/>
  <c r="AE26" i="3"/>
  <c r="AE19" i="3"/>
  <c r="AE21" i="3"/>
  <c r="AE23" i="3"/>
  <c r="AE22" i="3"/>
  <c r="AF9" i="3"/>
  <c r="AF25" i="3" s="1"/>
  <c r="AF8" i="3"/>
  <c r="AG7" i="3"/>
  <c r="AF35" i="3" l="1"/>
  <c r="AF34" i="3"/>
  <c r="AF26" i="3"/>
  <c r="AG8" i="3"/>
  <c r="AG9" i="3"/>
  <c r="AG25" i="3" s="1"/>
  <c r="AF21" i="3"/>
  <c r="AF22" i="3"/>
  <c r="AF23" i="3"/>
  <c r="AG34" i="3" l="1"/>
  <c r="AG35" i="3"/>
  <c r="AG26" i="3"/>
  <c r="B19" i="3"/>
  <c r="AG21" i="3"/>
  <c r="B21" i="3" s="1"/>
  <c r="AG22" i="3"/>
  <c r="B22" i="3" s="1"/>
  <c r="AG23" i="3"/>
  <c r="B25" i="3" l="1"/>
  <c r="B26" i="3" l="1"/>
  <c r="B35" i="3"/>
  <c r="B34" i="3"/>
  <c r="B32" i="3"/>
  <c r="B23" i="3"/>
  <c r="B37" i="3" l="1"/>
  <c r="B44" i="3"/>
  <c r="B43" i="3"/>
  <c r="B40" i="3"/>
  <c r="B41" i="3"/>
  <c r="B29" i="3"/>
  <c r="B47" i="3" l="1"/>
  <c r="B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tc={C934E233-E4DD-4D2C-93F0-E9C452A9D129}</author>
  </authors>
  <commentList>
    <comment ref="B38" authorId="0" shapeId="0" xr:uid="{C934E233-E4DD-4D2C-93F0-E9C452A9D129}">
      <text>
        <t>[Threaded comment]
Your version of Excel allows you to read this threaded comment; however, any edits to it will get removed if the file is opened in a newer version of Excel. Learn more: https://go.microsoft.com/fwlink/?linkid=870924
Comment:
    $24 max at hotels</t>
      </text>
    </comment>
  </commentList>
</comments>
</file>

<file path=xl/sharedStrings.xml><?xml version="1.0" encoding="utf-8"?>
<sst xmlns="http://schemas.openxmlformats.org/spreadsheetml/2006/main" count="828" uniqueCount="502">
  <si>
    <t xml:space="preserve">I-35 Bridge Replacement and Multimodal Improvements RAISE Grant BCA </t>
  </si>
  <si>
    <t>Discounted Summary Results (2021 $s)</t>
  </si>
  <si>
    <t>design</t>
  </si>
  <si>
    <t>construction</t>
  </si>
  <si>
    <t>partial year of op</t>
  </si>
  <si>
    <t>Year</t>
  </si>
  <si>
    <t>Years of Construction</t>
  </si>
  <si>
    <t>Years of Operation</t>
  </si>
  <si>
    <t>-</t>
  </si>
  <si>
    <t>Base Year Y for Discounting</t>
  </si>
  <si>
    <t>Discount Factor (7%)</t>
  </si>
  <si>
    <t>Discount Factor(3%)</t>
  </si>
  <si>
    <t>`</t>
  </si>
  <si>
    <t>Discounted Costs</t>
  </si>
  <si>
    <t>Present Value</t>
  </si>
  <si>
    <t xml:space="preserve">Build Capital Costs </t>
  </si>
  <si>
    <t>Vehicular Bridge and Approach Roads</t>
  </si>
  <si>
    <t>Pedestrian/Bike Improvements</t>
  </si>
  <si>
    <t>Discounted Benefits</t>
  </si>
  <si>
    <t>Vehicular Bridge Benefits</t>
  </si>
  <si>
    <t>Maintenance and Rehab (Life Cycle) Cost Savings</t>
  </si>
  <si>
    <t>Value of Vehicular Travel Time Savings</t>
  </si>
  <si>
    <t>auto</t>
  </si>
  <si>
    <t>truck</t>
  </si>
  <si>
    <t>Value of Vehicle Related Crash Reductions</t>
  </si>
  <si>
    <t>Value of Emissions Reductions</t>
  </si>
  <si>
    <t>CO2</t>
  </si>
  <si>
    <t>Other Emissions</t>
  </si>
  <si>
    <t>(Freight) Reliability Benefits</t>
  </si>
  <si>
    <t>Freight Supply Chain (Logistics) Savings</t>
  </si>
  <si>
    <t>Total Discounted Benefits - Vehicular Bridge and Approaches</t>
  </si>
  <si>
    <t>Bike and Ped Facility Enhancement Benefits</t>
  </si>
  <si>
    <t>Salvage Value</t>
  </si>
  <si>
    <t>Active Transportation Benefits</t>
  </si>
  <si>
    <t>Pedestrian</t>
  </si>
  <si>
    <t>Cyclist</t>
  </si>
  <si>
    <t>Option Value - Home Price Appreciation</t>
  </si>
  <si>
    <t>Total Discounted Benefits - Bike and Ped Facilities</t>
  </si>
  <si>
    <t>Summary</t>
  </si>
  <si>
    <t>Benefit Cost Ratio - Vehicular Bridge and Approach Roads</t>
  </si>
  <si>
    <t>Net Present Value - Vehicular Bridge and Approach Roads</t>
  </si>
  <si>
    <t>Benefit Cost Ratio - Bike and Ped</t>
  </si>
  <si>
    <t>Net Present Value - Bike and Ped</t>
  </si>
  <si>
    <t>Benefit Cost Ratio - Full Project</t>
  </si>
  <si>
    <t>Net Present Value - Full Project</t>
  </si>
  <si>
    <t>Capital Costs (Undiscounted, $2021)</t>
  </si>
  <si>
    <t>preconstruction</t>
  </si>
  <si>
    <t>Year of Operation</t>
  </si>
  <si>
    <t>2022 dollar value</t>
  </si>
  <si>
    <t xml:space="preserve"> 2021 dollar value</t>
  </si>
  <si>
    <t xml:space="preserve">2021 $s </t>
  </si>
  <si>
    <t>Build</t>
  </si>
  <si>
    <t>Multimodal Bridge and Trail Improvements</t>
  </si>
  <si>
    <t>(Q4 2022 Dollars)</t>
  </si>
  <si>
    <t>PED BRIDGE OVER OKLAHOMA RIVER</t>
  </si>
  <si>
    <t>Item</t>
  </si>
  <si>
    <t>Cost</t>
  </si>
  <si>
    <t>ITEM NO.</t>
  </si>
  <si>
    <t>DESCRIPTION</t>
  </si>
  <si>
    <t>UNIT</t>
  </si>
  <si>
    <t>QUANT</t>
  </si>
  <si>
    <t>UNIT COST</t>
  </si>
  <si>
    <t>TOTAL COST</t>
  </si>
  <si>
    <t>Roadway</t>
  </si>
  <si>
    <t>Construction</t>
  </si>
  <si>
    <t>504 (A)</t>
  </si>
  <si>
    <t>APPROACH SLAB</t>
  </si>
  <si>
    <t>SY</t>
  </si>
  <si>
    <t>Other Items (Traffic Control, Striping, Etc.)</t>
  </si>
  <si>
    <t>504 (E)</t>
  </si>
  <si>
    <t>CONCRETE PARAPET</t>
  </si>
  <si>
    <t>LF</t>
  </si>
  <si>
    <t>Bridge</t>
  </si>
  <si>
    <t>506 (A)</t>
  </si>
  <si>
    <t>STRUCTURAL STEEL</t>
  </si>
  <si>
    <t>LB</t>
  </si>
  <si>
    <t>I-35 SB over Oklahoma River</t>
  </si>
  <si>
    <t>507 (A)</t>
  </si>
  <si>
    <t>STAINLESS STEEL FIXED BEARING ASSEMBLY</t>
  </si>
  <si>
    <t>EA</t>
  </si>
  <si>
    <t>I-35 NB over Oklahoma River</t>
  </si>
  <si>
    <t>507 (B)</t>
  </si>
  <si>
    <t>STAINLESS STEEL EXPANSION BEARING ASSEMBLY</t>
  </si>
  <si>
    <t>I-35 Ramp over Oklahoma River</t>
  </si>
  <si>
    <t>509 (A)</t>
  </si>
  <si>
    <t>CLASS AA CONCRETE</t>
  </si>
  <si>
    <t>CY</t>
  </si>
  <si>
    <t>Pedestrian Bridge over Oklahoma River</t>
  </si>
  <si>
    <t>509 (B)</t>
  </si>
  <si>
    <t>CLASS A CONCRETE</t>
  </si>
  <si>
    <t>I-35 over Stillwater RR Bridge Rehab</t>
  </si>
  <si>
    <t>511 (B)</t>
  </si>
  <si>
    <t>EPOXY COATED REINFORCING STEEL</t>
  </si>
  <si>
    <t>Trail Improvements</t>
  </si>
  <si>
    <t>516 (A)</t>
  </si>
  <si>
    <t>DRILLED SHAFTS 72" DIAMETER</t>
  </si>
  <si>
    <t>601 (B)</t>
  </si>
  <si>
    <t>TYPE I-A PLAIN RIPRAP</t>
  </si>
  <si>
    <t>TON</t>
  </si>
  <si>
    <t>Total</t>
  </si>
  <si>
    <t>30% Contigency (Excluding Bridge Items)</t>
  </si>
  <si>
    <t>CONSTRUCTION TOTAL</t>
  </si>
  <si>
    <t>Grand Total</t>
  </si>
  <si>
    <t>10% CONTINGENCY</t>
  </si>
  <si>
    <t>BRIDGE TOTAL</t>
  </si>
  <si>
    <t>Grand Total Bridge and Roadway</t>
  </si>
  <si>
    <t>510(D)</t>
  </si>
  <si>
    <t>MSE RETAINING WALL (NORTH BANK)</t>
  </si>
  <si>
    <t>Grant Total Multimodal ImprovemetnS</t>
  </si>
  <si>
    <t>MULTIMODAL TRAIL (NORTH BANK)</t>
  </si>
  <si>
    <t>MULTIMODAL RAMP (NORTH BANK)</t>
  </si>
  <si>
    <t>MULTIMODAL TRAIL (SOUTH BANK)</t>
  </si>
  <si>
    <t>MULTIMODAL RAMP (SOUTH BANK)</t>
  </si>
  <si>
    <t>MULTIMODAL TRAIL (SOUTH BANK OKANA EXTENSION)</t>
  </si>
  <si>
    <t>504(F)</t>
  </si>
  <si>
    <t>HANDRAILING</t>
  </si>
  <si>
    <t>30% CONTINGENCY</t>
  </si>
  <si>
    <t>TRAIL TOTAL</t>
  </si>
  <si>
    <t>BRIDGE &amp; TRAIL TOTAL</t>
  </si>
  <si>
    <t>Life Cycle Cost Savings (Maintenance and Rehab Cost Savings, 2021 $s)</t>
  </si>
  <si>
    <t>No Build</t>
  </si>
  <si>
    <t>routine</t>
  </si>
  <si>
    <t>Bridge Damage Repair</t>
  </si>
  <si>
    <t>Major rehab/repair</t>
  </si>
  <si>
    <t xml:space="preserve">No Build - Build </t>
  </si>
  <si>
    <t>Total difference/lcc savings</t>
  </si>
  <si>
    <t xml:space="preserve">Year </t>
  </si>
  <si>
    <t>No-Build</t>
  </si>
  <si>
    <t>BUILD</t>
  </si>
  <si>
    <t>Routine Maint and Rehab</t>
  </si>
  <si>
    <t xml:space="preserve"> Major Bridge Rehab Costs </t>
  </si>
  <si>
    <t xml:space="preserve"> Bridge Damage repair </t>
  </si>
  <si>
    <t xml:space="preserve"> TOTAL </t>
  </si>
  <si>
    <t>Routine Maintenance and Rehab</t>
  </si>
  <si>
    <t>SourceL  ODOT and Poe Engineers</t>
  </si>
  <si>
    <t>TOTAL</t>
  </si>
  <si>
    <t xml:space="preserve">Maint &amp; Rehab Costs for I-35 </t>
  </si>
  <si>
    <t xml:space="preserve"> Bridge Rehab Costs </t>
  </si>
  <si>
    <t xml:space="preserve"> Capital Costs </t>
  </si>
  <si>
    <t xml:space="preserve"> Maintenance </t>
  </si>
  <si>
    <t xml:space="preserve"> Bridge Damage Repair </t>
  </si>
  <si>
    <t>Major Bridge Rehab Costs</t>
  </si>
  <si>
    <t>This tab would capture any incremental increases in the value of land (site rents) due to more productive uses on the site.  It should be over and above any capitalization of base travel time savings.</t>
  </si>
  <si>
    <t>Reduced Pavement Damage</t>
  </si>
  <si>
    <t>VHT and PHT Savings</t>
  </si>
  <si>
    <t>Annual PHT/VHT savings</t>
  </si>
  <si>
    <t>auto PHT</t>
  </si>
  <si>
    <t>AADT - Current and Forecast (I-35)</t>
  </si>
  <si>
    <t>Daily</t>
  </si>
  <si>
    <t xml:space="preserve">AM </t>
  </si>
  <si>
    <t xml:space="preserve">PM </t>
  </si>
  <si>
    <t xml:space="preserve">NB Daily </t>
  </si>
  <si>
    <t>AM NB peak</t>
  </si>
  <si>
    <t>SB Daily</t>
  </si>
  <si>
    <t>AM SB peak</t>
  </si>
  <si>
    <t>NB Daily</t>
  </si>
  <si>
    <t>PM NB peak</t>
  </si>
  <si>
    <t xml:space="preserve"> SB Daily</t>
  </si>
  <si>
    <t>PM SB peak</t>
  </si>
  <si>
    <t>peak trip time No Build</t>
  </si>
  <si>
    <t>peak trip time Build</t>
  </si>
  <si>
    <t>time savings per trip (minutes)</t>
  </si>
  <si>
    <t>2022 AADT</t>
  </si>
  <si>
    <t>autos</t>
  </si>
  <si>
    <t>trucks</t>
  </si>
  <si>
    <t>2030 AADT</t>
  </si>
  <si>
    <t xml:space="preserve">autos </t>
  </si>
  <si>
    <t>2040 AADT</t>
  </si>
  <si>
    <t xml:space="preserve">truck share </t>
  </si>
  <si>
    <t>Value of Travel Time Saving (undiscounted 2021 $s)</t>
  </si>
  <si>
    <t>Value of auto passenger time savings</t>
  </si>
  <si>
    <t>Value of truck time savings</t>
  </si>
  <si>
    <t>Value of Crash Reductions (2021 $s)</t>
  </si>
  <si>
    <t>10 - Year Crash Data</t>
  </si>
  <si>
    <t>Type of Collision</t>
  </si>
  <si>
    <t>Fatality</t>
  </si>
  <si>
    <t>Injury</t>
  </si>
  <si>
    <t>Property Damage</t>
  </si>
  <si>
    <t>Rear-End</t>
  </si>
  <si>
    <t>Head-On</t>
  </si>
  <si>
    <t>Sideswipe Opposite Direction</t>
  </si>
  <si>
    <t>Fixed Object</t>
  </si>
  <si>
    <t>Overturn/Rollover</t>
  </si>
  <si>
    <t>Other Single Vehicle Crash</t>
  </si>
  <si>
    <t>Other</t>
  </si>
  <si>
    <t>Average Annual</t>
  </si>
  <si>
    <t>Source: ODOT</t>
  </si>
  <si>
    <t xml:space="preserve">Year of Operation </t>
  </si>
  <si>
    <t>annual growth increase factor</t>
  </si>
  <si>
    <t>Average Project-wide No Build Crashes (grow at rate of AADT growth from Look Up table)</t>
  </si>
  <si>
    <t xml:space="preserve">PDO </t>
  </si>
  <si>
    <t>Serious Injury</t>
  </si>
  <si>
    <t>Non Capacitating Injury</t>
  </si>
  <si>
    <t>Possible Injury</t>
  </si>
  <si>
    <t>Fatal</t>
  </si>
  <si>
    <t>Projected Annual Crashes (Build)</t>
  </si>
  <si>
    <t>PDO</t>
  </si>
  <si>
    <t xml:space="preserve">Crashes Reduced </t>
  </si>
  <si>
    <t>combined CMF</t>
  </si>
  <si>
    <t xml:space="preserve">lowest CMT </t>
  </si>
  <si>
    <t>Value of Fuel Reductions (2020$s)</t>
  </si>
  <si>
    <t>MPG No Build speed (45 mph)</t>
  </si>
  <si>
    <t>MPG Build speed (55 mph)</t>
  </si>
  <si>
    <t>average trip length of trips through the interchange</t>
  </si>
  <si>
    <t xml:space="preserve">Annual VMT through the interchange </t>
  </si>
  <si>
    <t>EV percentage</t>
  </si>
  <si>
    <t>Motor fuel powered VMT</t>
  </si>
  <si>
    <t>No Build gallons consumed @42 mpg</t>
  </si>
  <si>
    <t>Build gallons consumed * 45 mpg</t>
  </si>
  <si>
    <t>Additional No Build gallons consumed</t>
  </si>
  <si>
    <t>Value of additional fuel (adjusted for truck share)</t>
  </si>
  <si>
    <t>average motor fuel cost OK 2020 net of fuel taxes</t>
  </si>
  <si>
    <t>Fuel Economy by Speed, Model Results, May 2021</t>
  </si>
  <si>
    <t>Midsize Conventional Gasoline Car</t>
  </si>
  <si>
    <t>Midsize Conventional Diesel Car</t>
  </si>
  <si>
    <t>Midsize Hybrid Electric Car</t>
  </si>
  <si>
    <t>Speed (mph)</t>
  </si>
  <si>
    <t>Miles Per Gallon</t>
  </si>
  <si>
    <r>
      <rPr>
        <b/>
        <sz val="10"/>
        <color indexed="8"/>
        <rFont val="Arial"/>
        <family val="2"/>
      </rPr>
      <t>Source:</t>
    </r>
    <r>
      <rPr>
        <sz val="10"/>
        <color indexed="8"/>
        <rFont val="Arial"/>
        <family val="2"/>
      </rPr>
      <t xml:space="preserve"> Oak Ridge National Laboratory, Transportation Energy Data Book #39, Table 4.33. tedb.ornl.gov</t>
    </r>
  </si>
  <si>
    <r>
      <t xml:space="preserve">EV percentage assumptions: </t>
    </r>
    <r>
      <rPr>
        <sz val="10"/>
        <rFont val="Arial"/>
        <family val="2"/>
      </rPr>
      <t>https://graphics.reuters.com/AUTOS-ELECTRIC/USA/mopanyqxwva/</t>
    </r>
  </si>
  <si>
    <r>
      <rPr>
        <b/>
        <sz val="10"/>
        <rFont val="Arial"/>
        <family val="2"/>
      </rPr>
      <t>Oklahoma gas prices 2020</t>
    </r>
    <r>
      <rPr>
        <sz val="10"/>
        <rFont val="Arial"/>
        <family val="2"/>
      </rPr>
      <t>:  AAA and GasBuddy: http://www.okenergytoday.com/2020/04/oklahoma-gasoline-prices-fall-7-cents-in-a-week/#:~:text=GasBuddy%20reported%20four%20Oklahoma%20City%20places%20are%20still,Texas%2C%20%241.51%20in%20Arkansas%20and%20%241.56%20in%20Missouri.</t>
    </r>
  </si>
  <si>
    <t>Value of Supply Chain Benefits (2020$s)</t>
  </si>
  <si>
    <t>Truck VHT reductions</t>
  </si>
  <si>
    <t>Annual supply chain savings</t>
  </si>
  <si>
    <t>Inventory Costs Per Ton-Hour**</t>
  </si>
  <si>
    <t>High-value manufacturing</t>
  </si>
  <si>
    <t>Low to modererate-value manufacturing</t>
  </si>
  <si>
    <t>Low-value bulk commodities</t>
  </si>
  <si>
    <t>Perishable agriculture</t>
  </si>
  <si>
    <t>Average (2009 dollars)</t>
  </si>
  <si>
    <t>Average (2020 dollars)</t>
  </si>
  <si>
    <t xml:space="preserve">Note: Inventory costs per ton-hour does not include direct transport costs. </t>
  </si>
  <si>
    <t>Source: NHCPR Report 732: Methodologies to Estimate the Economic Impacts of Distruptions to the Goods Movement System, 2012</t>
  </si>
  <si>
    <t>Value of Emissions Savings (2020 $s)</t>
  </si>
  <si>
    <t>Vehicle Hours of Delay Saved</t>
  </si>
  <si>
    <t xml:space="preserve">Motor Fueled Vehicle Hours of Delay </t>
  </si>
  <si>
    <t>Reduced Tons (adjusted for truck mix)</t>
  </si>
  <si>
    <t>Oxides of Nitrogen (NOx)</t>
  </si>
  <si>
    <t>Sulfur Dioxide (SO2)</t>
  </si>
  <si>
    <t>CO2 Equivalent</t>
  </si>
  <si>
    <t>PM2.5</t>
  </si>
  <si>
    <t>Benefits of Emission Reductions</t>
  </si>
  <si>
    <t>Bike and Ped Lane Benefits</t>
  </si>
  <si>
    <t>Value of Bike and Ped Benefits  (undiscounted 2021 $s)</t>
  </si>
  <si>
    <t>Total Pedestrian Benefits</t>
  </si>
  <si>
    <t>Total Bike Benefits</t>
  </si>
  <si>
    <t>Total Active Transportation</t>
  </si>
  <si>
    <t xml:space="preserve">Comprehensive BCA Look Up Table </t>
  </si>
  <si>
    <t xml:space="preserve">General </t>
  </si>
  <si>
    <t>Variable</t>
  </si>
  <si>
    <t>Value</t>
  </si>
  <si>
    <t>Source</t>
  </si>
  <si>
    <t>Discount Rate</t>
  </si>
  <si>
    <t>USDOT 2023 BCA Guidance (revised)</t>
  </si>
  <si>
    <t>Discount Rate (Carbon Emissions)</t>
  </si>
  <si>
    <t>Average annualization factor</t>
  </si>
  <si>
    <t>assumption</t>
  </si>
  <si>
    <t>Occupancy - Passenger vehicles all travel</t>
  </si>
  <si>
    <t>Vehicle operating cost per mile - light duty vehicles</t>
  </si>
  <si>
    <t>Vehicle operating cost per mile - trucks</t>
  </si>
  <si>
    <t>Truck vehicle operating cost per ton mile</t>
  </si>
  <si>
    <t>calculated</t>
  </si>
  <si>
    <t>Bulk vessel carbon emissions - grams per ton kilometer</t>
  </si>
  <si>
    <t xml:space="preserve"> </t>
  </si>
  <si>
    <t>Bulk vessel carbon emissions - kilograms per ton kilometer</t>
  </si>
  <si>
    <t>Bulk vessel carbon emissions - kilogram per ton mile</t>
  </si>
  <si>
    <t>Bulk vessel carbon emissions - metric tons per ton mile</t>
  </si>
  <si>
    <t>Average truck payload (tons)</t>
  </si>
  <si>
    <t>TREDIS</t>
  </si>
  <si>
    <t>https://www.freightwaves.com/news/how-much-weight-can-a-big-rig-carry</t>
  </si>
  <si>
    <t>Average rail payload (tons, 50 hopper car train)</t>
  </si>
  <si>
    <t>Iowa DOT (below)</t>
  </si>
  <si>
    <t>Average 2 barge combo payload (tons)</t>
  </si>
  <si>
    <t>Iowa DOT below</t>
  </si>
  <si>
    <t>Roadway  maintenance cost/truck VMT</t>
  </si>
  <si>
    <t>FHWA Comprehensive Truck Size and Weight Study, updated; Bai, et al, Estimating Highway Pavement Cost Attributed to Truck Traffic, 2009.</t>
  </si>
  <si>
    <t>Train operating cost per ton mile</t>
  </si>
  <si>
    <t xml:space="preserve">freight revenue per ton mile </t>
  </si>
  <si>
    <t>https://www.bts.gov/content/average-freight-revenue-ton-mile</t>
  </si>
  <si>
    <t>Truck operating cost per ton mile</t>
  </si>
  <si>
    <t>Barge operating cost per barge ton mile</t>
  </si>
  <si>
    <t>Projected I-35 Bridge traffic - annual growth rate</t>
  </si>
  <si>
    <t xml:space="preserve">ODOT traffic forecast </t>
  </si>
  <si>
    <t>Average cost of gasoline (2019$s, net of fuel taxes)</t>
  </si>
  <si>
    <t>https://www.eia.gov/dnav/pet/pet_pri_gnd_a_epmru_pte_dpgal_a.htm</t>
  </si>
  <si>
    <t>average cost of diesel fuel (2019$s, net of fuel taxes)</t>
  </si>
  <si>
    <t>Seconds to hours conversion</t>
  </si>
  <si>
    <t>Grams to tons conversion</t>
  </si>
  <si>
    <t>Kilograms to metric tons conversion</t>
  </si>
  <si>
    <t>US tons to metric tons conversion</t>
  </si>
  <si>
    <t>Reduced Pavement Damage Cost</t>
  </si>
  <si>
    <t>Freight Rail Industry Average CO2 Emissions - grams per short tone mile</t>
  </si>
  <si>
    <t>EPA</t>
  </si>
  <si>
    <t>2022 SmartWay Online Shipper Tool: Technical Documentation - U.S. Version 1.0 (Data Year 2021) (EPA-420-B-22-046, January 2022)</t>
  </si>
  <si>
    <t>Freight Rail Industry Average CO2 Emissions - grams per ton mile</t>
  </si>
  <si>
    <t>Freight Rail Industry Average CO2 Emissions - metric tons per ton mile</t>
  </si>
  <si>
    <t>daily parking rate Hesperia Station</t>
  </si>
  <si>
    <t>daily parking rate Victor Valley Station</t>
  </si>
  <si>
    <t>average daily parking rate downtown Los Angeles</t>
  </si>
  <si>
    <t>survey of downtown parking lots, weekday 8 am to 5 pm</t>
  </si>
  <si>
    <t>average daily parking rate downtown Las Vegas</t>
  </si>
  <si>
    <t>average app based ride cost,  downtown Las Vegas</t>
  </si>
  <si>
    <t>survey of for hire rates LV</t>
  </si>
  <si>
    <t>External Highway Use Cost (congestion)/VMT (Light duty vehicles urban)</t>
  </si>
  <si>
    <t>USDOT 2023 BCA Guidance (revised) Table A-14</t>
  </si>
  <si>
    <t>Congestion Cost per VMT LA - Long Beach - Anaheim CSA Area 2019</t>
  </si>
  <si>
    <t>Texas Transportation Institute 2021 Urban Mobility Report data for LA</t>
  </si>
  <si>
    <t>Congestion Data for Your City - Mobility Division (tamu.edu)</t>
  </si>
  <si>
    <t>Emissions (VMT)</t>
  </si>
  <si>
    <t>Emissions Tons per VMT</t>
  </si>
  <si>
    <t>Passenger Car</t>
  </si>
  <si>
    <t>MOVES3</t>
  </si>
  <si>
    <t>tons/VMT</t>
  </si>
  <si>
    <t>Car (Gasoline)</t>
  </si>
  <si>
    <t>Light/Medium Truck</t>
  </si>
  <si>
    <t>Medium Duty Truck</t>
  </si>
  <si>
    <t>Heavy Truck</t>
  </si>
  <si>
    <t>Tractor Trailers</t>
  </si>
  <si>
    <t>Rail</t>
  </si>
  <si>
    <t>Freight Rail</t>
  </si>
  <si>
    <t>Source: TREDIS Data Sources and Default Values (2021); US EPA Motor Vehicle Emission Simulator (MOVES3) (2021); USDOT March 2022 BCA Guidance updated</t>
  </si>
  <si>
    <r>
      <t>Emissions Savings Pe</t>
    </r>
    <r>
      <rPr>
        <b/>
        <sz val="11"/>
        <color theme="1"/>
        <rFont val="Calibri"/>
        <family val="2"/>
        <scheme val="minor"/>
      </rPr>
      <t>r Truck Mile (g/VMT</t>
    </r>
    <r>
      <rPr>
        <b/>
        <u/>
        <sz val="11"/>
        <color theme="1"/>
        <rFont val="Calibri"/>
        <family val="2"/>
        <scheme val="minor"/>
      </rPr>
      <t>)</t>
    </r>
  </si>
  <si>
    <t>NOX</t>
  </si>
  <si>
    <t>SO2</t>
  </si>
  <si>
    <t>VOC</t>
  </si>
  <si>
    <t xml:space="preserve">Emissions Savings Per Truck Mile (metric tons per vehicle VMT) </t>
  </si>
  <si>
    <t>Emissions (VHT)</t>
  </si>
  <si>
    <t>Emissions Kilograms Per VHT</t>
  </si>
  <si>
    <t>Unit</t>
  </si>
  <si>
    <t>Vehicle Class</t>
  </si>
  <si>
    <t>AVG annual % pollutant decrease, 2021-2025</t>
  </si>
  <si>
    <t>kg/VHT</t>
  </si>
  <si>
    <t>Tons per VMT equivalent comparison between VMT and VHT rates</t>
  </si>
  <si>
    <t>Monetary Costs of Emissions</t>
  </si>
  <si>
    <t xml:space="preserve">Emissions Costs Per Ton </t>
  </si>
  <si>
    <t>Nox</t>
  </si>
  <si>
    <t>USDOT 2023 BCA Guidance/USDOT 2022 BCA Guidance</t>
  </si>
  <si>
    <t>$/Metric Ton</t>
  </si>
  <si>
    <t>Sox</t>
  </si>
  <si>
    <r>
      <t>CO</t>
    </r>
    <r>
      <rPr>
        <vertAlign val="subscript"/>
        <sz val="11"/>
        <color theme="1"/>
        <rFont val="Calibri"/>
        <family val="2"/>
        <scheme val="minor"/>
      </rPr>
      <t>2</t>
    </r>
  </si>
  <si>
    <t>Crash Values</t>
  </si>
  <si>
    <t>Value of Accidents KABCO Values ($2021)</t>
  </si>
  <si>
    <t>No injury (PDO equivalent)</t>
  </si>
  <si>
    <t>$/Crash</t>
  </si>
  <si>
    <t>Possible Injury (=OK Severity 2)</t>
  </si>
  <si>
    <t>Non-incapacitating Injury (=OK Severity 3)</t>
  </si>
  <si>
    <t>Incapacitating Injury (=OK Severity 4)</t>
  </si>
  <si>
    <t xml:space="preserve">Fatal </t>
  </si>
  <si>
    <t>Value of Travel Time</t>
  </si>
  <si>
    <t>Hourly Value of Time ($2021)</t>
  </si>
  <si>
    <t>Passengers (All Purposes)</t>
  </si>
  <si>
    <t>USDOT 2023 BCA Guidance</t>
  </si>
  <si>
    <t>Wait and Transfer Time</t>
  </si>
  <si>
    <t>Truck Drivers</t>
  </si>
  <si>
    <t>Construction Inflation</t>
  </si>
  <si>
    <t>PPI Construction</t>
  </si>
  <si>
    <t>PPI Final Demand Construction July 2021-2022</t>
  </si>
  <si>
    <t>https://fred.stlouisfed.org/series/GDPDEF/</t>
  </si>
  <si>
    <t>Supplementary Information</t>
  </si>
  <si>
    <t>Emissions (Metric Tons) per VMT:</t>
  </si>
  <si>
    <t>Mode</t>
  </si>
  <si>
    <t>PM 2.5</t>
  </si>
  <si>
    <t>VOCs</t>
  </si>
  <si>
    <t>NOx</t>
  </si>
  <si>
    <t>source:  MOVES3/TREDIS</t>
  </si>
  <si>
    <t>Emissions per Hour of Delay</t>
  </si>
  <si>
    <t>MOVES Output</t>
  </si>
  <si>
    <t>Grams/hour of travel delay (2019)*</t>
  </si>
  <si>
    <t>Tons/hour of travel delay (2019)</t>
  </si>
  <si>
    <t>Grams/hour of travel delay (2030)*</t>
  </si>
  <si>
    <t>Tons/hour of travel delay (2030)</t>
  </si>
  <si>
    <t>Grams/hour of travel delay (2045)*</t>
  </si>
  <si>
    <t>Tons/hour of travel delay (2045)</t>
  </si>
  <si>
    <r>
      <t>CO</t>
    </r>
    <r>
      <rPr>
        <vertAlign val="subscript"/>
        <sz val="11"/>
        <color rgb="FF000000"/>
        <rFont val="Calibri"/>
        <family val="2"/>
      </rPr>
      <t>2</t>
    </r>
  </si>
  <si>
    <t xml:space="preserve">NOx </t>
  </si>
  <si>
    <t>*Source: INCOG Analysis, from EPA</t>
  </si>
  <si>
    <t>https://www.epa.gov/energy/greenhouse-gases-equivalencies-calculator-calculations-and-references</t>
  </si>
  <si>
    <t>https://www.epa.gov/moves/latest-version-motor-vehicle-emission-simulator-moves</t>
  </si>
  <si>
    <t>The following sheets contain active transportation data and calculations</t>
  </si>
  <si>
    <t>Active Data</t>
  </si>
  <si>
    <t>Pedestrian Benefits</t>
  </si>
  <si>
    <t>Cyclist Benefits</t>
  </si>
  <si>
    <t>Parameters</t>
  </si>
  <si>
    <t>Age</t>
  </si>
  <si>
    <t>Export Table</t>
  </si>
  <si>
    <t>POPULATION ELIGIBLE FOR INDUCED HEALTH BENEFIT</t>
  </si>
  <si>
    <t>CENSUS TRACT 1039</t>
  </si>
  <si>
    <t>CENSUS TRACT 1053</t>
  </si>
  <si>
    <t>CENSUS TRACT 1073.05</t>
  </si>
  <si>
    <t>CENSUS TRACT 1095</t>
  </si>
  <si>
    <t>CENSUS TRACT 1097</t>
  </si>
  <si>
    <t>FACILITY LENGTH</t>
  </si>
  <si>
    <t>MILES</t>
  </si>
  <si>
    <t>WALKING  (AGES 20-74)</t>
  </si>
  <si>
    <t>FACILITY WIDTH</t>
  </si>
  <si>
    <t>FEET</t>
  </si>
  <si>
    <t>CYCLING    (AGES 20-64)</t>
  </si>
  <si>
    <t>TOTAL WALKING POPULATION</t>
  </si>
  <si>
    <t>TOTAL CYCLING POPULATION</t>
  </si>
  <si>
    <t>NO-BUILD WALKING RATE (CENSUS TRACT RATES)</t>
  </si>
  <si>
    <t>option value calculation</t>
  </si>
  <si>
    <t>NO-BUILD CYCLING RATE   (CENSUS TRACT RATES)</t>
  </si>
  <si>
    <t>NO-BUILD EXISTING COMMUTER PEDESTRIANS</t>
  </si>
  <si>
    <t>estimatead homes</t>
  </si>
  <si>
    <t>NO-BUILD EXISTING COMMUTER CYCLISTS</t>
  </si>
  <si>
    <t>ANNUAL TRIPS (52 WEEKS * 5 ROUND TRIPS)</t>
  </si>
  <si>
    <t>one time property value increase at $5000 per house value</t>
  </si>
  <si>
    <t>NO-BUILD WALKING TRIPS</t>
  </si>
  <si>
    <t>NO-BUILD CYCLING TRIPS</t>
  </si>
  <si>
    <t>BUILD WALKING RATE (OKLAHOMA COUNTY RATES)</t>
  </si>
  <si>
    <t>BUILD CYCLING RATE    (OKLAHOMA COUNTY RATES)</t>
  </si>
  <si>
    <t>BUILD INDUCED COMMUTER PEDESTRIANS</t>
  </si>
  <si>
    <t>BUILD INDUCED COMMUTER CYCLISTS</t>
  </si>
  <si>
    <t>BUILD WALKING TRIPS</t>
  </si>
  <si>
    <t>BUILD CYCLING TRIPS</t>
  </si>
  <si>
    <t>BUILD RECREATIONAL WALKING RATE (NATIONAL RATES)</t>
  </si>
  <si>
    <t>Source.</t>
  </si>
  <si>
    <t>BUILD RECREATIONAL CYCLING RATE (NATIONAL RATES)</t>
  </si>
  <si>
    <t>BUILD INDUCED RECREATIONAL PEDESTRIANS</t>
  </si>
  <si>
    <t>BUILD INDUCED RECREATIONAL CYCLISTS</t>
  </si>
  <si>
    <t>NEW PEDESTRIAN LANE BENEFITS (2021 $)</t>
  </si>
  <si>
    <t>YEAR OF OPERATION</t>
  </si>
  <si>
    <t>YEAR</t>
  </si>
  <si>
    <t>EXISTING PEDESTRIAN TRIPS AND BENEFITS</t>
  </si>
  <si>
    <t>ESTIMATED EXISTING COMMUTER PEDESTRIANS</t>
  </si>
  <si>
    <t>ANNUALIZATION FACTOR</t>
  </si>
  <si>
    <t>PEDESTRIAN TRIP LENGTH</t>
  </si>
  <si>
    <t>ESTIMATED ANNUAL WALK MILES</t>
  </si>
  <si>
    <t>SIDEWALK EXPANSION BENEFIT (10 FEET)</t>
  </si>
  <si>
    <t>ANNUAL EXISTING PEDESTRIAN BENEFITS</t>
  </si>
  <si>
    <t>INDUCED PEDESTRIAN TRIPS AND BENEFITS</t>
  </si>
  <si>
    <t>ESTIMATED INDUCED COMMUTER PEDESTRIANS</t>
  </si>
  <si>
    <t>ESTIMATED INDUCED RECREATIONAL PEDESTRIANS</t>
  </si>
  <si>
    <t>ANNUAL INDUCED PEDESTRIAN BENEFITS</t>
  </si>
  <si>
    <t>TOTAL PEDESTRIAN BENEFITS</t>
  </si>
  <si>
    <t>NEW CYCLIST LANE BENEFITS (2021 $)</t>
  </si>
  <si>
    <t>EXISTING CYCLIST TRIPS AND BENEFITS</t>
  </si>
  <si>
    <t>ESTIMATED EXISTING COMMUTER CYCLISTS</t>
  </si>
  <si>
    <t>CYCLIST TRIP LENGTH</t>
  </si>
  <si>
    <t>ESTIMATED ANNUAL BIKE MILES</t>
  </si>
  <si>
    <t>CYCLING PATH WITH NO AT GRADE CROSSING BENEFIT</t>
  </si>
  <si>
    <t>ANNUAL EXISTING CYCLIST BENEFITS</t>
  </si>
  <si>
    <t>INDUCED CYCLIST TRIPS AND BENEFITS</t>
  </si>
  <si>
    <t>ESTIMATED INDUCED COMMUTER CYCLISTS</t>
  </si>
  <si>
    <t>ESTIMATED INDUCED RECREATIONAL CYCLISTS</t>
  </si>
  <si>
    <t>ANNUAL INDUCED CYCLIST BENEFITS</t>
  </si>
  <si>
    <t>TOTAL CYCLIST BENEFITS</t>
  </si>
  <si>
    <t>PEDESTRIAN FACILITY IMPROVEMENTS REVEALED PREFERENCE VALUES</t>
  </si>
  <si>
    <t>IMPROVEMENT TYPE</t>
  </si>
  <si>
    <t>RECOMMENDED VALUE PER PERSON-MILE WALKED (2021 $)</t>
  </si>
  <si>
    <t>EXPAND SIDEWALK (PER FOOT OF ADDED WIDTH)</t>
  </si>
  <si>
    <t>REDUCING UPSLOPE BY 1%</t>
  </si>
  <si>
    <t>REDUCING TRAFFIC SPEED BY 1 MPH (FOR SPEEDS ≤ 45 MPH)</t>
  </si>
  <si>
    <t xml:space="preserve">REDUCING TRAFFIC VOLUME BY 1 VEHICLE PER HOUR (FOR ADT ≤ 55,000) </t>
  </si>
  <si>
    <t>INSTALL MARKED-CROSSWALK ON ROADWAY WITH VOLUMES ≥ 10,000 VEHICLES PER DAY</t>
  </si>
  <si>
    <t xml:space="preserve">INSTALL SIGNAL FOR PEDESTRIAN CROSSING ON ROADWAY WITH VOLUMES ≥ 13,000 VEHICLES PER DAY </t>
  </si>
  <si>
    <t>CYCLING FACILITY IMPROVEMENT REVEALED PREFERENCE VALUES</t>
  </si>
  <si>
    <t>FACILITY TYPE</t>
  </si>
  <si>
    <t>RECOMMENDED VALUE PER PERSON-MILE CYCLED (2021 $)</t>
  </si>
  <si>
    <t xml:space="preserve">CYCLING PATH WITH AT GRADE CROSSINGS </t>
  </si>
  <si>
    <t>CYCLING PATH WITH NO AT GRADE CROSSINGS</t>
  </si>
  <si>
    <t>DEDICATED CYCLING LANE</t>
  </si>
  <si>
    <t>CYCLING BOULEVARD OR SHARROW</t>
  </si>
  <si>
    <t>SEPARATED CYCLE TRACK</t>
  </si>
  <si>
    <t>MORTALITY REDUCTION BENEFITS OF INDUCED ACTIVE TRANSPORTATION VALUES</t>
  </si>
  <si>
    <t>MODE</t>
  </si>
  <si>
    <t>APPLICABLE AGE RANGE</t>
  </si>
  <si>
    <t>RECOMMENDED VALUE PER INDUCED TRIP (2021 $)</t>
  </si>
  <si>
    <t>WALKING</t>
  </si>
  <si>
    <t>AGES 20-74</t>
  </si>
  <si>
    <t>CYCLING</t>
  </si>
  <si>
    <t>AGES 20-64</t>
  </si>
  <si>
    <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</si>
  <si>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</si>
  <si>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</si>
  <si>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</si>
  <si>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</si>
  <si>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</si>
  <si>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</si>
  <si>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</si>
  <si>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</si>
  <si>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</si>
  <si>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</si>
  <si>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</si>
  <si>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</si>
  <si>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</si>
  <si>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</si>
  <si>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</si>
  <si>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</si>
  <si>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</si>
  <si>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</si>
  <si>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TOTAL POPULATION</t>
  </si>
  <si>
    <t>OKLAHOMA COUNTY</t>
  </si>
  <si>
    <t>CAR, TRUCK, OR VAN</t>
  </si>
  <si>
    <t>PUBLIC TRANSPORTATION (EXCLUDING TAXICAB)</t>
  </si>
  <si>
    <t>WALKED</t>
  </si>
  <si>
    <t>BICYCLE</t>
  </si>
  <si>
    <t>TAXICAB, MOTORCYCLE, OR OTHER MEANS</t>
  </si>
  <si>
    <t>WORKED FROM HOME</t>
  </si>
  <si>
    <t>Cycling</t>
  </si>
  <si>
    <t>Pedestrians</t>
  </si>
  <si>
    <t>Metric tons of avoided pollutants - cumulative (2026-2045)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</si>
</sst>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_);\(#,##0.0000\)"/>
    <numFmt numFmtId="173" formatCode="0.0000"/>
    <numFmt numFmtId="174" formatCode="0.000000"/>
    <numFmt numFmtId="175" formatCode="0.000%"/>
    <numFmt numFmtId="176" formatCode="_(&quot;$&quot;* #,##0_);_(&quot;$&quot;* \(#,##0\);_(&quot;$&quot;* &quot;-&quot;??_);_(@_)"/>
    <numFmt numFmtId="177" formatCode="_(* #,##0.000_);_(* \(#,##0.000\);_(* &quot;-&quot;??_);_(@_)"/>
    <numFmt numFmtId="178" formatCode="_(&quot;$&quot;* #,##0.000_);_(&quot;$&quot;* \(#,##0.000\);_(&quot;$&quot;* &quot;-&quot;??_);_(@_)"/>
    <numFmt numFmtId="179" formatCode="&quot;$&quot;#,##0.00"/>
    <numFmt numFmtId="180" formatCode="_(* #,##0.00000000_);_(* \(#,##0.00000000\);_(* &quot;-&quot;??_);_(@_)"/>
    <numFmt numFmtId="181" formatCode="0_);\(0\)"/>
    <numFmt numFmtId="182" formatCode="0.00000"/>
    <numFmt numFmtId="183" formatCode="#,##0.000"/>
    <numFmt numFmtId="184" formatCode="0.000000000"/>
    <numFmt numFmtId="185" formatCode="0.0000000"/>
    <numFmt numFmtId="186" formatCode="&quot;$&quot;#,##0.0000"/>
    <numFmt numFmtId="187" formatCode="#,##0.0000"/>
    <numFmt numFmtId="188" formatCode="&quot;$&quot;#,##0.0000_);[Red]\(&quot;$&quot;#,##0.0000\)"/>
  </numFmts>
  <fonts count="5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0"/>
      <name val="Arial"/>
      <family val="2"/>
    </font>
    <font>
      <vertAlign val="subscript"/>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i/>
      <sz val="11"/>
      <color rgb="FF212121"/>
      <name val="Calibri"/>
      <family val="2"/>
      <scheme val="minor"/>
    </font>
    <font>
      <sz val="11"/>
      <color indexed="8"/>
      <name val="Calibri"/>
      <family val="2"/>
      <scheme val="minor"/>
    </font>
    <font>
      <sz val="11"/>
      <name val="Calibri"/>
      <family val="2"/>
      <scheme val="minor"/>
    </font>
    <font>
      <b/>
      <sz val="10"/>
      <name val="Arial"/>
      <family val="2"/>
    </font>
    <font>
      <sz val="12"/>
      <color theme="1"/>
      <name val="Calibri"/>
      <family val="2"/>
      <scheme val="minor"/>
    </font>
    <font>
      <b/>
      <sz val="11"/>
      <name val="Calibri"/>
      <family val="2"/>
      <scheme val="minor"/>
    </font>
    <font>
      <sz val="11"/>
      <color rgb="FFFF0000"/>
      <name val="Calibri"/>
      <family val="2"/>
      <scheme val="minor"/>
    </font>
    <font>
      <b/>
      <sz val="11"/>
      <color rgb="FF000000"/>
      <name val="Calibri"/>
      <family val="2"/>
    </font>
    <font>
      <sz val="11"/>
      <color rgb="FF000000"/>
      <name val="Calibri"/>
      <family val="2"/>
    </font>
    <font>
      <sz val="11"/>
      <color rgb="FF006100"/>
      <name val="Calibri"/>
      <family val="2"/>
      <scheme val="minor"/>
    </font>
    <font>
      <b/>
      <sz val="11"/>
      <color rgb="FFFFFFFF"/>
      <name val="Calibri"/>
      <family val="2"/>
    </font>
    <font>
      <sz val="11"/>
      <color rgb="FFFFFFFF"/>
      <name val="Arial Black"/>
      <family val="2"/>
    </font>
    <font>
      <b/>
      <sz val="11"/>
      <color rgb="FFFFFFFF"/>
      <name val="Arial Black"/>
      <family val="2"/>
    </font>
    <font>
      <sz val="11"/>
      <color theme="1"/>
      <name val="Calibri"/>
      <family val="2"/>
    </font>
    <font>
      <b/>
      <sz val="12"/>
      <color rgb="FF000000"/>
      <name val="Calibri"/>
      <family val="2"/>
    </font>
    <font>
      <u/>
      <sz val="11"/>
      <color theme="1"/>
      <name val="Calibri"/>
      <family val="2"/>
      <scheme val="minor"/>
    </font>
    <font>
      <sz val="10"/>
      <color theme="1"/>
      <name val="Arial"/>
      <family val="2"/>
    </font>
    <font>
      <b/>
      <sz val="10"/>
      <color theme="1"/>
      <name val="Arial"/>
      <family val="2"/>
    </font>
    <font>
      <sz val="10"/>
      <color indexed="8"/>
      <name val="Arial"/>
      <family val="2"/>
    </font>
    <font>
      <b/>
      <sz val="10"/>
      <color indexed="8"/>
      <name val="Arial"/>
      <family val="2"/>
    </font>
    <font>
      <vertAlign val="subscript"/>
      <sz val="11"/>
      <color rgb="FF000000"/>
      <name val="Calibri"/>
      <family val="2"/>
    </font>
    <font>
      <b/>
      <sz val="16"/>
      <color theme="1"/>
      <name val="Calibri"/>
      <family val="2"/>
      <scheme val="minor"/>
    </font>
    <font>
      <sz val="11"/>
      <name val="Calibri"/>
      <family val="2"/>
    </font>
    <font>
      <b/>
      <u/>
      <sz val="14"/>
      <color theme="1"/>
      <name val="Calibri"/>
      <family val="2"/>
      <scheme val="minor"/>
    </font>
    <font>
      <i/>
      <sz val="11"/>
      <color theme="1"/>
      <name val="Calibri"/>
      <family val="2"/>
      <scheme val="minor"/>
    </font>
    <font>
      <sz val="11"/>
      <color rgb="FFFFC000"/>
      <name val="Calibri"/>
      <family val="2"/>
      <scheme val="minor"/>
    </font>
    <font>
      <b/>
      <sz val="26"/>
      <color theme="1"/>
      <name val="Calibri"/>
      <family val="2"/>
      <scheme val="minor"/>
    </font>
    <font>
      <sz val="10"/>
      <color theme="1"/>
      <name val="Calibri"/>
      <family val="2"/>
      <scheme val="minor"/>
    </font>
    <font>
      <b/>
      <sz val="12"/>
      <color rgb="FFFFFFFF"/>
      <name val="Calibri"/>
      <family val="2"/>
      <scheme val="minor"/>
    </font>
    <font>
      <sz val="12"/>
      <color rgb="FF3B3B3B"/>
      <name val="Calibri"/>
      <family val="2"/>
      <scheme val="minor"/>
    </font>
    <font>
      <b/>
      <sz val="12"/>
      <color rgb="FF3B3B3B"/>
      <name val="Calibri"/>
      <family val="2"/>
      <scheme val="minor"/>
    </font>
    <font>
      <sz val="12"/>
      <color rgb="FF808080"/>
      <name val="Calibri"/>
      <family val="2"/>
      <scheme val="minor"/>
    </font>
    <font>
      <b/>
      <sz val="13"/>
      <color theme="1"/>
      <name val="Calibri"/>
      <family val="2"/>
      <scheme val="minor"/>
    </font>
    <font>
      <b/>
      <sz val="11"/>
      <name val="Calibri"/>
      <family val="2"/>
    </font>
    <font>
      <b/>
      <u/>
      <sz val="12"/>
      <color theme="1"/>
      <name val="Calibri"/>
      <family val="2"/>
      <scheme val="minor"/>
    </font>
    <font>
      <b/>
      <u/>
      <sz val="10"/>
      <color theme="1"/>
      <name val="Calibri"/>
      <family val="2"/>
      <scheme val="minor"/>
    </font>
    <font>
      <b/>
      <sz val="10"/>
      <color theme="1"/>
      <name val="Calibri"/>
      <family val="2"/>
      <scheme val="minor"/>
    </font>
    <font>
      <sz val="9"/>
      <color theme="1"/>
      <name val="Calibri"/>
      <family val="2"/>
      <scheme val="minor"/>
    </font>
    <font>
      <b/>
      <sz val="11"/>
      <color theme="1"/>
      <name val="Arial"/>
      <family val="2"/>
    </font>
    <font>
      <b/>
      <sz val="8"/>
      <color theme="1"/>
      <name val="Arial"/>
      <family val="2"/>
    </font>
    <font>
      <sz val="8"/>
      <color rgb="FF000000"/>
      <name val="Arial"/>
      <family val="2"/>
    </font>
    <font>
      <sz val="8"/>
      <color theme="1"/>
      <name val="Arial"/>
      <family val="2"/>
    </font>
    <font>
      <b/>
      <sz val="8"/>
      <color rgb="FF000000"/>
      <name val="Arial"/>
      <family val="2"/>
    </font>
  </fonts>
  <fills count="1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2F75B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54F9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39997558519241921"/>
        <bgColor indexed="64"/>
      </patternFill>
    </fill>
  </fills>
  <borders count="79">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medium">
        <color indexed="64"/>
      </right>
      <top/>
      <bottom style="thin">
        <color theme="0" tint="-0.249977111117893"/>
      </bottom>
      <diagonal/>
    </border>
    <border>
      <left style="medium">
        <color indexed="64"/>
      </left>
      <right/>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EEEEEE"/>
      </left>
      <right style="thick">
        <color rgb="FFEEEEEE"/>
      </right>
      <top/>
      <bottom style="thick">
        <color rgb="FFEEEEEE"/>
      </bottom>
      <diagonal/>
    </border>
    <border>
      <left/>
      <right style="thick">
        <color rgb="FFEEEEEE"/>
      </right>
      <top/>
      <bottom style="thick">
        <color rgb="FFEEEEEE"/>
      </bottom>
      <diagonal/>
    </border>
    <border>
      <left style="medium">
        <color indexed="64"/>
      </left>
      <right style="thick">
        <color rgb="FFEEEEEE"/>
      </right>
      <top style="medium">
        <color indexed="64"/>
      </top>
      <bottom/>
      <diagonal/>
    </border>
    <border>
      <left/>
      <right style="thick">
        <color rgb="FFEEEEEE"/>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0" fillId="5" borderId="0" applyNumberFormat="0" applyBorder="0" applyAlignment="0" applyProtection="0"/>
    <xf numFmtId="0" fontId="1" fillId="0" borderId="0"/>
  </cellStyleXfs>
  <cellXfs count="636">
    <xf numFmtId="0" fontId="0" fillId="0" borderId="0" xfId="0"/>
    <xf numFmtId="0" fontId="0" fillId="0" borderId="0" xfId="0" applyAlignment="1">
      <alignment horizontal="right"/>
    </xf>
    <xf numFmtId="2" fontId="0" fillId="0" borderId="0" xfId="0" applyNumberFormat="1"/>
    <xf numFmtId="166" fontId="0" fillId="0" borderId="0" xfId="0" applyNumberFormat="1"/>
    <xf numFmtId="0" fontId="7" fillId="0" borderId="0" xfId="0" applyFont="1"/>
    <xf numFmtId="44" fontId="0" fillId="0" borderId="0" xfId="0" applyNumberFormat="1"/>
    <xf numFmtId="168" fontId="0" fillId="0" borderId="0" xfId="1" applyNumberFormat="1" applyFont="1"/>
    <xf numFmtId="168" fontId="0" fillId="0" borderId="0" xfId="0" applyNumberFormat="1"/>
    <xf numFmtId="44" fontId="0" fillId="0" borderId="0" xfId="4" applyFont="1" applyFill="1"/>
    <xf numFmtId="44" fontId="0" fillId="0" borderId="0" xfId="4" applyFont="1" applyFill="1" applyBorder="1"/>
    <xf numFmtId="168" fontId="0" fillId="0" borderId="0" xfId="1" applyNumberFormat="1" applyFont="1" applyBorder="1"/>
    <xf numFmtId="167" fontId="0" fillId="0" borderId="0" xfId="0" applyNumberFormat="1"/>
    <xf numFmtId="165" fontId="0" fillId="0" borderId="0" xfId="3" applyNumberFormat="1" applyFont="1" applyBorder="1"/>
    <xf numFmtId="0" fontId="2" fillId="0" borderId="0" xfId="0" applyFont="1"/>
    <xf numFmtId="0" fontId="3" fillId="0" borderId="0" xfId="0" applyFont="1"/>
    <xf numFmtId="1" fontId="0" fillId="0" borderId="0" xfId="0" applyNumberFormat="1"/>
    <xf numFmtId="0" fontId="4" fillId="0" borderId="0" xfId="2" applyFill="1" applyBorder="1" applyAlignment="1">
      <alignment horizontal="left" vertical="top"/>
    </xf>
    <xf numFmtId="44" fontId="1" fillId="0" borderId="0" xfId="4" applyFont="1" applyFill="1" applyBorder="1" applyAlignment="1">
      <alignment horizontal="right"/>
    </xf>
    <xf numFmtId="170" fontId="0" fillId="0" borderId="0" xfId="4" applyNumberFormat="1" applyFont="1" applyFill="1" applyBorder="1"/>
    <xf numFmtId="5" fontId="0" fillId="0" borderId="0" xfId="0" applyNumberFormat="1"/>
    <xf numFmtId="0" fontId="4" fillId="0" borderId="0" xfId="2"/>
    <xf numFmtId="0" fontId="0" fillId="0" borderId="0" xfId="0" applyAlignment="1">
      <alignment vertical="top"/>
    </xf>
    <xf numFmtId="0" fontId="0" fillId="0" borderId="0" xfId="0" applyAlignment="1">
      <alignment wrapText="1"/>
    </xf>
    <xf numFmtId="174" fontId="0" fillId="0" borderId="0" xfId="0" applyNumberFormat="1"/>
    <xf numFmtId="0" fontId="0" fillId="3" borderId="0" xfId="0" applyFill="1"/>
    <xf numFmtId="0" fontId="0" fillId="3" borderId="0" xfId="0" applyFill="1" applyAlignment="1">
      <alignment horizontal="right"/>
    </xf>
    <xf numFmtId="174" fontId="0" fillId="3" borderId="0" xfId="0" applyNumberFormat="1" applyFill="1"/>
    <xf numFmtId="175" fontId="0" fillId="0" borderId="0" xfId="5" applyNumberFormat="1" applyFont="1" applyFill="1" applyBorder="1"/>
    <xf numFmtId="0" fontId="0" fillId="0" borderId="3" xfId="0" applyBorder="1"/>
    <xf numFmtId="0" fontId="0" fillId="0" borderId="4" xfId="0" applyBorder="1"/>
    <xf numFmtId="0" fontId="0" fillId="2" borderId="0" xfId="0" applyFill="1"/>
    <xf numFmtId="176" fontId="0" fillId="0" borderId="0" xfId="4" applyNumberFormat="1" applyFont="1"/>
    <xf numFmtId="171" fontId="0" fillId="0" borderId="0" xfId="4" applyNumberFormat="1" applyFont="1" applyFill="1" applyBorder="1"/>
    <xf numFmtId="177" fontId="0" fillId="0" borderId="0" xfId="1" applyNumberFormat="1" applyFont="1"/>
    <xf numFmtId="171" fontId="0"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Alignment="1">
      <alignment horizontal="right"/>
    </xf>
    <xf numFmtId="0" fontId="9" fillId="0" borderId="0" xfId="0" applyFont="1" applyAlignment="1">
      <alignment horizontal="right" vertical="center"/>
    </xf>
    <xf numFmtId="0" fontId="3" fillId="0" borderId="0" xfId="0" applyFont="1" applyAlignment="1">
      <alignment horizontal="center"/>
    </xf>
    <xf numFmtId="0" fontId="0" fillId="0" borderId="1" xfId="0" applyBorder="1"/>
    <xf numFmtId="0" fontId="0" fillId="0" borderId="0" xfId="0" applyAlignment="1">
      <alignment horizontal="left" wrapText="1"/>
    </xf>
    <xf numFmtId="0" fontId="10" fillId="0" borderId="0" xfId="0" applyFont="1"/>
    <xf numFmtId="0" fontId="0" fillId="0" borderId="0" xfId="0" applyAlignment="1">
      <alignment horizontal="left"/>
    </xf>
    <xf numFmtId="0" fontId="0" fillId="0" borderId="6" xfId="0" applyBorder="1"/>
    <xf numFmtId="169" fontId="0" fillId="0" borderId="0" xfId="5" applyNumberFormat="1" applyFont="1" applyBorder="1"/>
    <xf numFmtId="0" fontId="0" fillId="0" borderId="2" xfId="0" applyBorder="1"/>
    <xf numFmtId="0" fontId="0" fillId="0" borderId="5" xfId="0" applyBorder="1"/>
    <xf numFmtId="0" fontId="0" fillId="0" borderId="7" xfId="0" applyBorder="1"/>
    <xf numFmtId="0" fontId="0" fillId="0" borderId="8" xfId="0" applyBorder="1"/>
    <xf numFmtId="169" fontId="0" fillId="0" borderId="0" xfId="5" applyNumberFormat="1" applyFont="1"/>
    <xf numFmtId="176" fontId="2" fillId="0" borderId="0" xfId="0" applyNumberFormat="1" applyFont="1"/>
    <xf numFmtId="178" fontId="0" fillId="0" borderId="0" xfId="4" applyNumberFormat="1" applyFont="1" applyFill="1"/>
    <xf numFmtId="2" fontId="0" fillId="0" borderId="0" xfId="1" applyNumberFormat="1" applyFont="1" applyFill="1"/>
    <xf numFmtId="44" fontId="0" fillId="0" borderId="0" xfId="4" applyFont="1" applyFill="1" applyBorder="1" applyAlignment="1">
      <alignment horizontal="right"/>
    </xf>
    <xf numFmtId="169" fontId="0" fillId="0" borderId="0" xfId="5" applyNumberFormat="1" applyFont="1" applyFill="1" applyBorder="1"/>
    <xf numFmtId="0" fontId="0" fillId="0" borderId="0" xfId="0" applyAlignment="1">
      <alignment horizontal="center"/>
    </xf>
    <xf numFmtId="0" fontId="3" fillId="0" borderId="0" xfId="0" applyFont="1" applyAlignment="1">
      <alignment horizontal="left"/>
    </xf>
    <xf numFmtId="179" fontId="3" fillId="0" borderId="0" xfId="0" applyNumberFormat="1" applyFont="1"/>
    <xf numFmtId="171" fontId="0" fillId="0" borderId="0" xfId="4" applyNumberFormat="1" applyFont="1" applyFill="1"/>
    <xf numFmtId="179" fontId="1" fillId="0" borderId="0" xfId="4" applyNumberFormat="1" applyFont="1" applyFill="1" applyBorder="1"/>
    <xf numFmtId="170" fontId="2" fillId="0" borderId="0" xfId="4" applyNumberFormat="1" applyFont="1" applyFill="1" applyBorder="1"/>
    <xf numFmtId="0" fontId="0" fillId="0" borderId="0" xfId="0" applyAlignment="1">
      <alignment horizontal="center" wrapText="1"/>
    </xf>
    <xf numFmtId="176" fontId="0" fillId="0" borderId="0" xfId="0" applyNumberFormat="1"/>
    <xf numFmtId="1" fontId="0" fillId="0" borderId="3" xfId="0" applyNumberFormat="1" applyBorder="1"/>
    <xf numFmtId="165" fontId="0" fillId="0" borderId="3" xfId="3" applyNumberFormat="1" applyFont="1" applyBorder="1"/>
    <xf numFmtId="0" fontId="0" fillId="0" borderId="4" xfId="3" applyNumberFormat="1" applyFont="1" applyBorder="1"/>
    <xf numFmtId="0" fontId="2" fillId="3" borderId="1" xfId="0" applyFont="1" applyFill="1" applyBorder="1" applyAlignment="1">
      <alignment horizontal="left"/>
    </xf>
    <xf numFmtId="165" fontId="0" fillId="0" borderId="5" xfId="3" applyNumberFormat="1" applyFont="1" applyBorder="1"/>
    <xf numFmtId="0" fontId="0" fillId="0" borderId="1" xfId="0" applyBorder="1" applyAlignment="1">
      <alignment horizontal="right"/>
    </xf>
    <xf numFmtId="11" fontId="0" fillId="0" borderId="5" xfId="0" applyNumberFormat="1" applyBorder="1"/>
    <xf numFmtId="174" fontId="0" fillId="3" borderId="5" xfId="0" applyNumberFormat="1" applyFill="1" applyBorder="1"/>
    <xf numFmtId="0" fontId="0" fillId="0" borderId="6" xfId="0" applyBorder="1" applyAlignment="1">
      <alignment horizontal="right"/>
    </xf>
    <xf numFmtId="0" fontId="0" fillId="0" borderId="7" xfId="0" applyBorder="1" applyAlignment="1">
      <alignment horizontal="right"/>
    </xf>
    <xf numFmtId="174" fontId="0" fillId="0" borderId="7" xfId="0" applyNumberFormat="1" applyBorder="1"/>
    <xf numFmtId="11" fontId="0" fillId="0" borderId="8" xfId="0" applyNumberFormat="1" applyBorder="1"/>
    <xf numFmtId="0" fontId="2" fillId="0" borderId="2" xfId="0" applyFont="1" applyBorder="1"/>
    <xf numFmtId="6" fontId="0" fillId="0" borderId="0" xfId="0" applyNumberFormat="1"/>
    <xf numFmtId="0" fontId="0" fillId="0" borderId="19" xfId="0" applyBorder="1"/>
    <xf numFmtId="0" fontId="0" fillId="0" borderId="20" xfId="0" applyBorder="1"/>
    <xf numFmtId="0" fontId="0" fillId="0" borderId="21" xfId="0" applyBorder="1"/>
    <xf numFmtId="169" fontId="0" fillId="0" borderId="0" xfId="5" applyNumberFormat="1" applyFont="1" applyFill="1" applyBorder="1" applyAlignment="1">
      <alignment horizontal="right"/>
    </xf>
    <xf numFmtId="0" fontId="7" fillId="0" borderId="0" xfId="0" applyFont="1" applyAlignment="1">
      <alignment vertical="top"/>
    </xf>
    <xf numFmtId="171" fontId="0" fillId="0" borderId="0" xfId="0" applyNumberFormat="1"/>
    <xf numFmtId="168" fontId="0" fillId="0" borderId="0" xfId="1" applyNumberFormat="1" applyFont="1" applyFill="1" applyBorder="1"/>
    <xf numFmtId="0" fontId="2" fillId="0" borderId="0" xfId="0" applyFont="1" applyAlignment="1">
      <alignment horizontal="left"/>
    </xf>
    <xf numFmtId="169" fontId="0" fillId="0" borderId="0" xfId="0" applyNumberFormat="1"/>
    <xf numFmtId="179" fontId="2" fillId="0" borderId="0" xfId="0" applyNumberFormat="1" applyFont="1"/>
    <xf numFmtId="179" fontId="0" fillId="0" borderId="0" xfId="0" applyNumberFormat="1" applyAlignment="1">
      <alignment horizontal="right"/>
    </xf>
    <xf numFmtId="179" fontId="2" fillId="0" borderId="0" xfId="0" applyNumberFormat="1" applyFont="1" applyAlignment="1">
      <alignment horizontal="center" wrapText="1"/>
    </xf>
    <xf numFmtId="179" fontId="0" fillId="0" borderId="0" xfId="0" applyNumberFormat="1"/>
    <xf numFmtId="174" fontId="0" fillId="0" borderId="0" xfId="0" applyNumberFormat="1" applyAlignment="1">
      <alignment horizontal="left"/>
    </xf>
    <xf numFmtId="0" fontId="15" fillId="0" borderId="0" xfId="0" applyFont="1"/>
    <xf numFmtId="0" fontId="2" fillId="0" borderId="0" xfId="0" applyFont="1" applyAlignment="1">
      <alignment horizontal="right"/>
    </xf>
    <xf numFmtId="0" fontId="0" fillId="0" borderId="0" xfId="0" applyAlignment="1">
      <alignment horizontal="left" indent="2"/>
    </xf>
    <xf numFmtId="0" fontId="17" fillId="0" borderId="0" xfId="0" applyFont="1"/>
    <xf numFmtId="2" fontId="2" fillId="0" borderId="0" xfId="0" applyNumberFormat="1" applyFont="1"/>
    <xf numFmtId="171" fontId="0" fillId="0" borderId="0" xfId="4" applyNumberFormat="1" applyFont="1"/>
    <xf numFmtId="39" fontId="0" fillId="0" borderId="0" xfId="0" applyNumberFormat="1"/>
    <xf numFmtId="180" fontId="0" fillId="0" borderId="0" xfId="0" applyNumberFormat="1"/>
    <xf numFmtId="43" fontId="9" fillId="0" borderId="0" xfId="0" applyNumberFormat="1" applyFont="1" applyAlignment="1">
      <alignment vertical="center"/>
    </xf>
    <xf numFmtId="0" fontId="9" fillId="0" borderId="0" xfId="0" applyFont="1" applyAlignment="1">
      <alignment vertical="center"/>
    </xf>
    <xf numFmtId="181" fontId="9" fillId="0" borderId="0" xfId="0" applyNumberFormat="1" applyFont="1" applyAlignment="1">
      <alignment horizontal="right" vertical="center"/>
    </xf>
    <xf numFmtId="0" fontId="8" fillId="0" borderId="0" xfId="0" applyFont="1" applyAlignment="1">
      <alignment horizontal="right" vertical="center"/>
    </xf>
    <xf numFmtId="171" fontId="0" fillId="0" borderId="0" xfId="1" applyNumberFormat="1" applyFont="1"/>
    <xf numFmtId="0" fontId="2" fillId="0" borderId="0" xfId="0" applyFont="1" applyAlignment="1">
      <alignment horizontal="left" wrapText="1"/>
    </xf>
    <xf numFmtId="165" fontId="0" fillId="0" borderId="0" xfId="3" applyNumberFormat="1" applyFont="1"/>
    <xf numFmtId="0" fontId="2" fillId="0" borderId="0" xfId="0" applyFont="1" applyAlignment="1">
      <alignment horizontal="left" vertical="center" wrapText="1"/>
    </xf>
    <xf numFmtId="0" fontId="0" fillId="0" borderId="0" xfId="0" applyAlignment="1">
      <alignment horizontal="right" wrapText="1"/>
    </xf>
    <xf numFmtId="0" fontId="0" fillId="0" borderId="22" xfId="0" applyBorder="1"/>
    <xf numFmtId="173" fontId="0" fillId="0" borderId="0" xfId="0" applyNumberFormat="1"/>
    <xf numFmtId="2" fontId="9" fillId="0" borderId="0" xfId="0" applyNumberFormat="1" applyFont="1" applyAlignment="1">
      <alignment horizontal="right" vertical="center"/>
    </xf>
    <xf numFmtId="7" fontId="9" fillId="0" borderId="0" xfId="0" applyNumberFormat="1" applyFont="1" applyAlignment="1">
      <alignment horizontal="right" vertical="center"/>
    </xf>
    <xf numFmtId="0" fontId="13" fillId="0" borderId="0" xfId="7" applyFont="1" applyFill="1" applyBorder="1" applyAlignment="1">
      <alignment horizontal="left" vertical="top"/>
    </xf>
    <xf numFmtId="7" fontId="0" fillId="0" borderId="0" xfId="0" applyNumberFormat="1"/>
    <xf numFmtId="0" fontId="22" fillId="7" borderId="13" xfId="0" applyFont="1" applyFill="1" applyBorder="1" applyAlignment="1">
      <alignment horizontal="center" vertical="center"/>
    </xf>
    <xf numFmtId="0" fontId="21" fillId="6" borderId="27"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5" xfId="0" applyFont="1" applyFill="1" applyBorder="1" applyAlignment="1">
      <alignment horizontal="center" vertical="center"/>
    </xf>
    <xf numFmtId="0" fontId="21" fillId="7" borderId="5" xfId="0" applyFont="1" applyFill="1" applyBorder="1" applyAlignment="1">
      <alignment horizontal="center" vertical="center"/>
    </xf>
    <xf numFmtId="0" fontId="19" fillId="0" borderId="6"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 xfId="0" applyFont="1" applyBorder="1" applyAlignment="1">
      <alignment horizontal="center" vertical="center"/>
    </xf>
    <xf numFmtId="0" fontId="25" fillId="0" borderId="12" xfId="0" applyFont="1" applyBorder="1" applyAlignment="1">
      <alignment horizontal="center" vertical="center"/>
    </xf>
    <xf numFmtId="171" fontId="19" fillId="0" borderId="22" xfId="0" applyNumberFormat="1" applyFont="1" applyBorder="1" applyAlignment="1">
      <alignment horizontal="center" vertical="center"/>
    </xf>
    <xf numFmtId="171" fontId="19" fillId="8" borderId="22" xfId="0" applyNumberFormat="1" applyFont="1" applyFill="1" applyBorder="1" applyAlignment="1">
      <alignment horizontal="center" vertical="center"/>
    </xf>
    <xf numFmtId="171" fontId="24" fillId="0" borderId="22" xfId="0" applyNumberFormat="1" applyFont="1" applyBorder="1" applyAlignment="1">
      <alignment horizontal="center" vertical="center"/>
    </xf>
    <xf numFmtId="171" fontId="19" fillId="0" borderId="22" xfId="1" applyNumberFormat="1" applyFont="1" applyBorder="1" applyAlignment="1">
      <alignment horizontal="center" vertical="center"/>
    </xf>
    <xf numFmtId="171" fontId="0" fillId="0" borderId="22" xfId="0" applyNumberFormat="1" applyBorder="1" applyAlignment="1">
      <alignment horizontal="center"/>
    </xf>
    <xf numFmtId="171" fontId="19" fillId="0" borderId="22" xfId="0" applyNumberFormat="1" applyFont="1" applyBorder="1" applyAlignment="1">
      <alignment horizontal="center"/>
    </xf>
    <xf numFmtId="171" fontId="19" fillId="0" borderId="22" xfId="1" applyNumberFormat="1" applyFont="1" applyBorder="1" applyAlignment="1">
      <alignment horizontal="center"/>
    </xf>
    <xf numFmtId="171" fontId="25" fillId="0" borderId="22" xfId="0" applyNumberFormat="1" applyFont="1" applyBorder="1" applyAlignment="1">
      <alignment vertical="center"/>
    </xf>
    <xf numFmtId="171" fontId="25" fillId="8" borderId="22" xfId="0" applyNumberFormat="1" applyFont="1" applyFill="1" applyBorder="1" applyAlignment="1">
      <alignment vertical="center"/>
    </xf>
    <xf numFmtId="0" fontId="2" fillId="4" borderId="22" xfId="0" applyFont="1" applyFill="1" applyBorder="1" applyAlignment="1">
      <alignment vertical="center" wrapText="1"/>
    </xf>
    <xf numFmtId="0" fontId="0" fillId="4" borderId="0" xfId="0" applyFill="1"/>
    <xf numFmtId="0" fontId="0" fillId="4" borderId="22" xfId="0" applyFill="1" applyBorder="1" applyAlignment="1">
      <alignment vertical="center" wrapText="1"/>
    </xf>
    <xf numFmtId="179" fontId="0" fillId="4" borderId="22" xfId="0" applyNumberFormat="1" applyFill="1" applyBorder="1"/>
    <xf numFmtId="0" fontId="2" fillId="4" borderId="22" xfId="0" applyFont="1" applyFill="1" applyBorder="1" applyAlignment="1">
      <alignment horizontal="center" vertical="center"/>
    </xf>
    <xf numFmtId="2" fontId="0" fillId="0" borderId="0" xfId="0" applyNumberFormat="1" applyAlignment="1">
      <alignment horizontal="right"/>
    </xf>
    <xf numFmtId="176" fontId="0" fillId="0" borderId="0" xfId="4" applyNumberFormat="1" applyFont="1" applyFill="1" applyBorder="1" applyAlignment="1">
      <alignment horizontal="right"/>
    </xf>
    <xf numFmtId="0" fontId="0" fillId="4" borderId="0" xfId="0" applyFill="1" applyAlignment="1">
      <alignment vertical="top"/>
    </xf>
    <xf numFmtId="3" fontId="0" fillId="0" borderId="0" xfId="0" applyNumberFormat="1"/>
    <xf numFmtId="183" fontId="0" fillId="0" borderId="0" xfId="0" applyNumberFormat="1"/>
    <xf numFmtId="168" fontId="0" fillId="0" borderId="0" xfId="1" applyNumberFormat="1" applyFont="1" applyAlignment="1">
      <alignment horizontal="right"/>
    </xf>
    <xf numFmtId="0" fontId="12" fillId="0" borderId="28" xfId="6" applyBorder="1"/>
    <xf numFmtId="0" fontId="27" fillId="0" borderId="31" xfId="6" applyFont="1" applyBorder="1" applyAlignment="1">
      <alignment horizontal="center" wrapText="1"/>
    </xf>
    <xf numFmtId="0" fontId="27" fillId="0" borderId="32" xfId="6" applyFont="1" applyBorder="1" applyAlignment="1">
      <alignment horizontal="center" wrapText="1"/>
    </xf>
    <xf numFmtId="0" fontId="27" fillId="0" borderId="33" xfId="6" applyFont="1" applyBorder="1" applyAlignment="1">
      <alignment horizontal="center" wrapText="1"/>
    </xf>
    <xf numFmtId="0" fontId="27" fillId="0" borderId="29" xfId="6" applyFont="1" applyBorder="1" applyAlignment="1">
      <alignment horizontal="center" vertical="center"/>
    </xf>
    <xf numFmtId="0" fontId="27" fillId="0" borderId="29" xfId="6" applyFont="1" applyBorder="1" applyAlignment="1">
      <alignment horizontal="center"/>
    </xf>
    <xf numFmtId="1" fontId="27" fillId="0" borderId="34" xfId="6" applyNumberFormat="1" applyFont="1" applyBorder="1" applyAlignment="1">
      <alignment horizontal="center"/>
    </xf>
    <xf numFmtId="1" fontId="27" fillId="0" borderId="35" xfId="6" applyNumberFormat="1" applyFont="1" applyBorder="1" applyAlignment="1">
      <alignment horizontal="center"/>
    </xf>
    <xf numFmtId="1" fontId="27" fillId="0" borderId="36" xfId="6" applyNumberFormat="1" applyFont="1" applyBorder="1" applyAlignment="1">
      <alignment horizontal="center"/>
    </xf>
    <xf numFmtId="1" fontId="27" fillId="0" borderId="37" xfId="6" applyNumberFormat="1" applyFont="1" applyBorder="1" applyAlignment="1">
      <alignment horizontal="center"/>
    </xf>
    <xf numFmtId="1" fontId="27" fillId="0" borderId="22" xfId="6" applyNumberFormat="1" applyFont="1" applyBorder="1" applyAlignment="1">
      <alignment horizontal="center"/>
    </xf>
    <xf numFmtId="1" fontId="27" fillId="0" borderId="38" xfId="6" applyNumberFormat="1" applyFont="1" applyBorder="1" applyAlignment="1">
      <alignment horizontal="center"/>
    </xf>
    <xf numFmtId="0" fontId="27" fillId="0" borderId="30" xfId="6" applyFont="1" applyBorder="1" applyAlignment="1">
      <alignment horizontal="center"/>
    </xf>
    <xf numFmtId="1" fontId="27" fillId="0" borderId="39" xfId="6" applyNumberFormat="1" applyFont="1" applyBorder="1" applyAlignment="1">
      <alignment horizontal="center"/>
    </xf>
    <xf numFmtId="1" fontId="27" fillId="0" borderId="40" xfId="6" applyNumberFormat="1" applyFont="1" applyBorder="1" applyAlignment="1">
      <alignment horizontal="center"/>
    </xf>
    <xf numFmtId="1" fontId="27" fillId="0" borderId="41" xfId="6" applyNumberFormat="1" applyFont="1" applyBorder="1" applyAlignment="1">
      <alignment horizontal="center"/>
    </xf>
    <xf numFmtId="0" fontId="12" fillId="0" borderId="0" xfId="6"/>
    <xf numFmtId="0" fontId="29" fillId="0" borderId="0" xfId="6" applyFont="1" applyAlignment="1">
      <alignment horizontal="left" wrapText="1"/>
    </xf>
    <xf numFmtId="5" fontId="9" fillId="0" borderId="0" xfId="0" applyNumberFormat="1" applyFont="1" applyAlignment="1">
      <alignment horizontal="right" vertical="center"/>
    </xf>
    <xf numFmtId="176" fontId="0" fillId="0" borderId="0" xfId="4" applyNumberFormat="1" applyFont="1" applyBorder="1"/>
    <xf numFmtId="2" fontId="0" fillId="0" borderId="0" xfId="4" applyNumberFormat="1" applyFont="1" applyBorder="1"/>
    <xf numFmtId="0" fontId="0" fillId="0" borderId="0" xfId="0" applyAlignment="1">
      <alignment horizontal="right" indent="1"/>
    </xf>
    <xf numFmtId="1" fontId="0" fillId="0" borderId="0" xfId="4" applyNumberFormat="1" applyFont="1" applyBorder="1"/>
    <xf numFmtId="173" fontId="0" fillId="0" borderId="0" xfId="4" applyNumberFormat="1" applyFont="1" applyBorder="1"/>
    <xf numFmtId="182" fontId="0" fillId="0" borderId="0" xfId="4" applyNumberFormat="1" applyFont="1" applyBorder="1"/>
    <xf numFmtId="171" fontId="1" fillId="0" borderId="0" xfId="4" applyNumberFormat="1" applyFont="1" applyFill="1" applyBorder="1" applyAlignment="1">
      <alignment horizontal="right"/>
    </xf>
    <xf numFmtId="0" fontId="14" fillId="0" borderId="0" xfId="0" applyFont="1"/>
    <xf numFmtId="0" fontId="9" fillId="0" borderId="0" xfId="0" applyFont="1"/>
    <xf numFmtId="0" fontId="32" fillId="0" borderId="0" xfId="0" applyFont="1" applyAlignment="1">
      <alignment vertical="top"/>
    </xf>
    <xf numFmtId="0" fontId="32" fillId="0" borderId="0" xfId="0" applyFont="1"/>
    <xf numFmtId="171" fontId="12" fillId="0" borderId="0" xfId="4" applyNumberFormat="1" applyFont="1" applyAlignment="1">
      <alignment horizontal="center" vertical="center"/>
    </xf>
    <xf numFmtId="179" fontId="19" fillId="0" borderId="22" xfId="0" applyNumberFormat="1" applyFont="1" applyBorder="1" applyAlignment="1">
      <alignment horizontal="center" vertical="center"/>
    </xf>
    <xf numFmtId="179" fontId="19" fillId="8" borderId="22" xfId="0" applyNumberFormat="1" applyFont="1" applyFill="1" applyBorder="1" applyAlignment="1">
      <alignment horizontal="center" vertical="center"/>
    </xf>
    <xf numFmtId="179" fontId="24" fillId="0" borderId="22" xfId="0" applyNumberFormat="1" applyFont="1" applyBorder="1" applyAlignment="1">
      <alignment horizontal="center" vertical="center"/>
    </xf>
    <xf numFmtId="0" fontId="19" fillId="0" borderId="1" xfId="0" applyFont="1" applyBorder="1" applyAlignment="1">
      <alignment horizontal="center" vertical="center"/>
    </xf>
    <xf numFmtId="179" fontId="33" fillId="0" borderId="22" xfId="0" applyNumberFormat="1" applyFont="1" applyBorder="1" applyAlignment="1">
      <alignment horizontal="center" vertical="center"/>
    </xf>
    <xf numFmtId="179" fontId="19" fillId="0" borderId="22" xfId="1" applyNumberFormat="1" applyFont="1" applyBorder="1" applyAlignment="1">
      <alignment horizontal="center" vertical="center"/>
    </xf>
    <xf numFmtId="179" fontId="0" fillId="0" borderId="22" xfId="0" applyNumberFormat="1" applyBorder="1" applyAlignment="1">
      <alignment horizontal="center"/>
    </xf>
    <xf numFmtId="179" fontId="19" fillId="0" borderId="22" xfId="0" applyNumberFormat="1" applyFont="1" applyBorder="1" applyAlignment="1">
      <alignment horizontal="center"/>
    </xf>
    <xf numFmtId="179" fontId="19" fillId="0" borderId="22" xfId="1" applyNumberFormat="1" applyFont="1" applyBorder="1" applyAlignment="1">
      <alignment horizontal="center"/>
    </xf>
    <xf numFmtId="179" fontId="25" fillId="0" borderId="22" xfId="0" applyNumberFormat="1" applyFont="1" applyBorder="1" applyAlignment="1">
      <alignment vertical="center"/>
    </xf>
    <xf numFmtId="179" fontId="25" fillId="8" borderId="22" xfId="0" applyNumberFormat="1" applyFont="1" applyFill="1" applyBorder="1" applyAlignment="1">
      <alignment vertical="center"/>
    </xf>
    <xf numFmtId="0" fontId="34" fillId="0" borderId="0" xfId="0" applyFont="1"/>
    <xf numFmtId="0" fontId="35" fillId="0" borderId="0" xfId="0" applyFont="1" applyAlignment="1">
      <alignment horizontal="center"/>
    </xf>
    <xf numFmtId="0" fontId="26" fillId="0" borderId="0" xfId="0" applyFont="1" applyAlignment="1">
      <alignment horizontal="left"/>
    </xf>
    <xf numFmtId="171" fontId="35" fillId="0" borderId="0" xfId="0" applyNumberFormat="1" applyFont="1" applyAlignment="1">
      <alignment horizontal="right"/>
    </xf>
    <xf numFmtId="171" fontId="1" fillId="0" borderId="0" xfId="4" applyNumberFormat="1" applyFont="1" applyFill="1" applyBorder="1"/>
    <xf numFmtId="6" fontId="0" fillId="0" borderId="0" xfId="4" applyNumberFormat="1" applyFont="1" applyFill="1" applyBorder="1" applyAlignment="1">
      <alignment horizontal="right"/>
    </xf>
    <xf numFmtId="171" fontId="36" fillId="0" borderId="0" xfId="4" applyNumberFormat="1" applyFont="1" applyFill="1" applyBorder="1" applyAlignment="1">
      <alignment horizontal="right"/>
    </xf>
    <xf numFmtId="0" fontId="13" fillId="0" borderId="0" xfId="0" applyFont="1" applyAlignment="1">
      <alignment horizontal="left"/>
    </xf>
    <xf numFmtId="0" fontId="37" fillId="0" borderId="0" xfId="0" applyFont="1"/>
    <xf numFmtId="0" fontId="7" fillId="0" borderId="1" xfId="0" applyFont="1" applyBorder="1"/>
    <xf numFmtId="179" fontId="0" fillId="0" borderId="0" xfId="4" applyNumberFormat="1" applyFont="1" applyBorder="1"/>
    <xf numFmtId="44" fontId="0" fillId="0" borderId="0" xfId="4" applyFont="1" applyBorder="1"/>
    <xf numFmtId="0" fontId="0" fillId="9" borderId="1" xfId="0" applyFill="1" applyBorder="1"/>
    <xf numFmtId="0" fontId="4" fillId="0" borderId="0" xfId="2" applyBorder="1"/>
    <xf numFmtId="0" fontId="0" fillId="4" borderId="1" xfId="0" applyFill="1" applyBorder="1" applyAlignment="1">
      <alignment horizontal="left"/>
    </xf>
    <xf numFmtId="186" fontId="0" fillId="0" borderId="0" xfId="0" applyNumberFormat="1"/>
    <xf numFmtId="0" fontId="0" fillId="0" borderId="1" xfId="0" applyBorder="1" applyAlignment="1">
      <alignment wrapText="1"/>
    </xf>
    <xf numFmtId="185" fontId="0" fillId="0" borderId="0" xfId="0" applyNumberFormat="1"/>
    <xf numFmtId="185" fontId="0" fillId="0" borderId="5" xfId="3" applyNumberFormat="1" applyFont="1" applyBorder="1"/>
    <xf numFmtId="185" fontId="0" fillId="0" borderId="0" xfId="3" applyNumberFormat="1" applyFont="1" applyBorder="1"/>
    <xf numFmtId="185" fontId="0" fillId="0" borderId="0" xfId="4" applyNumberFormat="1" applyFont="1" applyBorder="1"/>
    <xf numFmtId="179" fontId="0" fillId="0" borderId="0" xfId="4" applyNumberFormat="1" applyFont="1" applyBorder="1" applyAlignment="1">
      <alignment horizontal="right" vertical="center"/>
    </xf>
    <xf numFmtId="11" fontId="0" fillId="0" borderId="0" xfId="0" applyNumberFormat="1"/>
    <xf numFmtId="174" fontId="0" fillId="9" borderId="2" xfId="0" applyNumberFormat="1" applyFill="1" applyBorder="1"/>
    <xf numFmtId="174" fontId="0" fillId="9" borderId="4" xfId="0" applyNumberFormat="1" applyFill="1" applyBorder="1"/>
    <xf numFmtId="174" fontId="0" fillId="9" borderId="1" xfId="0" applyNumberFormat="1" applyFill="1" applyBorder="1"/>
    <xf numFmtId="174" fontId="0" fillId="9" borderId="5" xfId="0" applyNumberFormat="1" applyFill="1" applyBorder="1"/>
    <xf numFmtId="173" fontId="2" fillId="9" borderId="1" xfId="0" applyNumberFormat="1" applyFont="1" applyFill="1" applyBorder="1"/>
    <xf numFmtId="174" fontId="0" fillId="9" borderId="0" xfId="0" applyNumberFormat="1" applyFill="1"/>
    <xf numFmtId="0" fontId="38" fillId="0" borderId="0" xfId="0" applyFont="1"/>
    <xf numFmtId="0" fontId="3" fillId="10" borderId="2" xfId="0" applyFont="1" applyFill="1" applyBorder="1" applyAlignment="1">
      <alignment horizontal="left" vertical="top"/>
    </xf>
    <xf numFmtId="0" fontId="0" fillId="10" borderId="3" xfId="0" applyFill="1" applyBorder="1" applyAlignment="1">
      <alignment horizontal="right" vertical="top"/>
    </xf>
    <xf numFmtId="0" fontId="0" fillId="0" borderId="1" xfId="0" applyBorder="1" applyAlignment="1">
      <alignment horizontal="left" vertical="top"/>
    </xf>
    <xf numFmtId="172" fontId="1" fillId="0" borderId="0" xfId="1" applyNumberFormat="1" applyFont="1" applyFill="1" applyBorder="1"/>
    <xf numFmtId="172" fontId="0" fillId="0" borderId="0" xfId="1" applyNumberFormat="1" applyFont="1"/>
    <xf numFmtId="0" fontId="0" fillId="10" borderId="0" xfId="0" applyFill="1" applyAlignment="1">
      <alignment horizontal="right"/>
    </xf>
    <xf numFmtId="165" fontId="0" fillId="9" borderId="0" xfId="3" applyNumberFormat="1" applyFont="1" applyFill="1" applyBorder="1"/>
    <xf numFmtId="186" fontId="0" fillId="0" borderId="42" xfId="0" applyNumberFormat="1" applyBorder="1"/>
    <xf numFmtId="0" fontId="0" fillId="0" borderId="42" xfId="0" applyBorder="1"/>
    <xf numFmtId="165" fontId="0" fillId="0" borderId="42" xfId="3" applyNumberFormat="1" applyFont="1" applyBorder="1"/>
    <xf numFmtId="0" fontId="0" fillId="9" borderId="7" xfId="0" applyFill="1" applyBorder="1"/>
    <xf numFmtId="0" fontId="2" fillId="3" borderId="2" xfId="0" applyFont="1" applyFill="1" applyBorder="1" applyAlignment="1">
      <alignment horizontal="left"/>
    </xf>
    <xf numFmtId="0" fontId="0" fillId="3" borderId="3" xfId="0" applyFill="1" applyBorder="1"/>
    <xf numFmtId="0" fontId="0" fillId="9" borderId="5" xfId="0" applyFill="1" applyBorder="1" applyAlignment="1">
      <alignment wrapText="1"/>
    </xf>
    <xf numFmtId="0" fontId="0" fillId="11" borderId="4" xfId="0" applyFill="1" applyBorder="1" applyAlignment="1">
      <alignment wrapText="1"/>
    </xf>
    <xf numFmtId="175" fontId="0" fillId="0" borderId="5" xfId="5" applyNumberFormat="1" applyFont="1" applyFill="1" applyBorder="1"/>
    <xf numFmtId="167" fontId="0" fillId="0" borderId="5" xfId="0" applyNumberFormat="1" applyBorder="1"/>
    <xf numFmtId="175" fontId="0" fillId="0" borderId="4" xfId="5" applyNumberFormat="1" applyFont="1" applyFill="1" applyBorder="1"/>
    <xf numFmtId="0" fontId="0" fillId="9" borderId="6" xfId="0" applyFill="1" applyBorder="1"/>
    <xf numFmtId="174" fontId="0" fillId="9" borderId="8" xfId="0" applyNumberFormat="1" applyFill="1" applyBorder="1"/>
    <xf numFmtId="175" fontId="0" fillId="0" borderId="8" xfId="5" applyNumberFormat="1" applyFont="1" applyFill="1" applyBorder="1"/>
    <xf numFmtId="0" fontId="13" fillId="0" borderId="4" xfId="0" applyFont="1" applyBorder="1"/>
    <xf numFmtId="167" fontId="13" fillId="0" borderId="5" xfId="0" applyNumberFormat="1" applyFont="1" applyBorder="1"/>
    <xf numFmtId="6" fontId="0" fillId="0" borderId="5" xfId="0" applyNumberFormat="1" applyBorder="1"/>
    <xf numFmtId="168" fontId="0" fillId="0" borderId="7" xfId="1" applyNumberFormat="1" applyFont="1" applyFill="1" applyBorder="1"/>
    <xf numFmtId="6" fontId="0" fillId="0" borderId="7" xfId="0" applyNumberFormat="1" applyBorder="1"/>
    <xf numFmtId="6" fontId="0" fillId="0" borderId="8" xfId="0" applyNumberFormat="1" applyBorder="1"/>
    <xf numFmtId="0" fontId="2" fillId="0" borderId="2" xfId="0" applyFont="1" applyBorder="1" applyAlignment="1">
      <alignment horizontal="left" vertical="top"/>
    </xf>
    <xf numFmtId="5" fontId="0" fillId="0" borderId="5" xfId="0" applyNumberFormat="1" applyBorder="1"/>
    <xf numFmtId="168" fontId="0" fillId="0" borderId="7" xfId="1" applyNumberFormat="1" applyFont="1" applyBorder="1"/>
    <xf numFmtId="5" fontId="0" fillId="0" borderId="7" xfId="0" applyNumberFormat="1" applyBorder="1"/>
    <xf numFmtId="5" fontId="0" fillId="0" borderId="8" xfId="0" applyNumberFormat="1" applyBorder="1"/>
    <xf numFmtId="44" fontId="0" fillId="0" borderId="5" xfId="0" applyNumberFormat="1" applyBorder="1"/>
    <xf numFmtId="168" fontId="0" fillId="0" borderId="19" xfId="1" applyNumberFormat="1" applyFont="1" applyBorder="1"/>
    <xf numFmtId="44" fontId="0" fillId="0" borderId="7" xfId="0" applyNumberFormat="1" applyBorder="1"/>
    <xf numFmtId="44" fontId="0" fillId="0" borderId="8" xfId="0" applyNumberFormat="1" applyBorder="1"/>
    <xf numFmtId="0" fontId="0" fillId="0" borderId="6" xfId="0" applyBorder="1" applyAlignment="1">
      <alignment horizontal="left" wrapText="1"/>
    </xf>
    <xf numFmtId="0" fontId="0" fillId="0" borderId="7" xfId="0" applyBorder="1" applyAlignment="1">
      <alignment wrapText="1"/>
    </xf>
    <xf numFmtId="0" fontId="0" fillId="13" borderId="1" xfId="0" applyFill="1" applyBorder="1" applyAlignment="1">
      <alignment horizontal="right"/>
    </xf>
    <xf numFmtId="2" fontId="0" fillId="13" borderId="0" xfId="0" applyNumberFormat="1" applyFill="1"/>
    <xf numFmtId="0" fontId="0" fillId="13" borderId="0" xfId="0" applyFill="1"/>
    <xf numFmtId="0" fontId="0" fillId="13" borderId="5" xfId="0" applyFill="1" applyBorder="1"/>
    <xf numFmtId="0" fontId="2" fillId="13" borderId="1" xfId="0" applyFont="1" applyFill="1" applyBorder="1"/>
    <xf numFmtId="0" fontId="16" fillId="13" borderId="12" xfId="0" applyFont="1" applyFill="1" applyBorder="1"/>
    <xf numFmtId="0" fontId="16" fillId="13" borderId="13" xfId="0" applyFont="1" applyFill="1" applyBorder="1"/>
    <xf numFmtId="0" fontId="16" fillId="13" borderId="14" xfId="0" applyFont="1" applyFill="1" applyBorder="1"/>
    <xf numFmtId="0" fontId="0" fillId="13" borderId="1" xfId="0" applyFill="1" applyBorder="1"/>
    <xf numFmtId="11" fontId="0" fillId="13" borderId="10" xfId="0" applyNumberFormat="1" applyFill="1" applyBorder="1"/>
    <xf numFmtId="11" fontId="0" fillId="13" borderId="15" xfId="0" applyNumberFormat="1" applyFill="1" applyBorder="1"/>
    <xf numFmtId="0" fontId="0" fillId="13" borderId="16" xfId="0" applyFill="1" applyBorder="1"/>
    <xf numFmtId="11" fontId="0" fillId="13" borderId="9" xfId="0" applyNumberFormat="1" applyFill="1" applyBorder="1"/>
    <xf numFmtId="11" fontId="0" fillId="13" borderId="17" xfId="0" applyNumberFormat="1" applyFill="1" applyBorder="1"/>
    <xf numFmtId="0" fontId="0" fillId="13" borderId="6" xfId="0" applyFill="1" applyBorder="1"/>
    <xf numFmtId="11" fontId="0" fillId="13" borderId="11" xfId="0" applyNumberFormat="1" applyFill="1" applyBorder="1"/>
    <xf numFmtId="11" fontId="0" fillId="13" borderId="18" xfId="0" applyNumberFormat="1" applyFill="1" applyBorder="1"/>
    <xf numFmtId="0" fontId="18" fillId="13" borderId="2" xfId="0" applyFont="1" applyFill="1" applyBorder="1" applyAlignment="1">
      <alignment vertical="center" wrapText="1"/>
    </xf>
    <xf numFmtId="0" fontId="19" fillId="13" borderId="3" xfId="0" applyFont="1" applyFill="1" applyBorder="1" applyAlignment="1">
      <alignment vertical="center" wrapText="1"/>
    </xf>
    <xf numFmtId="0" fontId="19" fillId="13" borderId="4" xfId="0" applyFont="1" applyFill="1" applyBorder="1" applyAlignment="1">
      <alignment vertical="center" wrapText="1"/>
    </xf>
    <xf numFmtId="0" fontId="19" fillId="13" borderId="1" xfId="0" applyFont="1" applyFill="1" applyBorder="1" applyAlignment="1">
      <alignment horizontal="center" vertical="center" wrapText="1"/>
    </xf>
    <xf numFmtId="166" fontId="19" fillId="13" borderId="0" xfId="0" applyNumberFormat="1" applyFont="1" applyFill="1" applyAlignment="1">
      <alignment wrapText="1"/>
    </xf>
    <xf numFmtId="184" fontId="19" fillId="13" borderId="0" xfId="0" applyNumberFormat="1" applyFont="1" applyFill="1" applyAlignment="1">
      <alignment wrapText="1"/>
    </xf>
    <xf numFmtId="174" fontId="19" fillId="13" borderId="5" xfId="0" applyNumberFormat="1" applyFont="1" applyFill="1" applyBorder="1" applyAlignment="1">
      <alignment wrapText="1"/>
    </xf>
    <xf numFmtId="0" fontId="19" fillId="13" borderId="6" xfId="0" applyFont="1" applyFill="1" applyBorder="1" applyAlignment="1">
      <alignment horizontal="center" vertical="center" wrapText="1"/>
    </xf>
    <xf numFmtId="166" fontId="19" fillId="13" borderId="7" xfId="0" applyNumberFormat="1" applyFont="1" applyFill="1" applyBorder="1" applyAlignment="1">
      <alignment wrapText="1"/>
    </xf>
    <xf numFmtId="184" fontId="19" fillId="13" borderId="7" xfId="0" applyNumberFormat="1" applyFont="1" applyFill="1" applyBorder="1" applyAlignment="1">
      <alignment wrapText="1"/>
    </xf>
    <xf numFmtId="174" fontId="19" fillId="13" borderId="8" xfId="0" applyNumberFormat="1" applyFont="1" applyFill="1" applyBorder="1" applyAlignment="1">
      <alignment wrapText="1"/>
    </xf>
    <xf numFmtId="0" fontId="11" fillId="13" borderId="1" xfId="0" applyFont="1" applyFill="1" applyBorder="1" applyAlignment="1">
      <alignment vertical="center"/>
    </xf>
    <xf numFmtId="0" fontId="4" fillId="13" borderId="1" xfId="2" applyFill="1" applyBorder="1" applyAlignment="1">
      <alignment vertical="center"/>
    </xf>
    <xf numFmtId="0" fontId="4" fillId="13" borderId="1" xfId="2" applyFill="1" applyBorder="1"/>
    <xf numFmtId="0" fontId="0" fillId="13" borderId="7" xfId="0" applyFill="1" applyBorder="1"/>
    <xf numFmtId="0" fontId="0" fillId="13" borderId="8" xfId="0" applyFill="1" applyBorder="1"/>
    <xf numFmtId="174" fontId="0" fillId="0" borderId="5" xfId="0" applyNumberFormat="1" applyBorder="1"/>
    <xf numFmtId="166" fontId="0" fillId="9" borderId="0" xfId="0" applyNumberFormat="1" applyFill="1" applyAlignment="1">
      <alignment horizontal="right"/>
    </xf>
    <xf numFmtId="173" fontId="0" fillId="9" borderId="0" xfId="0" applyNumberFormat="1" applyFill="1" applyAlignment="1">
      <alignment horizontal="right"/>
    </xf>
    <xf numFmtId="174" fontId="0" fillId="9" borderId="0" xfId="0" applyNumberFormat="1" applyFill="1" applyAlignment="1">
      <alignment horizontal="right"/>
    </xf>
    <xf numFmtId="185" fontId="0" fillId="9" borderId="0" xfId="0" applyNumberFormat="1" applyFill="1" applyAlignment="1">
      <alignment horizontal="right"/>
    </xf>
    <xf numFmtId="0" fontId="3" fillId="0" borderId="2" xfId="0" applyFont="1" applyBorder="1"/>
    <xf numFmtId="0" fontId="3" fillId="0" borderId="3" xfId="0" applyFont="1" applyBorder="1"/>
    <xf numFmtId="0" fontId="19" fillId="0" borderId="0" xfId="0" applyFont="1"/>
    <xf numFmtId="0" fontId="0" fillId="0" borderId="6" xfId="0" applyBorder="1" applyAlignment="1">
      <alignment wrapText="1"/>
    </xf>
    <xf numFmtId="44" fontId="0" fillId="0" borderId="7" xfId="4" applyFont="1" applyFill="1" applyBorder="1"/>
    <xf numFmtId="0" fontId="4" fillId="0" borderId="7" xfId="2" applyBorder="1"/>
    <xf numFmtId="0" fontId="0" fillId="0" borderId="0" xfId="0" applyAlignment="1">
      <alignment horizontal="left" vertical="center"/>
    </xf>
    <xf numFmtId="0" fontId="4" fillId="0" borderId="0" xfId="2" applyBorder="1" applyAlignment="1">
      <alignment horizontal="left"/>
    </xf>
    <xf numFmtId="0" fontId="32" fillId="0" borderId="42" xfId="0" applyFont="1" applyBorder="1"/>
    <xf numFmtId="0" fontId="32" fillId="0" borderId="0" xfId="0" applyFont="1" applyAlignment="1">
      <alignment horizontal="left"/>
    </xf>
    <xf numFmtId="0" fontId="10" fillId="0" borderId="2" xfId="0" applyFont="1" applyBorder="1"/>
    <xf numFmtId="0" fontId="3" fillId="10" borderId="1" xfId="0" applyFont="1" applyFill="1" applyBorder="1" applyAlignment="1">
      <alignment horizontal="left"/>
    </xf>
    <xf numFmtId="0" fontId="42" fillId="0" borderId="45" xfId="0" applyFont="1" applyBorder="1" applyAlignment="1">
      <alignment vertical="center" wrapText="1"/>
    </xf>
    <xf numFmtId="0" fontId="41" fillId="0" borderId="46" xfId="0" applyFont="1" applyBorder="1" applyAlignment="1">
      <alignment horizontal="right" vertical="center" wrapText="1"/>
    </xf>
    <xf numFmtId="0" fontId="40" fillId="0" borderId="22" xfId="0" applyFont="1" applyBorder="1" applyAlignment="1">
      <alignment horizontal="right" vertical="center" wrapText="1"/>
    </xf>
    <xf numFmtId="3" fontId="40" fillId="0" borderId="22" xfId="0" applyNumberFormat="1" applyFont="1" applyBorder="1" applyAlignment="1">
      <alignment horizontal="right" vertical="center" wrapText="1"/>
    </xf>
    <xf numFmtId="0" fontId="41" fillId="0" borderId="22" xfId="0" applyFont="1" applyBorder="1" applyAlignment="1">
      <alignment horizontal="right" vertical="center" wrapText="1"/>
    </xf>
    <xf numFmtId="3" fontId="41" fillId="0" borderId="22" xfId="0" applyNumberFormat="1" applyFont="1" applyBorder="1" applyAlignment="1">
      <alignment horizontal="right" vertical="center" wrapText="1"/>
    </xf>
    <xf numFmtId="0" fontId="39" fillId="14" borderId="47" xfId="0" applyFont="1" applyFill="1" applyBorder="1" applyAlignment="1">
      <alignment horizontal="center" vertical="center" wrapText="1"/>
    </xf>
    <xf numFmtId="0" fontId="39" fillId="14" borderId="48"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0" fillId="0" borderId="37" xfId="0" applyFont="1" applyBorder="1" applyAlignment="1">
      <alignment vertical="center" wrapText="1"/>
    </xf>
    <xf numFmtId="3" fontId="40" fillId="0" borderId="38" xfId="0" applyNumberFormat="1" applyFont="1" applyBorder="1" applyAlignment="1">
      <alignment horizontal="right" vertical="center" wrapText="1"/>
    </xf>
    <xf numFmtId="0" fontId="40" fillId="0" borderId="38" xfId="0" applyFont="1" applyBorder="1" applyAlignment="1">
      <alignment horizontal="right" vertical="center" wrapText="1"/>
    </xf>
    <xf numFmtId="0" fontId="0" fillId="0" borderId="37" xfId="0" applyBorder="1"/>
    <xf numFmtId="0" fontId="0" fillId="0" borderId="38" xfId="0" applyBorder="1"/>
    <xf numFmtId="0" fontId="41" fillId="0" borderId="37" xfId="0" applyFont="1" applyBorder="1" applyAlignment="1">
      <alignment vertical="center" wrapText="1"/>
    </xf>
    <xf numFmtId="3" fontId="41" fillId="0" borderId="38" xfId="0" applyNumberFormat="1" applyFont="1" applyBorder="1" applyAlignment="1">
      <alignment horizontal="right" vertical="center" wrapText="1"/>
    </xf>
    <xf numFmtId="0" fontId="2" fillId="0" borderId="39" xfId="0" applyFont="1" applyBorder="1" applyAlignment="1">
      <alignment horizontal="left"/>
    </xf>
    <xf numFmtId="167" fontId="2" fillId="0" borderId="40" xfId="0" applyNumberFormat="1" applyFont="1" applyBorder="1"/>
    <xf numFmtId="0" fontId="10" fillId="0" borderId="0" xfId="0" applyFont="1" applyAlignment="1">
      <alignment horizontal="left"/>
    </xf>
    <xf numFmtId="0" fontId="10" fillId="0" borderId="0" xfId="0" applyFont="1" applyAlignment="1">
      <alignment horizontal="left" vertical="top" wrapText="1"/>
    </xf>
    <xf numFmtId="0" fontId="10" fillId="0" borderId="0" xfId="0" applyFont="1" applyAlignment="1">
      <alignment wrapText="1"/>
    </xf>
    <xf numFmtId="0" fontId="7" fillId="0" borderId="0" xfId="0" applyFont="1" applyAlignment="1">
      <alignment horizontal="left"/>
    </xf>
    <xf numFmtId="7" fontId="8" fillId="0" borderId="0" xfId="0" applyNumberFormat="1" applyFont="1" applyAlignment="1">
      <alignment horizontal="right" vertical="center"/>
    </xf>
    <xf numFmtId="5" fontId="8" fillId="0" borderId="0" xfId="0" applyNumberFormat="1" applyFont="1" applyAlignment="1">
      <alignment horizontal="right" vertical="center"/>
    </xf>
    <xf numFmtId="0" fontId="19" fillId="0" borderId="0" xfId="0" applyFont="1" applyAlignment="1">
      <alignment horizontal="right" vertical="center"/>
    </xf>
    <xf numFmtId="3" fontId="19" fillId="0" borderId="0" xfId="0" applyNumberFormat="1" applyFont="1" applyAlignment="1">
      <alignment horizontal="center" vertical="center"/>
    </xf>
    <xf numFmtId="3" fontId="18" fillId="0" borderId="0" xfId="0" applyNumberFormat="1" applyFont="1" applyAlignment="1">
      <alignment vertical="center"/>
    </xf>
    <xf numFmtId="1" fontId="0" fillId="0" borderId="4" xfId="0" applyNumberFormat="1" applyBorder="1"/>
    <xf numFmtId="1" fontId="0" fillId="0" borderId="5" xfId="0" applyNumberFormat="1" applyBorder="1"/>
    <xf numFmtId="0" fontId="2" fillId="0" borderId="1" xfId="0" applyFont="1" applyBorder="1"/>
    <xf numFmtId="1" fontId="0" fillId="0" borderId="0" xfId="0" applyNumberFormat="1" applyAlignment="1">
      <alignment horizontal="center"/>
    </xf>
    <xf numFmtId="3" fontId="19" fillId="0" borderId="5" xfId="0" applyNumberFormat="1" applyFont="1" applyBorder="1" applyAlignment="1">
      <alignment horizontal="center" vertical="center"/>
    </xf>
    <xf numFmtId="3" fontId="18" fillId="0" borderId="5" xfId="0" applyNumberFormat="1" applyFont="1" applyBorder="1" applyAlignment="1">
      <alignment vertical="center"/>
    </xf>
    <xf numFmtId="168" fontId="19" fillId="0" borderId="0" xfId="1" applyNumberFormat="1" applyFont="1" applyBorder="1" applyAlignment="1">
      <alignment horizontal="right" vertical="center"/>
    </xf>
    <xf numFmtId="0" fontId="0" fillId="0" borderId="6" xfId="0" applyBorder="1" applyAlignment="1">
      <alignment horizontal="center"/>
    </xf>
    <xf numFmtId="0" fontId="0" fillId="0" borderId="40" xfId="0" applyBorder="1"/>
    <xf numFmtId="0" fontId="0" fillId="0" borderId="40" xfId="0" applyBorder="1" applyAlignment="1">
      <alignment horizontal="center"/>
    </xf>
    <xf numFmtId="0" fontId="0" fillId="0" borderId="41" xfId="0" applyBorder="1" applyAlignment="1">
      <alignment horizontal="center"/>
    </xf>
    <xf numFmtId="0" fontId="0" fillId="0" borderId="39" xfId="0" applyBorder="1" applyAlignment="1">
      <alignment horizontal="center"/>
    </xf>
    <xf numFmtId="10" fontId="0" fillId="0" borderId="0" xfId="5" applyNumberFormat="1" applyFont="1" applyBorder="1"/>
    <xf numFmtId="0" fontId="0" fillId="0" borderId="51" xfId="0" applyBorder="1" applyAlignment="1">
      <alignment horizontal="center"/>
    </xf>
    <xf numFmtId="3" fontId="19" fillId="0" borderId="0" xfId="0" applyNumberFormat="1" applyFont="1" applyAlignment="1">
      <alignment vertical="center"/>
    </xf>
    <xf numFmtId="0" fontId="0" fillId="0" borderId="52" xfId="0" applyBorder="1"/>
    <xf numFmtId="0" fontId="0" fillId="0" borderId="52" xfId="0" applyBorder="1" applyAlignment="1">
      <alignment horizontal="center"/>
    </xf>
    <xf numFmtId="0" fontId="0" fillId="0" borderId="53" xfId="0" applyBorder="1" applyAlignment="1">
      <alignment horizontal="center"/>
    </xf>
    <xf numFmtId="0" fontId="0" fillId="0" borderId="12" xfId="0" applyBorder="1" applyAlignment="1">
      <alignment horizontal="center"/>
    </xf>
    <xf numFmtId="0" fontId="2" fillId="4" borderId="0" xfId="0" applyFont="1" applyFill="1" applyAlignment="1">
      <alignment horizontal="center" vertical="center"/>
    </xf>
    <xf numFmtId="179" fontId="0" fillId="4" borderId="0" xfId="0" applyNumberFormat="1" applyFill="1"/>
    <xf numFmtId="0" fontId="13" fillId="0" borderId="0" xfId="0" applyFont="1" applyAlignment="1">
      <alignment horizontal="right"/>
    </xf>
    <xf numFmtId="166" fontId="0" fillId="0" borderId="0" xfId="4" applyNumberFormat="1" applyFont="1" applyBorder="1"/>
    <xf numFmtId="171" fontId="0" fillId="0" borderId="0" xfId="4" applyNumberFormat="1" applyFont="1" applyBorder="1"/>
    <xf numFmtId="0" fontId="43" fillId="0" borderId="0" xfId="0" applyFont="1" applyAlignment="1">
      <alignment horizontal="center"/>
    </xf>
    <xf numFmtId="2" fontId="2" fillId="0" borderId="4" xfId="0" applyNumberFormat="1" applyFont="1" applyBorder="1" applyAlignment="1">
      <alignment horizontal="right"/>
    </xf>
    <xf numFmtId="171" fontId="2" fillId="0" borderId="8" xfId="1" applyNumberFormat="1" applyFont="1" applyBorder="1" applyAlignment="1">
      <alignment horizontal="right"/>
    </xf>
    <xf numFmtId="2" fontId="2" fillId="0" borderId="0" xfId="0" applyNumberFormat="1" applyFont="1" applyAlignment="1">
      <alignment horizontal="right"/>
    </xf>
    <xf numFmtId="176" fontId="2" fillId="0" borderId="0" xfId="4" applyNumberFormat="1" applyFont="1" applyFill="1" applyBorder="1" applyAlignment="1">
      <alignment horizontal="right"/>
    </xf>
    <xf numFmtId="2" fontId="2" fillId="0" borderId="4" xfId="4" applyNumberFormat="1" applyFont="1" applyFill="1" applyBorder="1" applyAlignment="1">
      <alignment horizontal="right"/>
    </xf>
    <xf numFmtId="171" fontId="2" fillId="0" borderId="8" xfId="5" applyNumberFormat="1" applyFont="1" applyFill="1" applyBorder="1"/>
    <xf numFmtId="0" fontId="21"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19" fillId="0" borderId="0" xfId="0" applyFont="1" applyAlignment="1">
      <alignment horizontal="center" vertical="center"/>
    </xf>
    <xf numFmtId="171" fontId="19" fillId="0" borderId="0" xfId="0" applyNumberFormat="1" applyFont="1" applyAlignment="1">
      <alignment horizontal="center" vertical="center"/>
    </xf>
    <xf numFmtId="171" fontId="24" fillId="0" borderId="0" xfId="0" applyNumberFormat="1" applyFont="1" applyAlignment="1">
      <alignment horizontal="center" vertical="center"/>
    </xf>
    <xf numFmtId="171" fontId="19" fillId="0" borderId="0" xfId="1" applyNumberFormat="1" applyFont="1" applyFill="1" applyBorder="1" applyAlignment="1">
      <alignment horizontal="center" vertical="center"/>
    </xf>
    <xf numFmtId="171" fontId="0" fillId="0" borderId="0" xfId="0" applyNumberFormat="1" applyAlignment="1">
      <alignment horizontal="center"/>
    </xf>
    <xf numFmtId="171" fontId="19" fillId="0" borderId="0" xfId="0" applyNumberFormat="1" applyFont="1" applyAlignment="1">
      <alignment horizontal="center"/>
    </xf>
    <xf numFmtId="171" fontId="19" fillId="0" borderId="0" xfId="1" applyNumberFormat="1" applyFont="1" applyFill="1" applyBorder="1" applyAlignment="1">
      <alignment horizontal="center"/>
    </xf>
    <xf numFmtId="0" fontId="25" fillId="0" borderId="0" xfId="0" applyFont="1" applyAlignment="1">
      <alignment horizontal="center" vertical="center"/>
    </xf>
    <xf numFmtId="171" fontId="25" fillId="0" borderId="0" xfId="0" applyNumberFormat="1" applyFont="1" applyAlignment="1">
      <alignment vertical="center"/>
    </xf>
    <xf numFmtId="1" fontId="0" fillId="0" borderId="0" xfId="0" applyNumberFormat="1" applyAlignment="1">
      <alignment horizontal="center" wrapText="1"/>
    </xf>
    <xf numFmtId="187" fontId="19" fillId="0" borderId="0" xfId="0" applyNumberFormat="1" applyFont="1" applyAlignment="1">
      <alignment horizontal="center" vertical="center"/>
    </xf>
    <xf numFmtId="1" fontId="0" fillId="0" borderId="5" xfId="0" applyNumberFormat="1" applyBorder="1" applyAlignment="1">
      <alignment wrapText="1"/>
    </xf>
    <xf numFmtId="183" fontId="18" fillId="0" borderId="23" xfId="0" applyNumberFormat="1" applyFont="1" applyBorder="1" applyAlignment="1">
      <alignment horizontal="center" vertical="center"/>
    </xf>
    <xf numFmtId="3" fontId="18" fillId="0" borderId="27" xfId="0" applyNumberFormat="1" applyFont="1" applyBorder="1" applyAlignment="1">
      <alignment vertical="center"/>
    </xf>
    <xf numFmtId="183" fontId="18" fillId="0" borderId="56" xfId="0" applyNumberFormat="1" applyFont="1" applyBorder="1" applyAlignment="1">
      <alignment horizontal="center" vertical="center"/>
    </xf>
    <xf numFmtId="5" fontId="2" fillId="0" borderId="8" xfId="4" applyNumberFormat="1" applyFont="1" applyFill="1" applyBorder="1" applyAlignment="1">
      <alignment horizontal="right"/>
    </xf>
    <xf numFmtId="0" fontId="8" fillId="0" borderId="28" xfId="0" applyFont="1" applyBorder="1"/>
    <xf numFmtId="0" fontId="44" fillId="0" borderId="19" xfId="0" applyFont="1" applyBorder="1" applyAlignment="1">
      <alignment horizontal="center" vertical="center"/>
    </xf>
    <xf numFmtId="0" fontId="8" fillId="0" borderId="57" xfId="0" applyFont="1" applyBorder="1" applyAlignment="1">
      <alignment horizontal="center"/>
    </xf>
    <xf numFmtId="0" fontId="2" fillId="0" borderId="2" xfId="0" applyFont="1" applyBorder="1" applyAlignment="1">
      <alignment vertical="center"/>
    </xf>
    <xf numFmtId="2" fontId="0" fillId="0" borderId="3" xfId="0" applyNumberFormat="1" applyBorder="1" applyAlignment="1">
      <alignment vertical="center"/>
    </xf>
    <xf numFmtId="0" fontId="0" fillId="0" borderId="4" xfId="0" applyBorder="1" applyAlignment="1">
      <alignment vertical="center"/>
    </xf>
    <xf numFmtId="0" fontId="8" fillId="0" borderId="1" xfId="0" applyFont="1" applyBorder="1"/>
    <xf numFmtId="168" fontId="9" fillId="0" borderId="0" xfId="1" applyNumberFormat="1" applyFont="1"/>
    <xf numFmtId="3" fontId="8" fillId="0" borderId="5" xfId="0" applyNumberFormat="1" applyFont="1" applyBorder="1"/>
    <xf numFmtId="0" fontId="2"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0" borderId="6" xfId="0" applyFont="1" applyBorder="1"/>
    <xf numFmtId="168" fontId="9" fillId="0" borderId="7" xfId="1" applyNumberFormat="1" applyFont="1" applyBorder="1"/>
    <xf numFmtId="3" fontId="8" fillId="0" borderId="8" xfId="0" applyNumberFormat="1" applyFont="1" applyBorder="1"/>
    <xf numFmtId="0" fontId="16" fillId="0" borderId="28" xfId="0" applyFont="1" applyBorder="1" applyAlignment="1">
      <alignment horizontal="center" vertical="center"/>
    </xf>
    <xf numFmtId="0" fontId="44" fillId="0" borderId="58" xfId="0" applyFont="1" applyBorder="1" applyAlignment="1">
      <alignment horizontal="center" vertical="center"/>
    </xf>
    <xf numFmtId="0" fontId="16" fillId="0" borderId="1" xfId="0" applyFont="1" applyBorder="1" applyAlignment="1">
      <alignment horizontal="left" vertical="center"/>
    </xf>
    <xf numFmtId="168" fontId="13" fillId="0" borderId="0" xfId="1" applyNumberFormat="1" applyFont="1" applyBorder="1" applyAlignment="1">
      <alignment horizontal="right" vertical="center"/>
    </xf>
    <xf numFmtId="0" fontId="2" fillId="0" borderId="5" xfId="0" applyFont="1" applyBorder="1"/>
    <xf numFmtId="0" fontId="8" fillId="0" borderId="0" xfId="0" applyFont="1"/>
    <xf numFmtId="10" fontId="9" fillId="0" borderId="0" xfId="0" applyNumberFormat="1" applyFont="1" applyAlignment="1">
      <alignment horizontal="right"/>
    </xf>
    <xf numFmtId="169" fontId="9" fillId="0" borderId="0" xfId="5" applyNumberFormat="1" applyFont="1" applyBorder="1" applyAlignment="1">
      <alignment horizontal="right"/>
    </xf>
    <xf numFmtId="168" fontId="9" fillId="0" borderId="0" xfId="1" applyNumberFormat="1" applyFont="1" applyBorder="1"/>
    <xf numFmtId="168" fontId="8" fillId="0" borderId="5" xfId="1" applyNumberFormat="1" applyFont="1" applyBorder="1"/>
    <xf numFmtId="168" fontId="2" fillId="0" borderId="5" xfId="1" applyNumberFormat="1" applyFont="1" applyBorder="1"/>
    <xf numFmtId="168" fontId="2" fillId="0" borderId="8" xfId="1" applyNumberFormat="1" applyFont="1" applyBorder="1"/>
    <xf numFmtId="168" fontId="9" fillId="2" borderId="0" xfId="1" applyNumberFormat="1" applyFont="1" applyFill="1" applyBorder="1"/>
    <xf numFmtId="168" fontId="8" fillId="2" borderId="5" xfId="1" applyNumberFormat="1" applyFont="1" applyFill="1" applyBorder="1"/>
    <xf numFmtId="168" fontId="9" fillId="2" borderId="7" xfId="1" applyNumberFormat="1" applyFont="1" applyFill="1" applyBorder="1"/>
    <xf numFmtId="168" fontId="8" fillId="2" borderId="8" xfId="1" applyNumberFormat="1" applyFont="1" applyFill="1" applyBorder="1"/>
    <xf numFmtId="0" fontId="2" fillId="15" borderId="0" xfId="0" applyFont="1" applyFill="1" applyAlignment="1">
      <alignment horizontal="left"/>
    </xf>
    <xf numFmtId="0" fontId="0" fillId="15" borderId="0" xfId="0" applyFill="1"/>
    <xf numFmtId="1" fontId="0" fillId="0" borderId="0" xfId="5" applyNumberFormat="1" applyFont="1"/>
    <xf numFmtId="9" fontId="0" fillId="0" borderId="0" xfId="5" applyFont="1"/>
    <xf numFmtId="2" fontId="0" fillId="0" borderId="0" xfId="1" applyNumberFormat="1" applyFont="1"/>
    <xf numFmtId="0" fontId="0" fillId="2" borderId="0" xfId="0" applyFill="1" applyAlignment="1">
      <alignment vertical="center" wrapText="1"/>
    </xf>
    <xf numFmtId="44" fontId="0" fillId="2" borderId="0" xfId="4" applyFont="1" applyFill="1" applyAlignment="1">
      <alignment vertical="center"/>
    </xf>
    <xf numFmtId="179" fontId="0" fillId="0" borderId="0" xfId="0" applyNumberFormat="1" applyAlignment="1">
      <alignment vertical="center"/>
    </xf>
    <xf numFmtId="0" fontId="0" fillId="0" borderId="0" xfId="0" applyAlignment="1">
      <alignment vertical="center"/>
    </xf>
    <xf numFmtId="176" fontId="2" fillId="0" borderId="0" xfId="4" applyNumberFormat="1" applyFont="1"/>
    <xf numFmtId="0" fontId="45" fillId="0" borderId="0" xfId="0" applyFont="1"/>
    <xf numFmtId="0" fontId="2" fillId="0" borderId="0" xfId="0" applyFont="1" applyAlignment="1">
      <alignment wrapText="1"/>
    </xf>
    <xf numFmtId="9" fontId="2" fillId="0" borderId="0" xfId="5" applyFont="1"/>
    <xf numFmtId="179" fontId="0" fillId="0" borderId="0" xfId="4" applyNumberFormat="1" applyFont="1"/>
    <xf numFmtId="0" fontId="2" fillId="0" borderId="34" xfId="0" applyFont="1" applyBorder="1" applyAlignment="1">
      <alignment vertical="center"/>
    </xf>
    <xf numFmtId="0" fontId="2" fillId="0" borderId="36" xfId="0" applyFont="1" applyBorder="1" applyAlignment="1">
      <alignment vertical="center"/>
    </xf>
    <xf numFmtId="0" fontId="0" fillId="0" borderId="37" xfId="0" applyBorder="1" applyAlignment="1">
      <alignment vertical="center"/>
    </xf>
    <xf numFmtId="8" fontId="0" fillId="0" borderId="38" xfId="0" applyNumberFormat="1" applyBorder="1" applyAlignment="1">
      <alignment vertical="center"/>
    </xf>
    <xf numFmtId="2" fontId="0" fillId="0" borderId="0" xfId="0" applyNumberFormat="1" applyAlignment="1">
      <alignment vertical="center"/>
    </xf>
    <xf numFmtId="188" fontId="0" fillId="0" borderId="38" xfId="0" applyNumberFormat="1" applyBorder="1" applyAlignment="1">
      <alignment vertical="center"/>
    </xf>
    <xf numFmtId="0" fontId="0" fillId="0" borderId="38" xfId="0"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0" fillId="0" borderId="39" xfId="0" applyBorder="1" applyAlignment="1">
      <alignment vertical="center"/>
    </xf>
    <xf numFmtId="8" fontId="0" fillId="0" borderId="41" xfId="0" applyNumberFormat="1" applyBorder="1" applyAlignment="1">
      <alignment vertical="center"/>
    </xf>
    <xf numFmtId="8" fontId="0" fillId="0" borderId="0" xfId="0" applyNumberFormat="1" applyAlignment="1">
      <alignment vertical="center"/>
    </xf>
    <xf numFmtId="0" fontId="2" fillId="0" borderId="22" xfId="0" applyFont="1" applyBorder="1" applyAlignment="1">
      <alignment vertical="center"/>
    </xf>
    <xf numFmtId="0" fontId="0" fillId="0" borderId="22" xfId="0" applyBorder="1" applyAlignment="1">
      <alignment vertical="center"/>
    </xf>
    <xf numFmtId="0" fontId="0" fillId="0" borderId="40" xfId="0" applyBorder="1" applyAlignment="1">
      <alignment vertical="center"/>
    </xf>
    <xf numFmtId="0" fontId="44" fillId="0" borderId="0" xfId="0" applyFont="1" applyAlignment="1">
      <alignment horizontal="left" vertical="center"/>
    </xf>
    <xf numFmtId="0" fontId="44" fillId="0" borderId="0" xfId="0" applyFont="1" applyAlignment="1">
      <alignment vertical="center" wrapText="1"/>
    </xf>
    <xf numFmtId="168" fontId="0" fillId="0" borderId="0" xfId="1" applyNumberFormat="1" applyFont="1" applyAlignment="1">
      <alignment wrapText="1"/>
    </xf>
    <xf numFmtId="168" fontId="2" fillId="0" borderId="0" xfId="1" applyNumberFormat="1" applyFont="1" applyAlignment="1">
      <alignment wrapText="1"/>
    </xf>
    <xf numFmtId="168" fontId="1" fillId="2" borderId="0" xfId="1" applyNumberFormat="1" applyFont="1" applyFill="1" applyAlignment="1">
      <alignment wrapText="1"/>
    </xf>
    <xf numFmtId="10" fontId="0" fillId="0" borderId="0" xfId="0" applyNumberFormat="1"/>
    <xf numFmtId="10" fontId="0" fillId="2" borderId="0" xfId="0" applyNumberFormat="1" applyFill="1"/>
    <xf numFmtId="0" fontId="38" fillId="0" borderId="3" xfId="0" applyFont="1" applyBorder="1"/>
    <xf numFmtId="0" fontId="38" fillId="0" borderId="60" xfId="0" applyFont="1" applyBorder="1"/>
    <xf numFmtId="0" fontId="2" fillId="0" borderId="61" xfId="0" applyFont="1" applyBorder="1"/>
    <xf numFmtId="0" fontId="38" fillId="0" borderId="4" xfId="0" applyFont="1" applyBorder="1"/>
    <xf numFmtId="0" fontId="38" fillId="0" borderId="1" xfId="0" applyFont="1" applyBorder="1"/>
    <xf numFmtId="0" fontId="38" fillId="0" borderId="21" xfId="0" applyFont="1" applyBorder="1"/>
    <xf numFmtId="0" fontId="38" fillId="0" borderId="62" xfId="0" applyFont="1" applyBorder="1"/>
    <xf numFmtId="0" fontId="38" fillId="0" borderId="5" xfId="0" applyFont="1" applyBorder="1"/>
    <xf numFmtId="0" fontId="46" fillId="0" borderId="1" xfId="0" applyFont="1" applyBorder="1"/>
    <xf numFmtId="0" fontId="46" fillId="0" borderId="63" xfId="0" applyFont="1" applyBorder="1" applyAlignment="1">
      <alignment horizontal="left"/>
    </xf>
    <xf numFmtId="0" fontId="38" fillId="0" borderId="62" xfId="0" applyFont="1" applyBorder="1" applyAlignment="1">
      <alignment horizontal="left"/>
    </xf>
    <xf numFmtId="1" fontId="38" fillId="0" borderId="0" xfId="0" applyNumberFormat="1" applyFont="1"/>
    <xf numFmtId="1" fontId="38" fillId="0" borderId="21" xfId="0" applyNumberFormat="1" applyFont="1" applyBorder="1"/>
    <xf numFmtId="1" fontId="38" fillId="0" borderId="0" xfId="5" applyNumberFormat="1" applyFont="1" applyFill="1" applyBorder="1"/>
    <xf numFmtId="1" fontId="38" fillId="0" borderId="5" xfId="0" applyNumberFormat="1" applyFont="1" applyBorder="1"/>
    <xf numFmtId="0" fontId="38" fillId="0" borderId="1" xfId="0" applyFont="1" applyBorder="1" applyAlignment="1">
      <alignment vertical="center"/>
    </xf>
    <xf numFmtId="179" fontId="38" fillId="0" borderId="0" xfId="4" applyNumberFormat="1" applyFont="1" applyFill="1" applyBorder="1"/>
    <xf numFmtId="179" fontId="38" fillId="0" borderId="21" xfId="4" applyNumberFormat="1" applyFont="1" applyFill="1" applyBorder="1"/>
    <xf numFmtId="1" fontId="38" fillId="0" borderId="62" xfId="0" applyNumberFormat="1" applyFont="1" applyBorder="1"/>
    <xf numFmtId="179" fontId="38" fillId="0" borderId="5" xfId="4" applyNumberFormat="1" applyFont="1" applyFill="1" applyBorder="1"/>
    <xf numFmtId="3" fontId="38" fillId="0" borderId="5" xfId="0" applyNumberFormat="1" applyFont="1" applyBorder="1"/>
    <xf numFmtId="0" fontId="47" fillId="16" borderId="1" xfId="0" applyFont="1" applyFill="1" applyBorder="1"/>
    <xf numFmtId="0" fontId="47" fillId="16" borderId="0" xfId="0" applyFont="1" applyFill="1"/>
    <xf numFmtId="171" fontId="47" fillId="16" borderId="21" xfId="4" applyNumberFormat="1" applyFont="1" applyFill="1" applyBorder="1"/>
    <xf numFmtId="0" fontId="47" fillId="16" borderId="62" xfId="0" applyFont="1" applyFill="1" applyBorder="1" applyAlignment="1">
      <alignment vertical="center" wrapText="1"/>
    </xf>
    <xf numFmtId="44" fontId="47" fillId="16" borderId="0" xfId="4" applyFont="1" applyFill="1" applyBorder="1" applyAlignment="1">
      <alignment vertical="center"/>
    </xf>
    <xf numFmtId="171" fontId="47" fillId="16" borderId="5" xfId="0" applyNumberFormat="1" applyFont="1" applyFill="1" applyBorder="1" applyAlignment="1">
      <alignment vertical="center"/>
    </xf>
    <xf numFmtId="0" fontId="46" fillId="0" borderId="62" xfId="0" applyFont="1" applyBorder="1"/>
    <xf numFmtId="176" fontId="47" fillId="0" borderId="5" xfId="4" applyNumberFormat="1" applyFont="1" applyFill="1" applyBorder="1"/>
    <xf numFmtId="2" fontId="38" fillId="0" borderId="5" xfId="0" applyNumberFormat="1" applyFont="1" applyBorder="1"/>
    <xf numFmtId="0" fontId="0" fillId="0" borderId="62" xfId="0" applyBorder="1"/>
    <xf numFmtId="2" fontId="38" fillId="0" borderId="0" xfId="0" applyNumberFormat="1" applyFont="1"/>
    <xf numFmtId="0" fontId="38" fillId="16" borderId="0" xfId="0" applyFont="1" applyFill="1"/>
    <xf numFmtId="171" fontId="38" fillId="16" borderId="21" xfId="4" applyNumberFormat="1" applyFont="1" applyFill="1" applyBorder="1"/>
    <xf numFmtId="0" fontId="47" fillId="16" borderId="62" xfId="0" applyFont="1" applyFill="1" applyBorder="1" applyAlignment="1">
      <alignment wrapText="1"/>
    </xf>
    <xf numFmtId="44" fontId="38" fillId="16" borderId="0" xfId="4" applyFont="1" applyFill="1" applyBorder="1" applyAlignment="1">
      <alignment vertical="center"/>
    </xf>
    <xf numFmtId="171" fontId="38" fillId="16" borderId="5" xfId="0" applyNumberFormat="1" applyFont="1" applyFill="1" applyBorder="1" applyAlignment="1">
      <alignment vertical="center"/>
    </xf>
    <xf numFmtId="171" fontId="0" fillId="0" borderId="21" xfId="0" applyNumberFormat="1" applyBorder="1"/>
    <xf numFmtId="171" fontId="46" fillId="0" borderId="62" xfId="0" applyNumberFormat="1" applyFont="1" applyBorder="1"/>
    <xf numFmtId="171" fontId="38" fillId="0" borderId="0" xfId="0" applyNumberFormat="1" applyFont="1"/>
    <xf numFmtId="171" fontId="38" fillId="0" borderId="5" xfId="0" applyNumberFormat="1" applyFont="1" applyBorder="1"/>
    <xf numFmtId="0" fontId="47" fillId="17" borderId="6" xfId="0" applyFont="1" applyFill="1" applyBorder="1"/>
    <xf numFmtId="0" fontId="2" fillId="17" borderId="7" xfId="0" applyFont="1" applyFill="1" applyBorder="1"/>
    <xf numFmtId="171" fontId="2" fillId="17" borderId="64" xfId="4" applyNumberFormat="1" applyFont="1" applyFill="1" applyBorder="1"/>
    <xf numFmtId="171" fontId="0" fillId="0" borderId="7" xfId="0" applyNumberFormat="1" applyBorder="1"/>
    <xf numFmtId="171" fontId="47" fillId="17" borderId="53" xfId="0" applyNumberFormat="1" applyFont="1" applyFill="1" applyBorder="1" applyAlignment="1">
      <alignment wrapText="1"/>
    </xf>
    <xf numFmtId="171" fontId="47" fillId="17" borderId="7" xfId="5" applyNumberFormat="1" applyFont="1" applyFill="1" applyBorder="1"/>
    <xf numFmtId="171" fontId="47" fillId="17" borderId="8" xfId="0" applyNumberFormat="1" applyFont="1" applyFill="1" applyBorder="1"/>
    <xf numFmtId="0" fontId="25" fillId="0" borderId="6" xfId="0" applyFont="1" applyBorder="1" applyAlignment="1">
      <alignment horizontal="center" vertical="center"/>
    </xf>
    <xf numFmtId="0" fontId="19" fillId="0" borderId="39"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51" xfId="0" applyFont="1" applyBorder="1" applyAlignment="1">
      <alignment horizontal="center" vertical="center"/>
    </xf>
    <xf numFmtId="0" fontId="19" fillId="0" borderId="37" xfId="0" applyFont="1" applyBorder="1" applyAlignment="1">
      <alignment horizontal="center" vertical="center"/>
    </xf>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applyBorder="1"/>
    <xf numFmtId="176" fontId="0" fillId="0" borderId="72" xfId="4" applyNumberFormat="1" applyFont="1" applyBorder="1"/>
    <xf numFmtId="0" fontId="44" fillId="0" borderId="0" xfId="0" applyFont="1" applyAlignment="1">
      <alignment horizontal="center" vertical="center" wrapText="1"/>
    </xf>
    <xf numFmtId="171" fontId="2" fillId="18" borderId="55" xfId="0" applyNumberFormat="1" applyFont="1" applyFill="1" applyBorder="1" applyAlignment="1">
      <alignment horizontal="center"/>
    </xf>
    <xf numFmtId="171" fontId="0" fillId="0" borderId="33" xfId="0" applyNumberFormat="1" applyBorder="1"/>
    <xf numFmtId="0" fontId="0" fillId="10" borderId="75" xfId="0" applyFill="1" applyBorder="1"/>
    <xf numFmtId="0" fontId="0" fillId="10" borderId="19" xfId="0" applyFill="1" applyBorder="1"/>
    <xf numFmtId="171" fontId="0" fillId="10" borderId="36" xfId="0" applyNumberFormat="1" applyFill="1" applyBorder="1"/>
    <xf numFmtId="0" fontId="51" fillId="4" borderId="56" xfId="0" applyFont="1" applyFill="1" applyBorder="1" applyAlignment="1">
      <alignment horizontal="left" vertical="center"/>
    </xf>
    <xf numFmtId="0" fontId="51" fillId="4" borderId="8" xfId="0" applyFont="1" applyFill="1" applyBorder="1" applyAlignment="1">
      <alignment vertical="center"/>
    </xf>
    <xf numFmtId="0" fontId="51" fillId="4" borderId="8" xfId="0" applyFont="1" applyFill="1" applyBorder="1" applyAlignment="1">
      <alignment horizontal="center" vertical="center"/>
    </xf>
    <xf numFmtId="3" fontId="51" fillId="0" borderId="8" xfId="0" applyNumberFormat="1" applyFont="1" applyBorder="1" applyAlignment="1">
      <alignment horizontal="center" vertical="center"/>
    </xf>
    <xf numFmtId="179" fontId="51" fillId="4" borderId="8" xfId="0" applyNumberFormat="1" applyFont="1" applyFill="1" applyBorder="1" applyAlignment="1">
      <alignment horizontal="right" vertical="center"/>
    </xf>
    <xf numFmtId="0" fontId="0" fillId="4" borderId="29" xfId="0" applyFill="1" applyBorder="1"/>
    <xf numFmtId="0" fontId="0" fillId="4" borderId="20" xfId="0" applyFill="1" applyBorder="1"/>
    <xf numFmtId="171" fontId="0" fillId="4" borderId="38" xfId="0" applyNumberFormat="1" applyFill="1" applyBorder="1"/>
    <xf numFmtId="0" fontId="2" fillId="10" borderId="76" xfId="0" applyFont="1" applyFill="1" applyBorder="1"/>
    <xf numFmtId="0" fontId="0" fillId="10" borderId="42" xfId="0" applyFill="1" applyBorder="1"/>
    <xf numFmtId="171" fontId="0" fillId="10" borderId="77" xfId="0" applyNumberFormat="1" applyFill="1" applyBorder="1"/>
    <xf numFmtId="0" fontId="1" fillId="10" borderId="19" xfId="8" applyFill="1" applyBorder="1"/>
    <xf numFmtId="0" fontId="1" fillId="4" borderId="20" xfId="8" applyFill="1" applyBorder="1"/>
    <xf numFmtId="0" fontId="0" fillId="10" borderId="29" xfId="0" applyFill="1" applyBorder="1"/>
    <xf numFmtId="0" fontId="1" fillId="10" borderId="20" xfId="8" applyFill="1" applyBorder="1"/>
    <xf numFmtId="171" fontId="0" fillId="10" borderId="38" xfId="0" applyNumberFormat="1" applyFill="1" applyBorder="1"/>
    <xf numFmtId="171" fontId="13" fillId="10" borderId="38" xfId="0" applyNumberFormat="1" applyFont="1" applyFill="1" applyBorder="1"/>
    <xf numFmtId="0" fontId="2" fillId="0" borderId="29" xfId="0" applyFont="1" applyBorder="1"/>
    <xf numFmtId="171" fontId="0" fillId="0" borderId="38" xfId="0" applyNumberFormat="1" applyBorder="1"/>
    <xf numFmtId="0" fontId="0" fillId="10" borderId="20" xfId="0" applyFill="1" applyBorder="1"/>
    <xf numFmtId="3" fontId="52" fillId="0" borderId="8" xfId="0" applyNumberFormat="1" applyFont="1" applyBorder="1" applyAlignment="1">
      <alignment horizontal="center" vertical="center"/>
    </xf>
    <xf numFmtId="0" fontId="0" fillId="0" borderId="29" xfId="0" applyBorder="1"/>
    <xf numFmtId="3" fontId="51" fillId="4" borderId="8" xfId="0" applyNumberFormat="1" applyFont="1" applyFill="1" applyBorder="1" applyAlignment="1">
      <alignment horizontal="center" vertical="center"/>
    </xf>
    <xf numFmtId="8" fontId="51" fillId="4" borderId="8" xfId="0" applyNumberFormat="1" applyFont="1" applyFill="1" applyBorder="1" applyAlignment="1">
      <alignment horizontal="right" vertical="center"/>
    </xf>
    <xf numFmtId="0" fontId="0" fillId="0" borderId="30" xfId="0" applyBorder="1"/>
    <xf numFmtId="0" fontId="2" fillId="0" borderId="78" xfId="0" applyFont="1" applyBorder="1"/>
    <xf numFmtId="171" fontId="2" fillId="0" borderId="41" xfId="0" applyNumberFormat="1" applyFont="1" applyBorder="1"/>
    <xf numFmtId="8" fontId="53" fillId="4" borderId="8" xfId="0" applyNumberFormat="1" applyFont="1" applyFill="1" applyBorder="1" applyAlignment="1">
      <alignment horizontal="right" vertical="center"/>
    </xf>
    <xf numFmtId="0" fontId="51" fillId="4" borderId="13" xfId="0" applyFont="1" applyFill="1" applyBorder="1" applyAlignment="1">
      <alignment horizontal="center" vertical="center"/>
    </xf>
    <xf numFmtId="3" fontId="52" fillId="4" borderId="8" xfId="0" applyNumberFormat="1" applyFont="1" applyFill="1" applyBorder="1" applyAlignment="1">
      <alignment horizontal="center" vertical="center"/>
    </xf>
    <xf numFmtId="0" fontId="51" fillId="4" borderId="8" xfId="0" applyFont="1" applyFill="1" applyBorder="1" applyAlignment="1">
      <alignment horizontal="right" vertical="center"/>
    </xf>
    <xf numFmtId="0" fontId="51" fillId="4" borderId="12" xfId="0" applyFont="1" applyFill="1" applyBorder="1" applyAlignment="1">
      <alignment horizontal="left" vertical="center"/>
    </xf>
    <xf numFmtId="0" fontId="51" fillId="4" borderId="13" xfId="0" applyFont="1" applyFill="1" applyBorder="1" applyAlignment="1">
      <alignment vertical="center"/>
    </xf>
    <xf numFmtId="3" fontId="51" fillId="4" borderId="13" xfId="0" applyNumberFormat="1" applyFont="1" applyFill="1" applyBorder="1" applyAlignment="1">
      <alignment horizontal="center" vertical="center"/>
    </xf>
    <xf numFmtId="179" fontId="51" fillId="4" borderId="13" xfId="0" applyNumberFormat="1" applyFont="1" applyFill="1" applyBorder="1" applyAlignment="1">
      <alignment horizontal="right" vertical="center"/>
    </xf>
    <xf numFmtId="8" fontId="53" fillId="4" borderId="14" xfId="0" applyNumberFormat="1" applyFont="1" applyFill="1" applyBorder="1" applyAlignment="1">
      <alignment horizontal="right" vertical="center"/>
    </xf>
    <xf numFmtId="168" fontId="19" fillId="16" borderId="0" xfId="1" applyNumberFormat="1" applyFont="1" applyFill="1" applyBorder="1" applyAlignment="1">
      <alignment horizontal="right" vertical="center"/>
    </xf>
    <xf numFmtId="177" fontId="0" fillId="0" borderId="0" xfId="0" applyNumberFormat="1"/>
    <xf numFmtId="0" fontId="0" fillId="17" borderId="0" xfId="0" applyFill="1"/>
    <xf numFmtId="0" fontId="0" fillId="0" borderId="43"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48" fillId="18" borderId="6" xfId="0" applyFont="1" applyFill="1" applyBorder="1" applyAlignment="1">
      <alignment horizontal="center"/>
    </xf>
    <xf numFmtId="0" fontId="48" fillId="18" borderId="7" xfId="0" applyFont="1" applyFill="1" applyBorder="1" applyAlignment="1">
      <alignment horizontal="center"/>
    </xf>
    <xf numFmtId="0" fontId="48" fillId="18" borderId="8" xfId="0" applyFont="1" applyFill="1" applyBorder="1" applyAlignment="1">
      <alignment horizontal="center"/>
    </xf>
    <xf numFmtId="0" fontId="49" fillId="4" borderId="12" xfId="0" applyFont="1" applyFill="1" applyBorder="1" applyAlignment="1">
      <alignment horizontal="center" vertical="center"/>
    </xf>
    <xf numFmtId="0" fontId="49" fillId="4" borderId="13" xfId="0" applyFont="1" applyFill="1" applyBorder="1" applyAlignment="1">
      <alignment horizontal="center" vertical="center"/>
    </xf>
    <xf numFmtId="0" fontId="49" fillId="4" borderId="14" xfId="0" applyFont="1" applyFill="1" applyBorder="1" applyAlignment="1">
      <alignment horizontal="center" vertical="center"/>
    </xf>
    <xf numFmtId="0" fontId="2" fillId="18" borderId="12" xfId="0" applyFont="1" applyFill="1" applyBorder="1" applyAlignment="1">
      <alignment horizontal="center"/>
    </xf>
    <xf numFmtId="0" fontId="2" fillId="18" borderId="13" xfId="0" applyFont="1" applyFill="1" applyBorder="1" applyAlignment="1">
      <alignment horizontal="center"/>
    </xf>
    <xf numFmtId="0" fontId="50" fillId="4" borderId="23" xfId="0" applyFont="1" applyFill="1" applyBorder="1" applyAlignment="1">
      <alignment horizontal="left" vertical="center" wrapText="1"/>
    </xf>
    <xf numFmtId="0" fontId="50" fillId="4" borderId="56" xfId="0" applyFont="1" applyFill="1" applyBorder="1" applyAlignment="1">
      <alignment horizontal="left" vertical="center" wrapText="1"/>
    </xf>
    <xf numFmtId="0" fontId="50" fillId="4" borderId="23" xfId="0" applyFont="1" applyFill="1" applyBorder="1" applyAlignment="1">
      <alignment horizontal="center" vertical="center"/>
    </xf>
    <xf numFmtId="0" fontId="50" fillId="4" borderId="56" xfId="0" applyFont="1" applyFill="1" applyBorder="1" applyAlignment="1">
      <alignment horizontal="center" vertical="center"/>
    </xf>
    <xf numFmtId="3" fontId="50" fillId="4" borderId="23" xfId="0" applyNumberFormat="1" applyFont="1" applyFill="1" applyBorder="1" applyAlignment="1">
      <alignment horizontal="center" vertical="center"/>
    </xf>
    <xf numFmtId="3" fontId="50" fillId="4" borderId="56" xfId="0" applyNumberFormat="1" applyFont="1" applyFill="1" applyBorder="1" applyAlignment="1">
      <alignment horizontal="center" vertical="center"/>
    </xf>
    <xf numFmtId="179" fontId="50" fillId="4" borderId="23" xfId="0" applyNumberFormat="1" applyFont="1" applyFill="1" applyBorder="1" applyAlignment="1">
      <alignment horizontal="center" vertical="center" wrapText="1"/>
    </xf>
    <xf numFmtId="179" fontId="50" fillId="4" borderId="56" xfId="0" applyNumberFormat="1" applyFont="1" applyFill="1" applyBorder="1" applyAlignment="1">
      <alignment horizontal="center" vertical="center" wrapText="1"/>
    </xf>
    <xf numFmtId="0" fontId="50" fillId="4" borderId="23" xfId="0" applyFont="1" applyFill="1" applyBorder="1" applyAlignment="1">
      <alignment horizontal="center" vertical="center" wrapText="1"/>
    </xf>
    <xf numFmtId="0" fontId="50" fillId="4" borderId="56" xfId="0" applyFont="1" applyFill="1" applyBorder="1" applyAlignment="1">
      <alignment horizontal="center" vertical="center" wrapText="1"/>
    </xf>
    <xf numFmtId="3" fontId="51" fillId="0" borderId="23" xfId="0" applyNumberFormat="1" applyFont="1" applyBorder="1" applyAlignment="1">
      <alignment horizontal="center" vertical="center"/>
    </xf>
    <xf numFmtId="3" fontId="51" fillId="0" borderId="56" xfId="0" applyNumberFormat="1" applyFont="1" applyBorder="1" applyAlignment="1">
      <alignment horizontal="center" vertical="center"/>
    </xf>
    <xf numFmtId="179" fontId="51" fillId="4" borderId="23" xfId="0" applyNumberFormat="1" applyFont="1" applyFill="1" applyBorder="1" applyAlignment="1">
      <alignment horizontal="right" vertical="center"/>
    </xf>
    <xf numFmtId="179" fontId="51" fillId="4" borderId="56" xfId="0" applyNumberFormat="1" applyFont="1" applyFill="1" applyBorder="1" applyAlignment="1">
      <alignment horizontal="right" vertical="center"/>
    </xf>
    <xf numFmtId="0" fontId="51" fillId="4" borderId="12" xfId="0" applyFont="1" applyFill="1" applyBorder="1" applyAlignment="1">
      <alignment horizontal="center" vertical="center"/>
    </xf>
    <xf numFmtId="0" fontId="51" fillId="4" borderId="13" xfId="0" applyFont="1" applyFill="1" applyBorder="1" applyAlignment="1">
      <alignment horizontal="center" vertical="center"/>
    </xf>
    <xf numFmtId="0" fontId="51" fillId="4" borderId="14"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1"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1" fillId="6" borderId="23"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24" xfId="0" applyFont="1" applyFill="1" applyBorder="1" applyAlignment="1">
      <alignment horizontal="center" vertical="center"/>
    </xf>
    <xf numFmtId="0" fontId="23" fillId="6" borderId="25"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19" fillId="0" borderId="1" xfId="0" applyFont="1" applyBorder="1" applyAlignment="1">
      <alignment horizontal="center" vertical="center"/>
    </xf>
    <xf numFmtId="0" fontId="5" fillId="0" borderId="0" xfId="0" applyFont="1" applyAlignment="1"/>
    <xf numFmtId="0" fontId="0" fillId="0" borderId="0" xfId="0" applyAlignment="1"/>
    <xf numFmtId="0" fontId="5" fillId="0" borderId="0" xfId="0" applyFont="1" applyAlignment="1">
      <alignment horizontal="left" wrapText="1"/>
    </xf>
    <xf numFmtId="0" fontId="28" fillId="0" borderId="31" xfId="6" applyFont="1" applyBorder="1" applyAlignment="1">
      <alignment horizontal="center"/>
    </xf>
    <xf numFmtId="0" fontId="28" fillId="0" borderId="32" xfId="6" applyFont="1" applyBorder="1" applyAlignment="1">
      <alignment horizontal="center"/>
    </xf>
    <xf numFmtId="0" fontId="28" fillId="0" borderId="33" xfId="6" applyFont="1" applyBorder="1" applyAlignment="1">
      <alignment horizontal="center"/>
    </xf>
    <xf numFmtId="167" fontId="27" fillId="0" borderId="12" xfId="6" applyNumberFormat="1" applyFont="1" applyBorder="1" applyAlignment="1">
      <alignment horizontal="center"/>
    </xf>
    <xf numFmtId="167" fontId="27" fillId="0" borderId="13" xfId="6" applyNumberFormat="1" applyFont="1" applyBorder="1" applyAlignment="1">
      <alignment horizontal="center"/>
    </xf>
    <xf numFmtId="167" fontId="27" fillId="0" borderId="14" xfId="6" applyNumberFormat="1" applyFont="1" applyBorder="1" applyAlignment="1">
      <alignment horizontal="center"/>
    </xf>
    <xf numFmtId="0" fontId="29" fillId="0" borderId="0" xfId="6" applyFont="1" applyAlignment="1">
      <alignment horizontal="left" wrapTex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0" fillId="12" borderId="2" xfId="0" applyFont="1" applyFill="1" applyBorder="1" applyAlignment="1">
      <alignment horizontal="center" wrapText="1"/>
    </xf>
    <xf numFmtId="0" fontId="10" fillId="12" borderId="3" xfId="0" applyFont="1" applyFill="1" applyBorder="1" applyAlignment="1">
      <alignment horizontal="center" wrapText="1"/>
    </xf>
    <xf numFmtId="0" fontId="10" fillId="12" borderId="4" xfId="0" applyFont="1" applyFill="1" applyBorder="1" applyAlignment="1">
      <alignment horizontal="center" wrapText="1"/>
    </xf>
    <xf numFmtId="0" fontId="0" fillId="0" borderId="1" xfId="0" applyBorder="1" applyAlignment="1">
      <alignment horizontal="left" vertical="center"/>
    </xf>
    <xf numFmtId="0" fontId="0" fillId="0" borderId="6" xfId="0" applyBorder="1" applyAlignment="1">
      <alignment horizontal="left" vertical="center"/>
    </xf>
    <xf numFmtId="179" fontId="0" fillId="0" borderId="0" xfId="4" applyNumberFormat="1" applyFont="1" applyBorder="1" applyAlignment="1">
      <alignment horizontal="right" vertical="center"/>
    </xf>
    <xf numFmtId="179" fontId="0" fillId="0" borderId="7" xfId="4" applyNumberFormat="1" applyFont="1" applyBorder="1" applyAlignment="1">
      <alignment horizontal="right" vertical="center"/>
    </xf>
    <xf numFmtId="168" fontId="0" fillId="0" borderId="0" xfId="1" applyNumberFormat="1" applyFont="1" applyBorder="1" applyAlignment="1">
      <alignment horizontal="left"/>
    </xf>
    <xf numFmtId="168" fontId="0" fillId="0" borderId="5" xfId="1" applyNumberFormat="1" applyFont="1" applyBorder="1" applyAlignment="1">
      <alignment horizontal="left"/>
    </xf>
    <xf numFmtId="0" fontId="4" fillId="0" borderId="7" xfId="2" applyBorder="1" applyAlignment="1">
      <alignment horizontal="left"/>
    </xf>
    <xf numFmtId="0" fontId="4" fillId="0" borderId="8" xfId="2" applyBorder="1" applyAlignment="1">
      <alignment horizontal="left"/>
    </xf>
    <xf numFmtId="0" fontId="0" fillId="0" borderId="0" xfId="0" applyAlignment="1">
      <alignment horizontal="left"/>
    </xf>
    <xf numFmtId="0" fontId="0" fillId="0" borderId="71" xfId="0" applyBorder="1" applyAlignment="1">
      <alignment horizontal="left"/>
    </xf>
    <xf numFmtId="0" fontId="0" fillId="0" borderId="73" xfId="0" applyBorder="1" applyAlignment="1">
      <alignment horizontal="left"/>
    </xf>
    <xf numFmtId="0" fontId="0" fillId="0" borderId="74" xfId="0" applyBorder="1" applyAlignment="1">
      <alignment horizontal="left"/>
    </xf>
    <xf numFmtId="0" fontId="2" fillId="0" borderId="59" xfId="0" applyFont="1" applyBorder="1" applyAlignment="1">
      <alignment horizontal="center"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cellXfs>
  <cellStyles count="9">
    <cellStyle name="Comma" xfId="1" builtinId="3"/>
    <cellStyle name="Currency" xfId="4" builtinId="4"/>
    <cellStyle name="Factor" xfId="3" xr:uid="{70969E6C-ACDC-4A9A-A5DD-C81E6403A5F5}"/>
    <cellStyle name="Good" xfId="7" builtinId="26"/>
    <cellStyle name="Hyperlink" xfId="2" builtinId="8"/>
    <cellStyle name="Normal" xfId="0" builtinId="0"/>
    <cellStyle name="Normal 2" xfId="6" xr:uid="{732C88EE-8C1E-47E3-A5E8-5145DDCB468E}"/>
    <cellStyle name="Normal 9" xfId="8" xr:uid="{874FFE04-5BA6-4A5D-9821-C346ED34A81B}"/>
    <cellStyle name="Percent" xfId="5" builtinId="5"/>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3D801C2B-21A4-B74E-9A6C-53B745233E2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C90D.C32A56F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53</xdr:row>
      <xdr:rowOff>0</xdr:rowOff>
    </xdr:from>
    <xdr:to>
      <xdr:col>6</xdr:col>
      <xdr:colOff>838200</xdr:colOff>
      <xdr:row>64</xdr:row>
      <xdr:rowOff>12700</xdr:rowOff>
    </xdr:to>
    <xdr:pic>
      <xdr:nvPicPr>
        <xdr:cNvPr id="2" name="Picture 1">
          <a:extLst>
            <a:ext uri="{FF2B5EF4-FFF2-40B4-BE49-F238E27FC236}">
              <a16:creationId xmlns:a16="http://schemas.microsoft.com/office/drawing/2014/main" id="{7CE1E74C-102C-AF43-5548-44AE4A42A35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155950" y="10426700"/>
          <a:ext cx="59436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67733</xdr:colOff>
      <xdr:row>28</xdr:row>
      <xdr:rowOff>135466</xdr:rowOff>
    </xdr:from>
    <xdr:to>
      <xdr:col>9</xdr:col>
      <xdr:colOff>677699</xdr:colOff>
      <xdr:row>60</xdr:row>
      <xdr:rowOff>144239</xdr:rowOff>
    </xdr:to>
    <xdr:pic>
      <xdr:nvPicPr>
        <xdr:cNvPr id="2" name="Picture 1">
          <a:extLst>
            <a:ext uri="{FF2B5EF4-FFF2-40B4-BE49-F238E27FC236}">
              <a16:creationId xmlns:a16="http://schemas.microsoft.com/office/drawing/2014/main" id="{CB01204C-4378-9E1D-B165-2DA722A6B904}"/>
            </a:ext>
          </a:extLst>
        </xdr:cNvPr>
        <xdr:cNvPicPr>
          <a:picLocks noChangeAspect="1"/>
        </xdr:cNvPicPr>
      </xdr:nvPicPr>
      <xdr:blipFill>
        <a:blip xmlns:r="http://schemas.openxmlformats.org/officeDocument/2006/relationships" r:embed="rId1"/>
        <a:stretch>
          <a:fillRect/>
        </a:stretch>
      </xdr:blipFill>
      <xdr:spPr>
        <a:xfrm>
          <a:off x="2201333" y="6426199"/>
          <a:ext cx="7044633" cy="59693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pfel, Alan" id="{DEF8AFB8-535A-477F-AD7C-679086AD3F50}" userId="S::aapfel@xpresswest.com::e7486d9b-8850-45d0-be46-4b4867f751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3-02-08T20:29:02.37" personId="{DEF8AFB8-535A-477F-AD7C-679086AD3F50}" id="{C934E233-E4DD-4D2C-93F0-E9C452A9D129}">
    <text>$24 max at hotels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bts.gov/content/average-freight-revenue-ton-mile" TargetMode="External"/><Relationship Id="rId13" Type="http://schemas.microsoft.com/office/2017/10/relationships/threadedComment" Target="../threadedComments/threadedComment1.xml"/><Relationship Id="rId3" Type="http://schemas.openxmlformats.org/officeDocument/2006/relationships/hyperlink" Target="https://www.freightwaves.com/news/how-much-weight-can-a-big-rig-carry" TargetMode="External"/><Relationship Id="rId7" Type="http://schemas.openxmlformats.org/officeDocument/2006/relationships/hyperlink" Target="https://www.bts.gov/content/average-freight-revenue-ton-mile" TargetMode="External"/><Relationship Id="rId12" Type="http://schemas.openxmlformats.org/officeDocument/2006/relationships/comments" Target="../comments1.xml"/><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openxmlformats.org/officeDocument/2006/relationships/hyperlink" Target="https://www.bts.gov/content/average-freight-revenue-ton-mile" TargetMode="External"/><Relationship Id="rId11" Type="http://schemas.openxmlformats.org/officeDocument/2006/relationships/vmlDrawing" Target="../drawings/vmlDrawing1.vml"/><Relationship Id="rId5" Type="http://schemas.openxmlformats.org/officeDocument/2006/relationships/hyperlink" Target="https://www.epa.gov/system/files/documents/2022-10/420b22046.pdf" TargetMode="External"/><Relationship Id="rId10" Type="http://schemas.openxmlformats.org/officeDocument/2006/relationships/printerSettings" Target="../printerSettings/printerSettings12.bin"/><Relationship Id="rId4" Type="http://schemas.openxmlformats.org/officeDocument/2006/relationships/hyperlink" Target="https://www.ics-shipping.org/shipping-fact/environmental-performance-environmental-performance/" TargetMode="External"/><Relationship Id="rId9" Type="http://schemas.openxmlformats.org/officeDocument/2006/relationships/hyperlink" Target="https://mobility.tamu.edu/umr/congestion-data/"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statista.com/statistics/191984/participants-in-walking-for-fitness-in-the-us-since-2006/" TargetMode="External"/><Relationship Id="rId1" Type="http://schemas.openxmlformats.org/officeDocument/2006/relationships/hyperlink" Target="https://www.statista.com/statistics/227415/number-of-cyclists-and-bike-riders-us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G53"/>
  <sheetViews>
    <sheetView tabSelected="1" zoomScale="80" zoomScaleNormal="80" workbookViewId="0">
      <selection activeCell="H40" sqref="H40"/>
    </sheetView>
  </sheetViews>
  <sheetFormatPr defaultColWidth="8.85546875" defaultRowHeight="15" x14ac:dyDescent="0.25"/>
  <cols>
    <col min="1" max="1" width="50.5703125" customWidth="1"/>
    <col min="2" max="2" width="17.5703125" customWidth="1"/>
    <col min="3" max="3" width="5.5703125" customWidth="1"/>
    <col min="4" max="4" width="14.5703125" customWidth="1"/>
    <col min="5" max="33" width="14.42578125" bestFit="1" customWidth="1"/>
  </cols>
  <sheetData>
    <row r="1" spans="1:33" ht="21" x14ac:dyDescent="0.25">
      <c r="A1" s="173" t="s">
        <v>0</v>
      </c>
      <c r="B1" s="81"/>
      <c r="C1" s="81"/>
      <c r="D1" s="81"/>
    </row>
    <row r="2" spans="1:33" ht="18.75" x14ac:dyDescent="0.25">
      <c r="A2" s="81" t="s">
        <v>1</v>
      </c>
      <c r="B2" s="81"/>
      <c r="C2" s="81"/>
      <c r="D2" s="81"/>
    </row>
    <row r="3" spans="1:33" ht="18.75" x14ac:dyDescent="0.25">
      <c r="A3" s="81"/>
      <c r="B3" s="81"/>
      <c r="C3" s="81"/>
      <c r="D3" s="81"/>
      <c r="H3" s="554" t="s">
        <v>2</v>
      </c>
      <c r="I3" s="555"/>
      <c r="J3" s="554" t="s">
        <v>3</v>
      </c>
      <c r="K3" s="556"/>
      <c r="L3" s="556"/>
      <c r="M3" s="555"/>
      <c r="N3" t="s">
        <v>4</v>
      </c>
    </row>
    <row r="4" spans="1:33" x14ac:dyDescent="0.25">
      <c r="A4" s="14" t="s">
        <v>5</v>
      </c>
      <c r="B4" s="14"/>
      <c r="C4" s="14"/>
      <c r="D4">
        <v>2020</v>
      </c>
      <c r="E4">
        <v>2021</v>
      </c>
      <c r="F4">
        <f t="shared" ref="F4:AA4" si="0">E4+1</f>
        <v>2022</v>
      </c>
      <c r="G4">
        <f t="shared" si="0"/>
        <v>2023</v>
      </c>
      <c r="H4">
        <f t="shared" si="0"/>
        <v>2024</v>
      </c>
      <c r="I4">
        <f t="shared" si="0"/>
        <v>2025</v>
      </c>
      <c r="J4">
        <f t="shared" si="0"/>
        <v>2026</v>
      </c>
      <c r="K4">
        <f t="shared" si="0"/>
        <v>2027</v>
      </c>
      <c r="L4">
        <f t="shared" si="0"/>
        <v>2028</v>
      </c>
      <c r="M4">
        <f t="shared" si="0"/>
        <v>2029</v>
      </c>
      <c r="N4">
        <f t="shared" si="0"/>
        <v>2030</v>
      </c>
      <c r="O4">
        <f t="shared" si="0"/>
        <v>2031</v>
      </c>
      <c r="P4">
        <f t="shared" si="0"/>
        <v>2032</v>
      </c>
      <c r="Q4">
        <f t="shared" si="0"/>
        <v>2033</v>
      </c>
      <c r="R4">
        <f t="shared" si="0"/>
        <v>2034</v>
      </c>
      <c r="S4">
        <f t="shared" si="0"/>
        <v>2035</v>
      </c>
      <c r="T4">
        <f t="shared" si="0"/>
        <v>2036</v>
      </c>
      <c r="U4">
        <f t="shared" si="0"/>
        <v>2037</v>
      </c>
      <c r="V4">
        <f t="shared" si="0"/>
        <v>2038</v>
      </c>
      <c r="W4">
        <f t="shared" si="0"/>
        <v>2039</v>
      </c>
      <c r="X4">
        <f t="shared" si="0"/>
        <v>2040</v>
      </c>
      <c r="Y4">
        <f t="shared" si="0"/>
        <v>2041</v>
      </c>
      <c r="Z4">
        <f t="shared" si="0"/>
        <v>2042</v>
      </c>
      <c r="AA4">
        <f t="shared" si="0"/>
        <v>2043</v>
      </c>
      <c r="AB4">
        <f t="shared" ref="AB4:AB7" si="1">AA4+1</f>
        <v>2044</v>
      </c>
      <c r="AC4">
        <f t="shared" ref="AC4:AC7" si="2">AB4+1</f>
        <v>2045</v>
      </c>
      <c r="AD4">
        <f t="shared" ref="AD4" si="3">AC4+1</f>
        <v>2046</v>
      </c>
      <c r="AE4">
        <f t="shared" ref="AE4" si="4">AD4+1</f>
        <v>2047</v>
      </c>
      <c r="AF4">
        <f t="shared" ref="AF4" si="5">AE4+1</f>
        <v>2048</v>
      </c>
      <c r="AG4">
        <f t="shared" ref="AG4" si="6">AF4+1</f>
        <v>2049</v>
      </c>
    </row>
    <row r="5" spans="1:33" x14ac:dyDescent="0.25">
      <c r="A5" t="s">
        <v>6</v>
      </c>
      <c r="B5" s="14"/>
      <c r="C5" s="14"/>
      <c r="D5" s="14"/>
      <c r="H5">
        <v>1</v>
      </c>
      <c r="I5">
        <v>2</v>
      </c>
      <c r="J5">
        <v>3</v>
      </c>
      <c r="K5">
        <v>4</v>
      </c>
      <c r="L5">
        <v>5</v>
      </c>
      <c r="M5">
        <v>6</v>
      </c>
    </row>
    <row r="6" spans="1:33" x14ac:dyDescent="0.25">
      <c r="A6" s="21" t="s">
        <v>7</v>
      </c>
      <c r="B6" s="21"/>
      <c r="C6" s="21"/>
      <c r="D6" s="21"/>
      <c r="E6" t="s">
        <v>8</v>
      </c>
      <c r="F6" t="s">
        <v>8</v>
      </c>
      <c r="G6" t="s">
        <v>8</v>
      </c>
      <c r="N6">
        <v>1</v>
      </c>
      <c r="O6">
        <f t="shared" ref="O6" si="7">N6+1</f>
        <v>2</v>
      </c>
      <c r="P6">
        <f t="shared" ref="P6" si="8">O6+1</f>
        <v>3</v>
      </c>
      <c r="Q6">
        <f t="shared" ref="Q6" si="9">P6+1</f>
        <v>4</v>
      </c>
      <c r="R6">
        <f t="shared" ref="R6" si="10">Q6+1</f>
        <v>5</v>
      </c>
      <c r="S6">
        <f t="shared" ref="S6" si="11">R6+1</f>
        <v>6</v>
      </c>
      <c r="T6">
        <f t="shared" ref="T6" si="12">S6+1</f>
        <v>7</v>
      </c>
      <c r="U6">
        <f t="shared" ref="U6" si="13">T6+1</f>
        <v>8</v>
      </c>
      <c r="V6">
        <f t="shared" ref="V6" si="14">U6+1</f>
        <v>9</v>
      </c>
      <c r="W6">
        <f t="shared" ref="W6" si="15">V6+1</f>
        <v>10</v>
      </c>
      <c r="X6">
        <f t="shared" ref="X6" si="16">W6+1</f>
        <v>11</v>
      </c>
      <c r="Y6">
        <f t="shared" ref="Y6" si="17">X6+1</f>
        <v>12</v>
      </c>
      <c r="Z6">
        <f t="shared" ref="Z6" si="18">Y6+1</f>
        <v>13</v>
      </c>
      <c r="AA6">
        <f t="shared" ref="AA6" si="19">Z6+1</f>
        <v>14</v>
      </c>
      <c r="AB6">
        <f t="shared" ref="AB6" si="20">AA6+1</f>
        <v>15</v>
      </c>
      <c r="AC6">
        <f t="shared" ref="AC6" si="21">AB6+1</f>
        <v>16</v>
      </c>
      <c r="AD6">
        <f t="shared" ref="AD6:AD7" si="22">AC6+1</f>
        <v>17</v>
      </c>
      <c r="AE6">
        <f t="shared" ref="AE6:AE7" si="23">AD6+1</f>
        <v>18</v>
      </c>
      <c r="AF6">
        <f t="shared" ref="AF6:AF7" si="24">AE6+1</f>
        <v>19</v>
      </c>
      <c r="AG6">
        <f t="shared" ref="AG6:AG7" si="25">AF6+1</f>
        <v>20</v>
      </c>
    </row>
    <row r="7" spans="1:33" x14ac:dyDescent="0.25">
      <c r="A7" s="21" t="s">
        <v>9</v>
      </c>
      <c r="B7" s="21"/>
      <c r="C7" s="21"/>
      <c r="D7" s="21">
        <v>-1</v>
      </c>
      <c r="E7">
        <v>0</v>
      </c>
      <c r="F7">
        <f t="shared" ref="F7:AA7" si="26">E7+1</f>
        <v>1</v>
      </c>
      <c r="G7">
        <f t="shared" si="26"/>
        <v>2</v>
      </c>
      <c r="H7">
        <f t="shared" si="26"/>
        <v>3</v>
      </c>
      <c r="I7">
        <f t="shared" si="26"/>
        <v>4</v>
      </c>
      <c r="J7">
        <f t="shared" si="26"/>
        <v>5</v>
      </c>
      <c r="K7">
        <f t="shared" si="26"/>
        <v>6</v>
      </c>
      <c r="L7">
        <f t="shared" si="26"/>
        <v>7</v>
      </c>
      <c r="M7">
        <f t="shared" si="26"/>
        <v>8</v>
      </c>
      <c r="N7">
        <f t="shared" si="26"/>
        <v>9</v>
      </c>
      <c r="O7">
        <f t="shared" si="26"/>
        <v>10</v>
      </c>
      <c r="P7">
        <f t="shared" si="26"/>
        <v>11</v>
      </c>
      <c r="Q7">
        <f t="shared" si="26"/>
        <v>12</v>
      </c>
      <c r="R7">
        <f t="shared" si="26"/>
        <v>13</v>
      </c>
      <c r="S7">
        <f t="shared" si="26"/>
        <v>14</v>
      </c>
      <c r="T7">
        <f t="shared" si="26"/>
        <v>15</v>
      </c>
      <c r="U7">
        <f t="shared" si="26"/>
        <v>16</v>
      </c>
      <c r="V7">
        <f t="shared" si="26"/>
        <v>17</v>
      </c>
      <c r="W7">
        <f t="shared" si="26"/>
        <v>18</v>
      </c>
      <c r="X7">
        <f t="shared" si="26"/>
        <v>19</v>
      </c>
      <c r="Y7">
        <f t="shared" si="26"/>
        <v>20</v>
      </c>
      <c r="Z7">
        <f t="shared" si="26"/>
        <v>21</v>
      </c>
      <c r="AA7">
        <f t="shared" si="26"/>
        <v>22</v>
      </c>
      <c r="AB7">
        <f t="shared" si="1"/>
        <v>23</v>
      </c>
      <c r="AC7">
        <f t="shared" si="2"/>
        <v>24</v>
      </c>
      <c r="AD7">
        <f t="shared" si="22"/>
        <v>25</v>
      </c>
      <c r="AE7">
        <f t="shared" si="23"/>
        <v>26</v>
      </c>
      <c r="AF7">
        <f t="shared" si="24"/>
        <v>27</v>
      </c>
      <c r="AG7">
        <f t="shared" si="25"/>
        <v>28</v>
      </c>
    </row>
    <row r="8" spans="1:33" x14ac:dyDescent="0.25">
      <c r="A8" s="21" t="s">
        <v>10</v>
      </c>
      <c r="B8" s="21"/>
      <c r="C8" s="21"/>
      <c r="D8" s="3">
        <f>(1+'Look Up Data'!$B$6)^D7</f>
        <v>0.93457943925233644</v>
      </c>
      <c r="E8" s="3">
        <f>(1+'Look Up Data'!$B$6)^E7</f>
        <v>1</v>
      </c>
      <c r="F8" s="3">
        <f>(1+'Look Up Data'!$B$6)^F7</f>
        <v>1.07</v>
      </c>
      <c r="G8" s="3">
        <f>(1+'Look Up Data'!$B$6)^G7</f>
        <v>1.1449</v>
      </c>
      <c r="H8" s="3">
        <f>(1+'Look Up Data'!$B$6)^H7</f>
        <v>1.2250430000000001</v>
      </c>
      <c r="I8" s="3">
        <f>(1+'Look Up Data'!$B$6)^I7</f>
        <v>1.31079601</v>
      </c>
      <c r="J8" s="3">
        <f>(1+'Look Up Data'!$B$6)^J7</f>
        <v>1.4025517307000002</v>
      </c>
      <c r="K8" s="3">
        <f>(1+'Look Up Data'!$B$6)^K7</f>
        <v>1.5007303518490001</v>
      </c>
      <c r="L8" s="3">
        <f>(1+'Look Up Data'!$B$6)^L7</f>
        <v>1.6057814764784302</v>
      </c>
      <c r="M8" s="3">
        <f>(1+'Look Up Data'!$B$6)^M7</f>
        <v>1.7181861798319202</v>
      </c>
      <c r="N8" s="3">
        <f>(1+'Look Up Data'!$B$6)^N7</f>
        <v>1.8384592124201549</v>
      </c>
      <c r="O8" s="3">
        <f>(1+'Look Up Data'!$B$6)^O7</f>
        <v>1.9671513572895656</v>
      </c>
      <c r="P8" s="3">
        <f>(1+'Look Up Data'!$B$6)^P7</f>
        <v>2.1048519522998355</v>
      </c>
      <c r="Q8" s="3">
        <f>(1+'Look Up Data'!$B$6)^Q7</f>
        <v>2.2521915889608235</v>
      </c>
      <c r="R8" s="3">
        <f>(1+'Look Up Data'!$B$6)^R7</f>
        <v>2.4098450001880813</v>
      </c>
      <c r="S8" s="3">
        <f>(1+'Look Up Data'!$B$6)^S7</f>
        <v>2.5785341502012469</v>
      </c>
      <c r="T8" s="3">
        <f>(1+'Look Up Data'!$B$6)^T7</f>
        <v>2.7590315407153345</v>
      </c>
      <c r="U8" s="3">
        <f>(1+'Look Up Data'!$B$6)^U7</f>
        <v>2.9521637485654075</v>
      </c>
      <c r="V8" s="3">
        <f>(1+'Look Up Data'!$B$6)^V7</f>
        <v>3.1588152109649861</v>
      </c>
      <c r="W8" s="3">
        <f>(1+'Look Up Data'!$B$6)^W7</f>
        <v>3.3799322757325352</v>
      </c>
      <c r="X8" s="3">
        <f>(1+'Look Up Data'!$B$6)^X7</f>
        <v>3.6165275350338129</v>
      </c>
      <c r="Y8" s="3">
        <f>(1+'Look Up Data'!$B$6)^Y7</f>
        <v>3.8696844624861795</v>
      </c>
      <c r="Z8" s="3">
        <f>(1+'Look Up Data'!$B$6)^Z7</f>
        <v>4.1405623748602123</v>
      </c>
      <c r="AA8" s="3">
        <f>(1+'Look Up Data'!$B$6)^AA7</f>
        <v>4.4304017411004271</v>
      </c>
      <c r="AB8" s="3">
        <f>(1+'Look Up Data'!$B$6)^AB7</f>
        <v>4.740529862977457</v>
      </c>
      <c r="AC8" s="3">
        <f>(1+'Look Up Data'!$B$6)^AC7</f>
        <v>5.0723669533858793</v>
      </c>
      <c r="AD8" s="3">
        <f>(1+'Look Up Data'!$B$6)^AD7</f>
        <v>5.4274326401228912</v>
      </c>
      <c r="AE8" s="3">
        <f>(1+'Look Up Data'!$B$6)^AE7</f>
        <v>5.807352924931493</v>
      </c>
      <c r="AF8" s="3">
        <f>(1+'Look Up Data'!$B$6)^AF7</f>
        <v>6.2138676296766988</v>
      </c>
      <c r="AG8" s="3">
        <f>(1+'Look Up Data'!$B$6)^AG7</f>
        <v>6.6488383637540664</v>
      </c>
    </row>
    <row r="9" spans="1:33" x14ac:dyDescent="0.25">
      <c r="A9" s="21" t="s">
        <v>11</v>
      </c>
      <c r="B9" s="21"/>
      <c r="C9" s="21"/>
      <c r="D9" s="3">
        <f>(1+'Look Up Data'!$B$7)^D7</f>
        <v>0.970873786407767</v>
      </c>
      <c r="E9" s="3">
        <f>(1+'Look Up Data'!$B$7)^E7</f>
        <v>1</v>
      </c>
      <c r="F9" s="3">
        <f>(1+'Look Up Data'!$B$7)^F7</f>
        <v>1.03</v>
      </c>
      <c r="G9" s="3">
        <f>(1+'Look Up Data'!$B$7)^G7</f>
        <v>1.0609</v>
      </c>
      <c r="H9" s="3">
        <f>(1+'Look Up Data'!$B$7)^H7</f>
        <v>1.092727</v>
      </c>
      <c r="I9" s="3">
        <f>(1+'Look Up Data'!$B$7)^I7</f>
        <v>1.1255088099999999</v>
      </c>
      <c r="J9" s="3">
        <f>(1+'Look Up Data'!$B$7)^J7</f>
        <v>1.1592740742999998</v>
      </c>
      <c r="K9" s="3">
        <f>(1+'Look Up Data'!$B$7)^K7</f>
        <v>1.1940522965289999</v>
      </c>
      <c r="L9" s="3">
        <f>(1+'Look Up Data'!$B$7)^L7</f>
        <v>1.22987386542487</v>
      </c>
      <c r="M9" s="3">
        <f>(1+'Look Up Data'!$B$7)^M7</f>
        <v>1.2667700813876159</v>
      </c>
      <c r="N9" s="3">
        <f>(1+'Look Up Data'!$B$7)^N7</f>
        <v>1.3047731838292445</v>
      </c>
      <c r="O9" s="3">
        <f>(1+'Look Up Data'!$B$7)^O7</f>
        <v>1.3439163793441218</v>
      </c>
      <c r="P9" s="3">
        <f>(1+'Look Up Data'!$B$7)^P7</f>
        <v>1.3842338707244455</v>
      </c>
      <c r="Q9" s="3">
        <f>(1+'Look Up Data'!$B$7)^Q7</f>
        <v>1.4257608868461786</v>
      </c>
      <c r="R9" s="3">
        <f>(1+'Look Up Data'!$B$7)^R7</f>
        <v>1.4685337134515639</v>
      </c>
      <c r="S9" s="3">
        <f>(1+'Look Up Data'!$B$7)^S7</f>
        <v>1.512589724855111</v>
      </c>
      <c r="T9" s="3">
        <f>(1+'Look Up Data'!$B$7)^T7</f>
        <v>1.5579674166007644</v>
      </c>
      <c r="U9" s="3">
        <f>(1+'Look Up Data'!$B$7)^U7</f>
        <v>1.6047064390987871</v>
      </c>
      <c r="V9" s="3">
        <f>(1+'Look Up Data'!$B$7)^V7</f>
        <v>1.6528476322717507</v>
      </c>
      <c r="W9" s="3">
        <f>(1+'Look Up Data'!$B$7)^W7</f>
        <v>1.7024330612399032</v>
      </c>
      <c r="X9" s="3">
        <f>(1+'Look Up Data'!$B$7)^X7</f>
        <v>1.7535060530771003</v>
      </c>
      <c r="Y9" s="3">
        <f>(1+'Look Up Data'!$B$7)^Y7</f>
        <v>1.8061112346694133</v>
      </c>
      <c r="Z9" s="3">
        <f>(1+'Look Up Data'!$B$7)^Z7</f>
        <v>1.8602945717094954</v>
      </c>
      <c r="AA9" s="3">
        <f>(1+'Look Up Data'!$B$7)^AA7</f>
        <v>1.9161034088607805</v>
      </c>
      <c r="AB9" s="3">
        <f>(1+'Look Up Data'!$B$7)^AB7</f>
        <v>1.973586511126604</v>
      </c>
      <c r="AC9" s="3">
        <f>(1+'Look Up Data'!$B$7)^AC7</f>
        <v>2.0327941064604018</v>
      </c>
      <c r="AD9" s="3">
        <f>(1+'Look Up Data'!$B$7)^AD7</f>
        <v>2.0937779296542138</v>
      </c>
      <c r="AE9" s="3">
        <f>(1+'Look Up Data'!$B$7)^AE7</f>
        <v>2.1565912675438406</v>
      </c>
      <c r="AF9" s="3">
        <f>(1+'Look Up Data'!$B$7)^AF7</f>
        <v>2.2212890055701555</v>
      </c>
      <c r="AG9" s="3">
        <f>(1+'Look Up Data'!$B$7)^AG7</f>
        <v>2.2879276757372602</v>
      </c>
    </row>
    <row r="10" spans="1:33" x14ac:dyDescent="0.25">
      <c r="E10" s="3"/>
      <c r="F10" s="3"/>
      <c r="G10" s="3"/>
      <c r="H10" s="3"/>
      <c r="I10" s="3"/>
      <c r="J10" s="3"/>
      <c r="K10" s="3"/>
      <c r="L10" s="3"/>
      <c r="M10" s="3" t="s">
        <v>12</v>
      </c>
      <c r="N10" s="3"/>
      <c r="O10" s="3"/>
      <c r="P10" s="3"/>
      <c r="Q10" s="3"/>
      <c r="R10" s="3"/>
      <c r="S10" s="3"/>
      <c r="T10" s="3"/>
      <c r="U10" s="3"/>
      <c r="V10" s="3"/>
      <c r="W10" s="3"/>
      <c r="X10" s="3"/>
      <c r="Y10" s="3"/>
      <c r="Z10" s="3"/>
      <c r="AA10" s="3"/>
    </row>
    <row r="11" spans="1:33" ht="18.75" x14ac:dyDescent="0.3">
      <c r="A11" s="187" t="s">
        <v>13</v>
      </c>
      <c r="B11" s="38" t="s">
        <v>14</v>
      </c>
      <c r="C11" s="38"/>
      <c r="D11" s="38"/>
    </row>
    <row r="12" spans="1:33" ht="15.75" x14ac:dyDescent="0.25">
      <c r="A12" s="41" t="s">
        <v>15</v>
      </c>
      <c r="B12" s="34"/>
      <c r="C12" s="34"/>
      <c r="D12" s="34"/>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1:33" x14ac:dyDescent="0.25">
      <c r="A13" s="1" t="s">
        <v>16</v>
      </c>
      <c r="B13" s="34">
        <f>SUM(D13:AG13)</f>
        <v>89625515.415750831</v>
      </c>
      <c r="C13" s="34"/>
      <c r="D13" s="34"/>
      <c r="E13" s="32"/>
      <c r="F13" s="32"/>
      <c r="G13" s="32">
        <f>'Capital Costs'!E10/G8</f>
        <v>2364826.5679938057</v>
      </c>
      <c r="H13" s="32">
        <f>'Capital Costs'!F10/H8</f>
        <v>4420236.5756893558</v>
      </c>
      <c r="I13" s="32">
        <f>'Capital Costs'!G10/I8</f>
        <v>4131062.2202704265</v>
      </c>
      <c r="J13" s="32">
        <f>'Capital Costs'!H10/J8</f>
        <v>21717032.700019762</v>
      </c>
      <c r="K13" s="32">
        <f>'Capital Costs'!I10/K8</f>
        <v>20296292.243009124</v>
      </c>
      <c r="L13" s="32">
        <f>'Capital Costs'!J10/L8</f>
        <v>18968497.423373014</v>
      </c>
      <c r="M13" s="32">
        <f>'Capital Costs'!K10/M8</f>
        <v>17727567.685395338</v>
      </c>
      <c r="N13" s="32"/>
      <c r="O13" s="32"/>
      <c r="P13" s="32"/>
      <c r="Q13" s="32"/>
      <c r="R13" s="32"/>
      <c r="S13" s="32"/>
      <c r="T13" s="32"/>
      <c r="U13" s="32"/>
      <c r="V13" s="32"/>
      <c r="W13" s="32"/>
      <c r="X13" s="32"/>
      <c r="Y13" s="32"/>
      <c r="Z13" s="32"/>
      <c r="AA13" s="32"/>
      <c r="AB13" s="32"/>
      <c r="AC13" s="32"/>
      <c r="AD13" s="32"/>
      <c r="AE13" s="32"/>
      <c r="AF13" s="32"/>
      <c r="AG13" s="32"/>
    </row>
    <row r="14" spans="1:33" x14ac:dyDescent="0.25">
      <c r="A14" s="1" t="s">
        <v>17</v>
      </c>
      <c r="B14" s="34">
        <f>SUM(D14:AG14)</f>
        <v>12316399.319115525</v>
      </c>
      <c r="C14" s="34"/>
      <c r="D14" s="34"/>
      <c r="E14" s="32"/>
      <c r="F14" s="32"/>
      <c r="G14" s="32">
        <f>'Capital Costs'!E11/G8</f>
        <v>324976.07625190367</v>
      </c>
      <c r="H14" s="32">
        <f>'Capital Costs'!F11/H8</f>
        <v>607431.91822785733</v>
      </c>
      <c r="I14" s="32">
        <f>'Capital Costs'!G11/I8</f>
        <v>567693.381521362</v>
      </c>
      <c r="J14" s="32">
        <f>'Capital Costs'!H11/J8</f>
        <v>2984369.4122034214</v>
      </c>
      <c r="K14" s="32">
        <f>'Capital Costs'!I11/K8</f>
        <v>2789130.2917788983</v>
      </c>
      <c r="L14" s="32">
        <f>'Capital Costs'!J11/L8</f>
        <v>2606663.8240924282</v>
      </c>
      <c r="M14" s="32">
        <f>'Capital Costs'!K11/M8</f>
        <v>2436134.4150396525</v>
      </c>
      <c r="N14" s="32"/>
      <c r="O14" s="32"/>
      <c r="P14" s="32"/>
      <c r="Q14" s="32"/>
      <c r="R14" s="32"/>
      <c r="S14" s="32"/>
      <c r="T14" s="32"/>
      <c r="U14" s="32"/>
      <c r="V14" s="32"/>
      <c r="W14" s="32"/>
      <c r="X14" s="32"/>
      <c r="Y14" s="32"/>
      <c r="Z14" s="32"/>
      <c r="AA14" s="32"/>
      <c r="AB14" s="32"/>
      <c r="AC14" s="32"/>
      <c r="AD14" s="32"/>
      <c r="AE14" s="32"/>
      <c r="AF14" s="32"/>
      <c r="AG14" s="32"/>
    </row>
    <row r="15" spans="1:33" x14ac:dyDescent="0.25">
      <c r="B15" s="35"/>
      <c r="C15" s="35"/>
      <c r="D15" s="35"/>
      <c r="E15" s="18"/>
      <c r="F15" s="18"/>
      <c r="G15" s="18"/>
      <c r="H15" s="18"/>
      <c r="I15" s="18"/>
      <c r="J15" s="18"/>
      <c r="K15" s="18"/>
      <c r="L15" s="18"/>
      <c r="M15" s="18"/>
      <c r="N15" s="18"/>
      <c r="O15" s="18"/>
      <c r="P15" s="18"/>
      <c r="Q15" s="18"/>
      <c r="R15" s="18"/>
      <c r="S15" s="18"/>
      <c r="T15" s="18"/>
      <c r="U15" s="18"/>
      <c r="V15" s="18"/>
      <c r="W15" s="18"/>
      <c r="X15" s="18"/>
      <c r="Y15" s="18"/>
      <c r="Z15" s="18"/>
      <c r="AA15" s="18"/>
      <c r="AB15" s="9"/>
    </row>
    <row r="16" spans="1:33" ht="18.75" x14ac:dyDescent="0.3">
      <c r="A16" s="187" t="s">
        <v>18</v>
      </c>
      <c r="B16" s="36"/>
      <c r="C16" s="36"/>
      <c r="D16" s="36"/>
    </row>
    <row r="17" spans="1:33" ht="18.75" x14ac:dyDescent="0.3">
      <c r="A17" s="187"/>
      <c r="B17" s="36"/>
      <c r="C17" s="36"/>
      <c r="D17" s="36"/>
    </row>
    <row r="18" spans="1:33" ht="17.25" x14ac:dyDescent="0.3">
      <c r="A18" s="356" t="s">
        <v>19</v>
      </c>
      <c r="B18" s="36"/>
      <c r="C18" s="36"/>
      <c r="D18" s="36"/>
    </row>
    <row r="19" spans="1:33" x14ac:dyDescent="0.25">
      <c r="A19" t="s">
        <v>20</v>
      </c>
      <c r="B19" s="34">
        <f>SUM(D19:AG19)</f>
        <v>1053052.5133169482</v>
      </c>
      <c r="C19" s="34"/>
      <c r="D19" s="192"/>
      <c r="E19" s="192"/>
      <c r="F19" s="192"/>
      <c r="G19" s="192"/>
      <c r="H19" s="192"/>
      <c r="I19" s="192"/>
      <c r="J19" s="192"/>
      <c r="K19" s="192"/>
      <c r="L19" s="192"/>
      <c r="M19" s="192"/>
      <c r="N19" s="192">
        <f>'Maintenance $ Cost Savings'!L16/N8</f>
        <v>0</v>
      </c>
      <c r="O19" s="192">
        <f>'Maintenance $ Cost Savings'!M16/O8</f>
        <v>0</v>
      </c>
      <c r="P19" s="192">
        <f>'Maintenance $ Cost Savings'!N16/P8</f>
        <v>0</v>
      </c>
      <c r="Q19" s="192">
        <f>'Maintenance $ Cost Savings'!O16/Q8</f>
        <v>0</v>
      </c>
      <c r="R19" s="192">
        <f>'Maintenance $ Cost Savings'!P16/R8</f>
        <v>0</v>
      </c>
      <c r="S19" s="192">
        <f>'Maintenance $ Cost Savings'!Q16/S8</f>
        <v>0</v>
      </c>
      <c r="T19" s="192">
        <f>'Maintenance $ Cost Savings'!R16/T8</f>
        <v>0</v>
      </c>
      <c r="U19" s="192">
        <f>'Maintenance $ Cost Savings'!S16/U8</f>
        <v>0</v>
      </c>
      <c r="V19" s="192">
        <f>'Maintenance $ Cost Savings'!T16/V8</f>
        <v>0</v>
      </c>
      <c r="W19" s="192">
        <f>'Maintenance $ Cost Savings'!U16/W8</f>
        <v>0</v>
      </c>
      <c r="X19" s="192">
        <f>'Maintenance $ Cost Savings'!V16/X8</f>
        <v>829524.99903251848</v>
      </c>
      <c r="Y19" s="192">
        <f>'Maintenance $ Cost Savings'!W16/Y8</f>
        <v>38762.850422080308</v>
      </c>
      <c r="Z19" s="192">
        <f>'Maintenance $ Cost Savings'!X16/Z8</f>
        <v>36226.963011290005</v>
      </c>
      <c r="AA19" s="192">
        <f>'Maintenance $ Cost Savings'!Y16/AA8</f>
        <v>33856.974776906543</v>
      </c>
      <c r="AB19" s="192">
        <f>'Maintenance $ Cost Savings'!Z16/AB8</f>
        <v>31642.032501781818</v>
      </c>
      <c r="AC19" s="192">
        <f>'Maintenance $ Cost Savings'!AA16/AC8</f>
        <v>29571.992992319454</v>
      </c>
      <c r="AD19" s="192">
        <f>'Maintenance $ Cost Savings'!AB16/AD8</f>
        <v>27637.376628335936</v>
      </c>
      <c r="AE19" s="192">
        <f>'Maintenance $ Cost Savings'!AC16/AE8</f>
        <v>25829.323951715829</v>
      </c>
      <c r="AF19" s="192">
        <f>'Maintenance $ Cost Savings'!AD16/AF8</f>
        <v>0</v>
      </c>
      <c r="AG19" s="192">
        <f>'Maintenance $ Cost Savings'!AE16/AG8</f>
        <v>0</v>
      </c>
    </row>
    <row r="20" spans="1:33" x14ac:dyDescent="0.25">
      <c r="A20" s="22" t="s">
        <v>21</v>
      </c>
      <c r="B20" s="34"/>
      <c r="C20" s="34"/>
      <c r="D20" s="3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row>
    <row r="21" spans="1:33" x14ac:dyDescent="0.25">
      <c r="A21" s="1" t="s">
        <v>22</v>
      </c>
      <c r="B21" s="34">
        <f t="shared" ref="B21:B22" si="27">SUM(D21:AG21)</f>
        <v>22300410.045349464</v>
      </c>
      <c r="C21" s="34"/>
      <c r="D21" s="34"/>
      <c r="I21" s="51"/>
      <c r="J21" s="58"/>
      <c r="K21" s="58"/>
      <c r="L21" s="58"/>
      <c r="M21" s="58"/>
      <c r="N21" s="58">
        <f>'TT $ Benefits '!C6/N8</f>
        <v>1796910.6585052903</v>
      </c>
      <c r="O21" s="58">
        <f>'TT $ Benefits '!D6/O8</f>
        <v>1704536.9835356968</v>
      </c>
      <c r="P21" s="58">
        <f>'TT $ Benefits '!E6/P8</f>
        <v>1616911.9563561303</v>
      </c>
      <c r="Q21" s="58">
        <f>'TT $ Benefits '!F6/Q8</f>
        <v>1533791.4635236531</v>
      </c>
      <c r="R21" s="58">
        <f>'TT $ Benefits '!G6/R8</f>
        <v>1454943.9407199728</v>
      </c>
      <c r="S21" s="58">
        <f>'TT $ Benefits '!H6/S8</f>
        <v>1380149.7276393727</v>
      </c>
      <c r="T21" s="58">
        <f>'TT $ Benefits '!I6/T8</f>
        <v>1309200.4560398699</v>
      </c>
      <c r="U21" s="58">
        <f>'TT $ Benefits '!J6/U8</f>
        <v>1241898.4692527985</v>
      </c>
      <c r="V21" s="58">
        <f>'TT $ Benefits '!K6/V8</f>
        <v>1178056.2715336201</v>
      </c>
      <c r="W21" s="58">
        <f>'TT $ Benefits '!L6/W8</f>
        <v>1117496.0057199271</v>
      </c>
      <c r="X21" s="58">
        <f>'TT $ Benefits '!M6/X8</f>
        <v>1060048.9577414491</v>
      </c>
      <c r="Y21" s="58">
        <f>'TT $ Benefits '!N6/Y8</f>
        <v>990699.96050602722</v>
      </c>
      <c r="Z21" s="58">
        <f>'TT $ Benefits '!O6/Z8</f>
        <v>925887.81355703471</v>
      </c>
      <c r="AA21" s="58">
        <f>'TT $ Benefits '!P6/AA8</f>
        <v>865315.71360470541</v>
      </c>
      <c r="AB21" s="58">
        <f>'TT $ Benefits '!Q6/AB8</f>
        <v>808706.27439692093</v>
      </c>
      <c r="AC21" s="58">
        <f>'TT $ Benefits '!R6/AC8</f>
        <v>755800.25644572044</v>
      </c>
      <c r="AD21" s="58">
        <f>'TT $ Benefits '!S6/AD8</f>
        <v>706355.37985581346</v>
      </c>
      <c r="AE21" s="58">
        <f>'TT $ Benefits '!T6/AE8</f>
        <v>660145.21481851733</v>
      </c>
      <c r="AF21" s="58">
        <f>'TT $ Benefits '!U6/AF8</f>
        <v>616958.1446902029</v>
      </c>
      <c r="AG21" s="58">
        <f>'TT $ Benefits '!V6/AG8</f>
        <v>576596.39690673188</v>
      </c>
    </row>
    <row r="22" spans="1:33" x14ac:dyDescent="0.25">
      <c r="A22" s="1" t="s">
        <v>23</v>
      </c>
      <c r="B22" s="34">
        <f t="shared" si="27"/>
        <v>1684091.0279710512</v>
      </c>
      <c r="C22" s="34"/>
      <c r="D22" s="34"/>
      <c r="I22" s="51"/>
      <c r="J22" s="58"/>
      <c r="K22" s="58"/>
      <c r="L22" s="58"/>
      <c r="M22" s="58"/>
      <c r="N22" s="58">
        <f>'TT $ Benefits '!C7/N8</f>
        <v>129806.13369505665</v>
      </c>
      <c r="O22" s="58">
        <f>'TT $ Benefits '!D7/O8</f>
        <v>129213.84956093</v>
      </c>
      <c r="P22" s="58">
        <f>'TT $ Benefits '!E7/P8</f>
        <v>122571.3611965725</v>
      </c>
      <c r="Q22" s="58">
        <f>'TT $ Benefits '!F7/Q8</f>
        <v>116270.34282030497</v>
      </c>
      <c r="R22" s="58">
        <f>'TT $ Benefits '!G7/R8</f>
        <v>110293.24050559103</v>
      </c>
      <c r="S22" s="58">
        <f>'TT $ Benefits '!H7/S8</f>
        <v>104623.40271950907</v>
      </c>
      <c r="T22" s="58">
        <f>'TT $ Benefits '!I7/T8</f>
        <v>99245.033933459374</v>
      </c>
      <c r="U22" s="58">
        <f>'TT $ Benefits '!J7/U8</f>
        <v>94143.150618603031</v>
      </c>
      <c r="V22" s="58">
        <f>'TT $ Benefits '!K7/V8</f>
        <v>89303.539503440436</v>
      </c>
      <c r="W22" s="58">
        <f>'TT $ Benefits '!L7/W8</f>
        <v>84712.717977239998</v>
      </c>
      <c r="X22" s="58">
        <f>'TT $ Benefits '!M7/X8</f>
        <v>80357.896529005258</v>
      </c>
      <c r="Y22" s="58">
        <f>'TT $ Benefits '!N7/Y8</f>
        <v>75100.837877575017</v>
      </c>
      <c r="Z22" s="58">
        <f>'TT $ Benefits '!O7/Z8</f>
        <v>70187.698951004684</v>
      </c>
      <c r="AA22" s="58">
        <f>'TT $ Benefits '!P7/AA8</f>
        <v>65595.980328041769</v>
      </c>
      <c r="AB22" s="58">
        <f>'TT $ Benefits '!Q7/AB8</f>
        <v>61304.654512188565</v>
      </c>
      <c r="AC22" s="58">
        <f>'TT $ Benefits '!R7/AC8</f>
        <v>57294.069637559398</v>
      </c>
      <c r="AD22" s="58">
        <f>'TT $ Benefits '!S7/AD8</f>
        <v>53545.859474354576</v>
      </c>
      <c r="AE22" s="58">
        <f>'TT $ Benefits '!T7/AE8</f>
        <v>50042.859321826712</v>
      </c>
      <c r="AF22" s="58">
        <f>'TT $ Benefits '!U7/AF8</f>
        <v>46769.027403576358</v>
      </c>
      <c r="AG22" s="58">
        <f>'TT $ Benefits '!V7/AG8</f>
        <v>43709.371405211554</v>
      </c>
    </row>
    <row r="23" spans="1:33" x14ac:dyDescent="0.25">
      <c r="A23" t="s">
        <v>24</v>
      </c>
      <c r="B23" s="34">
        <f>SUM(D23:AG23)</f>
        <v>103403803.54040213</v>
      </c>
      <c r="C23" s="34"/>
      <c r="D23" s="34"/>
      <c r="E23" s="113"/>
      <c r="F23" s="113"/>
      <c r="G23" s="113"/>
      <c r="H23" s="113"/>
      <c r="I23" s="113"/>
      <c r="J23" s="113"/>
      <c r="K23" s="19"/>
      <c r="L23" s="19"/>
      <c r="M23" s="19"/>
      <c r="N23" s="19">
        <f>'Crash Reduction $ Benefit'!O57/N8</f>
        <v>8313226.8568964899</v>
      </c>
      <c r="O23" s="19">
        <f>'Crash Reduction $ Benefit'!P57/O8</f>
        <v>7905255.6680530747</v>
      </c>
      <c r="P23" s="19">
        <f>'Crash Reduction $ Benefit'!Q57/P8</f>
        <v>7498870.6793638188</v>
      </c>
      <c r="Q23" s="19">
        <f>'Crash Reduction $ Benefit'!R57/Q8</f>
        <v>7113376.6986275874</v>
      </c>
      <c r="R23" s="19">
        <f>'Crash Reduction $ Benefit'!S57/R8</f>
        <v>6747699.7830919595</v>
      </c>
      <c r="S23" s="19">
        <f>'Crash Reduction $ Benefit'!T57/S8</f>
        <v>6400821.1981131062</v>
      </c>
      <c r="T23" s="19">
        <f>'Crash Reduction $ Benefit'!U57/T8</f>
        <v>6071774.5790759549</v>
      </c>
      <c r="U23" s="19">
        <f>'Crash Reduction $ Benefit'!V57/U8</f>
        <v>5759643.239211373</v>
      </c>
      <c r="V23" s="19">
        <f>'Crash Reduction $ Benefit'!W57/V8</f>
        <v>5463557.6158102108</v>
      </c>
      <c r="W23" s="19">
        <f>'Crash Reduction $ Benefit'!X57/W8</f>
        <v>5182692.8477196749</v>
      </c>
      <c r="X23" s="19">
        <f>'Crash Reduction $ Benefit'!Y57/X8</f>
        <v>4916266.47737318</v>
      </c>
      <c r="Y23" s="19">
        <f>'Crash Reduction $ Benefit'!Z57/Y8</f>
        <v>4594641.5676384857</v>
      </c>
      <c r="Z23" s="19">
        <f>'Crash Reduction $ Benefit'!AA57/Z8</f>
        <v>4294057.5398490522</v>
      </c>
      <c r="AA23" s="19">
        <f>'Crash Reduction $ Benefit'!AB57/AA8</f>
        <v>4013137.8877093946</v>
      </c>
      <c r="AB23" s="19">
        <f>'Crash Reduction $ Benefit'!AC57/AB8</f>
        <v>3750596.1567377518</v>
      </c>
      <c r="AC23" s="19">
        <f>'Crash Reduction $ Benefit'!AD57/AC8</f>
        <v>3505230.0530259362</v>
      </c>
      <c r="AD23" s="19">
        <f>'Crash Reduction $ Benefit'!AE57/AD8</f>
        <v>3275915.9374074168</v>
      </c>
      <c r="AE23" s="19">
        <f>'Crash Reduction $ Benefit'!AF57/AE8</f>
        <v>3061603.679820016</v>
      </c>
      <c r="AF23" s="19">
        <f>'Crash Reduction $ Benefit'!AG57/AF8</f>
        <v>2861311.8502990799</v>
      </c>
      <c r="AG23" s="19">
        <f>'Crash Reduction $ Benefit'!AH57/AG8</f>
        <v>2674123.2245785799</v>
      </c>
    </row>
    <row r="24" spans="1:33" x14ac:dyDescent="0.25">
      <c r="A24" t="s">
        <v>25</v>
      </c>
      <c r="B24" s="34"/>
      <c r="C24" s="34"/>
      <c r="D24" s="34"/>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row>
    <row r="25" spans="1:33" x14ac:dyDescent="0.25">
      <c r="A25" s="1" t="s">
        <v>26</v>
      </c>
      <c r="B25" s="34">
        <f>SUM(D25:AG25)</f>
        <v>786322.06923071225</v>
      </c>
      <c r="C25" s="34"/>
      <c r="D25" s="34"/>
      <c r="I25" s="51"/>
      <c r="J25" s="58"/>
      <c r="K25" s="58"/>
      <c r="L25" s="58"/>
      <c r="M25" s="58"/>
      <c r="N25" s="58">
        <f>'Emission $ Benefits'!G18/N9</f>
        <v>47903.161783199364</v>
      </c>
      <c r="O25" s="58">
        <f>'Emission $ Benefits'!H18/O9</f>
        <v>47170.399860758611</v>
      </c>
      <c r="P25" s="58">
        <f>'Emission $ Benefits'!I18/P9</f>
        <v>46425.399241719351</v>
      </c>
      <c r="Q25" s="58">
        <f>'Emission $ Benefits'!J18/Q9</f>
        <v>45669.013263982684</v>
      </c>
      <c r="R25" s="58">
        <f>'Emission $ Benefits'!K18/R9</f>
        <v>44902.068028413276</v>
      </c>
      <c r="S25" s="58">
        <f>'Emission $ Benefits'!L18/S9</f>
        <v>44125.363083747878</v>
      </c>
      <c r="T25" s="58">
        <f>'Emission $ Benefits'!M18/T9</f>
        <v>43339.672096273549</v>
      </c>
      <c r="U25" s="58">
        <f>'Emission $ Benefits'!N18/U9</f>
        <v>42545.743504589344</v>
      </c>
      <c r="V25" s="58">
        <f>'Emission $ Benefits'!O18/V9</f>
        <v>41744.301159758812</v>
      </c>
      <c r="W25" s="58">
        <f>'Emission $ Benefits'!P18/W9</f>
        <v>40936.044951155651</v>
      </c>
      <c r="X25" s="58">
        <f>'Emission $ Benefits'!Q18/X9</f>
        <v>40121.651418297355</v>
      </c>
      <c r="Y25" s="58">
        <f>'Emission $ Benefits'!R18/Y9</f>
        <v>38721.166860102923</v>
      </c>
      <c r="Z25" s="58">
        <f>'Emission $ Benefits'!S18/Z9</f>
        <v>37348.595286411728</v>
      </c>
      <c r="AA25" s="58">
        <f>'Emission $ Benefits'!T18/AA9</f>
        <v>36004.070585463669</v>
      </c>
      <c r="AB25" s="58">
        <f>'Emission $ Benefits'!U18/AB9</f>
        <v>34687.678512058243</v>
      </c>
      <c r="AC25" s="58">
        <f>'Emission $ Benefits'!V18/AC9</f>
        <v>33399.459862945441</v>
      </c>
      <c r="AD25" s="58">
        <f>'Emission $ Benefits'!W18/AD9</f>
        <v>32139.413493946951</v>
      </c>
      <c r="AE25" s="58">
        <f>'Emission $ Benefits'!X18/AE9</f>
        <v>30907.499185745153</v>
      </c>
      <c r="AF25" s="58">
        <f>'Emission $ Benefits'!Y18/AF9</f>
        <v>29703.640364995543</v>
      </c>
      <c r="AG25" s="58">
        <f>'Emission $ Benefits'!Z18/AG9</f>
        <v>28527.726687146704</v>
      </c>
    </row>
    <row r="26" spans="1:33" x14ac:dyDescent="0.25">
      <c r="A26" s="1" t="s">
        <v>27</v>
      </c>
      <c r="B26" s="34">
        <f>SUM(D26:AG26)</f>
        <v>188182.52267076095</v>
      </c>
      <c r="C26" s="34"/>
      <c r="D26" s="34"/>
      <c r="I26" s="51"/>
      <c r="J26" s="58"/>
      <c r="K26" s="58"/>
      <c r="L26" s="58"/>
      <c r="M26" s="58"/>
      <c r="N26" s="58">
        <f>('Emission $ Benefits'!G16+'Emission $ Benefits'!G17+'Emission $ Benefits'!G19)/N8</f>
        <v>17277.8840833061</v>
      </c>
      <c r="O26" s="58">
        <f>('Emission $ Benefits'!H16+'Emission $ Benefits'!H17+'Emission $ Benefits'!H19)/O8</f>
        <v>16125.604305076622</v>
      </c>
      <c r="P26" s="58">
        <f>('Emission $ Benefits'!I16+'Emission $ Benefits'!I17+'Emission $ Benefits'!I19)/P8</f>
        <v>15046.135074621792</v>
      </c>
      <c r="Q26" s="58">
        <f>('Emission $ Benefits'!J16+'Emission $ Benefits'!J17+'Emission $ Benefits'!J19)/Q8</f>
        <v>14035.035556283574</v>
      </c>
      <c r="R26" s="58">
        <f>('Emission $ Benefits'!K16+'Emission $ Benefits'!K17+'Emission $ Benefits'!K19)/R8</f>
        <v>13088.129079442</v>
      </c>
      <c r="S26" s="58">
        <f>('Emission $ Benefits'!L16+'Emission $ Benefits'!L17+'Emission $ Benefits'!L19)/S8</f>
        <v>12201.487714361476</v>
      </c>
      <c r="T26" s="58">
        <f>('Emission $ Benefits'!M16+'Emission $ Benefits'!M17+'Emission $ Benefits'!M19)/T8</f>
        <v>11371.417735752082</v>
      </c>
      <c r="U26" s="58">
        <f>('Emission $ Benefits'!N16+'Emission $ Benefits'!N17+'Emission $ Benefits'!N19)/U8</f>
        <v>10594.44592353772</v>
      </c>
      <c r="V26" s="58">
        <f>('Emission $ Benefits'!O16+'Emission $ Benefits'!O17+'Emission $ Benefits'!O19)/V8</f>
        <v>9867.3066531694676</v>
      </c>
      <c r="W26" s="58">
        <f>('Emission $ Benefits'!P16+'Emission $ Benefits'!P17+'Emission $ Benefits'!P19)/W8</f>
        <v>9186.9297305106829</v>
      </c>
      <c r="X26" s="58">
        <f>('Emission $ Benefits'!Q16+'Emission $ Benefits'!Q17+'Emission $ Benefits'!Q19)/X8</f>
        <v>8550.4289288575346</v>
      </c>
      <c r="Y26" s="58">
        <f>('Emission $ Benefits'!R16+'Emission $ Benefits'!R17+'Emission $ Benefits'!R19)/Y8</f>
        <v>7837.570144925302</v>
      </c>
      <c r="Z26" s="58">
        <f>('Emission $ Benefits'!S16+'Emission $ Benefits'!S17+'Emission $ Benefits'!S19)/Z8</f>
        <v>7181.3880524784763</v>
      </c>
      <c r="AA26" s="58">
        <f>('Emission $ Benefits'!T16+'Emission $ Benefits'!T17+'Emission $ Benefits'!T19)/AA8</f>
        <v>6577.517938141882</v>
      </c>
      <c r="AB26" s="58">
        <f>('Emission $ Benefits'!U16+'Emission $ Benefits'!U17+'Emission $ Benefits'!U19)/AB8</f>
        <v>6021.9236048084103</v>
      </c>
      <c r="AC26" s="58">
        <f>('Emission $ Benefits'!V16+'Emission $ Benefits'!V17+'Emission $ Benefits'!V19)/AC8</f>
        <v>5510.8730685196251</v>
      </c>
      <c r="AD26" s="58">
        <f>('Emission $ Benefits'!W16+'Emission $ Benefits'!W17+'Emission $ Benefits'!W19)/AD8</f>
        <v>5040.9160291934541</v>
      </c>
      <c r="AE26" s="58">
        <f>('Emission $ Benefits'!X16+'Emission $ Benefits'!X17+'Emission $ Benefits'!X19)/AE8</f>
        <v>4608.8629871205949</v>
      </c>
      <c r="AF26" s="58">
        <f>('Emission $ Benefits'!Y16+'Emission $ Benefits'!Y17+'Emission $ Benefits'!Y19)/AF8</f>
        <v>4211.7658863172446</v>
      </c>
      <c r="AG26" s="58">
        <f>('Emission $ Benefits'!Z16+'Emission $ Benefits'!Z17+'Emission $ Benefits'!Z19)/AG8</f>
        <v>3846.9001743368972</v>
      </c>
    </row>
    <row r="27" spans="1:33" hidden="1" x14ac:dyDescent="0.25">
      <c r="A27" t="s">
        <v>28</v>
      </c>
      <c r="B27" s="34">
        <f>SUM(D27:AG27)</f>
        <v>0</v>
      </c>
      <c r="C27" s="34"/>
      <c r="D27" s="34"/>
      <c r="I27" s="51"/>
      <c r="J27" s="58"/>
      <c r="K27" s="58"/>
      <c r="L27" s="58"/>
      <c r="M27" s="58"/>
      <c r="N27" s="58"/>
      <c r="O27" s="58"/>
      <c r="P27" s="58"/>
      <c r="Q27" s="58"/>
      <c r="R27" s="58"/>
      <c r="S27" s="58"/>
      <c r="T27" s="58"/>
      <c r="U27" s="58"/>
      <c r="V27" s="58"/>
      <c r="W27" s="58"/>
      <c r="X27" s="58"/>
      <c r="Y27" s="58"/>
      <c r="Z27" s="58"/>
      <c r="AA27" s="58"/>
      <c r="AB27" s="58"/>
      <c r="AC27" s="58"/>
      <c r="AD27" s="58"/>
      <c r="AE27" s="58"/>
      <c r="AF27" s="58"/>
      <c r="AG27" s="58"/>
    </row>
    <row r="28" spans="1:33" hidden="1" x14ac:dyDescent="0.25">
      <c r="A28" s="42" t="s">
        <v>29</v>
      </c>
      <c r="B28" s="34">
        <f>SUM(D28:AG28)</f>
        <v>0</v>
      </c>
      <c r="C28" s="34"/>
      <c r="D28" s="34"/>
      <c r="I28" s="51"/>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1:33" x14ac:dyDescent="0.25">
      <c r="A29" s="84" t="s">
        <v>30</v>
      </c>
      <c r="B29" s="35">
        <f>SUM(B19:B28)</f>
        <v>129415861.71894106</v>
      </c>
      <c r="C29" s="34"/>
      <c r="D29" s="34"/>
      <c r="I29" s="51"/>
      <c r="J29" s="58"/>
      <c r="K29" s="58"/>
      <c r="L29" s="58"/>
      <c r="M29" s="58"/>
      <c r="N29" s="58"/>
      <c r="O29" s="58"/>
      <c r="P29" s="58"/>
      <c r="Q29" s="58"/>
      <c r="R29" s="58"/>
      <c r="S29" s="58"/>
      <c r="T29" s="58"/>
      <c r="U29" s="58"/>
      <c r="V29" s="58"/>
      <c r="W29" s="58"/>
      <c r="X29" s="58"/>
      <c r="Y29" s="58"/>
      <c r="Z29" s="58"/>
      <c r="AA29" s="58"/>
      <c r="AB29" s="58"/>
      <c r="AC29" s="58"/>
      <c r="AD29" s="58"/>
      <c r="AE29" s="58"/>
      <c r="AF29" s="58"/>
      <c r="AG29" s="58"/>
    </row>
    <row r="30" spans="1:33" x14ac:dyDescent="0.25">
      <c r="A30" s="84"/>
      <c r="B30" s="35"/>
      <c r="C30" s="34"/>
      <c r="D30" s="34"/>
      <c r="I30" s="51"/>
      <c r="J30" s="58"/>
      <c r="K30" s="58"/>
      <c r="L30" s="58"/>
      <c r="M30" s="58"/>
      <c r="N30" s="58"/>
      <c r="O30" s="58"/>
      <c r="P30" s="58"/>
      <c r="Q30" s="58"/>
      <c r="R30" s="58"/>
      <c r="S30" s="58"/>
      <c r="T30" s="58"/>
      <c r="U30" s="58"/>
      <c r="V30" s="58"/>
      <c r="W30" s="58"/>
      <c r="X30" s="58"/>
      <c r="Y30" s="58"/>
      <c r="Z30" s="58"/>
      <c r="AA30" s="58"/>
      <c r="AB30" s="58"/>
      <c r="AC30" s="58"/>
      <c r="AD30" s="58"/>
      <c r="AE30" s="58"/>
      <c r="AF30" s="58"/>
      <c r="AG30" s="58"/>
    </row>
    <row r="31" spans="1:33" ht="17.25" x14ac:dyDescent="0.3">
      <c r="A31" s="356" t="s">
        <v>31</v>
      </c>
      <c r="B31" s="34"/>
      <c r="C31" s="34"/>
      <c r="D31" s="34"/>
      <c r="I31" s="51"/>
      <c r="J31" s="58"/>
      <c r="K31" s="58"/>
      <c r="L31" s="58"/>
      <c r="M31" s="58"/>
      <c r="N31" s="58"/>
      <c r="O31" s="58"/>
      <c r="P31" s="58"/>
      <c r="Q31" s="58"/>
      <c r="R31" s="58"/>
      <c r="S31" s="58"/>
      <c r="T31" s="58"/>
      <c r="U31" s="58"/>
      <c r="V31" s="58"/>
      <c r="W31" s="58"/>
      <c r="X31" s="58"/>
      <c r="Y31" s="58"/>
      <c r="Z31" s="58"/>
      <c r="AA31" s="58"/>
      <c r="AB31" s="58"/>
      <c r="AC31" s="58"/>
      <c r="AD31" s="58"/>
      <c r="AE31" s="58"/>
      <c r="AF31" s="58"/>
      <c r="AG31" s="58"/>
    </row>
    <row r="32" spans="1:33" x14ac:dyDescent="0.25">
      <c r="A32" s="194" t="s">
        <v>32</v>
      </c>
      <c r="B32" s="34">
        <f>SUM(D32:AG32)</f>
        <v>0</v>
      </c>
      <c r="C32" s="34"/>
      <c r="D32" s="34"/>
      <c r="I32" s="51"/>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1:33" x14ac:dyDescent="0.25">
      <c r="A33" s="194" t="s">
        <v>33</v>
      </c>
      <c r="B33" s="193"/>
      <c r="C33" s="34"/>
      <c r="D33" s="34"/>
      <c r="I33" s="51"/>
      <c r="J33" s="58"/>
      <c r="K33" s="58"/>
      <c r="L33" s="58"/>
      <c r="M33" s="58"/>
      <c r="N33" s="58"/>
      <c r="O33" s="58"/>
      <c r="P33" s="58"/>
      <c r="Q33" s="58"/>
      <c r="R33" s="58"/>
      <c r="S33" s="58"/>
      <c r="T33" s="58"/>
      <c r="U33" s="58"/>
      <c r="V33" s="58"/>
      <c r="W33" s="58"/>
      <c r="X33" s="58"/>
      <c r="Y33" s="58"/>
      <c r="Z33" s="58"/>
      <c r="AA33" s="58"/>
      <c r="AB33" s="58"/>
      <c r="AC33" s="58"/>
      <c r="AD33" s="58"/>
      <c r="AE33" s="58"/>
      <c r="AF33" s="58"/>
      <c r="AG33" s="58"/>
    </row>
    <row r="34" spans="1:33" x14ac:dyDescent="0.25">
      <c r="A34" s="353" t="s">
        <v>34</v>
      </c>
      <c r="B34" s="34">
        <f>SUM(D34:AG34)</f>
        <v>1002755.9303261806</v>
      </c>
      <c r="C34" s="34"/>
      <c r="D34" s="34"/>
      <c r="I34" s="51"/>
      <c r="J34" s="58"/>
      <c r="K34" s="58"/>
      <c r="L34" s="58"/>
      <c r="M34" s="58"/>
      <c r="N34" s="58">
        <f>'Bike and Ped Lane Benefits'!C8/N$8</f>
        <v>88460.80941111072</v>
      </c>
      <c r="O34" s="58">
        <f>'Bike and Ped Lane Benefits'!D8/O8</f>
        <v>82673.653655243659</v>
      </c>
      <c r="P34" s="58">
        <f>'Bike and Ped Lane Benefits'!E8/P8</f>
        <v>77265.096874059484</v>
      </c>
      <c r="Q34" s="58">
        <f>'Bike and Ped Lane Benefits'!F8/Q8</f>
        <v>72210.370910335987</v>
      </c>
      <c r="R34" s="58">
        <f>'Bike and Ped Lane Benefits'!G8/R8</f>
        <v>67486.327953585031</v>
      </c>
      <c r="S34" s="58">
        <f>'Bike and Ped Lane Benefits'!H8/S8</f>
        <v>63071.334536060778</v>
      </c>
      <c r="T34" s="58">
        <f>'Bike and Ped Lane Benefits'!I8/T8</f>
        <v>58945.172463608193</v>
      </c>
      <c r="U34" s="58">
        <f>'Bike and Ped Lane Benefits'!J8/U8</f>
        <v>55088.946227671215</v>
      </c>
      <c r="V34" s="58">
        <f>'Bike and Ped Lane Benefits'!K8/V8</f>
        <v>51484.996474459083</v>
      </c>
      <c r="W34" s="58">
        <f>'Bike and Ped Lane Benefits'!L8/W8</f>
        <v>48116.819135008489</v>
      </c>
      <c r="X34" s="58">
        <f>'Bike and Ped Lane Benefits'!M8/X8</f>
        <v>44968.989845802324</v>
      </c>
      <c r="Y34" s="58">
        <f>'Bike and Ped Lane Benefits'!N8/Y8</f>
        <v>42027.093313833946</v>
      </c>
      <c r="Z34" s="58">
        <f>'Bike and Ped Lane Benefits'!O8/Z8</f>
        <v>39277.657302648549</v>
      </c>
      <c r="AA34" s="58">
        <f>'Bike and Ped Lane Benefits'!P8/AA8</f>
        <v>36708.090937054716</v>
      </c>
      <c r="AB34" s="58">
        <f>'Bike and Ped Lane Benefits'!Q8/AB8</f>
        <v>34306.627043976368</v>
      </c>
      <c r="AC34" s="58">
        <f>'Bike and Ped Lane Benefits'!R8/AC8</f>
        <v>32062.268265398474</v>
      </c>
      <c r="AD34" s="58">
        <f>'Bike and Ped Lane Benefits'!S8/AD8</f>
        <v>29964.736696634089</v>
      </c>
      <c r="AE34" s="58">
        <f>'Bike and Ped Lane Benefits'!T8/AE8</f>
        <v>28004.426819284196</v>
      </c>
      <c r="AF34" s="58">
        <f>'Bike and Ped Lane Benefits'!U8/AF8</f>
        <v>26172.361513349711</v>
      </c>
      <c r="AG34" s="58">
        <f>'Bike and Ped Lane Benefits'!V8/AG8</f>
        <v>24460.150947055809</v>
      </c>
    </row>
    <row r="35" spans="1:33" x14ac:dyDescent="0.25">
      <c r="A35" s="353" t="s">
        <v>35</v>
      </c>
      <c r="B35" s="34">
        <f>SUM(D35:AG35)</f>
        <v>226437.02368301057</v>
      </c>
      <c r="C35" s="34"/>
      <c r="D35" s="34"/>
      <c r="I35" s="51"/>
      <c r="J35" s="58"/>
      <c r="K35" s="58"/>
      <c r="L35" s="58"/>
      <c r="M35" s="58"/>
      <c r="N35" s="58">
        <f>'Bike and Ped Lane Benefits'!C9/N$8</f>
        <v>19975.750618723592</v>
      </c>
      <c r="O35" s="58">
        <f>'Bike and Ped Lane Benefits'!D9/O$8</f>
        <v>18668.925811891211</v>
      </c>
      <c r="P35" s="58">
        <f>'Bike and Ped Lane Benefits'!E9/P$8</f>
        <v>17447.594216720754</v>
      </c>
      <c r="Q35" s="58">
        <f>'Bike and Ped Lane Benefits'!F9/Q$8</f>
        <v>16306.162819365194</v>
      </c>
      <c r="R35" s="58">
        <f>'Bike and Ped Lane Benefits'!G9/R$8</f>
        <v>15239.404504079619</v>
      </c>
      <c r="S35" s="58">
        <f>'Bike and Ped Lane Benefits'!H9/S$8</f>
        <v>14242.434115962262</v>
      </c>
      <c r="T35" s="58">
        <f>'Bike and Ped Lane Benefits'!I9/T$8</f>
        <v>13310.686089684355</v>
      </c>
      <c r="U35" s="58">
        <f>'Bike and Ped Lane Benefits'!J9/U$8</f>
        <v>12439.893541761081</v>
      </c>
      <c r="V35" s="58">
        <f>'Bike and Ped Lane Benefits'!K9/V$8</f>
        <v>11626.068730617833</v>
      </c>
      <c r="W35" s="58">
        <f>'Bike and Ped Lane Benefits'!L9/W$8</f>
        <v>10865.484794969938</v>
      </c>
      <c r="X35" s="58">
        <f>'Bike and Ped Lane Benefits'!M9/X$8</f>
        <v>10154.658686887791</v>
      </c>
      <c r="Y35" s="58">
        <f>'Bike and Ped Lane Benefits'!N9/Y$8</f>
        <v>9490.33522139046</v>
      </c>
      <c r="Z35" s="58">
        <f>'Bike and Ped Lane Benefits'!O9/Z$8</f>
        <v>8869.4721695237931</v>
      </c>
      <c r="AA35" s="58">
        <f>'Bike and Ped Lane Benefits'!P9/AA$8</f>
        <v>8289.226326657752</v>
      </c>
      <c r="AB35" s="58">
        <f>'Bike and Ped Lane Benefits'!Q9/AB$8</f>
        <v>7746.9404922035055</v>
      </c>
      <c r="AC35" s="58">
        <f>'Bike and Ped Lane Benefits'!R9/AC$8</f>
        <v>7240.1313011247712</v>
      </c>
      <c r="AD35" s="58">
        <f>'Bike and Ped Lane Benefits'!S9/AD$8</f>
        <v>6766.4778515184771</v>
      </c>
      <c r="AE35" s="58">
        <f>'Bike and Ped Lane Benefits'!T9/AE$8</f>
        <v>6323.8110761854932</v>
      </c>
      <c r="AF35" s="58">
        <f>'Bike and Ped Lane Benefits'!U9/AF$8</f>
        <v>5910.1038095191516</v>
      </c>
      <c r="AG35" s="58">
        <f>'Bike and Ped Lane Benefits'!V9/AG$8</f>
        <v>5523.4615042235073</v>
      </c>
    </row>
    <row r="36" spans="1:33" x14ac:dyDescent="0.25">
      <c r="A36" s="353" t="s">
        <v>36</v>
      </c>
      <c r="B36" s="34">
        <f>SUM(D36:AG36)</f>
        <v>2719668.7129207402</v>
      </c>
      <c r="C36" s="34"/>
      <c r="D36" s="34"/>
      <c r="I36" s="51"/>
      <c r="J36" s="58"/>
      <c r="K36" s="58"/>
      <c r="L36" s="58"/>
      <c r="M36" s="58"/>
      <c r="N36" s="58">
        <f>5000000/N8</f>
        <v>2719668.7129207402</v>
      </c>
      <c r="O36" s="58"/>
      <c r="P36" s="58"/>
      <c r="Q36" s="58"/>
      <c r="R36" s="58"/>
      <c r="S36" s="58"/>
      <c r="T36" s="58"/>
      <c r="U36" s="58"/>
      <c r="V36" s="58"/>
      <c r="W36" s="58"/>
      <c r="X36" s="58"/>
      <c r="Y36" s="58"/>
      <c r="Z36" s="58"/>
      <c r="AA36" s="58"/>
      <c r="AB36" s="58"/>
      <c r="AC36" s="58"/>
      <c r="AD36" s="58"/>
      <c r="AE36" s="58"/>
      <c r="AF36" s="58"/>
      <c r="AG36" s="58"/>
    </row>
    <row r="37" spans="1:33" x14ac:dyDescent="0.25">
      <c r="A37" s="84" t="s">
        <v>37</v>
      </c>
      <c r="B37" s="35">
        <f>SUM(B32:B36)</f>
        <v>3948861.6669299314</v>
      </c>
      <c r="C37" s="35"/>
      <c r="D37" s="35"/>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row>
    <row r="38" spans="1:33" x14ac:dyDescent="0.25">
      <c r="A38" s="42"/>
      <c r="B38" s="17"/>
      <c r="C38" s="17"/>
      <c r="D38" s="17"/>
      <c r="K38" s="9"/>
      <c r="L38" s="9"/>
      <c r="M38" s="9"/>
      <c r="N38" s="9"/>
      <c r="O38" s="9"/>
      <c r="P38" s="9"/>
      <c r="Q38" s="9"/>
      <c r="R38" s="9"/>
      <c r="S38" s="9"/>
      <c r="T38" s="9"/>
      <c r="U38" s="9"/>
      <c r="V38" s="9"/>
      <c r="W38" s="9"/>
      <c r="X38" s="9"/>
      <c r="Y38" s="9"/>
      <c r="Z38" s="9"/>
      <c r="AA38" s="9"/>
    </row>
    <row r="39" spans="1:33" ht="15.75" thickBot="1" x14ac:dyDescent="0.3">
      <c r="A39" s="14" t="s">
        <v>38</v>
      </c>
      <c r="B39" s="17"/>
      <c r="C39" s="17"/>
      <c r="D39" s="17"/>
      <c r="K39" s="9"/>
      <c r="L39" s="9"/>
      <c r="M39" s="9"/>
      <c r="N39" s="9"/>
      <c r="O39" s="9"/>
      <c r="P39" s="9"/>
      <c r="Q39" s="9"/>
      <c r="R39" s="9"/>
      <c r="S39" s="9"/>
      <c r="T39" s="9"/>
      <c r="U39" s="9"/>
      <c r="V39" s="9"/>
      <c r="W39" s="9"/>
      <c r="X39" s="9"/>
      <c r="Y39" s="9"/>
      <c r="Z39" s="9"/>
      <c r="AA39" s="9"/>
    </row>
    <row r="40" spans="1:33" x14ac:dyDescent="0.25">
      <c r="A40" s="45" t="s">
        <v>39</v>
      </c>
      <c r="B40" s="357">
        <f>SUM(B19:B28)/B13</f>
        <v>1.4439622591693064</v>
      </c>
      <c r="C40" s="139"/>
      <c r="D40" s="139"/>
    </row>
    <row r="41" spans="1:33" ht="15.75" thickBot="1" x14ac:dyDescent="0.3">
      <c r="A41" s="43" t="s">
        <v>40</v>
      </c>
      <c r="B41" s="358">
        <f>SUM(B19:B28)-B13</f>
        <v>39790346.303190231</v>
      </c>
      <c r="C41" s="139"/>
      <c r="D41" s="139"/>
    </row>
    <row r="42" spans="1:33" ht="15.75" thickBot="1" x14ac:dyDescent="0.3">
      <c r="B42" s="359"/>
      <c r="C42" s="139"/>
      <c r="D42" s="139"/>
    </row>
    <row r="43" spans="1:33" x14ac:dyDescent="0.25">
      <c r="A43" s="45" t="s">
        <v>41</v>
      </c>
      <c r="B43" s="357">
        <f>B37/B14</f>
        <v>0.320618190805258</v>
      </c>
      <c r="C43" s="139"/>
      <c r="D43" s="139"/>
    </row>
    <row r="44" spans="1:33" ht="15.75" thickBot="1" x14ac:dyDescent="0.3">
      <c r="A44" s="43" t="s">
        <v>42</v>
      </c>
      <c r="B44" s="381">
        <f>B37-B14</f>
        <v>-8367537.6521855937</v>
      </c>
      <c r="C44" s="140"/>
      <c r="D44" s="140"/>
      <c r="L44" s="31"/>
    </row>
    <row r="45" spans="1:33" ht="15.75" thickBot="1" x14ac:dyDescent="0.3">
      <c r="B45" s="360"/>
      <c r="C45" s="140"/>
      <c r="D45" s="140"/>
    </row>
    <row r="46" spans="1:33" x14ac:dyDescent="0.25">
      <c r="A46" s="45" t="s">
        <v>43</v>
      </c>
      <c r="B46" s="361">
        <f>(B29+B37)/(B13+B14)</f>
        <v>1.3082422841745718</v>
      </c>
      <c r="C46" s="53"/>
      <c r="D46" s="53"/>
    </row>
    <row r="47" spans="1:33" ht="15.75" thickBot="1" x14ac:dyDescent="0.3">
      <c r="A47" s="43" t="s">
        <v>44</v>
      </c>
      <c r="B47" s="362">
        <f>B29+B37-B13-B14</f>
        <v>31422808.651004635</v>
      </c>
      <c r="C47" s="54"/>
      <c r="D47" s="54"/>
    </row>
    <row r="48" spans="1:33" x14ac:dyDescent="0.25">
      <c r="B48" s="80"/>
      <c r="C48" s="80"/>
      <c r="D48" s="80"/>
    </row>
    <row r="49" spans="1:4" x14ac:dyDescent="0.25">
      <c r="A49" s="22"/>
      <c r="B49" s="80"/>
      <c r="C49" s="80"/>
      <c r="D49" s="80"/>
    </row>
    <row r="50" spans="1:4" x14ac:dyDescent="0.25">
      <c r="B50" s="49"/>
      <c r="C50" s="85"/>
      <c r="D50" s="85"/>
    </row>
    <row r="51" spans="1:4" x14ac:dyDescent="0.25">
      <c r="B51" s="49"/>
    </row>
    <row r="52" spans="1:4" x14ac:dyDescent="0.25">
      <c r="B52" s="49"/>
    </row>
    <row r="53" spans="1:4" x14ac:dyDescent="0.25">
      <c r="A53" s="42"/>
      <c r="B53" s="49"/>
    </row>
  </sheetData>
  <mergeCells count="2">
    <mergeCell ref="H3:I3"/>
    <mergeCell ref="J3:M3"/>
  </mergeCells>
  <pageMargins left="0.25" right="0.25" top="0.75" bottom="0.75" header="0.3" footer="0.3"/>
  <pageSetup paperSize="3"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545-9834-43FE-8B06-567D30170BAD}">
  <sheetPr>
    <tabColor theme="9" tint="0.39997558519241921"/>
  </sheetPr>
  <dimension ref="A1:AB44"/>
  <sheetViews>
    <sheetView zoomScale="75" zoomScaleNormal="75" workbookViewId="0">
      <selection activeCell="H28" sqref="H28"/>
    </sheetView>
  </sheetViews>
  <sheetFormatPr defaultColWidth="8.7109375" defaultRowHeight="15" x14ac:dyDescent="0.25"/>
  <cols>
    <col min="1" max="1" width="45.5703125" customWidth="1"/>
    <col min="2" max="2" width="10.5703125" customWidth="1"/>
    <col min="3" max="28" width="13.5703125" customWidth="1"/>
  </cols>
  <sheetData>
    <row r="1" spans="1:28" ht="18.75" x14ac:dyDescent="0.3">
      <c r="A1" s="4" t="s">
        <v>200</v>
      </c>
      <c r="B1" s="22"/>
    </row>
    <row r="2" spans="1:28" x14ac:dyDescent="0.25">
      <c r="B2" s="22"/>
    </row>
    <row r="3" spans="1:28" x14ac:dyDescent="0.25">
      <c r="A3" s="1" t="s">
        <v>47</v>
      </c>
      <c r="B3" s="1"/>
      <c r="D3">
        <v>1</v>
      </c>
      <c r="E3">
        <f t="shared" ref="E3:V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si="0"/>
        <v>18</v>
      </c>
      <c r="V3">
        <f t="shared" si="0"/>
        <v>19</v>
      </c>
      <c r="W3">
        <f t="shared" ref="W3:W4" si="1">V3+1</f>
        <v>20</v>
      </c>
      <c r="X3">
        <f t="shared" ref="X3:X4" si="2">W3+1</f>
        <v>21</v>
      </c>
      <c r="Y3">
        <f t="shared" ref="Y3:Y4" si="3">X3+1</f>
        <v>22</v>
      </c>
      <c r="Z3">
        <f t="shared" ref="Z3:Z4" si="4">Y3+1</f>
        <v>23</v>
      </c>
      <c r="AA3">
        <f t="shared" ref="AA3:AA4" si="5">Z3+1</f>
        <v>24</v>
      </c>
      <c r="AB3">
        <f t="shared" ref="AB3:AB4" si="6">AA3+1</f>
        <v>25</v>
      </c>
    </row>
    <row r="4" spans="1:28" x14ac:dyDescent="0.25">
      <c r="C4">
        <v>2026</v>
      </c>
      <c r="D4">
        <f t="shared" ref="D4:U4" si="7">C4+1</f>
        <v>2027</v>
      </c>
      <c r="E4">
        <f t="shared" si="7"/>
        <v>2028</v>
      </c>
      <c r="F4">
        <f t="shared" si="7"/>
        <v>2029</v>
      </c>
      <c r="G4">
        <f t="shared" si="7"/>
        <v>2030</v>
      </c>
      <c r="H4">
        <f t="shared" si="7"/>
        <v>2031</v>
      </c>
      <c r="I4">
        <f t="shared" si="7"/>
        <v>2032</v>
      </c>
      <c r="J4">
        <f t="shared" si="7"/>
        <v>2033</v>
      </c>
      <c r="K4">
        <f t="shared" si="7"/>
        <v>2034</v>
      </c>
      <c r="L4">
        <f t="shared" si="7"/>
        <v>2035</v>
      </c>
      <c r="M4">
        <f t="shared" si="7"/>
        <v>2036</v>
      </c>
      <c r="N4">
        <f t="shared" si="7"/>
        <v>2037</v>
      </c>
      <c r="O4">
        <f t="shared" si="7"/>
        <v>2038</v>
      </c>
      <c r="P4">
        <f t="shared" si="7"/>
        <v>2039</v>
      </c>
      <c r="Q4">
        <f t="shared" si="7"/>
        <v>2040</v>
      </c>
      <c r="R4">
        <f t="shared" si="7"/>
        <v>2041</v>
      </c>
      <c r="S4">
        <f t="shared" si="7"/>
        <v>2042</v>
      </c>
      <c r="T4">
        <f t="shared" si="7"/>
        <v>2043</v>
      </c>
      <c r="U4">
        <f t="shared" si="7"/>
        <v>2044</v>
      </c>
      <c r="V4">
        <f t="shared" si="0"/>
        <v>2045</v>
      </c>
      <c r="W4">
        <f t="shared" si="1"/>
        <v>2046</v>
      </c>
      <c r="X4">
        <f t="shared" si="2"/>
        <v>2047</v>
      </c>
      <c r="Y4">
        <f t="shared" si="3"/>
        <v>2048</v>
      </c>
      <c r="Z4">
        <f t="shared" si="4"/>
        <v>2049</v>
      </c>
      <c r="AA4">
        <f t="shared" si="5"/>
        <v>2050</v>
      </c>
      <c r="AB4">
        <f t="shared" si="6"/>
        <v>2051</v>
      </c>
    </row>
    <row r="5" spans="1:28" ht="15.75" x14ac:dyDescent="0.25">
      <c r="A5" s="91"/>
      <c r="B5" s="22"/>
    </row>
    <row r="6" spans="1:28" x14ac:dyDescent="0.25">
      <c r="A6" t="s">
        <v>201</v>
      </c>
      <c r="B6">
        <v>43</v>
      </c>
    </row>
    <row r="7" spans="1:28" x14ac:dyDescent="0.25">
      <c r="A7" t="s">
        <v>202</v>
      </c>
      <c r="B7" s="15">
        <v>45</v>
      </c>
      <c r="F7" s="42"/>
      <c r="G7" s="42"/>
      <c r="H7" s="42"/>
      <c r="I7" s="42"/>
      <c r="J7" s="42"/>
      <c r="K7" s="42"/>
      <c r="L7" s="42"/>
      <c r="M7" s="42"/>
      <c r="N7" s="42"/>
      <c r="O7" s="42"/>
      <c r="P7" s="42"/>
      <c r="Q7" s="42"/>
      <c r="R7" s="42"/>
      <c r="S7" s="42"/>
      <c r="T7" s="42"/>
      <c r="U7" s="42"/>
      <c r="V7" s="42"/>
      <c r="W7" s="42"/>
      <c r="X7" s="42"/>
      <c r="Y7" s="42"/>
      <c r="Z7" s="42"/>
      <c r="AA7" s="42"/>
      <c r="AB7" s="42"/>
    </row>
    <row r="8" spans="1:28" x14ac:dyDescent="0.25">
      <c r="A8" t="s">
        <v>203</v>
      </c>
      <c r="B8" s="15">
        <v>1</v>
      </c>
      <c r="F8" s="42"/>
      <c r="G8" s="42"/>
      <c r="H8" s="42"/>
      <c r="I8" s="42"/>
      <c r="J8" s="42"/>
      <c r="K8" s="42"/>
      <c r="L8" s="42"/>
      <c r="M8" s="42"/>
      <c r="N8" s="42"/>
      <c r="O8" s="42"/>
      <c r="P8" s="42"/>
      <c r="Q8" s="42"/>
      <c r="R8" s="42"/>
      <c r="S8" s="42"/>
      <c r="T8" s="42"/>
      <c r="U8" s="42"/>
      <c r="V8" s="42"/>
      <c r="W8" s="42"/>
      <c r="X8" s="42"/>
      <c r="Y8" s="42"/>
      <c r="Z8" s="42"/>
      <c r="AA8" s="42"/>
      <c r="AB8" s="42"/>
    </row>
    <row r="9" spans="1:28" x14ac:dyDescent="0.25">
      <c r="A9" t="s">
        <v>204</v>
      </c>
      <c r="B9" s="142"/>
      <c r="C9" s="142" t="e">
        <f>SUM('Travel Time Savings - Hours'!G18:N18)/3*#REF!</f>
        <v>#REF!</v>
      </c>
      <c r="D9" s="6" t="e">
        <f>C9*#REF!</f>
        <v>#REF!</v>
      </c>
      <c r="E9" s="6" t="e">
        <f>D9*#REF!</f>
        <v>#REF!</v>
      </c>
      <c r="F9" s="144" t="e">
        <f>E9*#REF!</f>
        <v>#REF!</v>
      </c>
      <c r="G9" s="144" t="e">
        <f>F9*#REF!</f>
        <v>#REF!</v>
      </c>
      <c r="H9" s="144" t="e">
        <f>G9*#REF!</f>
        <v>#REF!</v>
      </c>
      <c r="I9" s="144" t="e">
        <f>H9*#REF!</f>
        <v>#REF!</v>
      </c>
      <c r="J9" s="144" t="e">
        <f>I9*#REF!</f>
        <v>#REF!</v>
      </c>
      <c r="K9" s="144" t="e">
        <f>J9*#REF!</f>
        <v>#REF!</v>
      </c>
      <c r="L9" s="144" t="e">
        <f>K9*#REF!</f>
        <v>#REF!</v>
      </c>
      <c r="M9" s="144" t="e">
        <f>L9*#REF!</f>
        <v>#REF!</v>
      </c>
      <c r="N9" s="144" t="e">
        <f>M9*#REF!</f>
        <v>#REF!</v>
      </c>
      <c r="O9" s="144" t="e">
        <f>N9*#REF!</f>
        <v>#REF!</v>
      </c>
      <c r="P9" s="144" t="e">
        <f>O9*#REF!</f>
        <v>#REF!</v>
      </c>
      <c r="Q9" s="144" t="e">
        <f>P9*#REF!</f>
        <v>#REF!</v>
      </c>
      <c r="R9" s="144" t="e">
        <f>Q9*#REF!</f>
        <v>#REF!</v>
      </c>
      <c r="S9" s="144" t="e">
        <f>R9*#REF!</f>
        <v>#REF!</v>
      </c>
      <c r="T9" s="144" t="e">
        <f>S9*#REF!</f>
        <v>#REF!</v>
      </c>
      <c r="U9" s="144" t="e">
        <f>T9*#REF!</f>
        <v>#REF!</v>
      </c>
      <c r="V9" s="144" t="e">
        <f>U9*#REF!</f>
        <v>#REF!</v>
      </c>
      <c r="W9" s="144" t="e">
        <f>V9*#REF!</f>
        <v>#REF!</v>
      </c>
      <c r="X9" s="144" t="e">
        <f>W9*#REF!</f>
        <v>#REF!</v>
      </c>
      <c r="Y9" s="144" t="e">
        <f>X9*#REF!</f>
        <v>#REF!</v>
      </c>
      <c r="Z9" s="144" t="e">
        <f>Y9*#REF!</f>
        <v>#REF!</v>
      </c>
      <c r="AA9" s="144" t="e">
        <f>Z9*#REF!</f>
        <v>#REF!</v>
      </c>
      <c r="AB9" s="144" t="e">
        <f>AA9*#REF!</f>
        <v>#REF!</v>
      </c>
    </row>
    <row r="10" spans="1:28" x14ac:dyDescent="0.25">
      <c r="A10" t="s">
        <v>205</v>
      </c>
      <c r="B10" s="142"/>
      <c r="C10" s="143">
        <v>0.01</v>
      </c>
      <c r="D10" s="143">
        <f>($AB10-$C10)/25+(C10)</f>
        <v>2.5600000000000001E-2</v>
      </c>
      <c r="E10" s="143">
        <f t="shared" ref="E10:AA10" si="8">($AB10-$C10)/25+(D10)</f>
        <v>4.1200000000000001E-2</v>
      </c>
      <c r="F10" s="143">
        <f t="shared" si="8"/>
        <v>5.6800000000000003E-2</v>
      </c>
      <c r="G10" s="143">
        <f t="shared" si="8"/>
        <v>7.2400000000000006E-2</v>
      </c>
      <c r="H10" s="143">
        <f t="shared" si="8"/>
        <v>8.8000000000000009E-2</v>
      </c>
      <c r="I10" s="143">
        <f t="shared" si="8"/>
        <v>0.10360000000000001</v>
      </c>
      <c r="J10" s="143">
        <f t="shared" si="8"/>
        <v>0.11920000000000001</v>
      </c>
      <c r="K10" s="143">
        <f t="shared" si="8"/>
        <v>0.1348</v>
      </c>
      <c r="L10" s="143">
        <f t="shared" si="8"/>
        <v>0.15040000000000001</v>
      </c>
      <c r="M10" s="143">
        <f t="shared" si="8"/>
        <v>0.16600000000000001</v>
      </c>
      <c r="N10" s="143">
        <f t="shared" si="8"/>
        <v>0.18160000000000001</v>
      </c>
      <c r="O10" s="143">
        <f t="shared" si="8"/>
        <v>0.19720000000000001</v>
      </c>
      <c r="P10" s="143">
        <f t="shared" si="8"/>
        <v>0.21280000000000002</v>
      </c>
      <c r="Q10" s="143">
        <f t="shared" si="8"/>
        <v>0.22840000000000002</v>
      </c>
      <c r="R10" s="143">
        <f t="shared" si="8"/>
        <v>0.24400000000000002</v>
      </c>
      <c r="S10" s="143">
        <f t="shared" si="8"/>
        <v>0.2596</v>
      </c>
      <c r="T10" s="143">
        <f t="shared" si="8"/>
        <v>0.2752</v>
      </c>
      <c r="U10" s="143">
        <f t="shared" si="8"/>
        <v>0.2908</v>
      </c>
      <c r="V10" s="143">
        <f t="shared" si="8"/>
        <v>0.30640000000000001</v>
      </c>
      <c r="W10" s="143">
        <f t="shared" si="8"/>
        <v>0.32200000000000001</v>
      </c>
      <c r="X10" s="143">
        <f t="shared" si="8"/>
        <v>0.33760000000000001</v>
      </c>
      <c r="Y10" s="143">
        <f t="shared" si="8"/>
        <v>0.35320000000000001</v>
      </c>
      <c r="Z10" s="143">
        <f t="shared" si="8"/>
        <v>0.36880000000000002</v>
      </c>
      <c r="AA10" s="143">
        <f t="shared" si="8"/>
        <v>0.38440000000000002</v>
      </c>
      <c r="AB10" s="143">
        <v>0.4</v>
      </c>
    </row>
    <row r="11" spans="1:28" x14ac:dyDescent="0.25">
      <c r="A11" t="s">
        <v>206</v>
      </c>
      <c r="B11" s="142"/>
      <c r="C11" s="142" t="e">
        <f>C9*(1-C10)</f>
        <v>#REF!</v>
      </c>
      <c r="D11" s="142" t="e">
        <f t="shared" ref="D11:AB11" si="9">D9*(1-D10)</f>
        <v>#REF!</v>
      </c>
      <c r="E11" s="142" t="e">
        <f t="shared" si="9"/>
        <v>#REF!</v>
      </c>
      <c r="F11" s="142" t="e">
        <f t="shared" si="9"/>
        <v>#REF!</v>
      </c>
      <c r="G11" s="142" t="e">
        <f t="shared" si="9"/>
        <v>#REF!</v>
      </c>
      <c r="H11" s="142" t="e">
        <f t="shared" si="9"/>
        <v>#REF!</v>
      </c>
      <c r="I11" s="142" t="e">
        <f t="shared" si="9"/>
        <v>#REF!</v>
      </c>
      <c r="J11" s="142" t="e">
        <f t="shared" si="9"/>
        <v>#REF!</v>
      </c>
      <c r="K11" s="142" t="e">
        <f t="shared" si="9"/>
        <v>#REF!</v>
      </c>
      <c r="L11" s="142" t="e">
        <f t="shared" si="9"/>
        <v>#REF!</v>
      </c>
      <c r="M11" s="142" t="e">
        <f t="shared" si="9"/>
        <v>#REF!</v>
      </c>
      <c r="N11" s="142" t="e">
        <f t="shared" si="9"/>
        <v>#REF!</v>
      </c>
      <c r="O11" s="142" t="e">
        <f t="shared" si="9"/>
        <v>#REF!</v>
      </c>
      <c r="P11" s="142" t="e">
        <f t="shared" si="9"/>
        <v>#REF!</v>
      </c>
      <c r="Q11" s="142" t="e">
        <f t="shared" si="9"/>
        <v>#REF!</v>
      </c>
      <c r="R11" s="142" t="e">
        <f t="shared" si="9"/>
        <v>#REF!</v>
      </c>
      <c r="S11" s="142" t="e">
        <f t="shared" si="9"/>
        <v>#REF!</v>
      </c>
      <c r="T11" s="142" t="e">
        <f t="shared" si="9"/>
        <v>#REF!</v>
      </c>
      <c r="U11" s="142" t="e">
        <f t="shared" si="9"/>
        <v>#REF!</v>
      </c>
      <c r="V11" s="142" t="e">
        <f t="shared" si="9"/>
        <v>#REF!</v>
      </c>
      <c r="W11" s="142" t="e">
        <f t="shared" si="9"/>
        <v>#REF!</v>
      </c>
      <c r="X11" s="142" t="e">
        <f t="shared" si="9"/>
        <v>#REF!</v>
      </c>
      <c r="Y11" s="142" t="e">
        <f t="shared" si="9"/>
        <v>#REF!</v>
      </c>
      <c r="Z11" s="142" t="e">
        <f t="shared" si="9"/>
        <v>#REF!</v>
      </c>
      <c r="AA11" s="142" t="e">
        <f t="shared" si="9"/>
        <v>#REF!</v>
      </c>
      <c r="AB11" s="142" t="e">
        <f t="shared" si="9"/>
        <v>#REF!</v>
      </c>
    </row>
    <row r="12" spans="1:28" x14ac:dyDescent="0.25">
      <c r="A12" t="s">
        <v>207</v>
      </c>
      <c r="B12" s="142"/>
      <c r="C12" s="142" t="e">
        <f>C11*1/$B6</f>
        <v>#REF!</v>
      </c>
      <c r="D12" s="142" t="e">
        <f t="shared" ref="D12:AB12" si="10">D11*1/$B6</f>
        <v>#REF!</v>
      </c>
      <c r="E12" s="142" t="e">
        <f t="shared" si="10"/>
        <v>#REF!</v>
      </c>
      <c r="F12" s="142" t="e">
        <f t="shared" si="10"/>
        <v>#REF!</v>
      </c>
      <c r="G12" s="142" t="e">
        <f t="shared" si="10"/>
        <v>#REF!</v>
      </c>
      <c r="H12" s="142" t="e">
        <f t="shared" si="10"/>
        <v>#REF!</v>
      </c>
      <c r="I12" s="142" t="e">
        <f t="shared" si="10"/>
        <v>#REF!</v>
      </c>
      <c r="J12" s="142" t="e">
        <f t="shared" si="10"/>
        <v>#REF!</v>
      </c>
      <c r="K12" s="142" t="e">
        <f t="shared" si="10"/>
        <v>#REF!</v>
      </c>
      <c r="L12" s="142" t="e">
        <f t="shared" si="10"/>
        <v>#REF!</v>
      </c>
      <c r="M12" s="142" t="e">
        <f t="shared" si="10"/>
        <v>#REF!</v>
      </c>
      <c r="N12" s="142" t="e">
        <f t="shared" si="10"/>
        <v>#REF!</v>
      </c>
      <c r="O12" s="142" t="e">
        <f t="shared" si="10"/>
        <v>#REF!</v>
      </c>
      <c r="P12" s="142" t="e">
        <f t="shared" si="10"/>
        <v>#REF!</v>
      </c>
      <c r="Q12" s="142" t="e">
        <f t="shared" si="10"/>
        <v>#REF!</v>
      </c>
      <c r="R12" s="142" t="e">
        <f t="shared" si="10"/>
        <v>#REF!</v>
      </c>
      <c r="S12" s="142" t="e">
        <f t="shared" si="10"/>
        <v>#REF!</v>
      </c>
      <c r="T12" s="142" t="e">
        <f t="shared" si="10"/>
        <v>#REF!</v>
      </c>
      <c r="U12" s="142" t="e">
        <f t="shared" si="10"/>
        <v>#REF!</v>
      </c>
      <c r="V12" s="142" t="e">
        <f t="shared" si="10"/>
        <v>#REF!</v>
      </c>
      <c r="W12" s="142" t="e">
        <f t="shared" si="10"/>
        <v>#REF!</v>
      </c>
      <c r="X12" s="142" t="e">
        <f t="shared" si="10"/>
        <v>#REF!</v>
      </c>
      <c r="Y12" s="142" t="e">
        <f t="shared" si="10"/>
        <v>#REF!</v>
      </c>
      <c r="Z12" s="142" t="e">
        <f t="shared" si="10"/>
        <v>#REF!</v>
      </c>
      <c r="AA12" s="142" t="e">
        <f t="shared" si="10"/>
        <v>#REF!</v>
      </c>
      <c r="AB12" s="142" t="e">
        <f t="shared" si="10"/>
        <v>#REF!</v>
      </c>
    </row>
    <row r="13" spans="1:28" x14ac:dyDescent="0.25">
      <c r="A13" t="s">
        <v>208</v>
      </c>
      <c r="B13" s="142"/>
      <c r="C13" s="142" t="e">
        <f>C11*(1/$B7)</f>
        <v>#REF!</v>
      </c>
      <c r="D13" s="142" t="e">
        <f t="shared" ref="D13:AB13" si="11">D11*(1/$B7)</f>
        <v>#REF!</v>
      </c>
      <c r="E13" s="142" t="e">
        <f t="shared" si="11"/>
        <v>#REF!</v>
      </c>
      <c r="F13" s="142" t="e">
        <f t="shared" si="11"/>
        <v>#REF!</v>
      </c>
      <c r="G13" s="142" t="e">
        <f t="shared" si="11"/>
        <v>#REF!</v>
      </c>
      <c r="H13" s="142" t="e">
        <f t="shared" si="11"/>
        <v>#REF!</v>
      </c>
      <c r="I13" s="142" t="e">
        <f t="shared" si="11"/>
        <v>#REF!</v>
      </c>
      <c r="J13" s="142" t="e">
        <f t="shared" si="11"/>
        <v>#REF!</v>
      </c>
      <c r="K13" s="142" t="e">
        <f t="shared" si="11"/>
        <v>#REF!</v>
      </c>
      <c r="L13" s="142" t="e">
        <f t="shared" si="11"/>
        <v>#REF!</v>
      </c>
      <c r="M13" s="142" t="e">
        <f t="shared" si="11"/>
        <v>#REF!</v>
      </c>
      <c r="N13" s="142" t="e">
        <f t="shared" si="11"/>
        <v>#REF!</v>
      </c>
      <c r="O13" s="142" t="e">
        <f t="shared" si="11"/>
        <v>#REF!</v>
      </c>
      <c r="P13" s="142" t="e">
        <f t="shared" si="11"/>
        <v>#REF!</v>
      </c>
      <c r="Q13" s="142" t="e">
        <f t="shared" si="11"/>
        <v>#REF!</v>
      </c>
      <c r="R13" s="142" t="e">
        <f t="shared" si="11"/>
        <v>#REF!</v>
      </c>
      <c r="S13" s="142" t="e">
        <f t="shared" si="11"/>
        <v>#REF!</v>
      </c>
      <c r="T13" s="142" t="e">
        <f t="shared" si="11"/>
        <v>#REF!</v>
      </c>
      <c r="U13" s="142" t="e">
        <f t="shared" si="11"/>
        <v>#REF!</v>
      </c>
      <c r="V13" s="142" t="e">
        <f t="shared" si="11"/>
        <v>#REF!</v>
      </c>
      <c r="W13" s="142" t="e">
        <f t="shared" si="11"/>
        <v>#REF!</v>
      </c>
      <c r="X13" s="142" t="e">
        <f t="shared" si="11"/>
        <v>#REF!</v>
      </c>
      <c r="Y13" s="142" t="e">
        <f t="shared" si="11"/>
        <v>#REF!</v>
      </c>
      <c r="Z13" s="142" t="e">
        <f t="shared" si="11"/>
        <v>#REF!</v>
      </c>
      <c r="AA13" s="142" t="e">
        <f t="shared" si="11"/>
        <v>#REF!</v>
      </c>
      <c r="AB13" s="142" t="e">
        <f t="shared" si="11"/>
        <v>#REF!</v>
      </c>
    </row>
    <row r="14" spans="1:28" x14ac:dyDescent="0.25">
      <c r="A14" t="s">
        <v>209</v>
      </c>
      <c r="C14" s="142" t="e">
        <f>C12-C13</f>
        <v>#REF!</v>
      </c>
      <c r="D14" s="142" t="e">
        <f t="shared" ref="D14:AB14" si="12">D12-D13</f>
        <v>#REF!</v>
      </c>
      <c r="E14" s="142" t="e">
        <f t="shared" si="12"/>
        <v>#REF!</v>
      </c>
      <c r="F14" s="142" t="e">
        <f t="shared" si="12"/>
        <v>#REF!</v>
      </c>
      <c r="G14" s="142" t="e">
        <f t="shared" si="12"/>
        <v>#REF!</v>
      </c>
      <c r="H14" s="142" t="e">
        <f t="shared" si="12"/>
        <v>#REF!</v>
      </c>
      <c r="I14" s="142" t="e">
        <f t="shared" si="12"/>
        <v>#REF!</v>
      </c>
      <c r="J14" s="142" t="e">
        <f t="shared" si="12"/>
        <v>#REF!</v>
      </c>
      <c r="K14" s="142" t="e">
        <f t="shared" si="12"/>
        <v>#REF!</v>
      </c>
      <c r="L14" s="142" t="e">
        <f t="shared" si="12"/>
        <v>#REF!</v>
      </c>
      <c r="M14" s="142" t="e">
        <f t="shared" si="12"/>
        <v>#REF!</v>
      </c>
      <c r="N14" s="142" t="e">
        <f t="shared" si="12"/>
        <v>#REF!</v>
      </c>
      <c r="O14" s="142" t="e">
        <f t="shared" si="12"/>
        <v>#REF!</v>
      </c>
      <c r="P14" s="142" t="e">
        <f t="shared" si="12"/>
        <v>#REF!</v>
      </c>
      <c r="Q14" s="142" t="e">
        <f t="shared" si="12"/>
        <v>#REF!</v>
      </c>
      <c r="R14" s="142" t="e">
        <f t="shared" si="12"/>
        <v>#REF!</v>
      </c>
      <c r="S14" s="142" t="e">
        <f t="shared" si="12"/>
        <v>#REF!</v>
      </c>
      <c r="T14" s="142" t="e">
        <f t="shared" si="12"/>
        <v>#REF!</v>
      </c>
      <c r="U14" s="142" t="e">
        <f t="shared" si="12"/>
        <v>#REF!</v>
      </c>
      <c r="V14" s="142" t="e">
        <f t="shared" si="12"/>
        <v>#REF!</v>
      </c>
      <c r="W14" s="142" t="e">
        <f t="shared" si="12"/>
        <v>#REF!</v>
      </c>
      <c r="X14" s="142" t="e">
        <f t="shared" si="12"/>
        <v>#REF!</v>
      </c>
      <c r="Y14" s="142" t="e">
        <f t="shared" si="12"/>
        <v>#REF!</v>
      </c>
      <c r="Z14" s="142" t="e">
        <f t="shared" si="12"/>
        <v>#REF!</v>
      </c>
      <c r="AA14" s="142" t="e">
        <f t="shared" si="12"/>
        <v>#REF!</v>
      </c>
      <c r="AB14" s="142" t="e">
        <f t="shared" si="12"/>
        <v>#REF!</v>
      </c>
    </row>
    <row r="16" spans="1:28" x14ac:dyDescent="0.25">
      <c r="A16" t="s">
        <v>210</v>
      </c>
      <c r="C16" s="31" t="e">
        <f>C14*$B18*1.1</f>
        <v>#REF!</v>
      </c>
      <c r="D16" s="31" t="e">
        <f t="shared" ref="D16:AB16" si="13">D14*$B18*1.1</f>
        <v>#REF!</v>
      </c>
      <c r="E16" s="31" t="e">
        <f t="shared" si="13"/>
        <v>#REF!</v>
      </c>
      <c r="F16" s="31" t="e">
        <f t="shared" si="13"/>
        <v>#REF!</v>
      </c>
      <c r="G16" s="31" t="e">
        <f t="shared" si="13"/>
        <v>#REF!</v>
      </c>
      <c r="H16" s="31" t="e">
        <f t="shared" si="13"/>
        <v>#REF!</v>
      </c>
      <c r="I16" s="31" t="e">
        <f t="shared" si="13"/>
        <v>#REF!</v>
      </c>
      <c r="J16" s="31" t="e">
        <f t="shared" si="13"/>
        <v>#REF!</v>
      </c>
      <c r="K16" s="31" t="e">
        <f t="shared" si="13"/>
        <v>#REF!</v>
      </c>
      <c r="L16" s="31" t="e">
        <f t="shared" si="13"/>
        <v>#REF!</v>
      </c>
      <c r="M16" s="31" t="e">
        <f t="shared" si="13"/>
        <v>#REF!</v>
      </c>
      <c r="N16" s="31" t="e">
        <f t="shared" si="13"/>
        <v>#REF!</v>
      </c>
      <c r="O16" s="31" t="e">
        <f t="shared" si="13"/>
        <v>#REF!</v>
      </c>
      <c r="P16" s="31" t="e">
        <f t="shared" si="13"/>
        <v>#REF!</v>
      </c>
      <c r="Q16" s="31" t="e">
        <f t="shared" si="13"/>
        <v>#REF!</v>
      </c>
      <c r="R16" s="31" t="e">
        <f t="shared" si="13"/>
        <v>#REF!</v>
      </c>
      <c r="S16" s="31" t="e">
        <f t="shared" si="13"/>
        <v>#REF!</v>
      </c>
      <c r="T16" s="31" t="e">
        <f t="shared" si="13"/>
        <v>#REF!</v>
      </c>
      <c r="U16" s="31" t="e">
        <f t="shared" si="13"/>
        <v>#REF!</v>
      </c>
      <c r="V16" s="31" t="e">
        <f t="shared" si="13"/>
        <v>#REF!</v>
      </c>
      <c r="W16" s="31" t="e">
        <f t="shared" si="13"/>
        <v>#REF!</v>
      </c>
      <c r="X16" s="31" t="e">
        <f t="shared" si="13"/>
        <v>#REF!</v>
      </c>
      <c r="Y16" s="31" t="e">
        <f t="shared" si="13"/>
        <v>#REF!</v>
      </c>
      <c r="Z16" s="31" t="e">
        <f t="shared" si="13"/>
        <v>#REF!</v>
      </c>
      <c r="AA16" s="31" t="e">
        <f t="shared" si="13"/>
        <v>#REF!</v>
      </c>
      <c r="AB16" s="31" t="e">
        <f t="shared" si="13"/>
        <v>#REF!</v>
      </c>
    </row>
    <row r="18" spans="1:4" x14ac:dyDescent="0.25">
      <c r="A18" t="s">
        <v>211</v>
      </c>
      <c r="B18" s="8">
        <f>1.39-0.184</f>
        <v>1.206</v>
      </c>
    </row>
    <row r="23" spans="1:4" ht="15.75" thickBot="1" x14ac:dyDescent="0.3"/>
    <row r="24" spans="1:4" ht="15.75" thickBot="1" x14ac:dyDescent="0.3">
      <c r="A24" s="605" t="s">
        <v>212</v>
      </c>
      <c r="B24" s="606"/>
      <c r="C24" s="606"/>
      <c r="D24" s="607"/>
    </row>
    <row r="25" spans="1:4" ht="52.5" thickBot="1" x14ac:dyDescent="0.3">
      <c r="A25" s="145"/>
      <c r="B25" s="146" t="s">
        <v>213</v>
      </c>
      <c r="C25" s="147" t="s">
        <v>214</v>
      </c>
      <c r="D25" s="148" t="s">
        <v>215</v>
      </c>
    </row>
    <row r="26" spans="1:4" ht="15.75" thickBot="1" x14ac:dyDescent="0.3">
      <c r="A26" s="149" t="s">
        <v>216</v>
      </c>
      <c r="B26" s="608" t="s">
        <v>217</v>
      </c>
      <c r="C26" s="609"/>
      <c r="D26" s="610"/>
    </row>
    <row r="27" spans="1:4" x14ac:dyDescent="0.25">
      <c r="A27" s="150">
        <v>45</v>
      </c>
      <c r="B27" s="151">
        <v>43</v>
      </c>
      <c r="C27" s="152">
        <v>57</v>
      </c>
      <c r="D27" s="153">
        <v>55</v>
      </c>
    </row>
    <row r="28" spans="1:4" x14ac:dyDescent="0.25">
      <c r="A28" s="150">
        <v>55</v>
      </c>
      <c r="B28" s="154">
        <v>45</v>
      </c>
      <c r="C28" s="155">
        <v>55</v>
      </c>
      <c r="D28" s="156">
        <v>46</v>
      </c>
    </row>
    <row r="29" spans="1:4" x14ac:dyDescent="0.25">
      <c r="A29" s="150">
        <v>65</v>
      </c>
      <c r="B29" s="154">
        <v>38</v>
      </c>
      <c r="C29" s="155">
        <v>45</v>
      </c>
      <c r="D29" s="156">
        <v>38</v>
      </c>
    </row>
    <row r="30" spans="1:4" ht="15.75" thickBot="1" x14ac:dyDescent="0.3">
      <c r="A30" s="157">
        <v>75</v>
      </c>
      <c r="B30" s="158">
        <v>32</v>
      </c>
      <c r="C30" s="159">
        <v>37</v>
      </c>
      <c r="D30" s="160">
        <v>33</v>
      </c>
    </row>
    <row r="31" spans="1:4" x14ac:dyDescent="0.25">
      <c r="A31" s="611" t="s">
        <v>218</v>
      </c>
      <c r="B31" s="611"/>
      <c r="C31" s="611"/>
      <c r="D31" s="611"/>
    </row>
    <row r="32" spans="1:4" x14ac:dyDescent="0.25">
      <c r="A32" s="162"/>
      <c r="B32" s="162"/>
      <c r="C32" s="162"/>
      <c r="D32" s="162"/>
    </row>
    <row r="33" spans="1:4" x14ac:dyDescent="0.25">
      <c r="A33" s="171" t="s">
        <v>219</v>
      </c>
      <c r="B33" s="171"/>
      <c r="C33" s="171"/>
      <c r="D33" s="161"/>
    </row>
    <row r="34" spans="1:4" ht="14.45" customHeight="1" x14ac:dyDescent="0.25">
      <c r="A34" s="604" t="s">
        <v>220</v>
      </c>
      <c r="B34" s="604"/>
      <c r="C34" s="604"/>
      <c r="D34" s="604"/>
    </row>
    <row r="35" spans="1:4" x14ac:dyDescent="0.25">
      <c r="A35" s="604"/>
      <c r="B35" s="604"/>
      <c r="C35" s="604"/>
      <c r="D35" s="604"/>
    </row>
    <row r="36" spans="1:4" x14ac:dyDescent="0.25">
      <c r="A36" s="604"/>
      <c r="B36" s="604"/>
      <c r="C36" s="604"/>
      <c r="D36" s="604"/>
    </row>
    <row r="37" spans="1:4" x14ac:dyDescent="0.25">
      <c r="A37" s="604"/>
      <c r="B37" s="604"/>
      <c r="C37" s="604"/>
      <c r="D37" s="604"/>
    </row>
    <row r="38" spans="1:4" x14ac:dyDescent="0.25">
      <c r="A38" s="604"/>
      <c r="B38" s="604"/>
      <c r="C38" s="604"/>
      <c r="D38" s="604"/>
    </row>
    <row r="39" spans="1:4" x14ac:dyDescent="0.25">
      <c r="A39" s="161"/>
      <c r="B39" s="161"/>
      <c r="C39" s="161"/>
      <c r="D39" s="161"/>
    </row>
    <row r="40" spans="1:4" x14ac:dyDescent="0.25">
      <c r="A40" s="161"/>
      <c r="B40" s="161"/>
      <c r="C40" s="161"/>
      <c r="D40" s="161"/>
    </row>
    <row r="41" spans="1:4" x14ac:dyDescent="0.25">
      <c r="A41" s="161"/>
      <c r="B41" s="161"/>
      <c r="C41" s="161"/>
      <c r="D41" s="161"/>
    </row>
    <row r="42" spans="1:4" x14ac:dyDescent="0.25">
      <c r="A42" s="602"/>
      <c r="B42" s="602"/>
      <c r="C42" s="602"/>
      <c r="D42" s="602"/>
    </row>
    <row r="43" spans="1:4" x14ac:dyDescent="0.25">
      <c r="A43" s="603"/>
      <c r="B43" s="603"/>
      <c r="C43" s="603"/>
      <c r="D43" s="603"/>
    </row>
    <row r="44" spans="1:4" x14ac:dyDescent="0.25">
      <c r="A44" s="161"/>
      <c r="B44" s="161"/>
      <c r="C44" s="161"/>
      <c r="D44" s="161"/>
    </row>
  </sheetData>
  <mergeCells count="6">
    <mergeCell ref="A42:D42"/>
    <mergeCell ref="A43:D43"/>
    <mergeCell ref="A34:D38"/>
    <mergeCell ref="A24:D24"/>
    <mergeCell ref="B26:D26"/>
    <mergeCell ref="A31:D31"/>
  </mergeCells>
  <pageMargins left="0.7" right="0.7" top="0.75" bottom="0.75" header="0.3" footer="0.3"/>
  <pageSetup paperSize="3" orientation="landscape"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00DC-CE7A-43A3-9180-8A2EC9628016}">
  <sheetPr>
    <tabColor theme="9" tint="0.39997558519241921"/>
  </sheetPr>
  <dimension ref="A1:AB19"/>
  <sheetViews>
    <sheetView zoomScale="75" zoomScaleNormal="75" workbookViewId="0">
      <selection activeCell="N21" sqref="N21"/>
    </sheetView>
  </sheetViews>
  <sheetFormatPr defaultRowHeight="15" x14ac:dyDescent="0.25"/>
  <cols>
    <col min="1" max="1" width="30.5703125" customWidth="1"/>
    <col min="2" max="3" width="9.7109375" customWidth="1"/>
    <col min="4" max="25" width="11.5703125" customWidth="1"/>
    <col min="26" max="28" width="13.5703125" customWidth="1"/>
  </cols>
  <sheetData>
    <row r="1" spans="1:28" ht="21" x14ac:dyDescent="0.35">
      <c r="A1" s="174" t="s">
        <v>221</v>
      </c>
    </row>
    <row r="3" spans="1:28" x14ac:dyDescent="0.25">
      <c r="A3" s="1" t="s">
        <v>47</v>
      </c>
      <c r="B3" s="1"/>
      <c r="C3" s="1"/>
      <c r="D3">
        <v>1</v>
      </c>
      <c r="E3">
        <f t="shared" ref="E3:Q3"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ref="R3:Y4" si="1">Q3+1</f>
        <v>15</v>
      </c>
      <c r="S3">
        <f t="shared" si="1"/>
        <v>16</v>
      </c>
      <c r="T3">
        <f t="shared" si="1"/>
        <v>17</v>
      </c>
      <c r="U3">
        <f t="shared" si="1"/>
        <v>18</v>
      </c>
      <c r="V3">
        <f t="shared" si="1"/>
        <v>19</v>
      </c>
      <c r="W3">
        <f t="shared" si="1"/>
        <v>20</v>
      </c>
      <c r="X3">
        <f t="shared" si="1"/>
        <v>21</v>
      </c>
      <c r="Y3">
        <f t="shared" si="1"/>
        <v>22</v>
      </c>
      <c r="Z3">
        <f t="shared" ref="Z3:Z4" si="2">Y3+1</f>
        <v>23</v>
      </c>
      <c r="AA3">
        <f t="shared" ref="AA3:AA4" si="3">Z3+1</f>
        <v>24</v>
      </c>
      <c r="AB3">
        <f t="shared" ref="AB3:AB4" si="4">AA3+1</f>
        <v>25</v>
      </c>
    </row>
    <row r="4" spans="1:28" x14ac:dyDescent="0.25">
      <c r="D4">
        <v>2030</v>
      </c>
      <c r="E4">
        <f t="shared" ref="E4:R4" si="5">D4+1</f>
        <v>2031</v>
      </c>
      <c r="F4">
        <f t="shared" si="5"/>
        <v>2032</v>
      </c>
      <c r="G4">
        <f t="shared" si="5"/>
        <v>2033</v>
      </c>
      <c r="H4">
        <f t="shared" si="5"/>
        <v>2034</v>
      </c>
      <c r="I4">
        <f t="shared" si="5"/>
        <v>2035</v>
      </c>
      <c r="J4">
        <f t="shared" si="5"/>
        <v>2036</v>
      </c>
      <c r="K4">
        <f t="shared" si="5"/>
        <v>2037</v>
      </c>
      <c r="L4">
        <f t="shared" si="5"/>
        <v>2038</v>
      </c>
      <c r="M4">
        <f t="shared" si="5"/>
        <v>2039</v>
      </c>
      <c r="N4">
        <f t="shared" si="5"/>
        <v>2040</v>
      </c>
      <c r="O4">
        <f t="shared" si="5"/>
        <v>2041</v>
      </c>
      <c r="P4">
        <f t="shared" si="5"/>
        <v>2042</v>
      </c>
      <c r="Q4">
        <f t="shared" si="5"/>
        <v>2043</v>
      </c>
      <c r="R4">
        <f t="shared" si="5"/>
        <v>2044</v>
      </c>
      <c r="S4">
        <f t="shared" si="1"/>
        <v>2045</v>
      </c>
      <c r="T4">
        <f t="shared" si="1"/>
        <v>2046</v>
      </c>
      <c r="U4">
        <f t="shared" si="1"/>
        <v>2047</v>
      </c>
      <c r="V4">
        <f t="shared" si="1"/>
        <v>2048</v>
      </c>
      <c r="W4">
        <f t="shared" si="1"/>
        <v>2049</v>
      </c>
      <c r="X4">
        <f t="shared" si="1"/>
        <v>2050</v>
      </c>
      <c r="Y4">
        <f t="shared" si="1"/>
        <v>2051</v>
      </c>
      <c r="Z4">
        <f t="shared" si="2"/>
        <v>2052</v>
      </c>
      <c r="AA4">
        <f t="shared" si="3"/>
        <v>2053</v>
      </c>
      <c r="AB4">
        <f t="shared" si="4"/>
        <v>2054</v>
      </c>
    </row>
    <row r="5" spans="1:28" x14ac:dyDescent="0.25">
      <c r="A5" t="s">
        <v>222</v>
      </c>
      <c r="D5" s="15" t="e">
        <f>'Travel Time Savings - Hours'!#REF!</f>
        <v>#REF!</v>
      </c>
      <c r="E5" s="15" t="e">
        <f>'Travel Time Savings - Hours'!#REF!</f>
        <v>#REF!</v>
      </c>
      <c r="F5" s="15" t="e">
        <f>'Travel Time Savings - Hours'!#REF!</f>
        <v>#REF!</v>
      </c>
      <c r="G5" s="15" t="e">
        <f>'Travel Time Savings - Hours'!#REF!</f>
        <v>#REF!</v>
      </c>
      <c r="H5" s="15" t="e">
        <f>'Travel Time Savings - Hours'!#REF!</f>
        <v>#REF!</v>
      </c>
      <c r="I5" s="15" t="e">
        <f>'Travel Time Savings - Hours'!#REF!</f>
        <v>#REF!</v>
      </c>
      <c r="J5" s="15" t="e">
        <f>'Travel Time Savings - Hours'!#REF!</f>
        <v>#REF!</v>
      </c>
      <c r="K5" s="15" t="e">
        <f>'Travel Time Savings - Hours'!#REF!</f>
        <v>#REF!</v>
      </c>
      <c r="L5" s="15" t="e">
        <f>'Travel Time Savings - Hours'!#REF!</f>
        <v>#REF!</v>
      </c>
      <c r="M5" s="15" t="e">
        <f>'Travel Time Savings - Hours'!#REF!</f>
        <v>#REF!</v>
      </c>
      <c r="N5" s="15" t="e">
        <f>'Travel Time Savings - Hours'!#REF!</f>
        <v>#REF!</v>
      </c>
      <c r="O5" s="15" t="e">
        <f>'Travel Time Savings - Hours'!#REF!</f>
        <v>#REF!</v>
      </c>
      <c r="P5" s="15" t="e">
        <f>'Travel Time Savings - Hours'!#REF!</f>
        <v>#REF!</v>
      </c>
      <c r="Q5" s="15" t="e">
        <f>'Travel Time Savings - Hours'!#REF!</f>
        <v>#REF!</v>
      </c>
      <c r="R5" s="15" t="e">
        <f>'Travel Time Savings - Hours'!#REF!</f>
        <v>#REF!</v>
      </c>
      <c r="S5" s="15" t="e">
        <f>'Travel Time Savings - Hours'!#REF!</f>
        <v>#REF!</v>
      </c>
      <c r="T5" s="15" t="e">
        <f>'Travel Time Savings - Hours'!#REF!</f>
        <v>#REF!</v>
      </c>
      <c r="U5" s="15" t="e">
        <f>'Travel Time Savings - Hours'!#REF!</f>
        <v>#REF!</v>
      </c>
      <c r="V5" s="15" t="e">
        <f>'Travel Time Savings - Hours'!#REF!</f>
        <v>#REF!</v>
      </c>
      <c r="W5" s="15" t="e">
        <f>'Travel Time Savings - Hours'!#REF!</f>
        <v>#REF!</v>
      </c>
      <c r="X5" s="15" t="e">
        <f>'Travel Time Savings - Hours'!#REF!</f>
        <v>#REF!</v>
      </c>
      <c r="Y5" s="15" t="e">
        <f>'Travel Time Savings - Hours'!#REF!</f>
        <v>#REF!</v>
      </c>
      <c r="Z5" s="15" t="e">
        <f>'Travel Time Savings - Hours'!#REF!</f>
        <v>#REF!</v>
      </c>
      <c r="AA5" s="15" t="e">
        <f>'Travel Time Savings - Hours'!#REF!</f>
        <v>#REF!</v>
      </c>
      <c r="AB5" s="15" t="e">
        <f>'Travel Time Savings - Hours'!#REF!</f>
        <v>#REF!</v>
      </c>
    </row>
    <row r="6" spans="1:28" x14ac:dyDescent="0.25">
      <c r="A6" t="s">
        <v>223</v>
      </c>
      <c r="D6" s="82" t="e">
        <f>D5*#REF!*'Supply Chain $ Benefits'!$B$16</f>
        <v>#REF!</v>
      </c>
      <c r="E6" s="82" t="e">
        <f>E5*#REF!*'Supply Chain $ Benefits'!$B$16</f>
        <v>#REF!</v>
      </c>
      <c r="F6" s="82" t="e">
        <f>F5*#REF!*'Supply Chain $ Benefits'!$B$16</f>
        <v>#REF!</v>
      </c>
      <c r="G6" s="82" t="e">
        <f>G5*#REF!*'Supply Chain $ Benefits'!$B$16</f>
        <v>#REF!</v>
      </c>
      <c r="H6" s="82" t="e">
        <f>H5*#REF!*'Supply Chain $ Benefits'!$B$16</f>
        <v>#REF!</v>
      </c>
      <c r="I6" s="82" t="e">
        <f>I5*#REF!*'Supply Chain $ Benefits'!$B$16</f>
        <v>#REF!</v>
      </c>
      <c r="J6" s="82" t="e">
        <f>J5*#REF!*'Supply Chain $ Benefits'!$B$16</f>
        <v>#REF!</v>
      </c>
      <c r="K6" s="82" t="e">
        <f>K5*#REF!*'Supply Chain $ Benefits'!$B$16</f>
        <v>#REF!</v>
      </c>
      <c r="L6" s="82" t="e">
        <f>L5*#REF!*'Supply Chain $ Benefits'!$B$16</f>
        <v>#REF!</v>
      </c>
      <c r="M6" s="82" t="e">
        <f>M5*#REF!*'Supply Chain $ Benefits'!$B$16</f>
        <v>#REF!</v>
      </c>
      <c r="N6" s="82" t="e">
        <f>N5*#REF!*'Supply Chain $ Benefits'!$B$16</f>
        <v>#REF!</v>
      </c>
      <c r="O6" s="82" t="e">
        <f>O5*#REF!*'Supply Chain $ Benefits'!$B$16</f>
        <v>#REF!</v>
      </c>
      <c r="P6" s="82" t="e">
        <f>P5*#REF!*'Supply Chain $ Benefits'!$B$16</f>
        <v>#REF!</v>
      </c>
      <c r="Q6" s="82" t="e">
        <f>Q5*#REF!*'Supply Chain $ Benefits'!$B$16</f>
        <v>#REF!</v>
      </c>
      <c r="R6" s="82" t="e">
        <f>R5*#REF!*'Supply Chain $ Benefits'!$B$16</f>
        <v>#REF!</v>
      </c>
      <c r="S6" s="82" t="e">
        <f>S5*#REF!*'Supply Chain $ Benefits'!$B$16</f>
        <v>#REF!</v>
      </c>
      <c r="T6" s="82" t="e">
        <f>T5*#REF!*'Supply Chain $ Benefits'!$B$16</f>
        <v>#REF!</v>
      </c>
      <c r="U6" s="82" t="e">
        <f>U5*#REF!*'Supply Chain $ Benefits'!$B$16</f>
        <v>#REF!</v>
      </c>
      <c r="V6" s="82" t="e">
        <f>V5*#REF!*'Supply Chain $ Benefits'!$B$16</f>
        <v>#REF!</v>
      </c>
      <c r="W6" s="82" t="e">
        <f>W5*#REF!*'Supply Chain $ Benefits'!$B$16</f>
        <v>#REF!</v>
      </c>
      <c r="X6" s="82" t="e">
        <f>X5*#REF!*'Supply Chain $ Benefits'!$B$16</f>
        <v>#REF!</v>
      </c>
      <c r="Y6" s="82" t="e">
        <f>Y5*#REF!*'Supply Chain $ Benefits'!$B$16</f>
        <v>#REF!</v>
      </c>
      <c r="Z6" s="82" t="e">
        <f>Z5*#REF!*'Supply Chain $ Benefits'!$B$16</f>
        <v>#REF!</v>
      </c>
      <c r="AA6" s="82" t="e">
        <f>AA5*#REF!*'Supply Chain $ Benefits'!$B$16</f>
        <v>#REF!</v>
      </c>
      <c r="AB6" s="82" t="e">
        <f>AB5*#REF!*'Supply Chain $ Benefits'!$B$16</f>
        <v>#REF!</v>
      </c>
    </row>
    <row r="10" spans="1:28" ht="20.100000000000001" customHeight="1" x14ac:dyDescent="0.25">
      <c r="A10" s="134" t="s">
        <v>224</v>
      </c>
      <c r="B10" s="138" t="s">
        <v>56</v>
      </c>
      <c r="C10" s="351"/>
    </row>
    <row r="11" spans="1:28" ht="17.100000000000001" customHeight="1" x14ac:dyDescent="0.25">
      <c r="A11" s="136" t="s">
        <v>225</v>
      </c>
      <c r="B11" s="137">
        <v>1.05</v>
      </c>
      <c r="C11" s="352"/>
    </row>
    <row r="12" spans="1:28" ht="24.95" customHeight="1" x14ac:dyDescent="0.25">
      <c r="A12" s="136" t="s">
        <v>226</v>
      </c>
      <c r="B12" s="137">
        <v>0.92</v>
      </c>
      <c r="C12" s="352"/>
    </row>
    <row r="13" spans="1:28" ht="17.100000000000001" customHeight="1" x14ac:dyDescent="0.25">
      <c r="A13" s="136" t="s">
        <v>227</v>
      </c>
      <c r="B13" s="137">
        <v>0.74</v>
      </c>
      <c r="C13" s="352"/>
    </row>
    <row r="14" spans="1:28" ht="17.100000000000001" customHeight="1" x14ac:dyDescent="0.25">
      <c r="A14" s="136" t="s">
        <v>228</v>
      </c>
      <c r="B14" s="137">
        <v>1.19</v>
      </c>
      <c r="C14" s="352"/>
    </row>
    <row r="15" spans="1:28" ht="17.100000000000001" customHeight="1" x14ac:dyDescent="0.25">
      <c r="A15" s="136" t="s">
        <v>229</v>
      </c>
      <c r="B15" s="137">
        <f>AVERAGE(B11:B14)</f>
        <v>0.97499999999999998</v>
      </c>
      <c r="C15" s="352"/>
    </row>
    <row r="16" spans="1:28" ht="17.100000000000001" customHeight="1" x14ac:dyDescent="0.25">
      <c r="A16" s="136" t="s">
        <v>230</v>
      </c>
      <c r="B16" s="137">
        <f>B15*1.02^11</f>
        <v>1.2122899506847857</v>
      </c>
      <c r="C16" s="352"/>
    </row>
    <row r="17" spans="1:3" x14ac:dyDescent="0.25">
      <c r="A17" s="135"/>
      <c r="B17" s="135"/>
      <c r="C17" s="135"/>
    </row>
    <row r="18" spans="1:3" ht="14.45" customHeight="1" x14ac:dyDescent="0.25">
      <c r="A18" s="141" t="s">
        <v>231</v>
      </c>
      <c r="B18" s="141"/>
      <c r="C18" s="141"/>
    </row>
    <row r="19" spans="1:3" x14ac:dyDescent="0.25">
      <c r="A19" t="s">
        <v>232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9A64-8CB4-45B3-997F-FF92A6011C8F}">
  <sheetPr>
    <tabColor theme="9" tint="0.39997558519241921"/>
  </sheetPr>
  <dimension ref="A1:AY56"/>
  <sheetViews>
    <sheetView topLeftCell="V1" zoomScale="75" zoomScaleNormal="75" workbookViewId="0">
      <selection activeCell="AT28" sqref="AT28"/>
    </sheetView>
  </sheetViews>
  <sheetFormatPr defaultRowHeight="15" x14ac:dyDescent="0.25"/>
  <cols>
    <col min="1" max="1" width="40.5703125" style="79" customWidth="1"/>
    <col min="2" max="2" width="6.5703125" customWidth="1"/>
    <col min="3" max="3" width="9.5703125" hidden="1" customWidth="1"/>
    <col min="4" max="6" width="11.5703125" hidden="1" customWidth="1"/>
    <col min="7" max="26" width="11.5703125" customWidth="1"/>
    <col min="27" max="31" width="11.5703125" hidden="1" customWidth="1"/>
  </cols>
  <sheetData>
    <row r="1" spans="1:51" s="77" customFormat="1" ht="18.75" x14ac:dyDescent="0.3">
      <c r="A1" s="4" t="s">
        <v>233</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row>
    <row r="2" spans="1:51" x14ac:dyDescent="0.25">
      <c r="A2"/>
    </row>
    <row r="3" spans="1:51" x14ac:dyDescent="0.25">
      <c r="A3" s="166" t="s">
        <v>47</v>
      </c>
      <c r="B3" s="166"/>
      <c r="G3">
        <v>1</v>
      </c>
      <c r="H3">
        <f t="shared" ref="H3" si="0">G3+1</f>
        <v>2</v>
      </c>
      <c r="I3">
        <f t="shared" ref="I3" si="1">H3+1</f>
        <v>3</v>
      </c>
      <c r="J3">
        <f t="shared" ref="J3" si="2">I3+1</f>
        <v>4</v>
      </c>
      <c r="K3">
        <f t="shared" ref="K3" si="3">J3+1</f>
        <v>5</v>
      </c>
      <c r="L3">
        <f t="shared" ref="L3" si="4">K3+1</f>
        <v>6</v>
      </c>
      <c r="M3">
        <f t="shared" ref="M3" si="5">L3+1</f>
        <v>7</v>
      </c>
      <c r="N3">
        <f t="shared" ref="N3" si="6">M3+1</f>
        <v>8</v>
      </c>
      <c r="O3">
        <f t="shared" ref="O3" si="7">N3+1</f>
        <v>9</v>
      </c>
      <c r="P3">
        <f t="shared" ref="P3" si="8">O3+1</f>
        <v>10</v>
      </c>
      <c r="Q3">
        <f t="shared" ref="Q3" si="9">P3+1</f>
        <v>11</v>
      </c>
      <c r="R3">
        <f t="shared" ref="R3" si="10">Q3+1</f>
        <v>12</v>
      </c>
      <c r="S3">
        <f t="shared" ref="S3" si="11">R3+1</f>
        <v>13</v>
      </c>
      <c r="T3">
        <f t="shared" ref="T3" si="12">S3+1</f>
        <v>14</v>
      </c>
      <c r="U3">
        <f t="shared" ref="U3" si="13">T3+1</f>
        <v>15</v>
      </c>
      <c r="V3">
        <f t="shared" ref="V3" si="14">U3+1</f>
        <v>16</v>
      </c>
      <c r="W3">
        <f t="shared" ref="W3" si="15">V3+1</f>
        <v>17</v>
      </c>
      <c r="X3">
        <f t="shared" ref="X3" si="16">W3+1</f>
        <v>18</v>
      </c>
      <c r="Y3">
        <f t="shared" ref="Y3" si="17">X3+1</f>
        <v>19</v>
      </c>
      <c r="Z3">
        <f t="shared" ref="Z3" si="18">Y3+1</f>
        <v>20</v>
      </c>
      <c r="AA3">
        <f t="shared" ref="AA3" si="19">Z3+1</f>
        <v>21</v>
      </c>
      <c r="AB3">
        <f t="shared" ref="AB3" si="20">AA3+1</f>
        <v>22</v>
      </c>
      <c r="AC3">
        <f t="shared" ref="AC3" si="21">AB3+1</f>
        <v>23</v>
      </c>
      <c r="AD3">
        <f t="shared" ref="AD3" si="22">AC3+1</f>
        <v>24</v>
      </c>
      <c r="AE3">
        <f t="shared" ref="AE3" si="23">AD3+1</f>
        <v>25</v>
      </c>
    </row>
    <row r="4" spans="1:51" s="77" customFormat="1" x14ac:dyDescent="0.25">
      <c r="A4" s="1"/>
      <c r="B4" s="1"/>
      <c r="C4">
        <v>2026</v>
      </c>
      <c r="D4">
        <f t="shared" ref="D4:U4" si="24">C4+1</f>
        <v>2027</v>
      </c>
      <c r="E4">
        <f t="shared" si="24"/>
        <v>2028</v>
      </c>
      <c r="F4">
        <f t="shared" si="24"/>
        <v>2029</v>
      </c>
      <c r="G4">
        <f t="shared" si="24"/>
        <v>2030</v>
      </c>
      <c r="H4">
        <f t="shared" si="24"/>
        <v>2031</v>
      </c>
      <c r="I4">
        <f t="shared" si="24"/>
        <v>2032</v>
      </c>
      <c r="J4">
        <f t="shared" si="24"/>
        <v>2033</v>
      </c>
      <c r="K4">
        <f t="shared" si="24"/>
        <v>2034</v>
      </c>
      <c r="L4">
        <f t="shared" si="24"/>
        <v>2035</v>
      </c>
      <c r="M4">
        <f t="shared" si="24"/>
        <v>2036</v>
      </c>
      <c r="N4">
        <f t="shared" si="24"/>
        <v>2037</v>
      </c>
      <c r="O4">
        <f t="shared" si="24"/>
        <v>2038</v>
      </c>
      <c r="P4">
        <f t="shared" si="24"/>
        <v>2039</v>
      </c>
      <c r="Q4">
        <f t="shared" si="24"/>
        <v>2040</v>
      </c>
      <c r="R4">
        <f t="shared" si="24"/>
        <v>2041</v>
      </c>
      <c r="S4">
        <f t="shared" si="24"/>
        <v>2042</v>
      </c>
      <c r="T4">
        <f t="shared" si="24"/>
        <v>2043</v>
      </c>
      <c r="U4">
        <f t="shared" si="24"/>
        <v>2044</v>
      </c>
      <c r="V4">
        <f t="shared" ref="V4" si="25">U4+1</f>
        <v>2045</v>
      </c>
      <c r="W4">
        <f t="shared" ref="W4" si="26">V4+1</f>
        <v>2046</v>
      </c>
      <c r="X4">
        <f t="shared" ref="X4" si="27">W4+1</f>
        <v>2047</v>
      </c>
      <c r="Y4">
        <f t="shared" ref="Y4" si="28">X4+1</f>
        <v>2048</v>
      </c>
      <c r="Z4">
        <f t="shared" ref="Z4" si="29">Y4+1</f>
        <v>2049</v>
      </c>
      <c r="AA4">
        <f t="shared" ref="AA4" si="30">Z4+1</f>
        <v>2050</v>
      </c>
      <c r="AB4">
        <f t="shared" ref="AB4" si="31">AA4+1</f>
        <v>2051</v>
      </c>
      <c r="AC4">
        <f t="shared" ref="AC4" si="32">AB4+1</f>
        <v>2052</v>
      </c>
      <c r="AD4">
        <f t="shared" ref="AD4" si="33">AC4+1</f>
        <v>2053</v>
      </c>
      <c r="AE4">
        <f t="shared" ref="AE4" si="34">AD4+1</f>
        <v>2054</v>
      </c>
      <c r="AF4"/>
      <c r="AG4"/>
      <c r="AH4"/>
      <c r="AI4"/>
      <c r="AJ4"/>
      <c r="AK4"/>
      <c r="AL4"/>
      <c r="AM4"/>
      <c r="AN4"/>
      <c r="AO4"/>
      <c r="AP4"/>
      <c r="AQ4"/>
      <c r="AR4"/>
      <c r="AS4"/>
      <c r="AT4"/>
      <c r="AU4"/>
      <c r="AV4"/>
      <c r="AW4"/>
      <c r="AX4"/>
      <c r="AY4"/>
    </row>
    <row r="5" spans="1:51" s="77" customFormat="1" x14ac:dyDescent="0.25">
      <c r="A5" t="s">
        <v>234</v>
      </c>
      <c r="B5"/>
      <c r="C5"/>
      <c r="D5" s="10">
        <f>'Travel Time Savings - Hours'!K7+'Travel Time Savings - Hours'!K8</f>
        <v>0</v>
      </c>
      <c r="E5" s="10">
        <f>'Travel Time Savings - Hours'!L7+'Travel Time Savings - Hours'!L8</f>
        <v>0</v>
      </c>
      <c r="F5" s="10">
        <f>'Travel Time Savings - Hours'!M7+'Travel Time Savings - Hours'!M8</f>
        <v>0</v>
      </c>
      <c r="G5" s="10">
        <f>'Travel Time Savings - Hours'!N7+'Travel Time Savings - Hours'!N8</f>
        <v>183086.11606585333</v>
      </c>
      <c r="H5" s="10">
        <f>'Travel Time Savings - Hours'!O7+'Travel Time Savings - Hours'!O8</f>
        <v>185831.41479295969</v>
      </c>
      <c r="I5" s="10">
        <f>'Travel Time Savings - Hours'!P7+'Travel Time Savings - Hours'!P8</f>
        <v>188617.87811115032</v>
      </c>
      <c r="J5" s="10">
        <f>'Travel Time Savings - Hours'!Q7+'Travel Time Savings - Hours'!Q8</f>
        <v>191446.12326602486</v>
      </c>
      <c r="K5" s="10">
        <f>'Travel Time Savings - Hours'!R7+'Travel Time Savings - Hours'!R8</f>
        <v>194316.77675851921</v>
      </c>
      <c r="L5" s="10">
        <f>'Travel Time Savings - Hours'!S7+'Travel Time Savings - Hours'!S8</f>
        <v>197230.47448368534</v>
      </c>
      <c r="M5" s="10">
        <f>'Travel Time Savings - Hours'!T7+'Travel Time Savings - Hours'!T8</f>
        <v>200187.86187155201</v>
      </c>
      <c r="N5" s="10">
        <f>'Travel Time Savings - Hours'!U7+'Travel Time Savings - Hours'!U8</f>
        <v>203189.59403009783</v>
      </c>
      <c r="O5" s="10">
        <f>'Travel Time Savings - Hours'!V7+'Travel Time Savings - Hours'!V8</f>
        <v>206236.33589036783</v>
      </c>
      <c r="P5" s="10">
        <f>'Travel Time Savings - Hours'!W7+'Travel Time Savings - Hours'!W8</f>
        <v>209328.76235376642</v>
      </c>
      <c r="Q5" s="10">
        <f>'Travel Time Savings - Hours'!X7+'Travel Time Savings - Hours'!X8</f>
        <v>212467.5584415585</v>
      </c>
      <c r="R5" s="10">
        <f>'Travel Time Savings - Hours'!Y7+'Travel Time Savings - Hours'!Y8</f>
        <v>212467.5584415585</v>
      </c>
      <c r="S5" s="10">
        <f>'Travel Time Savings - Hours'!Z7+'Travel Time Savings - Hours'!Z8</f>
        <v>212467.5584415585</v>
      </c>
      <c r="T5" s="10">
        <f>'Travel Time Savings - Hours'!AA7+'Travel Time Savings - Hours'!AA8</f>
        <v>212467.5584415585</v>
      </c>
      <c r="U5" s="10">
        <f>'Travel Time Savings - Hours'!AB7+'Travel Time Savings - Hours'!AB8</f>
        <v>212467.5584415585</v>
      </c>
      <c r="V5" s="10">
        <f>'Travel Time Savings - Hours'!AC7+'Travel Time Savings - Hours'!AC8</f>
        <v>212467.5584415585</v>
      </c>
      <c r="W5" s="10">
        <f>'Travel Time Savings - Hours'!AD7+'Travel Time Savings - Hours'!AD8</f>
        <v>212467.5584415585</v>
      </c>
      <c r="X5" s="10">
        <f>'Travel Time Savings - Hours'!AE7+'Travel Time Savings - Hours'!AE8</f>
        <v>212467.5584415585</v>
      </c>
      <c r="Y5" s="10">
        <f>'Travel Time Savings - Hours'!AF7+'Travel Time Savings - Hours'!AF8</f>
        <v>212467.5584415585</v>
      </c>
      <c r="Z5" s="10">
        <f>'Travel Time Savings - Hours'!AG7+'Travel Time Savings - Hours'!AG8</f>
        <v>212467.5584415585</v>
      </c>
      <c r="AA5" s="10" t="e">
        <f>'Travel Time Savings - Hours'!#REF!+'Travel Time Savings - Hours'!#REF!</f>
        <v>#REF!</v>
      </c>
      <c r="AB5" s="10" t="e">
        <f>'Travel Time Savings - Hours'!#REF!+'Travel Time Savings - Hours'!#REF!</f>
        <v>#REF!</v>
      </c>
      <c r="AC5" s="10" t="e">
        <f>'Travel Time Savings - Hours'!#REF!+'Travel Time Savings - Hours'!#REF!</f>
        <v>#REF!</v>
      </c>
      <c r="AD5" s="10" t="e">
        <f>'Travel Time Savings - Hours'!#REF!+'Travel Time Savings - Hours'!#REF!</f>
        <v>#REF!</v>
      </c>
      <c r="AE5" s="10" t="e">
        <f>'Travel Time Savings - Hours'!#REF!+'Travel Time Savings - Hours'!#REF!</f>
        <v>#REF!</v>
      </c>
      <c r="AF5"/>
      <c r="AG5"/>
      <c r="AH5"/>
      <c r="AI5"/>
      <c r="AJ5"/>
      <c r="AK5"/>
      <c r="AL5"/>
      <c r="AM5"/>
      <c r="AN5"/>
      <c r="AO5"/>
      <c r="AP5"/>
      <c r="AQ5"/>
      <c r="AR5"/>
      <c r="AS5"/>
      <c r="AT5"/>
      <c r="AU5"/>
      <c r="AV5"/>
      <c r="AW5"/>
      <c r="AX5"/>
      <c r="AY5"/>
    </row>
    <row r="6" spans="1:51" s="77" customFormat="1" x14ac:dyDescent="0.25">
      <c r="A6" t="s">
        <v>205</v>
      </c>
      <c r="B6"/>
      <c r="C6" s="142"/>
      <c r="D6" s="143">
        <f>'Fuel Savings $ Benefits '!D10</f>
        <v>2.5600000000000001E-2</v>
      </c>
      <c r="E6" s="143">
        <f t="shared" ref="E6:Z6" si="35">($AB6-$D6)/25+(D6)</f>
        <v>4.0576000000000001E-2</v>
      </c>
      <c r="F6" s="143">
        <f t="shared" si="35"/>
        <v>5.5552000000000004E-2</v>
      </c>
      <c r="G6" s="143">
        <f t="shared" si="35"/>
        <v>7.0528000000000007E-2</v>
      </c>
      <c r="H6" s="143">
        <f t="shared" si="35"/>
        <v>8.5504000000000011E-2</v>
      </c>
      <c r="I6" s="143">
        <f t="shared" si="35"/>
        <v>0.10048000000000001</v>
      </c>
      <c r="J6" s="143">
        <f t="shared" si="35"/>
        <v>0.11545600000000002</v>
      </c>
      <c r="K6" s="143">
        <f t="shared" si="35"/>
        <v>0.13043200000000002</v>
      </c>
      <c r="L6" s="143">
        <f t="shared" si="35"/>
        <v>0.14540800000000001</v>
      </c>
      <c r="M6" s="143">
        <f t="shared" si="35"/>
        <v>0.160384</v>
      </c>
      <c r="N6" s="143">
        <f t="shared" si="35"/>
        <v>0.17535999999999999</v>
      </c>
      <c r="O6" s="143">
        <f t="shared" si="35"/>
        <v>0.19033599999999998</v>
      </c>
      <c r="P6" s="143">
        <f t="shared" si="35"/>
        <v>0.20531199999999997</v>
      </c>
      <c r="Q6" s="143">
        <f t="shared" si="35"/>
        <v>0.22028799999999996</v>
      </c>
      <c r="R6" s="143">
        <f t="shared" si="35"/>
        <v>0.23526399999999995</v>
      </c>
      <c r="S6" s="143">
        <f t="shared" si="35"/>
        <v>0.25023999999999996</v>
      </c>
      <c r="T6" s="143">
        <f t="shared" si="35"/>
        <v>0.26521599999999995</v>
      </c>
      <c r="U6" s="143">
        <f t="shared" si="35"/>
        <v>0.28019199999999994</v>
      </c>
      <c r="V6" s="143">
        <f t="shared" si="35"/>
        <v>0.29516799999999993</v>
      </c>
      <c r="W6" s="143">
        <f t="shared" si="35"/>
        <v>0.31014399999999992</v>
      </c>
      <c r="X6" s="143">
        <f t="shared" si="35"/>
        <v>0.32511999999999991</v>
      </c>
      <c r="Y6" s="143">
        <f t="shared" si="35"/>
        <v>0.3400959999999999</v>
      </c>
      <c r="Z6" s="143">
        <f t="shared" si="35"/>
        <v>0.35507199999999989</v>
      </c>
      <c r="AA6" s="143">
        <f t="shared" ref="AA6" si="36">($AB6-$D6)/25+(Z6)</f>
        <v>0.37004799999999988</v>
      </c>
      <c r="AB6" s="143">
        <v>0.4</v>
      </c>
      <c r="AC6" s="143">
        <v>0.4</v>
      </c>
      <c r="AD6" s="143">
        <v>0.4</v>
      </c>
      <c r="AE6" s="143">
        <v>0.4</v>
      </c>
      <c r="AF6"/>
      <c r="AG6"/>
      <c r="AH6"/>
      <c r="AI6"/>
      <c r="AJ6"/>
      <c r="AK6"/>
      <c r="AL6"/>
      <c r="AM6"/>
      <c r="AN6"/>
      <c r="AO6"/>
      <c r="AP6"/>
      <c r="AQ6"/>
      <c r="AR6"/>
      <c r="AS6"/>
      <c r="AT6"/>
      <c r="AU6"/>
      <c r="AV6"/>
      <c r="AW6"/>
      <c r="AX6"/>
      <c r="AY6"/>
    </row>
    <row r="7" spans="1:51" s="77" customFormat="1" x14ac:dyDescent="0.25">
      <c r="A7" t="s">
        <v>235</v>
      </c>
      <c r="B7"/>
      <c r="C7" s="142"/>
      <c r="D7" s="142">
        <f>D5*(1-D6)</f>
        <v>0</v>
      </c>
      <c r="E7" s="142">
        <f t="shared" ref="E7:AB7" si="37">E5*(1-E6)</f>
        <v>0</v>
      </c>
      <c r="F7" s="142">
        <f t="shared" si="37"/>
        <v>0</v>
      </c>
      <c r="G7" s="142">
        <f t="shared" si="37"/>
        <v>170173.41847196082</v>
      </c>
      <c r="H7" s="142">
        <f t="shared" si="37"/>
        <v>169942.08550250245</v>
      </c>
      <c r="I7" s="142">
        <f t="shared" si="37"/>
        <v>169665.55371854192</v>
      </c>
      <c r="J7" s="142">
        <f t="shared" si="37"/>
        <v>169342.51965822271</v>
      </c>
      <c r="K7" s="142">
        <f t="shared" si="37"/>
        <v>168971.65093235203</v>
      </c>
      <c r="L7" s="142">
        <f t="shared" si="37"/>
        <v>168551.58564996163</v>
      </c>
      <c r="M7" s="142">
        <f t="shared" si="37"/>
        <v>168080.93183314503</v>
      </c>
      <c r="N7" s="142">
        <f t="shared" si="37"/>
        <v>167558.26682097989</v>
      </c>
      <c r="O7" s="142">
        <f t="shared" si="37"/>
        <v>166982.1366623388</v>
      </c>
      <c r="P7" s="142">
        <f t="shared" si="37"/>
        <v>166351.05549738993</v>
      </c>
      <c r="Q7" s="142">
        <f t="shared" si="37"/>
        <v>165663.50492758446</v>
      </c>
      <c r="R7" s="142">
        <f t="shared" si="37"/>
        <v>162481.59077236371</v>
      </c>
      <c r="S7" s="142">
        <f t="shared" si="37"/>
        <v>159299.67661714289</v>
      </c>
      <c r="T7" s="142">
        <f t="shared" si="37"/>
        <v>156117.76246192213</v>
      </c>
      <c r="U7" s="142">
        <f t="shared" si="37"/>
        <v>152935.84830670134</v>
      </c>
      <c r="V7" s="142">
        <f t="shared" si="37"/>
        <v>149753.93415148059</v>
      </c>
      <c r="W7" s="142">
        <f t="shared" si="37"/>
        <v>146572.0199962598</v>
      </c>
      <c r="X7" s="142">
        <f t="shared" si="37"/>
        <v>143390.10584103904</v>
      </c>
      <c r="Y7" s="142">
        <f t="shared" si="37"/>
        <v>140208.19168581822</v>
      </c>
      <c r="Z7" s="142">
        <f t="shared" si="37"/>
        <v>137026.27753059746</v>
      </c>
      <c r="AA7" s="142" t="e">
        <f t="shared" si="37"/>
        <v>#REF!</v>
      </c>
      <c r="AB7" s="142" t="e">
        <f t="shared" si="37"/>
        <v>#REF!</v>
      </c>
      <c r="AC7" s="142" t="e">
        <f t="shared" ref="AC7:AE7" si="38">AC5*(1-AC6)</f>
        <v>#REF!</v>
      </c>
      <c r="AD7" s="142" t="e">
        <f t="shared" si="38"/>
        <v>#REF!</v>
      </c>
      <c r="AE7" s="142" t="e">
        <f t="shared" si="38"/>
        <v>#REF!</v>
      </c>
      <c r="AF7"/>
      <c r="AG7"/>
      <c r="AH7"/>
      <c r="AI7"/>
      <c r="AJ7"/>
      <c r="AK7"/>
      <c r="AL7"/>
      <c r="AM7"/>
      <c r="AN7"/>
      <c r="AO7"/>
      <c r="AP7"/>
      <c r="AQ7"/>
      <c r="AR7"/>
      <c r="AS7"/>
      <c r="AT7"/>
      <c r="AU7"/>
      <c r="AV7"/>
      <c r="AW7"/>
      <c r="AX7"/>
      <c r="AY7"/>
    </row>
    <row r="8" spans="1:51" s="77" customFormat="1" x14ac:dyDescent="0.25">
      <c r="A8"/>
      <c r="B8"/>
      <c r="C8" s="142"/>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c r="AG8"/>
      <c r="AH8"/>
      <c r="AI8"/>
      <c r="AJ8"/>
      <c r="AK8"/>
      <c r="AL8"/>
      <c r="AM8"/>
      <c r="AN8"/>
      <c r="AO8"/>
      <c r="AP8"/>
      <c r="AQ8"/>
      <c r="AR8"/>
      <c r="AS8"/>
      <c r="AT8"/>
      <c r="AU8"/>
      <c r="AV8"/>
      <c r="AW8"/>
      <c r="AX8"/>
      <c r="AY8"/>
    </row>
    <row r="9" spans="1:51" s="78" customFormat="1" x14ac:dyDescent="0.25">
      <c r="A9" s="84" t="s">
        <v>236</v>
      </c>
      <c r="B9" s="8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c r="AG9"/>
      <c r="AH9"/>
      <c r="AI9"/>
      <c r="AJ9"/>
      <c r="AK9"/>
      <c r="AL9"/>
      <c r="AM9"/>
      <c r="AN9"/>
      <c r="AO9"/>
      <c r="AP9"/>
      <c r="AQ9"/>
      <c r="AR9"/>
      <c r="AS9"/>
      <c r="AT9"/>
      <c r="AU9"/>
      <c r="AV9"/>
      <c r="AW9"/>
      <c r="AX9"/>
      <c r="AY9"/>
    </row>
    <row r="10" spans="1:51" x14ac:dyDescent="0.25">
      <c r="A10" s="93" t="s">
        <v>237</v>
      </c>
      <c r="B10" s="93"/>
      <c r="C10" s="165"/>
      <c r="D10" s="169" t="e">
        <f>D7*#REF!*1.1</f>
        <v>#REF!</v>
      </c>
      <c r="E10" s="169" t="e">
        <f>E7*#REF!*1.1</f>
        <v>#REF!</v>
      </c>
      <c r="F10" s="169" t="e">
        <f>F7*#REF!*1.1</f>
        <v>#REF!</v>
      </c>
      <c r="G10" s="354">
        <f>G$7*'Look Up Data'!$I$84/2200*1.15</f>
        <v>0.45616946276076042</v>
      </c>
      <c r="H10" s="354">
        <f>H$7*'Look Up Data'!$I$84/2200*1.15</f>
        <v>0.45554934807220188</v>
      </c>
      <c r="I10" s="354">
        <f>I$7*'Look Up Data'!$I$84/2200*1.15</f>
        <v>0.4548080727516598</v>
      </c>
      <c r="J10" s="354">
        <f>J$7*'Look Up Data'!$I$84/2200*1.15</f>
        <v>0.45394214271938793</v>
      </c>
      <c r="K10" s="354">
        <f>K$7*'Look Up Data'!$I$84/2200*1.15</f>
        <v>0.45294798635258104</v>
      </c>
      <c r="L10" s="354">
        <f>L$7*'Look Up Data'!$I$84/2200*1.15</f>
        <v>0.4518219529455243</v>
      </c>
      <c r="M10" s="354">
        <f>M$7*'Look Up Data'!$I$84/2200*1.15</f>
        <v>0.45056031114099709</v>
      </c>
      <c r="N10" s="354">
        <f>N$7*'Look Up Data'!$I$84/2200*1.15</f>
        <v>0.44915924733241813</v>
      </c>
      <c r="O10" s="354">
        <f>O$7*'Look Up Data'!$I$84/2200*1.15</f>
        <v>0.44761486403620504</v>
      </c>
      <c r="P10" s="354">
        <f>P$7*'Look Up Data'!$I$84/2200*1.15</f>
        <v>0.44592317823381517</v>
      </c>
      <c r="Q10" s="354">
        <f>Q$7*'Look Up Data'!$I$84/2200*1.15</f>
        <v>0.44408011968292477</v>
      </c>
      <c r="R10" s="354">
        <f>R$7*'Look Up Data'!$I$84/2200*1.15</f>
        <v>0.43555063203572747</v>
      </c>
      <c r="S10" s="354">
        <f>S$7*'Look Up Data'!$I$84/2200*1.15</f>
        <v>0.42702114438853012</v>
      </c>
      <c r="T10" s="354">
        <f>T$7*'Look Up Data'!$I$84/2200*1.15</f>
        <v>0.41849165674133293</v>
      </c>
      <c r="U10" s="354">
        <f>U$7*'Look Up Data'!$I$84/2200*1.15</f>
        <v>0.40996216909413563</v>
      </c>
      <c r="V10" s="354">
        <f>V$7*'Look Up Data'!$I$84/2200*1.15</f>
        <v>0.40143268144693844</v>
      </c>
      <c r="W10" s="354">
        <f>W$7*'Look Up Data'!$I$84/2200*1.15</f>
        <v>0.39290319379974115</v>
      </c>
      <c r="X10" s="354">
        <f>X$7*'Look Up Data'!$I$84/2200*1.15</f>
        <v>0.3843737061525439</v>
      </c>
      <c r="Y10" s="354">
        <f>Y$7*'Look Up Data'!$I$84/2200*1.15</f>
        <v>0.37584421850534655</v>
      </c>
      <c r="Z10" s="354">
        <f>Z$7*'Look Up Data'!$I$84/2200*1.15</f>
        <v>0.36731473085814931</v>
      </c>
      <c r="AA10" s="354" t="e">
        <f>AA$7*'Look Up Data'!$I$84/2200*1.15</f>
        <v>#REF!</v>
      </c>
      <c r="AB10" s="354" t="e">
        <f>AB$7*'Look Up Data'!$I$84/2200*1.15</f>
        <v>#REF!</v>
      </c>
      <c r="AC10" s="354" t="e">
        <f>AC$7*'Look Up Data'!$I$84/2200*1.15</f>
        <v>#REF!</v>
      </c>
      <c r="AD10" s="354" t="e">
        <f>AD$7*'Look Up Data'!$I$84/2200*1.15</f>
        <v>#REF!</v>
      </c>
      <c r="AE10" s="354" t="e">
        <f>AE$7*'Look Up Data'!$I$84/2200*1.15</f>
        <v>#REF!</v>
      </c>
    </row>
    <row r="11" spans="1:51" x14ac:dyDescent="0.25">
      <c r="A11" s="93" t="s">
        <v>238</v>
      </c>
      <c r="B11" s="93"/>
      <c r="C11" s="165"/>
      <c r="D11" s="169" t="e">
        <f>D7*#REF!*1.1</f>
        <v>#REF!</v>
      </c>
      <c r="E11" s="169" t="e">
        <f>E7*#REF!*1.1</f>
        <v>#REF!</v>
      </c>
      <c r="F11" s="169" t="e">
        <f>F7*#REF!*1.1</f>
        <v>#REF!</v>
      </c>
      <c r="G11" s="354">
        <f>G$7*'Look Up Data'!$I$85/2200*1.15</f>
        <v>5.841393743709471E-3</v>
      </c>
      <c r="H11" s="354">
        <f>H$7*'Look Up Data'!$I$85/2200*1.15</f>
        <v>5.8334529796780403E-3</v>
      </c>
      <c r="I11" s="354">
        <f>I$7*'Look Up Data'!$I$85/2200*1.15</f>
        <v>5.8239607155672977E-3</v>
      </c>
      <c r="J11" s="354">
        <f>J$7*'Look Up Data'!$I$85/2200*1.15</f>
        <v>5.8128722085848475E-3</v>
      </c>
      <c r="K11" s="354">
        <f>K$7*'Look Up Data'!$I$85/2200*1.15</f>
        <v>5.8001417229749845E-3</v>
      </c>
      <c r="L11" s="354">
        <f>L$7*'Look Up Data'!$I$85/2200*1.15</f>
        <v>5.7857225103004201E-3</v>
      </c>
      <c r="M11" s="354">
        <f>M$7*'Look Up Data'!$I$85/2200*1.15</f>
        <v>5.7695667893559151E-3</v>
      </c>
      <c r="N11" s="354">
        <f>N$7*'Look Up Data'!$I$85/2200*1.15</f>
        <v>5.7516257257072441E-3</v>
      </c>
      <c r="O11" s="354">
        <f>O$7*'Look Up Data'!$I$85/2200*1.15</f>
        <v>5.7318494108487472E-3</v>
      </c>
      <c r="P11" s="354">
        <f>P$7*'Look Up Data'!$I$85/2200*1.15</f>
        <v>5.7101868409726369E-3</v>
      </c>
      <c r="Q11" s="354">
        <f>Q$7*'Look Up Data'!$I$85/2200*1.15</f>
        <v>5.6865858953431218E-3</v>
      </c>
      <c r="R11" s="354">
        <f>R$7*'Look Up Data'!$I$85/2200*1.15</f>
        <v>5.5773631177423438E-3</v>
      </c>
      <c r="S11" s="354">
        <f>S$7*'Look Up Data'!$I$85/2200*1.15</f>
        <v>5.468140340141564E-3</v>
      </c>
      <c r="T11" s="354">
        <f>T$7*'Look Up Data'!$I$85/2200*1.15</f>
        <v>5.358917562540786E-3</v>
      </c>
      <c r="U11" s="354">
        <f>U$7*'Look Up Data'!$I$85/2200*1.15</f>
        <v>5.2496947849400063E-3</v>
      </c>
      <c r="V11" s="354">
        <f>V$7*'Look Up Data'!$I$85/2200*1.15</f>
        <v>5.1404720073392274E-3</v>
      </c>
      <c r="W11" s="354">
        <f>W$7*'Look Up Data'!$I$85/2200*1.15</f>
        <v>5.0312492297384485E-3</v>
      </c>
      <c r="X11" s="354">
        <f>X$7*'Look Up Data'!$I$85/2200*1.15</f>
        <v>4.9220264521376714E-3</v>
      </c>
      <c r="Y11" s="354">
        <f>Y$7*'Look Up Data'!$I$85/2200*1.15</f>
        <v>4.8128036745368899E-3</v>
      </c>
      <c r="Z11" s="354">
        <f>Z$7*'Look Up Data'!$I$85/2200*1.15</f>
        <v>4.7035808969361119E-3</v>
      </c>
      <c r="AA11" s="354" t="e">
        <f>AA$7*'Look Up Data'!$I$85/2200*1.15</f>
        <v>#REF!</v>
      </c>
      <c r="AB11" s="354" t="e">
        <f>AB$7*'Look Up Data'!$I$85/2200*1.15</f>
        <v>#REF!</v>
      </c>
      <c r="AC11" s="354" t="e">
        <f>AC$7*'Look Up Data'!$I$85/2200*1.15</f>
        <v>#REF!</v>
      </c>
      <c r="AD11" s="354" t="e">
        <f>AD$7*'Look Up Data'!$I$85/2200*1.15</f>
        <v>#REF!</v>
      </c>
      <c r="AE11" s="354" t="e">
        <f>AE$7*'Look Up Data'!$I$85/2200*1.15</f>
        <v>#REF!</v>
      </c>
    </row>
    <row r="12" spans="1:51" x14ac:dyDescent="0.25">
      <c r="A12" s="93" t="s">
        <v>239</v>
      </c>
      <c r="B12" s="93"/>
      <c r="C12" s="165"/>
      <c r="D12" s="167" t="e">
        <f>D7*#REF!*1.1</f>
        <v>#REF!</v>
      </c>
      <c r="E12" s="167" t="e">
        <f>E7*#REF!*1.1</f>
        <v>#REF!</v>
      </c>
      <c r="F12" s="167" t="e">
        <f>F7*#REF!*1.1</f>
        <v>#REF!</v>
      </c>
      <c r="G12" s="354">
        <f>G$7*'Look Up Data'!$I$86/2200*1.15</f>
        <v>976.60563930238152</v>
      </c>
      <c r="H12" s="354">
        <f>H$7*'Look Up Data'!$I$86/2200*1.15</f>
        <v>975.27804604746427</v>
      </c>
      <c r="I12" s="354">
        <f>I$7*'Look Up Data'!$I$86/2200*1.15</f>
        <v>973.69106200443809</v>
      </c>
      <c r="J12" s="354">
        <f>J$7*'Look Up Data'!$I$86/2200*1.15</f>
        <v>971.83720675590826</v>
      </c>
      <c r="K12" s="354">
        <f>K$7*'Look Up Data'!$I$86/2200*1.15</f>
        <v>969.70883387383071</v>
      </c>
      <c r="L12" s="354">
        <f>L$7*'Look Up Data'!$I$86/2200*1.15</f>
        <v>967.29812762287065</v>
      </c>
      <c r="M12" s="354">
        <f>M$7*'Look Up Data'!$I$86/2200*1.15</f>
        <v>964.5970996022221</v>
      </c>
      <c r="N12" s="354">
        <f>N$7*'Look Up Data'!$I$86/2200*1.15</f>
        <v>961.59758532478736</v>
      </c>
      <c r="O12" s="354">
        <f>O$7*'Look Up Data'!$I$86/2200*1.15</f>
        <v>958.29124073258674</v>
      </c>
      <c r="P12" s="354">
        <f>P$7*'Look Up Data'!$I$86/2200*1.15</f>
        <v>954.66953864726293</v>
      </c>
      <c r="Q12" s="354">
        <f>Q$7*'Look Up Data'!$I$86/2200*1.15</f>
        <v>950.7237651545114</v>
      </c>
      <c r="R12" s="354">
        <f>R$7*'Look Up Data'!$I$86/2200*1.15</f>
        <v>932.46312647387822</v>
      </c>
      <c r="S12" s="354">
        <f>S$7*'Look Up Data'!$I$86/2200*1.15</f>
        <v>914.2024877932447</v>
      </c>
      <c r="T12" s="354">
        <f>T$7*'Look Up Data'!$I$86/2200*1.15</f>
        <v>895.94184911261152</v>
      </c>
      <c r="U12" s="354">
        <f>U$7*'Look Up Data'!$I$86/2200*1.15</f>
        <v>877.68121043197812</v>
      </c>
      <c r="V12" s="354">
        <f>V$7*'Look Up Data'!$I$86/2200*1.15</f>
        <v>859.42057175134482</v>
      </c>
      <c r="W12" s="354">
        <f>W$7*'Look Up Data'!$I$86/2200*1.15</f>
        <v>841.15993307071176</v>
      </c>
      <c r="X12" s="354">
        <f>X$7*'Look Up Data'!$I$86/2200*1.15</f>
        <v>822.89929439007847</v>
      </c>
      <c r="Y12" s="354">
        <f>Y$7*'Look Up Data'!$I$86/2200*1.15</f>
        <v>804.63865570944483</v>
      </c>
      <c r="Z12" s="354">
        <f>Z$7*'Look Up Data'!$I$86/2200*1.15</f>
        <v>786.37801702881166</v>
      </c>
      <c r="AA12" s="354" t="e">
        <f>AA$7*'Look Up Data'!$I$86/2200*1.15</f>
        <v>#REF!</v>
      </c>
      <c r="AB12" s="354" t="e">
        <f>AB$7*'Look Up Data'!$I$86/2200*1.15</f>
        <v>#REF!</v>
      </c>
      <c r="AC12" s="354" t="e">
        <f>AC$7*'Look Up Data'!$I$86/2200*1.15</f>
        <v>#REF!</v>
      </c>
      <c r="AD12" s="354" t="e">
        <f>AD$7*'Look Up Data'!$I$86/2200*1.15</f>
        <v>#REF!</v>
      </c>
      <c r="AE12" s="354" t="e">
        <f>AE$7*'Look Up Data'!$I$86/2200*1.15</f>
        <v>#REF!</v>
      </c>
    </row>
    <row r="13" spans="1:51" x14ac:dyDescent="0.25">
      <c r="A13" s="93" t="s">
        <v>240</v>
      </c>
      <c r="B13" s="93"/>
      <c r="C13" s="165"/>
      <c r="D13" s="168" t="e">
        <f>D7*#REF!*1.1</f>
        <v>#REF!</v>
      </c>
      <c r="E13" s="168" t="e">
        <f>E7*#REF!*1.1</f>
        <v>#REF!</v>
      </c>
      <c r="F13" s="168" t="e">
        <f>F7*#REF!*1.1</f>
        <v>#REF!</v>
      </c>
      <c r="G13" s="354">
        <f>G$7*'Look Up Data'!$I$87/2200*1.15</f>
        <v>2.5169037922929693E-2</v>
      </c>
      <c r="H13" s="354">
        <f>H$7*'Look Up Data'!$I$87/2200*1.15</f>
        <v>2.5134823247492111E-2</v>
      </c>
      <c r="I13" s="354">
        <f>I$7*'Look Up Data'!$I$87/2200*1.15</f>
        <v>2.5093923563981643E-2</v>
      </c>
      <c r="J13" s="354">
        <f>J$7*'Look Up Data'!$I$87/2200*1.15</f>
        <v>2.5046146087407583E-2</v>
      </c>
      <c r="K13" s="354">
        <f>K$7*'Look Up Data'!$I$87/2200*1.15</f>
        <v>2.4991293754360006E-2</v>
      </c>
      <c r="L13" s="354">
        <f>L$7*'Look Up Data'!$I$87/2200*1.15</f>
        <v>2.4929165138048923E-2</v>
      </c>
      <c r="M13" s="354">
        <f>M$7*'Look Up Data'!$I$87/2200*1.15</f>
        <v>2.4859554361757321E-2</v>
      </c>
      <c r="N13" s="354">
        <f>N$7*'Look Up Data'!$I$87/2200*1.15</f>
        <v>2.4782251010679959E-2</v>
      </c>
      <c r="O13" s="354">
        <f>O$7*'Look Up Data'!$I$87/2200*1.15</f>
        <v>2.4697040042118673E-2</v>
      </c>
      <c r="P13" s="354">
        <f>P$7*'Look Up Data'!$I$87/2200*1.15</f>
        <v>2.4603701694004908E-2</v>
      </c>
      <c r="Q13" s="354">
        <f>Q$7*'Look Up Data'!$I$87/2200*1.15</f>
        <v>2.4502011391719439E-2</v>
      </c>
      <c r="R13" s="354">
        <f>R$7*'Look Up Data'!$I$87/2200*1.15</f>
        <v>2.4031399008426137E-2</v>
      </c>
      <c r="S13" s="354">
        <f>S$7*'Look Up Data'!$I$87/2200*1.15</f>
        <v>2.3560786625132828E-2</v>
      </c>
      <c r="T13" s="354">
        <f>T$7*'Look Up Data'!$I$87/2200*1.15</f>
        <v>2.3090174241839526E-2</v>
      </c>
      <c r="U13" s="354">
        <f>U$7*'Look Up Data'!$I$87/2200*1.15</f>
        <v>2.2619561858546213E-2</v>
      </c>
      <c r="V13" s="354">
        <f>V$7*'Look Up Data'!$I$87/2200*1.15</f>
        <v>2.2148949475252915E-2</v>
      </c>
      <c r="W13" s="354">
        <f>W$7*'Look Up Data'!$I$87/2200*1.15</f>
        <v>2.1678337091959606E-2</v>
      </c>
      <c r="X13" s="354">
        <f>X$7*'Look Up Data'!$I$87/2200*1.15</f>
        <v>2.1207724708666307E-2</v>
      </c>
      <c r="Y13" s="354">
        <f>Y$7*'Look Up Data'!$I$87/2200*1.15</f>
        <v>2.0737112325372991E-2</v>
      </c>
      <c r="Z13" s="354">
        <f>Z$7*'Look Up Data'!$I$87/2200*1.15</f>
        <v>2.0266499942079685E-2</v>
      </c>
      <c r="AA13" s="354" t="e">
        <f>AA$7*'Look Up Data'!$I$87/2200*1.15</f>
        <v>#REF!</v>
      </c>
      <c r="AB13" s="354" t="e">
        <f>AB$7*'Look Up Data'!$I$87/2200*1.15</f>
        <v>#REF!</v>
      </c>
      <c r="AC13" s="354" t="e">
        <f>AC$7*'Look Up Data'!$I$87/2200*1.15</f>
        <v>#REF!</v>
      </c>
      <c r="AD13" s="354" t="e">
        <f>AD$7*'Look Up Data'!$I$87/2200*1.15</f>
        <v>#REF!</v>
      </c>
      <c r="AE13" s="354" t="e">
        <f>AE$7*'Look Up Data'!$I$87/2200*1.15</f>
        <v>#REF!</v>
      </c>
    </row>
    <row r="14" spans="1:51" x14ac:dyDescent="0.25">
      <c r="A14" s="93"/>
      <c r="B14" s="93"/>
      <c r="C14" s="165"/>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51" s="78" customFormat="1" x14ac:dyDescent="0.25">
      <c r="A15" s="84" t="s">
        <v>241</v>
      </c>
      <c r="B15" s="84"/>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1" x14ac:dyDescent="0.25">
      <c r="A16" s="93" t="s">
        <v>237</v>
      </c>
      <c r="B16" s="93"/>
      <c r="C16" s="164"/>
      <c r="D16" s="164" t="e">
        <f>D10*#REF!</f>
        <v>#REF!</v>
      </c>
      <c r="E16" s="164" t="e">
        <f>E10*#REF!</f>
        <v>#REF!</v>
      </c>
      <c r="F16" s="164" t="e">
        <f>F10*#REF!</f>
        <v>#REF!</v>
      </c>
      <c r="G16" s="355">
        <f>G10*'Look Up Data'!N102</f>
        <v>8621.6028461783717</v>
      </c>
      <c r="H16" s="355">
        <f>H10*'Look Up Data'!O102</f>
        <v>8609.8826785646161</v>
      </c>
      <c r="I16" s="355">
        <f>I10*'Look Up Data'!P102</f>
        <v>8595.8725750063695</v>
      </c>
      <c r="J16" s="355">
        <f>J10*'Look Up Data'!Q102</f>
        <v>8579.5064973964327</v>
      </c>
      <c r="K16" s="355">
        <f>K10*'Look Up Data'!R102</f>
        <v>8560.716942063782</v>
      </c>
      <c r="L16" s="355">
        <f>L10*'Look Up Data'!S102</f>
        <v>8539.4349106704085</v>
      </c>
      <c r="M16" s="355">
        <f>M10*'Look Up Data'!T102</f>
        <v>8515.5898805648449</v>
      </c>
      <c r="N16" s="355">
        <f>N10*'Look Up Data'!U102</f>
        <v>8489.1097745827028</v>
      </c>
      <c r="O16" s="355">
        <f>O10*'Look Up Data'!V102</f>
        <v>8459.9209302842755</v>
      </c>
      <c r="P16" s="355">
        <f>P10*'Look Up Data'!W102</f>
        <v>8427.9480686191073</v>
      </c>
      <c r="Q16" s="355">
        <f>Q10*'Look Up Data'!X102</f>
        <v>8393.1142620072787</v>
      </c>
      <c r="R16" s="355">
        <f>R10*'Look Up Data'!Y102</f>
        <v>8231.9069454752498</v>
      </c>
      <c r="S16" s="355">
        <f>S10*'Look Up Data'!Z102</f>
        <v>8070.6996289432191</v>
      </c>
      <c r="T16" s="355">
        <f>T10*'Look Up Data'!AA102</f>
        <v>7909.492312411192</v>
      </c>
      <c r="U16" s="355">
        <f>U10*'Look Up Data'!AB102</f>
        <v>7748.284995879163</v>
      </c>
      <c r="V16" s="355">
        <f>V10*'Look Up Data'!AC102</f>
        <v>7587.0776793471368</v>
      </c>
      <c r="W16" s="355">
        <f>W10*'Look Up Data'!AD102</f>
        <v>7425.8703628151079</v>
      </c>
      <c r="X16" s="355">
        <f>X10*'Look Up Data'!AE102</f>
        <v>7264.6630462830799</v>
      </c>
      <c r="Y16" s="355">
        <f>Y10*'Look Up Data'!AF102</f>
        <v>7103.4557297510501</v>
      </c>
      <c r="Z16" s="355">
        <f>Z10*'Look Up Data'!AG102</f>
        <v>6942.248413219022</v>
      </c>
      <c r="AA16" s="355" t="e">
        <f>AA10*'Look Up Data'!AH102</f>
        <v>#REF!</v>
      </c>
      <c r="AB16" s="355" t="e">
        <f>AB10*'Look Up Data'!AI102</f>
        <v>#REF!</v>
      </c>
      <c r="AC16" s="355" t="e">
        <f>AC10*'Look Up Data'!AJ102</f>
        <v>#REF!</v>
      </c>
      <c r="AD16" s="355" t="e">
        <f>AD10*'Look Up Data'!AK102</f>
        <v>#REF!</v>
      </c>
      <c r="AE16" s="355" t="e">
        <f>AE10*'Look Up Data'!AL102</f>
        <v>#REF!</v>
      </c>
    </row>
    <row r="17" spans="1:51" x14ac:dyDescent="0.25">
      <c r="A17" s="93" t="s">
        <v>238</v>
      </c>
      <c r="B17" s="93"/>
      <c r="C17" s="164"/>
      <c r="D17" s="164" t="e">
        <f>D11*#REF!</f>
        <v>#REF!</v>
      </c>
      <c r="E17" s="164" t="e">
        <f>E11*#REF!</f>
        <v>#REF!</v>
      </c>
      <c r="F17" s="164" t="e">
        <f>F11*#REF!</f>
        <v>#REF!</v>
      </c>
      <c r="G17" s="355">
        <f>G11*'Look Up Data'!N103</f>
        <v>299.66349905229589</v>
      </c>
      <c r="H17" s="355">
        <f>H11*'Look Up Data'!O103</f>
        <v>299.25613785748345</v>
      </c>
      <c r="I17" s="355">
        <f>I11*'Look Up Data'!P103</f>
        <v>298.76918470860238</v>
      </c>
      <c r="J17" s="355">
        <f>J11*'Look Up Data'!Q103</f>
        <v>298.20034430040266</v>
      </c>
      <c r="K17" s="355">
        <f>K11*'Look Up Data'!R103</f>
        <v>297.54727038861671</v>
      </c>
      <c r="L17" s="355">
        <f>L11*'Look Up Data'!S103</f>
        <v>296.80756477841157</v>
      </c>
      <c r="M17" s="355">
        <f>M11*'Look Up Data'!T103</f>
        <v>295.97877629395845</v>
      </c>
      <c r="N17" s="355">
        <f>N11*'Look Up Data'!U103</f>
        <v>295.05839972878164</v>
      </c>
      <c r="O17" s="355">
        <f>O11*'Look Up Data'!V103</f>
        <v>294.04387477654075</v>
      </c>
      <c r="P17" s="355">
        <f>P11*'Look Up Data'!W103</f>
        <v>292.93258494189627</v>
      </c>
      <c r="Q17" s="355">
        <f>Q11*'Look Up Data'!X103</f>
        <v>291.72185643110214</v>
      </c>
      <c r="R17" s="355">
        <f>R11*'Look Up Data'!Y103</f>
        <v>286.11872794018223</v>
      </c>
      <c r="S17" s="355">
        <f>S11*'Look Up Data'!Z103</f>
        <v>280.51559944926225</v>
      </c>
      <c r="T17" s="355">
        <f>T11*'Look Up Data'!AA103</f>
        <v>274.91247095834234</v>
      </c>
      <c r="U17" s="355">
        <f>U11*'Look Up Data'!AB103</f>
        <v>269.30934246742231</v>
      </c>
      <c r="V17" s="355">
        <f>V11*'Look Up Data'!AC103</f>
        <v>263.70621397650234</v>
      </c>
      <c r="W17" s="355">
        <f>W11*'Look Up Data'!AD103</f>
        <v>258.10308548558243</v>
      </c>
      <c r="X17" s="355">
        <f>X11*'Look Up Data'!AE103</f>
        <v>252.49995699466254</v>
      </c>
      <c r="Y17" s="355">
        <f>Y11*'Look Up Data'!AF103</f>
        <v>246.89682850374246</v>
      </c>
      <c r="Z17" s="355">
        <f>Z11*'Look Up Data'!AG103</f>
        <v>241.29370001282254</v>
      </c>
      <c r="AA17" s="355" t="e">
        <f>AA11*'Look Up Data'!AH103</f>
        <v>#REF!</v>
      </c>
      <c r="AB17" s="355" t="e">
        <f>AB11*'Look Up Data'!AI103</f>
        <v>#REF!</v>
      </c>
      <c r="AC17" s="355" t="e">
        <f>AC11*'Look Up Data'!AJ103</f>
        <v>#REF!</v>
      </c>
      <c r="AD17" s="355" t="e">
        <f>AD11*'Look Up Data'!AK103</f>
        <v>#REF!</v>
      </c>
      <c r="AE17" s="355" t="e">
        <f>AE11*'Look Up Data'!AL103</f>
        <v>#REF!</v>
      </c>
    </row>
    <row r="18" spans="1:51" x14ac:dyDescent="0.25">
      <c r="A18" s="93" t="s">
        <v>239</v>
      </c>
      <c r="B18" s="93"/>
      <c r="C18" s="164"/>
      <c r="D18" s="164" t="e">
        <f>D12*#REF!</f>
        <v>#REF!</v>
      </c>
      <c r="E18" s="164" t="e">
        <f>E12*#REF!</f>
        <v>#REF!</v>
      </c>
      <c r="F18" s="164" t="e">
        <f>F12*#REF!</f>
        <v>#REF!</v>
      </c>
      <c r="G18" s="355">
        <f>G12*'Look Up Data'!N104</f>
        <v>62502.760915352417</v>
      </c>
      <c r="H18" s="355">
        <f>H12*'Look Up Data'!O104</f>
        <v>63393.072993085181</v>
      </c>
      <c r="I18" s="355">
        <f>I12*'Look Up Data'!P104</f>
        <v>64263.610092292911</v>
      </c>
      <c r="J18" s="355">
        <f>J12*'Look Up Data'!Q104</f>
        <v>65113.092852645852</v>
      </c>
      <c r="K18" s="355">
        <f>K12*'Look Up Data'!R104</f>
        <v>65940.200703420487</v>
      </c>
      <c r="L18" s="355">
        <f>L12*'Look Up Data'!S104</f>
        <v>66743.570805978074</v>
      </c>
      <c r="M18" s="355">
        <f>M12*'Look Up Data'!T104</f>
        <v>67521.796972155542</v>
      </c>
      <c r="N18" s="355">
        <f>N12*'Look Up Data'!U104</f>
        <v>68273.42855805991</v>
      </c>
      <c r="O18" s="355">
        <f>O12*'Look Up Data'!V104</f>
        <v>68996.969332746245</v>
      </c>
      <c r="P18" s="355">
        <f>P12*'Look Up Data'!W104</f>
        <v>69690.876321250194</v>
      </c>
      <c r="Q18" s="355">
        <f>Q12*'Look Up Data'!X104</f>
        <v>70353.55862143384</v>
      </c>
      <c r="R18" s="355">
        <f>R12*'Look Up Data'!Y104</f>
        <v>69934.734485540859</v>
      </c>
      <c r="S18" s="355">
        <f>S12*'Look Up Data'!Z104</f>
        <v>69479.389072286591</v>
      </c>
      <c r="T18" s="355">
        <f>T12*'Look Up Data'!AA104</f>
        <v>68987.522381671093</v>
      </c>
      <c r="U18" s="355">
        <f>U12*'Look Up Data'!AB104</f>
        <v>68459.134413694293</v>
      </c>
      <c r="V18" s="355">
        <f>V12*'Look Up Data'!AC104</f>
        <v>67894.225168356235</v>
      </c>
      <c r="W18" s="355">
        <f>W12*'Look Up Data'!AD104</f>
        <v>67292.794645656948</v>
      </c>
      <c r="X18" s="355">
        <f>X12*'Look Up Data'!AE104</f>
        <v>66654.842845596359</v>
      </c>
      <c r="Y18" s="355">
        <f>Y12*'Look Up Data'!AF104</f>
        <v>65980.369768174482</v>
      </c>
      <c r="Z18" s="355">
        <f>Z12*'Look Up Data'!AG104</f>
        <v>65269.375413391368</v>
      </c>
      <c r="AA18" s="355" t="e">
        <f>AA12*'Look Up Data'!AH104</f>
        <v>#REF!</v>
      </c>
      <c r="AB18" s="355" t="e">
        <f>AB12*'Look Up Data'!AI104</f>
        <v>#REF!</v>
      </c>
      <c r="AC18" s="355" t="e">
        <f>AC12*'Look Up Data'!AJ104</f>
        <v>#REF!</v>
      </c>
      <c r="AD18" s="355" t="e">
        <f>AD12*'Look Up Data'!AK104</f>
        <v>#REF!</v>
      </c>
      <c r="AE18" s="355" t="e">
        <f>AE12*'Look Up Data'!AL104</f>
        <v>#REF!</v>
      </c>
    </row>
    <row r="19" spans="1:51" x14ac:dyDescent="0.25">
      <c r="A19" s="93" t="s">
        <v>240</v>
      </c>
      <c r="B19" s="93"/>
      <c r="C19" s="164"/>
      <c r="D19" s="164" t="e">
        <f>D13*#REF!</f>
        <v>#REF!</v>
      </c>
      <c r="E19" s="164" t="e">
        <f>E13*#REF!</f>
        <v>#REF!</v>
      </c>
      <c r="F19" s="164" t="e">
        <f>F13*#REF!</f>
        <v>#REF!</v>
      </c>
      <c r="G19" s="355">
        <f>G13*'Look Up Data'!N105</f>
        <v>22843.418818850991</v>
      </c>
      <c r="H19" s="355">
        <f>H13*'Look Up Data'!O105</f>
        <v>22812.36557942384</v>
      </c>
      <c r="I19" s="355">
        <f>I13*'Look Up Data'!P105</f>
        <v>22775.245026669738</v>
      </c>
      <c r="J19" s="355">
        <f>J13*'Look Up Data'!Q105</f>
        <v>22731.882188931122</v>
      </c>
      <c r="K19" s="355">
        <f>K13*'Look Up Data'!R105</f>
        <v>22682.098211457142</v>
      </c>
      <c r="L19" s="355">
        <f>L13*'Look Up Data'!S105</f>
        <v>22625.710279293202</v>
      </c>
      <c r="M19" s="355">
        <f>M13*'Look Up Data'!T105</f>
        <v>22562.531538730946</v>
      </c>
      <c r="N19" s="355">
        <f>N13*'Look Up Data'!U105</f>
        <v>22492.371017293131</v>
      </c>
      <c r="O19" s="355">
        <f>O13*'Look Up Data'!V105</f>
        <v>22415.033542226909</v>
      </c>
      <c r="P19" s="355">
        <f>P13*'Look Up Data'!W105</f>
        <v>22330.319657478853</v>
      </c>
      <c r="Q19" s="355">
        <f>Q13*'Look Up Data'!X105</f>
        <v>22238.025539124563</v>
      </c>
      <c r="R19" s="355">
        <f>R13*'Look Up Data'!Y105</f>
        <v>21810.897740047563</v>
      </c>
      <c r="S19" s="355">
        <f>S13*'Look Up Data'!Z105</f>
        <v>21383.769940970553</v>
      </c>
      <c r="T19" s="355">
        <f>T13*'Look Up Data'!AA105</f>
        <v>20956.642141893553</v>
      </c>
      <c r="U19" s="355">
        <f>U13*'Look Up Data'!AB105</f>
        <v>20529.514342816543</v>
      </c>
      <c r="V19" s="355">
        <f>V13*'Look Up Data'!AC105</f>
        <v>20102.386543739543</v>
      </c>
      <c r="W19" s="355">
        <f>W13*'Look Up Data'!AD105</f>
        <v>19675.258744662537</v>
      </c>
      <c r="X19" s="355">
        <f>X13*'Look Up Data'!AE105</f>
        <v>19248.130945585541</v>
      </c>
      <c r="Y19" s="355">
        <f>Y13*'Look Up Data'!AF105</f>
        <v>18821.003146508527</v>
      </c>
      <c r="Z19" s="355">
        <f>Z13*'Look Up Data'!AG105</f>
        <v>18393.875347431524</v>
      </c>
      <c r="AA19" s="355" t="e">
        <f>AA13*'Look Up Data'!AH105</f>
        <v>#REF!</v>
      </c>
      <c r="AB19" s="355" t="e">
        <f>AB13*'Look Up Data'!AI105</f>
        <v>#REF!</v>
      </c>
      <c r="AC19" s="355" t="e">
        <f>AC13*'Look Up Data'!AJ105</f>
        <v>#REF!</v>
      </c>
      <c r="AD19" s="355" t="e">
        <f>AD13*'Look Up Data'!AK105</f>
        <v>#REF!</v>
      </c>
      <c r="AE19" s="355" t="e">
        <f>AE13*'Look Up Data'!AL105</f>
        <v>#REF!</v>
      </c>
    </row>
    <row r="20" spans="1:51" s="77" customForma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row>
    <row r="21" spans="1:51" x14ac:dyDescent="0.25">
      <c r="A21"/>
    </row>
    <row r="22" spans="1:51" x14ac:dyDescent="0.25">
      <c r="A22"/>
    </row>
    <row r="23" spans="1:51" x14ac:dyDescent="0.25">
      <c r="A23"/>
    </row>
    <row r="24" spans="1:51" x14ac:dyDescent="0.25">
      <c r="A24"/>
    </row>
    <row r="25" spans="1:51" x14ac:dyDescent="0.25">
      <c r="A25"/>
    </row>
    <row r="26" spans="1:51" x14ac:dyDescent="0.25">
      <c r="A26"/>
    </row>
    <row r="27" spans="1:51" x14ac:dyDescent="0.25">
      <c r="A27"/>
    </row>
    <row r="28" spans="1:51" x14ac:dyDescent="0.25">
      <c r="A28"/>
    </row>
    <row r="29" spans="1:51" x14ac:dyDescent="0.25">
      <c r="A29"/>
    </row>
    <row r="30" spans="1:51" x14ac:dyDescent="0.25">
      <c r="A30"/>
    </row>
    <row r="31" spans="1:51" x14ac:dyDescent="0.25">
      <c r="A31"/>
    </row>
    <row r="32" spans="1:5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sheetData>
  <pageMargins left="0.7" right="0.7" top="0.75" bottom="0.75" header="0.3" footer="0.3"/>
  <pageSetup paperSize="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BF16-1F53-4AC7-A8FC-101825D57477}">
  <sheetPr>
    <tabColor theme="9" tint="0.39997558519241921"/>
  </sheetPr>
  <dimension ref="A1:V11"/>
  <sheetViews>
    <sheetView topLeftCell="M1" zoomScale="80" zoomScaleNormal="80" workbookViewId="0">
      <selection activeCell="W1" sqref="W1:AB1048576"/>
    </sheetView>
  </sheetViews>
  <sheetFormatPr defaultRowHeight="15" x14ac:dyDescent="0.25"/>
  <cols>
    <col min="1" max="1" width="45.5703125" customWidth="1"/>
    <col min="3" max="22" width="12.5703125" customWidth="1"/>
  </cols>
  <sheetData>
    <row r="1" spans="1:22" x14ac:dyDescent="0.25">
      <c r="A1" t="s">
        <v>242</v>
      </c>
    </row>
    <row r="3" spans="1:22" ht="21" x14ac:dyDescent="0.35">
      <c r="A3" s="174" t="s">
        <v>243</v>
      </c>
      <c r="B3" s="22"/>
    </row>
    <row r="4" spans="1:22" x14ac:dyDescent="0.25">
      <c r="B4" s="22"/>
    </row>
    <row r="5" spans="1:22" x14ac:dyDescent="0.25">
      <c r="A5" s="1" t="s">
        <v>47</v>
      </c>
      <c r="B5" s="1"/>
      <c r="C5">
        <v>1</v>
      </c>
      <c r="D5">
        <f t="shared" ref="D5:S6" si="0">C5+1</f>
        <v>2</v>
      </c>
      <c r="E5">
        <f t="shared" si="0"/>
        <v>3</v>
      </c>
      <c r="F5">
        <f t="shared" si="0"/>
        <v>4</v>
      </c>
      <c r="G5">
        <f t="shared" si="0"/>
        <v>5</v>
      </c>
      <c r="H5">
        <f t="shared" si="0"/>
        <v>6</v>
      </c>
      <c r="I5">
        <f t="shared" si="0"/>
        <v>7</v>
      </c>
      <c r="J5">
        <f t="shared" si="0"/>
        <v>8</v>
      </c>
      <c r="K5">
        <f t="shared" si="0"/>
        <v>9</v>
      </c>
      <c r="L5">
        <f t="shared" si="0"/>
        <v>10</v>
      </c>
      <c r="M5">
        <f t="shared" si="0"/>
        <v>11</v>
      </c>
      <c r="N5">
        <f t="shared" si="0"/>
        <v>12</v>
      </c>
      <c r="O5">
        <f t="shared" si="0"/>
        <v>13</v>
      </c>
      <c r="P5">
        <f t="shared" si="0"/>
        <v>14</v>
      </c>
      <c r="Q5">
        <f t="shared" si="0"/>
        <v>15</v>
      </c>
      <c r="R5">
        <f t="shared" si="0"/>
        <v>16</v>
      </c>
      <c r="S5">
        <f t="shared" si="0"/>
        <v>17</v>
      </c>
      <c r="T5">
        <f t="shared" ref="T5:V6" si="1">S5+1</f>
        <v>18</v>
      </c>
      <c r="U5">
        <f t="shared" si="1"/>
        <v>19</v>
      </c>
      <c r="V5">
        <f t="shared" si="1"/>
        <v>20</v>
      </c>
    </row>
    <row r="6" spans="1:22" x14ac:dyDescent="0.25">
      <c r="C6">
        <v>2030</v>
      </c>
      <c r="D6">
        <f t="shared" si="0"/>
        <v>2031</v>
      </c>
      <c r="E6">
        <f t="shared" si="0"/>
        <v>2032</v>
      </c>
      <c r="F6">
        <f t="shared" si="0"/>
        <v>2033</v>
      </c>
      <c r="G6">
        <f t="shared" si="0"/>
        <v>2034</v>
      </c>
      <c r="H6">
        <f t="shared" si="0"/>
        <v>2035</v>
      </c>
      <c r="I6">
        <f t="shared" si="0"/>
        <v>2036</v>
      </c>
      <c r="J6">
        <f t="shared" si="0"/>
        <v>2037</v>
      </c>
      <c r="K6">
        <f t="shared" si="0"/>
        <v>2038</v>
      </c>
      <c r="L6">
        <f t="shared" si="0"/>
        <v>2039</v>
      </c>
      <c r="M6">
        <f t="shared" si="0"/>
        <v>2040</v>
      </c>
      <c r="N6">
        <f t="shared" si="0"/>
        <v>2041</v>
      </c>
      <c r="O6">
        <f t="shared" si="0"/>
        <v>2042</v>
      </c>
      <c r="P6">
        <f t="shared" si="0"/>
        <v>2043</v>
      </c>
      <c r="Q6">
        <f t="shared" si="0"/>
        <v>2044</v>
      </c>
      <c r="R6">
        <f t="shared" si="0"/>
        <v>2045</v>
      </c>
      <c r="S6">
        <f t="shared" si="0"/>
        <v>2046</v>
      </c>
      <c r="T6">
        <f t="shared" si="1"/>
        <v>2047</v>
      </c>
      <c r="U6">
        <f t="shared" si="1"/>
        <v>2048</v>
      </c>
      <c r="V6">
        <f t="shared" si="1"/>
        <v>2049</v>
      </c>
    </row>
    <row r="7" spans="1:22" ht="15.75" x14ac:dyDescent="0.25">
      <c r="A7" s="91"/>
      <c r="B7" s="22"/>
    </row>
    <row r="8" spans="1:22" x14ac:dyDescent="0.25">
      <c r="A8" t="s">
        <v>244</v>
      </c>
      <c r="C8" s="96">
        <v>162631.59000000003</v>
      </c>
      <c r="D8" s="96">
        <v>162631.59000000003</v>
      </c>
      <c r="E8" s="96">
        <v>162631.59000000003</v>
      </c>
      <c r="F8" s="96">
        <v>162631.59000000003</v>
      </c>
      <c r="G8" s="96">
        <v>162631.59000000003</v>
      </c>
      <c r="H8" s="96">
        <v>162631.59000000003</v>
      </c>
      <c r="I8" s="96">
        <v>162631.59000000003</v>
      </c>
      <c r="J8" s="96">
        <v>162631.59000000003</v>
      </c>
      <c r="K8" s="96">
        <v>162631.59000000003</v>
      </c>
      <c r="L8" s="96">
        <v>162631.59000000003</v>
      </c>
      <c r="M8" s="96">
        <v>162631.59000000003</v>
      </c>
      <c r="N8" s="96">
        <v>162631.59000000003</v>
      </c>
      <c r="O8" s="96">
        <v>162631.59000000003</v>
      </c>
      <c r="P8" s="96">
        <v>162631.59000000003</v>
      </c>
      <c r="Q8" s="96">
        <v>162631.59000000003</v>
      </c>
      <c r="R8" s="96">
        <v>162631.59000000003</v>
      </c>
      <c r="S8" s="96">
        <v>162631.59000000003</v>
      </c>
      <c r="T8" s="96">
        <v>162631.59000000003</v>
      </c>
      <c r="U8" s="96">
        <v>162631.59000000003</v>
      </c>
      <c r="V8" s="96">
        <v>162631.59000000003</v>
      </c>
    </row>
    <row r="9" spans="1:22" x14ac:dyDescent="0.25">
      <c r="A9" t="s">
        <v>245</v>
      </c>
      <c r="C9" s="96">
        <v>36724.602749999998</v>
      </c>
      <c r="D9" s="96">
        <v>36724.602749999998</v>
      </c>
      <c r="E9" s="96">
        <v>36724.602749999998</v>
      </c>
      <c r="F9" s="96">
        <v>36724.602749999998</v>
      </c>
      <c r="G9" s="96">
        <v>36724.602749999998</v>
      </c>
      <c r="H9" s="96">
        <v>36724.602749999998</v>
      </c>
      <c r="I9" s="96">
        <v>36724.602749999998</v>
      </c>
      <c r="J9" s="96">
        <v>36724.602749999998</v>
      </c>
      <c r="K9" s="96">
        <v>36724.602749999998</v>
      </c>
      <c r="L9" s="96">
        <v>36724.602749999998</v>
      </c>
      <c r="M9" s="96">
        <v>36724.602749999998</v>
      </c>
      <c r="N9" s="96">
        <v>36724.602749999998</v>
      </c>
      <c r="O9" s="96">
        <v>36724.602749999998</v>
      </c>
      <c r="P9" s="96">
        <v>36724.602749999998</v>
      </c>
      <c r="Q9" s="96">
        <v>36724.602749999998</v>
      </c>
      <c r="R9" s="96">
        <v>36724.602749999998</v>
      </c>
      <c r="S9" s="96">
        <v>36724.602749999998</v>
      </c>
      <c r="T9" s="96">
        <v>36724.602749999998</v>
      </c>
      <c r="U9" s="96">
        <v>36724.602749999998</v>
      </c>
      <c r="V9" s="96">
        <v>36724.602749999998</v>
      </c>
    </row>
    <row r="11" spans="1:22" x14ac:dyDescent="0.25">
      <c r="A11" t="s">
        <v>246</v>
      </c>
      <c r="C11" s="82">
        <f>C8+C9</f>
        <v>199356.19275000002</v>
      </c>
      <c r="D11" s="82">
        <f t="shared" ref="D11:V11" si="2">D8+D9</f>
        <v>199356.19275000002</v>
      </c>
      <c r="E11" s="82">
        <f t="shared" si="2"/>
        <v>199356.19275000002</v>
      </c>
      <c r="F11" s="82">
        <f t="shared" si="2"/>
        <v>199356.19275000002</v>
      </c>
      <c r="G11" s="82">
        <f t="shared" si="2"/>
        <v>199356.19275000002</v>
      </c>
      <c r="H11" s="82">
        <f t="shared" si="2"/>
        <v>199356.19275000002</v>
      </c>
      <c r="I11" s="82">
        <f t="shared" si="2"/>
        <v>199356.19275000002</v>
      </c>
      <c r="J11" s="82">
        <f t="shared" si="2"/>
        <v>199356.19275000002</v>
      </c>
      <c r="K11" s="82">
        <f t="shared" si="2"/>
        <v>199356.19275000002</v>
      </c>
      <c r="L11" s="82">
        <f t="shared" si="2"/>
        <v>199356.19275000002</v>
      </c>
      <c r="M11" s="82">
        <f t="shared" si="2"/>
        <v>199356.19275000002</v>
      </c>
      <c r="N11" s="82">
        <f t="shared" si="2"/>
        <v>199356.19275000002</v>
      </c>
      <c r="O11" s="82">
        <f t="shared" si="2"/>
        <v>199356.19275000002</v>
      </c>
      <c r="P11" s="82">
        <f t="shared" si="2"/>
        <v>199356.19275000002</v>
      </c>
      <c r="Q11" s="82">
        <f t="shared" si="2"/>
        <v>199356.19275000002</v>
      </c>
      <c r="R11" s="82">
        <f t="shared" si="2"/>
        <v>199356.19275000002</v>
      </c>
      <c r="S11" s="82">
        <f t="shared" si="2"/>
        <v>199356.19275000002</v>
      </c>
      <c r="T11" s="82">
        <f t="shared" si="2"/>
        <v>199356.19275000002</v>
      </c>
      <c r="U11" s="82">
        <f t="shared" si="2"/>
        <v>199356.19275000002</v>
      </c>
      <c r="V11" s="82">
        <f t="shared" si="2"/>
        <v>199356.19275000002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DBFF-1AD4-479B-AC8A-A8F381627D69}">
  <sheetPr>
    <tabColor theme="7"/>
  </sheetPr>
  <dimension ref="A1:AU145"/>
  <sheetViews>
    <sheetView topLeftCell="A108" zoomScale="80" zoomScaleNormal="80" workbookViewId="0">
      <selection activeCell="B124" sqref="B124"/>
    </sheetView>
  </sheetViews>
  <sheetFormatPr defaultRowHeight="15" x14ac:dyDescent="0.25"/>
  <cols>
    <col min="1" max="1" width="45.5703125" customWidth="1"/>
    <col min="2" max="5" width="20.5703125" customWidth="1"/>
    <col min="6" max="28" width="13.5703125" customWidth="1"/>
    <col min="29" max="41" width="12.5703125" customWidth="1"/>
  </cols>
  <sheetData>
    <row r="1" spans="1:42" ht="33.75" x14ac:dyDescent="0.5">
      <c r="A1" s="195" t="s">
        <v>247</v>
      </c>
    </row>
    <row r="2" spans="1:42" ht="33.75" x14ac:dyDescent="0.5">
      <c r="A2" s="195"/>
    </row>
    <row r="3" spans="1:42" ht="21.75" thickBot="1" x14ac:dyDescent="0.4">
      <c r="A3" s="174" t="s">
        <v>248</v>
      </c>
    </row>
    <row r="4" spans="1:42" x14ac:dyDescent="0.25">
      <c r="A4" s="293" t="s">
        <v>249</v>
      </c>
      <c r="B4" s="294" t="s">
        <v>250</v>
      </c>
      <c r="C4" s="294" t="s">
        <v>251</v>
      </c>
      <c r="D4" s="28"/>
      <c r="E4" s="28"/>
      <c r="F4" s="28"/>
      <c r="G4" s="28"/>
      <c r="H4" s="28"/>
      <c r="I4" s="29"/>
    </row>
    <row r="5" spans="1:42" ht="18.75" x14ac:dyDescent="0.3">
      <c r="A5" s="196"/>
      <c r="I5" s="46"/>
    </row>
    <row r="6" spans="1:42" x14ac:dyDescent="0.25">
      <c r="A6" s="39" t="s">
        <v>252</v>
      </c>
      <c r="B6">
        <v>7.0000000000000007E-2</v>
      </c>
      <c r="C6" s="10" t="s">
        <v>253</v>
      </c>
      <c r="H6" s="295"/>
      <c r="I6" s="46"/>
    </row>
    <row r="7" spans="1:42" x14ac:dyDescent="0.25">
      <c r="A7" s="39" t="s">
        <v>254</v>
      </c>
      <c r="B7">
        <v>0.03</v>
      </c>
      <c r="C7" s="10" t="s">
        <v>253</v>
      </c>
      <c r="I7" s="46"/>
    </row>
    <row r="8" spans="1:42" x14ac:dyDescent="0.25">
      <c r="A8" s="39" t="s">
        <v>255</v>
      </c>
      <c r="B8">
        <v>300</v>
      </c>
      <c r="C8" s="10" t="s">
        <v>256</v>
      </c>
      <c r="F8" s="12"/>
      <c r="G8" s="12"/>
      <c r="H8" s="12"/>
      <c r="I8" s="67"/>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2" x14ac:dyDescent="0.25">
      <c r="A9" s="39" t="s">
        <v>257</v>
      </c>
      <c r="B9">
        <v>1.67</v>
      </c>
      <c r="C9" s="10" t="s">
        <v>253</v>
      </c>
      <c r="F9" s="12"/>
      <c r="G9" s="12"/>
      <c r="H9" s="12"/>
      <c r="I9" s="67"/>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row>
    <row r="10" spans="1:42" hidden="1" x14ac:dyDescent="0.25">
      <c r="A10" s="39" t="s">
        <v>258</v>
      </c>
      <c r="B10" s="197">
        <v>0.46</v>
      </c>
      <c r="C10" s="10" t="s">
        <v>253</v>
      </c>
      <c r="F10" s="12"/>
      <c r="G10" s="12"/>
      <c r="H10" s="12"/>
      <c r="I10" s="67"/>
      <c r="J10" s="12"/>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row>
    <row r="11" spans="1:42" hidden="1" x14ac:dyDescent="0.25">
      <c r="A11" s="39" t="s">
        <v>259</v>
      </c>
      <c r="B11" s="198">
        <v>1.01</v>
      </c>
      <c r="C11" s="10" t="s">
        <v>253</v>
      </c>
      <c r="F11" s="12"/>
      <c r="G11" s="12"/>
      <c r="H11" s="12"/>
      <c r="I11" s="67"/>
      <c r="J11" s="12"/>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row>
    <row r="12" spans="1:42" hidden="1" x14ac:dyDescent="0.25">
      <c r="A12" s="39" t="s">
        <v>260</v>
      </c>
      <c r="B12" s="198">
        <f>B11/B17</f>
        <v>4.1224489795918369E-2</v>
      </c>
      <c r="C12" s="10" t="s">
        <v>261</v>
      </c>
      <c r="F12" s="12"/>
      <c r="G12" s="12"/>
      <c r="H12" s="12"/>
      <c r="I12" s="67"/>
      <c r="J12" s="12"/>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row>
    <row r="13" spans="1:42" hidden="1" x14ac:dyDescent="0.25">
      <c r="A13" s="199" t="s">
        <v>262</v>
      </c>
      <c r="B13" s="289">
        <v>7.9</v>
      </c>
      <c r="C13" s="200" t="s">
        <v>263</v>
      </c>
      <c r="F13" s="12"/>
      <c r="G13" s="12"/>
      <c r="H13" s="12"/>
      <c r="I13" s="67"/>
      <c r="J13" s="12"/>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row>
    <row r="14" spans="1:42" hidden="1" x14ac:dyDescent="0.25">
      <c r="A14" s="199" t="s">
        <v>264</v>
      </c>
      <c r="B14" s="290">
        <f>B13/1000</f>
        <v>7.9000000000000008E-3</v>
      </c>
      <c r="C14" s="200" t="s">
        <v>261</v>
      </c>
      <c r="F14" s="12"/>
      <c r="G14" s="12"/>
      <c r="H14" s="12"/>
      <c r="I14" s="67"/>
      <c r="J14" s="12"/>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row>
    <row r="15" spans="1:42" hidden="1" x14ac:dyDescent="0.25">
      <c r="A15" s="199" t="s">
        <v>265</v>
      </c>
      <c r="B15" s="291">
        <f>B14*8/5</f>
        <v>1.2640000000000002E-2</v>
      </c>
      <c r="C15" s="200"/>
      <c r="F15" s="12"/>
      <c r="G15" s="12"/>
      <c r="H15" s="12"/>
      <c r="I15" s="67"/>
      <c r="J15" s="12"/>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row>
    <row r="16" spans="1:42" hidden="1" x14ac:dyDescent="0.25">
      <c r="A16" s="199" t="s">
        <v>266</v>
      </c>
      <c r="B16" s="292">
        <f>B15/1000</f>
        <v>1.2640000000000003E-5</v>
      </c>
      <c r="C16" s="10" t="s">
        <v>261</v>
      </c>
      <c r="F16" s="12"/>
      <c r="G16" s="12"/>
      <c r="H16" s="12"/>
      <c r="I16" s="67"/>
      <c r="J16" s="12"/>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row>
    <row r="17" spans="1:42" hidden="1" x14ac:dyDescent="0.25">
      <c r="A17" s="39" t="s">
        <v>267</v>
      </c>
      <c r="B17" s="165">
        <v>24.5</v>
      </c>
      <c r="C17" s="10" t="s">
        <v>268</v>
      </c>
      <c r="D17" s="200" t="s">
        <v>269</v>
      </c>
      <c r="F17" s="12"/>
      <c r="G17" s="12"/>
      <c r="H17" s="12"/>
      <c r="I17" s="67"/>
      <c r="J17" s="12"/>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row>
    <row r="18" spans="1:42" hidden="1" x14ac:dyDescent="0.25">
      <c r="A18" s="39" t="s">
        <v>270</v>
      </c>
      <c r="B18" s="10">
        <v>5000</v>
      </c>
      <c r="C18" s="10" t="s">
        <v>271</v>
      </c>
      <c r="D18" s="200"/>
      <c r="F18" s="12"/>
      <c r="G18" s="12"/>
      <c r="H18" s="12"/>
      <c r="I18" s="67"/>
      <c r="J18" s="12"/>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row>
    <row r="19" spans="1:42" hidden="1" x14ac:dyDescent="0.25">
      <c r="A19" s="39" t="s">
        <v>272</v>
      </c>
      <c r="B19" s="10">
        <v>3000</v>
      </c>
      <c r="C19" s="10" t="s">
        <v>273</v>
      </c>
      <c r="D19" s="200"/>
      <c r="F19" s="12"/>
      <c r="G19" s="12"/>
      <c r="H19" s="12"/>
      <c r="I19" s="67"/>
      <c r="J19" s="12"/>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row>
    <row r="20" spans="1:42" x14ac:dyDescent="0.25">
      <c r="A20" s="201" t="s">
        <v>274</v>
      </c>
      <c r="B20" s="198">
        <v>0.05</v>
      </c>
      <c r="C20" s="42" t="s">
        <v>275</v>
      </c>
      <c r="F20" s="12"/>
      <c r="G20" s="12"/>
      <c r="H20" s="12"/>
      <c r="I20" s="67"/>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row>
    <row r="21" spans="1:42" hidden="1" x14ac:dyDescent="0.25">
      <c r="A21" s="39" t="s">
        <v>276</v>
      </c>
      <c r="B21" s="202">
        <v>4.3999999999999997E-2</v>
      </c>
      <c r="C21" t="s">
        <v>277</v>
      </c>
      <c r="E21" s="200" t="s">
        <v>278</v>
      </c>
      <c r="F21" s="12"/>
      <c r="G21" s="12"/>
      <c r="H21" s="12"/>
      <c r="I21" s="67"/>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row>
    <row r="22" spans="1:42" hidden="1" x14ac:dyDescent="0.25">
      <c r="A22" s="39" t="s">
        <v>279</v>
      </c>
      <c r="B22" s="202">
        <v>0.17879999999999999</v>
      </c>
      <c r="C22" t="s">
        <v>277</v>
      </c>
      <c r="E22" s="200" t="s">
        <v>278</v>
      </c>
      <c r="F22" s="12"/>
      <c r="G22" s="12"/>
      <c r="H22" s="12"/>
      <c r="I22" s="67"/>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row>
    <row r="23" spans="1:42" hidden="1" x14ac:dyDescent="0.25">
      <c r="A23" s="39" t="s">
        <v>280</v>
      </c>
      <c r="B23" s="202">
        <v>2.9399999999999999E-2</v>
      </c>
      <c r="C23" t="s">
        <v>277</v>
      </c>
      <c r="E23" s="200" t="s">
        <v>278</v>
      </c>
      <c r="F23" s="12"/>
      <c r="G23" s="12"/>
      <c r="H23" s="12"/>
      <c r="I23" s="67"/>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row>
    <row r="24" spans="1:42" x14ac:dyDescent="0.25">
      <c r="A24" s="39" t="s">
        <v>281</v>
      </c>
      <c r="B24" s="44">
        <f>'Travel Time Savings - Hours'!O18-1</f>
        <v>1.4994576246944558E-2</v>
      </c>
      <c r="C24" t="s">
        <v>282</v>
      </c>
      <c r="E24" s="200"/>
      <c r="F24" s="12"/>
      <c r="G24" s="12"/>
      <c r="H24" s="12"/>
      <c r="I24" s="67"/>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row>
    <row r="25" spans="1:42" ht="17.100000000000001" customHeight="1" thickBot="1" x14ac:dyDescent="0.3">
      <c r="A25" s="296" t="s">
        <v>283</v>
      </c>
      <c r="B25" s="297">
        <f>2.9-0.184-0.2</f>
        <v>2.5159999999999996</v>
      </c>
      <c r="C25" s="298" t="s">
        <v>284</v>
      </c>
      <c r="D25" s="47"/>
      <c r="E25" s="47"/>
      <c r="F25" s="47"/>
      <c r="G25" s="47"/>
      <c r="H25" s="47"/>
      <c r="I25" s="48"/>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row>
    <row r="26" spans="1:42" ht="30" hidden="1" x14ac:dyDescent="0.25">
      <c r="A26" s="203" t="s">
        <v>285</v>
      </c>
      <c r="B26" s="9">
        <v>2</v>
      </c>
      <c r="F26" s="46"/>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row>
    <row r="27" spans="1:42" hidden="1" x14ac:dyDescent="0.25">
      <c r="A27" s="39" t="s">
        <v>286</v>
      </c>
      <c r="B27" s="15">
        <f>60*60</f>
        <v>3600</v>
      </c>
      <c r="F27" s="67"/>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row>
    <row r="28" spans="1:42" hidden="1" x14ac:dyDescent="0.25">
      <c r="A28" s="39" t="s">
        <v>287</v>
      </c>
      <c r="B28" s="15">
        <v>1000000</v>
      </c>
      <c r="E28" s="204"/>
      <c r="F28" s="205"/>
      <c r="G28" s="206"/>
      <c r="H28" s="206"/>
      <c r="I28" s="206"/>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row>
    <row r="29" spans="1:42" hidden="1" x14ac:dyDescent="0.25">
      <c r="A29" s="39" t="s">
        <v>288</v>
      </c>
      <c r="B29" s="3">
        <f>1/1000</f>
        <v>1E-3</v>
      </c>
      <c r="E29" s="204"/>
      <c r="F29" s="205"/>
      <c r="G29" s="206"/>
      <c r="H29" s="206"/>
      <c r="I29" s="206"/>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row>
    <row r="30" spans="1:42" hidden="1" x14ac:dyDescent="0.25">
      <c r="A30" s="39" t="s">
        <v>289</v>
      </c>
      <c r="B30" s="109">
        <v>0.90718474000000004</v>
      </c>
      <c r="F30" s="46"/>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row>
    <row r="31" spans="1:42" hidden="1" x14ac:dyDescent="0.25">
      <c r="A31" s="201" t="s">
        <v>290</v>
      </c>
      <c r="F31" s="67"/>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row>
    <row r="32" spans="1:42" hidden="1" x14ac:dyDescent="0.25">
      <c r="A32" s="39" t="s">
        <v>291</v>
      </c>
      <c r="B32" s="2">
        <v>20.72</v>
      </c>
      <c r="C32" t="s">
        <v>292</v>
      </c>
      <c r="D32" s="200" t="s">
        <v>293</v>
      </c>
      <c r="F32" s="67"/>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row>
    <row r="33" spans="1:42" hidden="1" x14ac:dyDescent="0.25">
      <c r="A33" s="39" t="s">
        <v>294</v>
      </c>
      <c r="B33" s="2">
        <f>B32*0.90718474</f>
        <v>18.796867812799999</v>
      </c>
      <c r="C33" t="s">
        <v>261</v>
      </c>
      <c r="F33" s="67"/>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row>
    <row r="34" spans="1:42" hidden="1" x14ac:dyDescent="0.25">
      <c r="A34" s="39" t="s">
        <v>295</v>
      </c>
      <c r="B34" s="207">
        <f>B33*0.000001</f>
        <v>1.8796867812799998E-5</v>
      </c>
      <c r="C34" t="s">
        <v>261</v>
      </c>
      <c r="F34" s="67"/>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row>
    <row r="35" spans="1:42" hidden="1" x14ac:dyDescent="0.25">
      <c r="A35" s="39" t="s">
        <v>296</v>
      </c>
      <c r="B35" s="197">
        <v>4.5</v>
      </c>
      <c r="C35" t="s">
        <v>256</v>
      </c>
      <c r="F35" s="67"/>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row>
    <row r="36" spans="1:42" hidden="1" x14ac:dyDescent="0.25">
      <c r="A36" s="39" t="s">
        <v>297</v>
      </c>
      <c r="B36" s="197">
        <v>0</v>
      </c>
      <c r="C36" t="s">
        <v>256</v>
      </c>
      <c r="F36" s="67"/>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row>
    <row r="37" spans="1:42" hidden="1" x14ac:dyDescent="0.25">
      <c r="A37" s="39" t="s">
        <v>298</v>
      </c>
      <c r="B37" s="197">
        <v>25</v>
      </c>
      <c r="C37" t="s">
        <v>299</v>
      </c>
      <c r="F37" s="67"/>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row>
    <row r="38" spans="1:42" hidden="1" x14ac:dyDescent="0.25">
      <c r="A38" s="39" t="s">
        <v>300</v>
      </c>
      <c r="B38" s="197">
        <v>24</v>
      </c>
      <c r="C38" t="s">
        <v>299</v>
      </c>
      <c r="F38" s="67"/>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hidden="1" x14ac:dyDescent="0.25">
      <c r="A39" s="39" t="s">
        <v>301</v>
      </c>
      <c r="B39" s="197">
        <v>20</v>
      </c>
      <c r="C39" t="s">
        <v>302</v>
      </c>
      <c r="F39" s="67"/>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hidden="1" x14ac:dyDescent="0.25">
      <c r="A40" s="39" t="s">
        <v>303</v>
      </c>
      <c r="B40" s="197">
        <v>0.13</v>
      </c>
      <c r="C40" s="10" t="s">
        <v>304</v>
      </c>
      <c r="F40" s="67"/>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row>
    <row r="41" spans="1:42" hidden="1" x14ac:dyDescent="0.25">
      <c r="A41" s="619" t="s">
        <v>305</v>
      </c>
      <c r="B41" s="621">
        <v>0.13</v>
      </c>
      <c r="C41" s="623" t="s">
        <v>306</v>
      </c>
      <c r="D41" s="623"/>
      <c r="E41" s="623"/>
      <c r="F41" s="624"/>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row>
    <row r="42" spans="1:42" ht="15.75" hidden="1" thickBot="1" x14ac:dyDescent="0.3">
      <c r="A42" s="620"/>
      <c r="B42" s="622"/>
      <c r="C42" s="625" t="s">
        <v>307</v>
      </c>
      <c r="D42" s="625"/>
      <c r="E42" s="625"/>
      <c r="F42" s="626"/>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row>
    <row r="43" spans="1:42" x14ac:dyDescent="0.25">
      <c r="A43" s="299"/>
      <c r="B43" s="208"/>
      <c r="C43" s="300"/>
      <c r="D43" s="300"/>
      <c r="E43" s="300"/>
      <c r="F43" s="300"/>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row>
    <row r="44" spans="1:42" ht="21.75" thickBot="1" x14ac:dyDescent="0.4">
      <c r="A44" s="174" t="s">
        <v>308</v>
      </c>
      <c r="B44" s="20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row>
    <row r="45" spans="1:42" x14ac:dyDescent="0.25">
      <c r="A45" s="75" t="s">
        <v>309</v>
      </c>
      <c r="B45" s="63"/>
      <c r="C45" s="28"/>
      <c r="D45" s="28"/>
      <c r="E45" s="28"/>
      <c r="F45" s="64"/>
      <c r="G45" s="64"/>
      <c r="H45" s="64"/>
      <c r="I45" s="65">
        <v>2025</v>
      </c>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row>
    <row r="46" spans="1:42" x14ac:dyDescent="0.25">
      <c r="A46" s="66" t="s">
        <v>310</v>
      </c>
      <c r="B46" s="15"/>
      <c r="F46" s="12"/>
      <c r="G46" s="12"/>
      <c r="H46" s="12"/>
      <c r="I46" s="67"/>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row>
    <row r="47" spans="1:42" x14ac:dyDescent="0.25">
      <c r="A47" s="68" t="s">
        <v>237</v>
      </c>
      <c r="B47" t="s">
        <v>311</v>
      </c>
      <c r="C47" t="s">
        <v>312</v>
      </c>
      <c r="D47" s="1" t="s">
        <v>313</v>
      </c>
      <c r="E47" s="23"/>
      <c r="F47" s="23"/>
      <c r="G47" s="23"/>
      <c r="H47" s="23"/>
      <c r="I47" s="69">
        <f>E130</f>
        <v>2.1750000000000001E-7</v>
      </c>
      <c r="J47" s="23"/>
      <c r="K47" s="23"/>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row>
    <row r="48" spans="1:42" x14ac:dyDescent="0.25">
      <c r="A48" s="68" t="s">
        <v>238</v>
      </c>
      <c r="B48" t="s">
        <v>311</v>
      </c>
      <c r="C48" t="s">
        <v>312</v>
      </c>
      <c r="D48" s="1" t="s">
        <v>313</v>
      </c>
      <c r="E48" s="23"/>
      <c r="F48" s="23"/>
      <c r="G48" s="23"/>
      <c r="H48" s="23"/>
      <c r="I48" s="69">
        <f>C130</f>
        <v>2.1999999999999998E-9</v>
      </c>
      <c r="J48" s="23"/>
      <c r="K48" s="23"/>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row>
    <row r="49" spans="1:42" x14ac:dyDescent="0.25">
      <c r="A49" s="68" t="s">
        <v>239</v>
      </c>
      <c r="B49" t="s">
        <v>311</v>
      </c>
      <c r="C49" t="s">
        <v>312</v>
      </c>
      <c r="D49" s="1" t="s">
        <v>313</v>
      </c>
      <c r="E49" s="23"/>
      <c r="F49" s="23"/>
      <c r="G49" s="23"/>
      <c r="H49" s="23"/>
      <c r="I49" s="69">
        <f>F130</f>
        <v>4.0006814400000003E-4</v>
      </c>
      <c r="J49" s="23"/>
      <c r="K49" s="23"/>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row>
    <row r="50" spans="1:42" x14ac:dyDescent="0.25">
      <c r="A50" s="68" t="s">
        <v>240</v>
      </c>
      <c r="B50" t="s">
        <v>311</v>
      </c>
      <c r="C50" t="s">
        <v>312</v>
      </c>
      <c r="D50" s="1" t="s">
        <v>313</v>
      </c>
      <c r="E50" s="23"/>
      <c r="F50" s="23"/>
      <c r="G50" s="23"/>
      <c r="H50" s="23"/>
      <c r="I50" s="69">
        <f>B130</f>
        <v>9.3999999999999998E-9</v>
      </c>
      <c r="J50" s="23"/>
      <c r="K50" s="23"/>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row>
    <row r="51" spans="1:42" x14ac:dyDescent="0.25">
      <c r="A51" s="66" t="s">
        <v>314</v>
      </c>
      <c r="B51" s="24"/>
      <c r="C51" s="24"/>
      <c r="D51" s="25"/>
      <c r="E51" s="26"/>
      <c r="F51" s="26"/>
      <c r="G51" s="26"/>
      <c r="H51" s="26"/>
      <c r="I51" s="70"/>
      <c r="J51" s="23"/>
      <c r="K51" s="23"/>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row>
    <row r="52" spans="1:42" x14ac:dyDescent="0.25">
      <c r="A52" s="68" t="s">
        <v>237</v>
      </c>
      <c r="B52" t="s">
        <v>311</v>
      </c>
      <c r="C52" t="s">
        <v>312</v>
      </c>
      <c r="D52" s="1" t="s">
        <v>315</v>
      </c>
      <c r="E52" s="23"/>
      <c r="F52" s="23"/>
      <c r="G52" s="23"/>
      <c r="H52" s="23"/>
      <c r="I52" s="69">
        <f>E131</f>
        <v>1.0682E-6</v>
      </c>
      <c r="J52" s="23"/>
      <c r="K52" s="23"/>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row>
    <row r="53" spans="1:42" x14ac:dyDescent="0.25">
      <c r="A53" s="68" t="s">
        <v>238</v>
      </c>
      <c r="B53" t="s">
        <v>311</v>
      </c>
      <c r="C53" t="s">
        <v>312</v>
      </c>
      <c r="D53" s="1" t="s">
        <v>315</v>
      </c>
      <c r="E53" s="23"/>
      <c r="F53" s="23"/>
      <c r="G53" s="23"/>
      <c r="H53" s="23"/>
      <c r="I53" s="69">
        <f>C131</f>
        <v>3.4999999999999999E-9</v>
      </c>
      <c r="J53" s="23"/>
      <c r="K53" s="23"/>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row>
    <row r="54" spans="1:42" x14ac:dyDescent="0.25">
      <c r="A54" s="68" t="s">
        <v>239</v>
      </c>
      <c r="B54" t="s">
        <v>311</v>
      </c>
      <c r="C54" t="s">
        <v>312</v>
      </c>
      <c r="D54" s="1" t="s">
        <v>315</v>
      </c>
      <c r="E54" s="23"/>
      <c r="F54" s="23"/>
      <c r="G54" s="23"/>
      <c r="H54" s="23"/>
      <c r="I54" s="69">
        <f>F131</f>
        <v>1.3564215167999997E-3</v>
      </c>
      <c r="J54" s="23"/>
      <c r="K54" s="23"/>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row>
    <row r="55" spans="1:42" x14ac:dyDescent="0.25">
      <c r="A55" s="68" t="s">
        <v>240</v>
      </c>
      <c r="B55" t="s">
        <v>311</v>
      </c>
      <c r="C55" t="s">
        <v>312</v>
      </c>
      <c r="D55" s="1" t="s">
        <v>315</v>
      </c>
      <c r="E55" s="23"/>
      <c r="F55" s="23"/>
      <c r="G55" s="23"/>
      <c r="H55" s="23"/>
      <c r="I55" s="69">
        <f>B131</f>
        <v>3.4099999999999994E-8</v>
      </c>
      <c r="J55" s="23"/>
      <c r="K55" s="23"/>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row>
    <row r="56" spans="1:42" ht="15.75" thickBot="1" x14ac:dyDescent="0.3">
      <c r="A56" s="66" t="s">
        <v>316</v>
      </c>
      <c r="B56" s="24"/>
      <c r="C56" s="24"/>
      <c r="D56" s="25"/>
      <c r="E56" s="26"/>
      <c r="F56" s="26"/>
      <c r="G56" s="26"/>
      <c r="H56" s="26"/>
      <c r="I56" s="70"/>
      <c r="J56" s="23"/>
      <c r="K56" s="23"/>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row>
    <row r="57" spans="1:42" x14ac:dyDescent="0.25">
      <c r="A57" s="68" t="s">
        <v>237</v>
      </c>
      <c r="B57" t="s">
        <v>311</v>
      </c>
      <c r="C57" t="s">
        <v>312</v>
      </c>
      <c r="D57" s="1" t="s">
        <v>317</v>
      </c>
      <c r="E57" s="23"/>
      <c r="F57" s="23"/>
      <c r="G57" s="23"/>
      <c r="H57" s="23"/>
      <c r="I57" s="69">
        <f>E132</f>
        <v>3.9024000000000001E-6</v>
      </c>
      <c r="J57" s="210"/>
      <c r="K57" s="211"/>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row>
    <row r="58" spans="1:42" x14ac:dyDescent="0.25">
      <c r="A58" s="68" t="s">
        <v>238</v>
      </c>
      <c r="B58" t="s">
        <v>311</v>
      </c>
      <c r="C58" t="s">
        <v>312</v>
      </c>
      <c r="D58" s="1" t="s">
        <v>317</v>
      </c>
      <c r="E58" s="23"/>
      <c r="F58" s="23"/>
      <c r="G58" s="23"/>
      <c r="H58" s="23"/>
      <c r="I58" s="69">
        <f>C132</f>
        <v>5.4999999999999996E-9</v>
      </c>
      <c r="J58" s="212"/>
      <c r="K58" s="213"/>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row>
    <row r="59" spans="1:42" x14ac:dyDescent="0.25">
      <c r="A59" s="68" t="s">
        <v>239</v>
      </c>
      <c r="B59" t="s">
        <v>311</v>
      </c>
      <c r="C59" t="s">
        <v>312</v>
      </c>
      <c r="D59" s="1" t="s">
        <v>317</v>
      </c>
      <c r="E59" s="23"/>
      <c r="F59" s="23"/>
      <c r="G59" s="23"/>
      <c r="H59" s="23"/>
      <c r="I59" s="288">
        <f>F132</f>
        <v>1.6795241702399998E-3</v>
      </c>
      <c r="J59" s="214">
        <f>I59</f>
        <v>1.6795241702399998E-3</v>
      </c>
      <c r="K59" s="213"/>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row>
    <row r="60" spans="1:42" ht="15.75" thickBot="1" x14ac:dyDescent="0.3">
      <c r="A60" s="71" t="s">
        <v>240</v>
      </c>
      <c r="B60" s="47" t="s">
        <v>311</v>
      </c>
      <c r="C60" s="47" t="s">
        <v>312</v>
      </c>
      <c r="D60" s="72" t="s">
        <v>317</v>
      </c>
      <c r="E60" s="73"/>
      <c r="F60" s="73"/>
      <c r="G60" s="73"/>
      <c r="H60" s="73"/>
      <c r="I60" s="74">
        <f>B132</f>
        <v>8.3900000000000004E-8</v>
      </c>
      <c r="J60" s="212"/>
      <c r="K60" s="213"/>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row>
    <row r="61" spans="1:42" ht="15.75" thickBot="1" x14ac:dyDescent="0.3">
      <c r="A61" s="66" t="s">
        <v>318</v>
      </c>
      <c r="B61" s="24"/>
      <c r="C61" s="24"/>
      <c r="D61" s="25"/>
      <c r="E61" s="26"/>
      <c r="F61" s="26"/>
      <c r="G61" s="26"/>
      <c r="H61" s="26"/>
      <c r="I61" s="70"/>
      <c r="J61" s="23"/>
      <c r="K61" s="23"/>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row>
    <row r="62" spans="1:42" x14ac:dyDescent="0.25">
      <c r="A62" s="68" t="s">
        <v>237</v>
      </c>
      <c r="C62" t="s">
        <v>312</v>
      </c>
      <c r="D62" s="1" t="s">
        <v>319</v>
      </c>
      <c r="E62" s="23"/>
      <c r="F62" s="23"/>
      <c r="G62" s="23"/>
      <c r="H62" s="23"/>
      <c r="I62" s="69"/>
      <c r="J62" s="210"/>
      <c r="K62" s="211"/>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row>
    <row r="63" spans="1:42" x14ac:dyDescent="0.25">
      <c r="A63" s="68" t="s">
        <v>238</v>
      </c>
      <c r="C63" t="s">
        <v>312</v>
      </c>
      <c r="D63" s="1" t="s">
        <v>319</v>
      </c>
      <c r="E63" s="23"/>
      <c r="F63" s="23"/>
      <c r="G63" s="23"/>
      <c r="H63" s="23"/>
      <c r="I63" s="69"/>
      <c r="J63" s="212"/>
      <c r="K63" s="213"/>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row>
    <row r="64" spans="1:42" x14ac:dyDescent="0.25">
      <c r="A64" s="68" t="s">
        <v>239</v>
      </c>
      <c r="B64" t="s">
        <v>292</v>
      </c>
      <c r="C64" t="s">
        <v>312</v>
      </c>
      <c r="D64" s="1" t="s">
        <v>319</v>
      </c>
      <c r="E64" s="23"/>
      <c r="F64" s="23"/>
      <c r="G64" s="23"/>
      <c r="H64" s="23"/>
      <c r="I64" s="288">
        <f>B34</f>
        <v>1.8796867812799998E-5</v>
      </c>
      <c r="J64" s="214">
        <f>I64</f>
        <v>1.8796867812799998E-5</v>
      </c>
      <c r="K64" s="213"/>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row>
    <row r="65" spans="1:42" ht="15.75" thickBot="1" x14ac:dyDescent="0.3">
      <c r="A65" s="71" t="s">
        <v>240</v>
      </c>
      <c r="B65" s="47"/>
      <c r="C65" s="47" t="s">
        <v>312</v>
      </c>
      <c r="D65" s="72" t="s">
        <v>319</v>
      </c>
      <c r="E65" s="73"/>
      <c r="F65" s="73"/>
      <c r="G65" s="73"/>
      <c r="H65" s="73"/>
      <c r="I65" s="74"/>
      <c r="J65" s="212"/>
      <c r="K65" s="213"/>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row>
    <row r="66" spans="1:42" x14ac:dyDescent="0.25">
      <c r="A66" s="1"/>
      <c r="D66" s="1"/>
      <c r="E66" s="23"/>
      <c r="F66" s="23"/>
      <c r="G66" s="23"/>
      <c r="H66" s="23"/>
      <c r="I66" s="209"/>
      <c r="J66" s="215"/>
      <c r="K66" s="215"/>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row>
    <row r="67" spans="1:42" ht="15.75" thickBot="1" x14ac:dyDescent="0.3">
      <c r="A67" s="216" t="s">
        <v>320</v>
      </c>
      <c r="B67" s="216"/>
      <c r="AH67" s="12"/>
      <c r="AI67" s="12"/>
      <c r="AJ67" s="12"/>
      <c r="AK67" s="12"/>
      <c r="AL67" s="12"/>
      <c r="AM67" s="12"/>
      <c r="AN67" s="12"/>
      <c r="AO67" s="12"/>
      <c r="AP67" s="12"/>
    </row>
    <row r="68" spans="1:42" x14ac:dyDescent="0.25">
      <c r="A68" s="217" t="s">
        <v>321</v>
      </c>
      <c r="B68" s="218">
        <v>2023</v>
      </c>
      <c r="C68" s="218">
        <v>2024</v>
      </c>
      <c r="D68" s="218">
        <v>2025</v>
      </c>
      <c r="E68" s="218">
        <v>2026</v>
      </c>
      <c r="F68" s="218">
        <v>2027</v>
      </c>
      <c r="G68" s="218">
        <v>2028</v>
      </c>
      <c r="H68" s="218">
        <v>2029</v>
      </c>
      <c r="I68" s="218">
        <v>2030</v>
      </c>
      <c r="J68" s="218">
        <v>2031</v>
      </c>
      <c r="K68" s="218">
        <v>2032</v>
      </c>
      <c r="L68" s="218">
        <v>2033</v>
      </c>
      <c r="M68" s="218">
        <v>2034</v>
      </c>
      <c r="N68" s="218">
        <v>2035</v>
      </c>
      <c r="O68" s="218">
        <v>2036</v>
      </c>
      <c r="P68" s="218">
        <v>2037</v>
      </c>
      <c r="Q68" s="218">
        <v>2038</v>
      </c>
      <c r="R68" s="218">
        <v>2039</v>
      </c>
      <c r="S68" s="218">
        <v>2040</v>
      </c>
      <c r="T68" s="218">
        <v>2041</v>
      </c>
      <c r="U68" s="218">
        <v>2042</v>
      </c>
      <c r="V68" s="218">
        <v>2043</v>
      </c>
      <c r="W68" s="218">
        <v>2044</v>
      </c>
      <c r="X68" s="218">
        <v>2045</v>
      </c>
      <c r="Y68" s="218">
        <v>2046</v>
      </c>
      <c r="Z68" s="218">
        <v>2047</v>
      </c>
      <c r="AA68" s="218">
        <v>2048</v>
      </c>
      <c r="AB68" s="218">
        <v>2049</v>
      </c>
      <c r="AC68" s="218">
        <v>2050</v>
      </c>
      <c r="AD68" s="218">
        <v>2051</v>
      </c>
      <c r="AE68" s="218">
        <v>2052</v>
      </c>
      <c r="AF68" s="218">
        <v>2053</v>
      </c>
      <c r="AG68" s="218">
        <v>2054</v>
      </c>
      <c r="AH68" s="218">
        <v>2055</v>
      </c>
      <c r="AI68" s="12"/>
      <c r="AJ68" s="12"/>
      <c r="AK68" s="12"/>
      <c r="AL68" s="12"/>
      <c r="AM68" s="12"/>
      <c r="AN68" s="12"/>
      <c r="AO68" s="12"/>
      <c r="AP68" s="12"/>
    </row>
    <row r="69" spans="1:42" x14ac:dyDescent="0.25">
      <c r="A69" s="219" t="s">
        <v>26</v>
      </c>
      <c r="B69" s="220">
        <v>1650.3316092075399</v>
      </c>
      <c r="C69" s="220">
        <v>1616.5650222460099</v>
      </c>
      <c r="D69" s="220">
        <v>1585.3873700971499</v>
      </c>
      <c r="E69" s="220">
        <v>1555.962640790852</v>
      </c>
      <c r="F69" s="220">
        <v>1527.0840333416343</v>
      </c>
      <c r="G69" s="220">
        <v>1498.7414117485951</v>
      </c>
      <c r="H69" s="220">
        <v>1470.9248281346238</v>
      </c>
      <c r="I69" s="220">
        <v>1443.6245192548313</v>
      </c>
      <c r="J69" s="220">
        <v>1416.8309030697819</v>
      </c>
      <c r="K69" s="220">
        <v>1390.5345753823276</v>
      </c>
      <c r="L69" s="220">
        <v>1364.726306536862</v>
      </c>
      <c r="M69" s="220">
        <v>1339.3970381798356</v>
      </c>
      <c r="N69" s="220">
        <v>1314.5378800803967</v>
      </c>
      <c r="O69" s="220">
        <v>1290.1401070100396</v>
      </c>
      <c r="P69" s="220">
        <v>1266.1951556801685</v>
      </c>
      <c r="Q69" s="220">
        <v>1242.6946217364978</v>
      </c>
      <c r="R69" s="220">
        <v>1219.6302568092383</v>
      </c>
      <c r="S69" s="220">
        <v>1196.9939656180304</v>
      </c>
      <c r="T69" s="220">
        <v>1174.7778031306098</v>
      </c>
      <c r="U69" s="220">
        <v>1152.9739717742093</v>
      </c>
      <c r="V69" s="220">
        <v>1131.5748186987157</v>
      </c>
      <c r="W69" s="220">
        <v>1110.5728330906227</v>
      </c>
      <c r="X69" s="220">
        <v>1089.9606435368371</v>
      </c>
      <c r="Y69" s="220">
        <v>1069.7310154374127</v>
      </c>
      <c r="Z69" s="220">
        <v>1049.876848466303</v>
      </c>
      <c r="AA69" s="220">
        <v>1030.3911740792432</v>
      </c>
      <c r="AB69" s="220">
        <v>1011.2671530678848</v>
      </c>
      <c r="AC69" s="220">
        <v>992.49807315932617</v>
      </c>
      <c r="AD69" s="220">
        <v>974.07734666019564</v>
      </c>
      <c r="AE69" s="220">
        <v>955.99850814446006</v>
      </c>
      <c r="AF69" s="220">
        <v>938.25521218414747</v>
      </c>
      <c r="AG69" s="220">
        <v>920.84123112218788</v>
      </c>
      <c r="AH69" s="221">
        <v>920.84123112218788</v>
      </c>
      <c r="AI69" s="12"/>
      <c r="AJ69" s="12"/>
      <c r="AK69" s="12"/>
      <c r="AL69" s="12"/>
      <c r="AM69" s="12"/>
      <c r="AN69" s="12"/>
      <c r="AO69" s="12"/>
      <c r="AP69" s="12"/>
    </row>
    <row r="70" spans="1:42" x14ac:dyDescent="0.25">
      <c r="A70" s="219" t="s">
        <v>322</v>
      </c>
      <c r="B70" s="220">
        <v>3.8522480468996201</v>
      </c>
      <c r="C70" s="220">
        <v>3.6265220354334096</v>
      </c>
      <c r="D70" s="220">
        <v>3.436582867663085</v>
      </c>
      <c r="E70" s="220">
        <v>3.2180770480588543</v>
      </c>
      <c r="F70" s="220">
        <v>3.0134643295493699</v>
      </c>
      <c r="G70" s="220">
        <v>2.8218613569069384</v>
      </c>
      <c r="H70" s="220">
        <v>2.6424409406549807</v>
      </c>
      <c r="I70" s="220">
        <v>2.4744284859207748</v>
      </c>
      <c r="J70" s="220">
        <v>2.3170986483499316</v>
      </c>
      <c r="K70" s="220">
        <v>2.1697722026454964</v>
      </c>
      <c r="L70" s="220">
        <v>2.0318131102125152</v>
      </c>
      <c r="M70" s="220">
        <v>1.9026257732484841</v>
      </c>
      <c r="N70" s="220">
        <v>1.7816524634250264</v>
      </c>
      <c r="O70" s="220">
        <v>1.6683709140598828</v>
      </c>
      <c r="P70" s="220">
        <v>1.5622920653841308</v>
      </c>
      <c r="Q70" s="220">
        <v>1.4629579531704826</v>
      </c>
      <c r="R70" s="220">
        <v>1.3699397316074391</v>
      </c>
      <c r="S70" s="220">
        <v>1.2828358218836389</v>
      </c>
      <c r="T70" s="220">
        <v>1.2012701784894602</v>
      </c>
      <c r="U70" s="220">
        <v>1.1248906657511415</v>
      </c>
      <c r="V70" s="220">
        <v>1.053367537588588</v>
      </c>
      <c r="W70" s="220">
        <v>0.98639201393366127</v>
      </c>
      <c r="X70" s="220">
        <v>0.92367494766305891</v>
      </c>
      <c r="Y70" s="220">
        <v>0.86494557629065916</v>
      </c>
      <c r="Z70" s="220">
        <v>0.80995035303012897</v>
      </c>
      <c r="AA70" s="220">
        <v>0.75845185218125166</v>
      </c>
      <c r="AB70" s="220">
        <v>0.71022774411430234</v>
      </c>
      <c r="AC70" s="220">
        <v>0.66506983542726705</v>
      </c>
      <c r="AD70" s="220">
        <v>0.62278317013206752</v>
      </c>
      <c r="AE70" s="220">
        <v>0.58318518798942665</v>
      </c>
      <c r="AF70" s="220">
        <v>0.54610493635873325</v>
      </c>
      <c r="AG70" s="220">
        <v>0.51138233216030016</v>
      </c>
      <c r="AH70" s="221">
        <v>0.51138233216030016</v>
      </c>
      <c r="AI70" s="12"/>
      <c r="AJ70" s="12"/>
      <c r="AK70" s="12"/>
      <c r="AL70" s="12"/>
      <c r="AM70" s="12"/>
      <c r="AN70" s="12"/>
      <c r="AO70" s="12"/>
      <c r="AP70" s="12"/>
    </row>
    <row r="71" spans="1:42" x14ac:dyDescent="0.25">
      <c r="A71" s="219" t="s">
        <v>240</v>
      </c>
      <c r="B71" s="220">
        <v>8.2030472111605343E-2</v>
      </c>
      <c r="C71" s="220">
        <v>7.3607343903925149E-2</v>
      </c>
      <c r="D71" s="220">
        <v>6.6678689098195951E-2</v>
      </c>
      <c r="E71" s="220">
        <v>5.9455924049457397E-2</v>
      </c>
      <c r="F71" s="220">
        <v>5.3015542932599274E-2</v>
      </c>
      <c r="G71" s="220">
        <v>4.7272796401251579E-2</v>
      </c>
      <c r="H71" s="220">
        <v>4.2152115322769919E-2</v>
      </c>
      <c r="I71" s="220">
        <v>3.7586116359662879E-2</v>
      </c>
      <c r="J71" s="220">
        <v>3.3514715268369702E-2</v>
      </c>
      <c r="K71" s="220">
        <v>2.9884336247235733E-2</v>
      </c>
      <c r="L71" s="220">
        <v>2.6647206929450079E-2</v>
      </c>
      <c r="M71" s="220">
        <v>2.3760729743716937E-2</v>
      </c>
      <c r="N71" s="220">
        <v>2.118692137035939E-2</v>
      </c>
      <c r="O71" s="220">
        <v>1.8891912916626247E-2</v>
      </c>
      <c r="P71" s="220">
        <v>1.6845504233979961E-2</v>
      </c>
      <c r="Q71" s="220">
        <v>1.5020766512601157E-2</v>
      </c>
      <c r="R71" s="220">
        <v>1.3393687923627917E-2</v>
      </c>
      <c r="S71" s="220">
        <v>1.1942857646115627E-2</v>
      </c>
      <c r="T71" s="220">
        <v>1.0649184120809957E-2</v>
      </c>
      <c r="U71" s="220">
        <v>9.4956438232181011E-3</v>
      </c>
      <c r="V71" s="220">
        <v>8.467057250068669E-3</v>
      </c>
      <c r="W71" s="220">
        <v>7.549889171353112E-3</v>
      </c>
      <c r="X71" s="220">
        <v>6.7320705194538156E-3</v>
      </c>
      <c r="Y71" s="220">
        <v>6.0028395715875987E-3</v>
      </c>
      <c r="Z71" s="220">
        <v>5.3526003356752557E-3</v>
      </c>
      <c r="AA71" s="220">
        <v>4.7727962761286279E-3</v>
      </c>
      <c r="AB71" s="220">
        <v>4.2557977179055618E-3</v>
      </c>
      <c r="AC71" s="220">
        <v>3.7948014471762197E-3</v>
      </c>
      <c r="AD71" s="220">
        <v>3.3837411874401229E-3</v>
      </c>
      <c r="AE71" s="220">
        <v>3.0172077730439956E-3</v>
      </c>
      <c r="AF71" s="220">
        <v>2.6903779696591228E-3</v>
      </c>
      <c r="AG71" s="220">
        <v>2.398951005062786E-3</v>
      </c>
      <c r="AH71" s="221">
        <v>2.398951005062786E-3</v>
      </c>
      <c r="AI71" s="12"/>
      <c r="AJ71" s="12"/>
      <c r="AK71" s="12"/>
      <c r="AL71" s="12"/>
      <c r="AM71" s="12"/>
      <c r="AN71" s="12"/>
      <c r="AO71" s="12"/>
      <c r="AP71" s="12"/>
    </row>
    <row r="72" spans="1:42" x14ac:dyDescent="0.25">
      <c r="A72" s="219" t="s">
        <v>323</v>
      </c>
      <c r="B72" s="220">
        <v>5.552246934636065E-3</v>
      </c>
      <c r="C72" s="220">
        <v>5.4342666399354997E-3</v>
      </c>
      <c r="D72" s="220">
        <v>5.3256545001667899E-3</v>
      </c>
      <c r="E72" s="220">
        <v>5.2221759581079757E-3</v>
      </c>
      <c r="F72" s="220">
        <v>5.1207080250111735E-3</v>
      </c>
      <c r="G72" s="220">
        <v>5.021211634338359E-3</v>
      </c>
      <c r="H72" s="220">
        <v>4.923648478622227E-3</v>
      </c>
      <c r="I72" s="220">
        <v>4.8279809947172963E-3</v>
      </c>
      <c r="J72" s="220">
        <v>4.7341723493375849E-3</v>
      </c>
      <c r="K72" s="220">
        <v>4.6421864248752933E-3</v>
      </c>
      <c r="L72" s="220">
        <v>4.551987805495033E-3</v>
      </c>
      <c r="M72" s="220">
        <v>4.4635417634982461E-3</v>
      </c>
      <c r="N72" s="220">
        <v>4.3768142459525696E-3</v>
      </c>
      <c r="O72" s="220">
        <v>4.2917718615809895E-3</v>
      </c>
      <c r="P72" s="220">
        <v>4.2083818679057453E-3</v>
      </c>
      <c r="Q72" s="220">
        <v>4.1266121586420301E-3</v>
      </c>
      <c r="R72" s="220">
        <v>4.0464312513366308E-3</v>
      </c>
      <c r="S72" s="220">
        <v>3.9678082752467574E-3</v>
      </c>
      <c r="T72" s="220">
        <v>3.8907129594543842E-3</v>
      </c>
      <c r="U72" s="220">
        <v>3.8151156212115323E-3</v>
      </c>
      <c r="V72" s="220">
        <v>3.7409871545120094E-3</v>
      </c>
      <c r="W72" s="220">
        <v>3.6682990188851993E-3</v>
      </c>
      <c r="X72" s="220">
        <v>3.597023228407591E-3</v>
      </c>
      <c r="Y72" s="220">
        <v>3.5271323409278173E-3</v>
      </c>
      <c r="Z72" s="220">
        <v>3.458599447501052E-3</v>
      </c>
      <c r="AA72" s="220">
        <v>3.3913981620286989E-3</v>
      </c>
      <c r="AB72" s="220">
        <v>3.3255026110993848E-3</v>
      </c>
      <c r="AC72" s="220">
        <v>3.260887424027342E-3</v>
      </c>
      <c r="AD72" s="220">
        <v>3.1975277230843488E-3</v>
      </c>
      <c r="AE72" s="220">
        <v>3.1353991139214665E-3</v>
      </c>
      <c r="AF72" s="220">
        <v>3.0744776761768792E-3</v>
      </c>
      <c r="AG72" s="220">
        <v>3.0147399542662309E-3</v>
      </c>
      <c r="AH72" s="221">
        <v>3.0147399542662309E-3</v>
      </c>
      <c r="AI72" s="12"/>
      <c r="AJ72" s="12"/>
      <c r="AK72" s="12"/>
      <c r="AL72" s="12"/>
      <c r="AM72" s="12"/>
      <c r="AN72" s="12"/>
      <c r="AO72" s="12"/>
      <c r="AP72" s="12"/>
    </row>
    <row r="73" spans="1:42" x14ac:dyDescent="0.25">
      <c r="A73" s="219" t="s">
        <v>324</v>
      </c>
      <c r="B73" s="220">
        <v>0.19504456731723702</v>
      </c>
      <c r="C73" s="220">
        <v>0.182343635632779</v>
      </c>
      <c r="D73" s="220">
        <v>0.17171571883265049</v>
      </c>
      <c r="E73" s="220">
        <v>0.15983896195248876</v>
      </c>
      <c r="F73" s="220">
        <v>0.14878366367232823</v>
      </c>
      <c r="G73" s="220">
        <v>0.13849300762063543</v>
      </c>
      <c r="H73" s="220">
        <v>0.12891410714318002</v>
      </c>
      <c r="I73" s="220">
        <v>0.11999773350324074</v>
      </c>
      <c r="J73" s="220">
        <v>0.11169806288090607</v>
      </c>
      <c r="K73" s="220">
        <v>0.10397244087122612</v>
      </c>
      <c r="L73" s="220">
        <v>9.6781163270903456E-2</v>
      </c>
      <c r="M73" s="220">
        <v>9.0087272026922585E-2</v>
      </c>
      <c r="N73" s="220">
        <v>8.3856365298439012E-2</v>
      </c>
      <c r="O73" s="220">
        <v>7.8056420655781056E-2</v>
      </c>
      <c r="P73" s="220">
        <v>7.2657630507933085E-2</v>
      </c>
      <c r="Q73" s="220">
        <v>6.7632248912714424E-2</v>
      </c>
      <c r="R73" s="220">
        <v>6.2954448982367225E-2</v>
      </c>
      <c r="S73" s="220">
        <v>5.8600190151719321E-2</v>
      </c>
      <c r="T73" s="220">
        <v>5.454709462677497E-2</v>
      </c>
      <c r="U73" s="220">
        <v>5.0774332378766954E-2</v>
      </c>
      <c r="V73" s="220">
        <v>4.7262514092621347E-2</v>
      </c>
      <c r="W73" s="220">
        <v>4.3993591519666135E-2</v>
      </c>
      <c r="X73" s="220">
        <v>4.0950764722467475E-2</v>
      </c>
      <c r="Y73" s="220">
        <v>3.811839573509803E-2</v>
      </c>
      <c r="Z73" s="220">
        <v>3.5481928195112568E-2</v>
      </c>
      <c r="AA73" s="220">
        <v>3.3027812534196267E-2</v>
      </c>
      <c r="AB73" s="220">
        <v>3.0743436343018935E-2</v>
      </c>
      <c r="AC73" s="220">
        <v>2.8617059552419975E-2</v>
      </c>
      <c r="AD73" s="220">
        <v>2.6637754097801471E-2</v>
      </c>
      <c r="AE73" s="220">
        <v>2.479534775664731E-2</v>
      </c>
      <c r="AF73" s="220">
        <v>2.3080371870533096E-2</v>
      </c>
      <c r="AG73" s="220">
        <v>2.1484012682955193E-2</v>
      </c>
      <c r="AH73" s="221">
        <v>2.1484012682955193E-2</v>
      </c>
      <c r="AI73" s="12"/>
      <c r="AJ73" s="12"/>
      <c r="AK73" s="12"/>
      <c r="AL73" s="12"/>
      <c r="AM73" s="12"/>
      <c r="AN73" s="12"/>
      <c r="AO73" s="12"/>
      <c r="AP73" s="12"/>
    </row>
    <row r="74" spans="1:42" ht="17.100000000000001" customHeight="1" x14ac:dyDescent="0.25">
      <c r="A74" s="304" t="s">
        <v>325</v>
      </c>
      <c r="B74" s="222">
        <v>2023</v>
      </c>
      <c r="C74" s="222">
        <v>2024</v>
      </c>
      <c r="D74" s="222">
        <v>2025</v>
      </c>
      <c r="E74" s="222">
        <v>2026</v>
      </c>
      <c r="F74" s="222">
        <v>2027</v>
      </c>
      <c r="G74" s="222">
        <v>2028</v>
      </c>
      <c r="H74" s="222">
        <v>2029</v>
      </c>
      <c r="I74" s="222">
        <v>2030</v>
      </c>
      <c r="J74" s="222">
        <v>2031</v>
      </c>
      <c r="K74" s="222">
        <v>2032</v>
      </c>
      <c r="L74" s="222">
        <v>2033</v>
      </c>
      <c r="M74" s="222">
        <v>2034</v>
      </c>
      <c r="N74" s="222">
        <v>2035</v>
      </c>
      <c r="O74" s="222">
        <v>2036</v>
      </c>
      <c r="P74" s="222">
        <v>2037</v>
      </c>
      <c r="Q74" s="222">
        <v>2038</v>
      </c>
      <c r="R74" s="222">
        <v>2039</v>
      </c>
      <c r="S74" s="222">
        <v>2040</v>
      </c>
      <c r="T74" s="222">
        <v>2041</v>
      </c>
      <c r="U74" s="222">
        <v>2042</v>
      </c>
      <c r="V74" s="222">
        <v>2043</v>
      </c>
      <c r="W74" s="222">
        <v>2044</v>
      </c>
      <c r="X74" s="222">
        <v>2045</v>
      </c>
      <c r="Y74" s="222">
        <v>2046</v>
      </c>
      <c r="Z74" s="222">
        <v>2047</v>
      </c>
      <c r="AA74" s="222">
        <v>2048</v>
      </c>
      <c r="AB74" s="222">
        <v>2049</v>
      </c>
      <c r="AC74" s="222">
        <v>2050</v>
      </c>
      <c r="AD74" s="222">
        <v>2051</v>
      </c>
      <c r="AE74" s="222">
        <v>2052</v>
      </c>
      <c r="AF74" s="222">
        <v>2053</v>
      </c>
      <c r="AG74" s="222">
        <v>2054</v>
      </c>
      <c r="AH74" s="222">
        <v>2055</v>
      </c>
      <c r="AI74" s="12"/>
      <c r="AJ74" s="12"/>
      <c r="AK74" s="12"/>
      <c r="AL74" s="12"/>
      <c r="AM74" s="12"/>
      <c r="AN74" s="12"/>
      <c r="AO74" s="12"/>
      <c r="AP74" s="12"/>
    </row>
    <row r="75" spans="1:42" x14ac:dyDescent="0.25">
      <c r="A75" s="219" t="s">
        <v>26</v>
      </c>
      <c r="B75" s="209">
        <v>1.6503316092075398E-3</v>
      </c>
      <c r="C75" s="209">
        <v>1.6165650222460099E-3</v>
      </c>
      <c r="D75" s="209">
        <v>1.5853873700971497E-3</v>
      </c>
      <c r="E75" s="209">
        <v>1.5559626407908519E-3</v>
      </c>
      <c r="F75" s="209">
        <v>1.5270840333416341E-3</v>
      </c>
      <c r="G75" s="209">
        <v>1.4987414117485949E-3</v>
      </c>
      <c r="H75" s="209">
        <v>1.4709248281346238E-3</v>
      </c>
      <c r="I75" s="209">
        <v>1.4436245192548313E-3</v>
      </c>
      <c r="J75" s="209">
        <v>1.4168309030697819E-3</v>
      </c>
      <c r="K75" s="209">
        <v>1.3905345753823276E-3</v>
      </c>
      <c r="L75" s="209">
        <v>1.364726306536862E-3</v>
      </c>
      <c r="M75" s="209">
        <v>1.3393970381798356E-3</v>
      </c>
      <c r="N75" s="209">
        <v>1.3145378800803965E-3</v>
      </c>
      <c r="O75" s="209">
        <v>1.2901401070100397E-3</v>
      </c>
      <c r="P75" s="209">
        <v>1.2661951556801683E-3</v>
      </c>
      <c r="Q75" s="209">
        <v>1.2426946217364977E-3</v>
      </c>
      <c r="R75" s="209">
        <v>1.2196302568092381E-3</v>
      </c>
      <c r="S75" s="209">
        <v>1.1969939656180303E-3</v>
      </c>
      <c r="T75" s="209">
        <v>1.1747778031306097E-3</v>
      </c>
      <c r="U75" s="209">
        <v>1.1529739717742093E-3</v>
      </c>
      <c r="V75" s="209">
        <v>1.1315748186987156E-3</v>
      </c>
      <c r="W75" s="209">
        <v>1.1105728330906227E-3</v>
      </c>
      <c r="X75" s="209">
        <v>1.0899606435368369E-3</v>
      </c>
      <c r="Y75" s="209">
        <v>1.0697310154374126E-3</v>
      </c>
      <c r="Z75" s="209">
        <v>1.049876848466303E-3</v>
      </c>
      <c r="AA75" s="209">
        <v>1.0303911740792433E-3</v>
      </c>
      <c r="AB75" s="209">
        <v>1.0112671530678847E-3</v>
      </c>
      <c r="AC75" s="209">
        <v>9.9249807315932611E-4</v>
      </c>
      <c r="AD75" s="209">
        <v>9.7407734666019562E-4</v>
      </c>
      <c r="AE75" s="209">
        <v>9.5599850814446E-4</v>
      </c>
      <c r="AF75" s="209">
        <v>9.3825521218414746E-4</v>
      </c>
      <c r="AG75" s="209">
        <v>9.2084123112218784E-4</v>
      </c>
      <c r="AH75" s="209">
        <v>9.2084123112218784E-4</v>
      </c>
      <c r="AI75" s="12"/>
      <c r="AJ75" s="12"/>
      <c r="AK75" s="12"/>
      <c r="AL75" s="12"/>
      <c r="AM75" s="12"/>
      <c r="AN75" s="12"/>
      <c r="AO75" s="12"/>
      <c r="AP75" s="12"/>
    </row>
    <row r="76" spans="1:42" x14ac:dyDescent="0.25">
      <c r="A76" s="219" t="s">
        <v>322</v>
      </c>
      <c r="B76" s="209">
        <v>3.8522480468996203E-6</v>
      </c>
      <c r="C76" s="209">
        <v>3.6265220354334093E-6</v>
      </c>
      <c r="D76" s="209">
        <v>3.436582867663085E-6</v>
      </c>
      <c r="E76" s="209">
        <v>3.2180770480588543E-6</v>
      </c>
      <c r="F76" s="209">
        <v>3.0134643295493696E-6</v>
      </c>
      <c r="G76" s="209">
        <v>2.8218613569069381E-6</v>
      </c>
      <c r="H76" s="209">
        <v>2.6424409406549807E-6</v>
      </c>
      <c r="I76" s="209">
        <v>2.4744284859207746E-6</v>
      </c>
      <c r="J76" s="209">
        <v>2.3170986483499313E-6</v>
      </c>
      <c r="K76" s="209">
        <v>2.1697722026454964E-6</v>
      </c>
      <c r="L76" s="209">
        <v>2.0318131102125152E-6</v>
      </c>
      <c r="M76" s="209">
        <v>1.9026257732484841E-6</v>
      </c>
      <c r="N76" s="209">
        <v>1.7816524634250264E-6</v>
      </c>
      <c r="O76" s="209">
        <v>1.6683709140598828E-6</v>
      </c>
      <c r="P76" s="209">
        <v>1.5622920653841307E-6</v>
      </c>
      <c r="Q76" s="209">
        <v>1.4629579531704826E-6</v>
      </c>
      <c r="R76" s="209">
        <v>1.3699397316074391E-6</v>
      </c>
      <c r="S76" s="209">
        <v>1.2828358218836388E-6</v>
      </c>
      <c r="T76" s="209">
        <v>1.2012701784894602E-6</v>
      </c>
      <c r="U76" s="209">
        <v>1.1248906657511413E-6</v>
      </c>
      <c r="V76" s="209">
        <v>1.053367537588588E-6</v>
      </c>
      <c r="W76" s="209">
        <v>9.8639201393366126E-7</v>
      </c>
      <c r="X76" s="209">
        <v>9.2367494766305888E-7</v>
      </c>
      <c r="Y76" s="209">
        <v>8.6494557629065916E-7</v>
      </c>
      <c r="Z76" s="209">
        <v>8.0995035303012894E-7</v>
      </c>
      <c r="AA76" s="209">
        <v>7.5845185218125167E-7</v>
      </c>
      <c r="AB76" s="209">
        <v>7.1022774411430228E-7</v>
      </c>
      <c r="AC76" s="209">
        <v>6.6506983542726697E-7</v>
      </c>
      <c r="AD76" s="209">
        <v>6.227831701320675E-7</v>
      </c>
      <c r="AE76" s="209">
        <v>5.8318518798942663E-7</v>
      </c>
      <c r="AF76" s="209">
        <v>5.4610493635873323E-7</v>
      </c>
      <c r="AG76" s="209">
        <v>5.1138233216030009E-7</v>
      </c>
      <c r="AH76" s="209">
        <v>5.1138233216030009E-7</v>
      </c>
      <c r="AI76" s="12"/>
      <c r="AJ76" s="12"/>
      <c r="AK76" s="12"/>
      <c r="AL76" s="12"/>
      <c r="AM76" s="12"/>
      <c r="AN76" s="12"/>
      <c r="AO76" s="12"/>
      <c r="AP76" s="12"/>
    </row>
    <row r="77" spans="1:42" x14ac:dyDescent="0.25">
      <c r="A77" s="219" t="s">
        <v>240</v>
      </c>
      <c r="B77" s="209">
        <v>8.2030472111605345E-8</v>
      </c>
      <c r="C77" s="209">
        <v>7.3607343903925151E-8</v>
      </c>
      <c r="D77" s="209">
        <v>6.6678689098195942E-8</v>
      </c>
      <c r="E77" s="209">
        <v>5.9455924049457396E-8</v>
      </c>
      <c r="F77" s="209">
        <v>5.3015542932599272E-8</v>
      </c>
      <c r="G77" s="209">
        <v>4.7272796401251574E-8</v>
      </c>
      <c r="H77" s="209">
        <v>4.2152115322769918E-8</v>
      </c>
      <c r="I77" s="209">
        <v>3.7586116359662875E-8</v>
      </c>
      <c r="J77" s="209">
        <v>3.3514715268369702E-8</v>
      </c>
      <c r="K77" s="209">
        <v>2.9884336247235735E-8</v>
      </c>
      <c r="L77" s="209">
        <v>2.6647206929450077E-8</v>
      </c>
      <c r="M77" s="209">
        <v>2.3760729743716937E-8</v>
      </c>
      <c r="N77" s="209">
        <v>2.118692137035939E-8</v>
      </c>
      <c r="O77" s="209">
        <v>1.8891912916626246E-8</v>
      </c>
      <c r="P77" s="209">
        <v>1.6845504233979959E-8</v>
      </c>
      <c r="Q77" s="209">
        <v>1.5020766512601156E-8</v>
      </c>
      <c r="R77" s="209">
        <v>1.3393687923627917E-8</v>
      </c>
      <c r="S77" s="209">
        <v>1.1942857646115628E-8</v>
      </c>
      <c r="T77" s="209">
        <v>1.0649184120809956E-8</v>
      </c>
      <c r="U77" s="209">
        <v>9.4956438232181013E-9</v>
      </c>
      <c r="V77" s="209">
        <v>8.4670572500686691E-9</v>
      </c>
      <c r="W77" s="209">
        <v>7.5498891713531117E-9</v>
      </c>
      <c r="X77" s="209">
        <v>6.7320705194538153E-9</v>
      </c>
      <c r="Y77" s="209">
        <v>6.0028395715875985E-9</v>
      </c>
      <c r="Z77" s="209">
        <v>5.3526003356752551E-9</v>
      </c>
      <c r="AA77" s="209">
        <v>4.7727962761286275E-9</v>
      </c>
      <c r="AB77" s="209">
        <v>4.2557977179055612E-9</v>
      </c>
      <c r="AC77" s="209">
        <v>3.7948014471762194E-9</v>
      </c>
      <c r="AD77" s="209">
        <v>3.3837411874401228E-9</v>
      </c>
      <c r="AE77" s="209">
        <v>3.0172077730439957E-9</v>
      </c>
      <c r="AF77" s="209">
        <v>2.6903779696591228E-9</v>
      </c>
      <c r="AG77" s="209">
        <v>2.398951005062786E-9</v>
      </c>
      <c r="AH77" s="209">
        <v>2.398951005062786E-9</v>
      </c>
      <c r="AI77" s="12"/>
      <c r="AJ77" s="12"/>
      <c r="AK77" s="12"/>
      <c r="AL77" s="12"/>
      <c r="AM77" s="12"/>
      <c r="AN77" s="12"/>
      <c r="AO77" s="12"/>
      <c r="AP77" s="12"/>
    </row>
    <row r="78" spans="1:42" x14ac:dyDescent="0.25">
      <c r="A78" s="219" t="s">
        <v>323</v>
      </c>
      <c r="B78" s="209">
        <v>5.5522469346360648E-9</v>
      </c>
      <c r="C78" s="209">
        <v>5.4342666399354998E-9</v>
      </c>
      <c r="D78" s="209">
        <v>5.3256545001667893E-9</v>
      </c>
      <c r="E78" s="209">
        <v>5.2221759581079758E-9</v>
      </c>
      <c r="F78" s="209">
        <v>5.1207080250111735E-9</v>
      </c>
      <c r="G78" s="209">
        <v>5.0212116343383587E-9</v>
      </c>
      <c r="H78" s="209">
        <v>4.9236484786222272E-9</v>
      </c>
      <c r="I78" s="209">
        <v>4.8279809947172962E-9</v>
      </c>
      <c r="J78" s="209">
        <v>4.7341723493375846E-9</v>
      </c>
      <c r="K78" s="209">
        <v>4.6421864248752932E-9</v>
      </c>
      <c r="L78" s="209">
        <v>4.551987805495033E-9</v>
      </c>
      <c r="M78" s="209">
        <v>4.4635417634982457E-9</v>
      </c>
      <c r="N78" s="209">
        <v>4.3768142459525693E-9</v>
      </c>
      <c r="O78" s="209">
        <v>4.291771861580989E-9</v>
      </c>
      <c r="P78" s="209">
        <v>4.2083818679057451E-9</v>
      </c>
      <c r="Q78" s="209">
        <v>4.1266121586420298E-9</v>
      </c>
      <c r="R78" s="209">
        <v>4.0464312513366309E-9</v>
      </c>
      <c r="S78" s="209">
        <v>3.9678082752467571E-9</v>
      </c>
      <c r="T78" s="209">
        <v>3.8907129594543843E-9</v>
      </c>
      <c r="U78" s="209">
        <v>3.8151156212115324E-9</v>
      </c>
      <c r="V78" s="209">
        <v>3.7409871545120091E-9</v>
      </c>
      <c r="W78" s="209">
        <v>3.6682990188851992E-9</v>
      </c>
      <c r="X78" s="209">
        <v>3.5970232284075906E-9</v>
      </c>
      <c r="Y78" s="209">
        <v>3.5271323409278171E-9</v>
      </c>
      <c r="Z78" s="209">
        <v>3.4585994475010517E-9</v>
      </c>
      <c r="AA78" s="209">
        <v>3.3913981620286987E-9</v>
      </c>
      <c r="AB78" s="209">
        <v>3.3255026110993846E-9</v>
      </c>
      <c r="AC78" s="209">
        <v>3.2608874240273418E-9</v>
      </c>
      <c r="AD78" s="209">
        <v>3.1975277230843489E-9</v>
      </c>
      <c r="AE78" s="209">
        <v>3.1353991139214665E-9</v>
      </c>
      <c r="AF78" s="209">
        <v>3.0744776761768791E-9</v>
      </c>
      <c r="AG78" s="209">
        <v>3.0147399542662306E-9</v>
      </c>
      <c r="AH78" s="209">
        <v>3.0147399542662306E-9</v>
      </c>
      <c r="AI78" s="12"/>
      <c r="AJ78" s="12"/>
      <c r="AK78" s="12"/>
      <c r="AL78" s="12"/>
      <c r="AM78" s="12"/>
      <c r="AN78" s="12"/>
      <c r="AO78" s="12"/>
      <c r="AP78" s="12"/>
    </row>
    <row r="79" spans="1:42" x14ac:dyDescent="0.25">
      <c r="A79" s="219" t="s">
        <v>324</v>
      </c>
      <c r="B79" s="209">
        <v>1.95044567317237E-7</v>
      </c>
      <c r="C79" s="209">
        <v>1.8234363563277899E-7</v>
      </c>
      <c r="D79" s="209">
        <v>1.717157188326505E-7</v>
      </c>
      <c r="E79" s="209">
        <v>1.5983896195248876E-7</v>
      </c>
      <c r="F79" s="209">
        <v>1.4878366367232823E-7</v>
      </c>
      <c r="G79" s="209">
        <v>1.3849300762063543E-7</v>
      </c>
      <c r="H79" s="209">
        <v>1.2891410714318002E-7</v>
      </c>
      <c r="I79" s="209">
        <v>1.1999773350324072E-7</v>
      </c>
      <c r="J79" s="209">
        <v>1.1169806288090607E-7</v>
      </c>
      <c r="K79" s="209">
        <v>1.0397244087122611E-7</v>
      </c>
      <c r="L79" s="209">
        <v>9.6781163270903458E-8</v>
      </c>
      <c r="M79" s="209">
        <v>9.0087272026922584E-8</v>
      </c>
      <c r="N79" s="209">
        <v>8.3856365298439003E-8</v>
      </c>
      <c r="O79" s="209">
        <v>7.8056420655781056E-8</v>
      </c>
      <c r="P79" s="209">
        <v>7.2657630507933083E-8</v>
      </c>
      <c r="Q79" s="209">
        <v>6.7632248912714416E-8</v>
      </c>
      <c r="R79" s="209">
        <v>6.2954448982367219E-8</v>
      </c>
      <c r="S79" s="209">
        <v>5.860019015171932E-8</v>
      </c>
      <c r="T79" s="209">
        <v>5.4547094626774969E-8</v>
      </c>
      <c r="U79" s="209">
        <v>5.0774332378766951E-8</v>
      </c>
      <c r="V79" s="209">
        <v>4.7262514092621347E-8</v>
      </c>
      <c r="W79" s="209">
        <v>4.399359151966613E-8</v>
      </c>
      <c r="X79" s="209">
        <v>4.0950764722467473E-8</v>
      </c>
      <c r="Y79" s="209">
        <v>3.8118395735098027E-8</v>
      </c>
      <c r="Z79" s="209">
        <v>3.5481928195112567E-8</v>
      </c>
      <c r="AA79" s="209">
        <v>3.3027812534196266E-8</v>
      </c>
      <c r="AB79" s="209">
        <v>3.0743436343018935E-8</v>
      </c>
      <c r="AC79" s="209">
        <v>2.8617059552419972E-8</v>
      </c>
      <c r="AD79" s="209">
        <v>2.6637754097801469E-8</v>
      </c>
      <c r="AE79" s="209">
        <v>2.4795347756647308E-8</v>
      </c>
      <c r="AF79" s="209">
        <v>2.3080371870533094E-8</v>
      </c>
      <c r="AG79" s="209">
        <v>2.148401268295519E-8</v>
      </c>
      <c r="AH79" s="209">
        <v>2.148401268295519E-8</v>
      </c>
      <c r="AI79" s="12"/>
      <c r="AJ79" s="12"/>
      <c r="AK79" s="12"/>
      <c r="AL79" s="12"/>
      <c r="AM79" s="12"/>
      <c r="AN79" s="12"/>
      <c r="AO79" s="12"/>
      <c r="AP79" s="12"/>
    </row>
    <row r="80" spans="1:42" x14ac:dyDescent="0.25">
      <c r="B80" s="15"/>
      <c r="F80" s="12"/>
      <c r="G80" s="12"/>
      <c r="H80" s="12"/>
      <c r="I80" s="12"/>
      <c r="J80" s="223"/>
      <c r="K80" s="223"/>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row>
    <row r="81" spans="1:47" ht="21" x14ac:dyDescent="0.35">
      <c r="A81" s="301" t="s">
        <v>326</v>
      </c>
      <c r="B81" s="224"/>
      <c r="C81" s="225"/>
      <c r="D81" s="225"/>
      <c r="E81" s="225"/>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5"/>
      <c r="AR81" s="225"/>
      <c r="AS81" s="225"/>
      <c r="AT81" s="225"/>
      <c r="AU81" s="225"/>
    </row>
    <row r="82" spans="1:47" ht="15.75" thickBot="1" x14ac:dyDescent="0.3">
      <c r="A82" s="13" t="s">
        <v>327</v>
      </c>
      <c r="J82" s="227"/>
      <c r="K82" s="227"/>
    </row>
    <row r="83" spans="1:47" ht="60" x14ac:dyDescent="0.25">
      <c r="A83" s="228" t="s">
        <v>310</v>
      </c>
      <c r="B83" s="229" t="s">
        <v>251</v>
      </c>
      <c r="C83" s="229" t="s">
        <v>328</v>
      </c>
      <c r="D83" s="229" t="s">
        <v>329</v>
      </c>
      <c r="E83" s="229">
        <v>2021</v>
      </c>
      <c r="F83" s="229">
        <f t="shared" ref="F83:I83" si="0">E83+1</f>
        <v>2022</v>
      </c>
      <c r="G83" s="229">
        <f t="shared" si="0"/>
        <v>2023</v>
      </c>
      <c r="H83" s="229">
        <f t="shared" si="0"/>
        <v>2024</v>
      </c>
      <c r="I83" s="229">
        <f t="shared" si="0"/>
        <v>2025</v>
      </c>
      <c r="J83" s="199"/>
      <c r="K83" s="230"/>
      <c r="L83" s="231" t="s">
        <v>330</v>
      </c>
    </row>
    <row r="84" spans="1:47" x14ac:dyDescent="0.25">
      <c r="A84" s="68" t="s">
        <v>237</v>
      </c>
      <c r="B84" t="s">
        <v>311</v>
      </c>
      <c r="C84" t="s">
        <v>331</v>
      </c>
      <c r="D84" s="1" t="s">
        <v>313</v>
      </c>
      <c r="E84" s="23">
        <v>8.5450060466600447E-3</v>
      </c>
      <c r="F84" s="23">
        <v>7.6511092891687008E-3</v>
      </c>
      <c r="G84" s="23">
        <v>6.8653120412397999E-3</v>
      </c>
      <c r="H84" s="23">
        <v>5.8059735779865994E-3</v>
      </c>
      <c r="I84" s="23">
        <v>5.1281335448992351E-3</v>
      </c>
      <c r="J84" s="199"/>
      <c r="K84" s="213"/>
      <c r="L84" s="232">
        <f>1-((I84/E84)^0.25)</f>
        <v>0.11983977626253994</v>
      </c>
      <c r="M84" s="11"/>
      <c r="N84" s="11"/>
      <c r="O84" s="11"/>
      <c r="P84" s="27"/>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row>
    <row r="85" spans="1:47" x14ac:dyDescent="0.25">
      <c r="A85" s="68" t="s">
        <v>238</v>
      </c>
      <c r="B85" t="s">
        <v>311</v>
      </c>
      <c r="C85" t="s">
        <v>331</v>
      </c>
      <c r="D85" s="1" t="s">
        <v>313</v>
      </c>
      <c r="E85" s="23">
        <v>7.2132926660796009E-5</v>
      </c>
      <c r="F85" s="23">
        <v>7.0433727530917151E-5</v>
      </c>
      <c r="G85" s="23">
        <v>6.8766260104465349E-5</v>
      </c>
      <c r="H85" s="23">
        <v>6.7192586141458398E-5</v>
      </c>
      <c r="I85" s="23">
        <v>6.5667366300210453E-5</v>
      </c>
      <c r="J85" s="199"/>
      <c r="K85" s="213"/>
      <c r="L85" s="232">
        <f t="shared" ref="L85:L87" si="1">1-((I85/E85)^0.25)</f>
        <v>2.3203687761114922E-2</v>
      </c>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row>
    <row r="86" spans="1:47" x14ac:dyDescent="0.25">
      <c r="A86" s="68" t="s">
        <v>239</v>
      </c>
      <c r="B86" t="s">
        <v>311</v>
      </c>
      <c r="C86" t="s">
        <v>331</v>
      </c>
      <c r="D86" s="1" t="s">
        <v>313</v>
      </c>
      <c r="E86" s="23">
        <v>12.037928675379451</v>
      </c>
      <c r="F86" s="23">
        <v>11.759562571592529</v>
      </c>
      <c r="G86" s="23">
        <v>11.486911543557891</v>
      </c>
      <c r="H86" s="23">
        <v>11.228309927087855</v>
      </c>
      <c r="I86" s="23">
        <v>10.978736079207595</v>
      </c>
      <c r="J86" s="199"/>
      <c r="K86" s="213"/>
      <c r="L86" s="232">
        <f t="shared" si="1"/>
        <v>2.2762453174597019E-2</v>
      </c>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row>
    <row r="87" spans="1:47" x14ac:dyDescent="0.25">
      <c r="A87" s="68" t="s">
        <v>240</v>
      </c>
      <c r="B87" t="s">
        <v>311</v>
      </c>
      <c r="C87" t="s">
        <v>331</v>
      </c>
      <c r="D87" s="1" t="s">
        <v>313</v>
      </c>
      <c r="E87" s="23">
        <v>3.0632565713118853E-4</v>
      </c>
      <c r="F87" s="23">
        <v>2.9959116902102101E-4</v>
      </c>
      <c r="G87" s="23">
        <v>2.9424032121831299E-4</v>
      </c>
      <c r="H87" s="23">
        <v>2.8992620044270603E-4</v>
      </c>
      <c r="I87" s="23">
        <v>2.829435071876085E-4</v>
      </c>
      <c r="J87" s="199"/>
      <c r="K87" s="213"/>
      <c r="L87" s="232">
        <f t="shared" si="1"/>
        <v>1.9654658045603068E-2</v>
      </c>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row>
    <row r="88" spans="1:47" x14ac:dyDescent="0.25">
      <c r="A88" s="66" t="s">
        <v>314</v>
      </c>
      <c r="B88" s="24"/>
      <c r="C88" s="24"/>
      <c r="D88" s="25"/>
      <c r="E88" s="26"/>
      <c r="F88" s="26"/>
      <c r="G88" s="26"/>
      <c r="H88" s="26"/>
      <c r="I88" s="26"/>
      <c r="J88" s="199"/>
      <c r="K88" s="213"/>
      <c r="L88" s="233"/>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row>
    <row r="89" spans="1:47" x14ac:dyDescent="0.25">
      <c r="A89" s="68" t="s">
        <v>237</v>
      </c>
      <c r="B89" t="s">
        <v>311</v>
      </c>
      <c r="C89" t="s">
        <v>331</v>
      </c>
      <c r="D89" s="1" t="s">
        <v>315</v>
      </c>
      <c r="E89" s="23">
        <v>3.4463585429905769E-2</v>
      </c>
      <c r="F89" s="23">
        <v>3.1572070532242535E-2</v>
      </c>
      <c r="G89" s="23">
        <v>2.9019750254825966E-2</v>
      </c>
      <c r="H89" s="23">
        <v>2.7160774592576754E-2</v>
      </c>
      <c r="I89" s="23">
        <v>2.5496414369442097E-2</v>
      </c>
      <c r="J89" s="199"/>
      <c r="K89" s="213"/>
      <c r="L89" s="232">
        <f>1-((I89/E89)^0.25)</f>
        <v>7.2573154722788691E-2</v>
      </c>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row>
    <row r="90" spans="1:47" x14ac:dyDescent="0.25">
      <c r="A90" s="68" t="s">
        <v>238</v>
      </c>
      <c r="B90" t="s">
        <v>311</v>
      </c>
      <c r="C90" t="s">
        <v>331</v>
      </c>
      <c r="D90" s="1" t="s">
        <v>315</v>
      </c>
      <c r="E90" s="23">
        <v>1.0167331237615703E-4</v>
      </c>
      <c r="F90" s="23">
        <v>1.001949873501705E-4</v>
      </c>
      <c r="G90" s="23">
        <v>9.8684556941726128E-5</v>
      </c>
      <c r="H90" s="23">
        <v>9.706183439254594E-5</v>
      </c>
      <c r="I90" s="23">
        <v>9.5575135860508111E-5</v>
      </c>
      <c r="J90" s="199"/>
      <c r="K90" s="213"/>
      <c r="L90" s="232">
        <f t="shared" ref="L90:L92" si="2">1-((I90/E90)^0.25)</f>
        <v>1.5344099155383262E-2</v>
      </c>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row>
    <row r="91" spans="1:47" x14ac:dyDescent="0.25">
      <c r="A91" s="68" t="s">
        <v>239</v>
      </c>
      <c r="B91" t="s">
        <v>311</v>
      </c>
      <c r="C91" t="s">
        <v>331</v>
      </c>
      <c r="D91" s="1" t="s">
        <v>315</v>
      </c>
      <c r="E91" s="23">
        <v>23.361559574991535</v>
      </c>
      <c r="F91" s="23">
        <v>23.023153573541567</v>
      </c>
      <c r="G91" s="23">
        <v>22.677212438268267</v>
      </c>
      <c r="H91" s="23">
        <v>22.313964601471767</v>
      </c>
      <c r="I91" s="23">
        <v>21.96827626278403</v>
      </c>
      <c r="J91" s="199"/>
      <c r="K91" s="213"/>
      <c r="L91" s="232">
        <f t="shared" si="2"/>
        <v>1.5255560177574345E-2</v>
      </c>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row>
    <row r="92" spans="1:47" x14ac:dyDescent="0.25">
      <c r="A92" s="68" t="s">
        <v>240</v>
      </c>
      <c r="B92" t="s">
        <v>311</v>
      </c>
      <c r="C92" t="s">
        <v>331</v>
      </c>
      <c r="D92" s="1" t="s">
        <v>315</v>
      </c>
      <c r="E92" s="23">
        <v>1.1573209875234117E-3</v>
      </c>
      <c r="F92" s="23">
        <v>1.019083501418952E-3</v>
      </c>
      <c r="G92" s="23">
        <v>9.1323582477745302E-4</v>
      </c>
      <c r="H92" s="23">
        <v>8.7119567033948234E-4</v>
      </c>
      <c r="I92" s="23">
        <v>7.7832435653827964E-4</v>
      </c>
      <c r="J92" s="199"/>
      <c r="K92" s="213"/>
      <c r="L92" s="232">
        <f t="shared" si="2"/>
        <v>9.4420259278590657E-2</v>
      </c>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row>
    <row r="93" spans="1:47" ht="15.75" thickBot="1" x14ac:dyDescent="0.3">
      <c r="A93" s="66" t="s">
        <v>316</v>
      </c>
      <c r="B93" s="24"/>
      <c r="C93" s="24"/>
      <c r="D93" s="25"/>
      <c r="E93" s="26"/>
      <c r="F93" s="26"/>
      <c r="G93" s="26"/>
      <c r="H93" s="26"/>
      <c r="I93" s="26"/>
      <c r="J93" s="199"/>
      <c r="K93" s="213"/>
      <c r="L93" s="233"/>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row>
    <row r="94" spans="1:47" x14ac:dyDescent="0.25">
      <c r="A94" s="68" t="s">
        <v>237</v>
      </c>
      <c r="B94" t="s">
        <v>311</v>
      </c>
      <c r="C94" t="s">
        <v>331</v>
      </c>
      <c r="D94" s="1" t="s">
        <v>317</v>
      </c>
      <c r="E94" s="23">
        <v>0.16987695171033151</v>
      </c>
      <c r="F94" s="23">
        <v>0.15683592590047502</v>
      </c>
      <c r="G94" s="23">
        <v>0.1462970413405105</v>
      </c>
      <c r="H94" s="23">
        <v>0.13760244045116049</v>
      </c>
      <c r="I94" s="23">
        <v>0.13028352121936951</v>
      </c>
      <c r="J94" s="199"/>
      <c r="K94" s="213"/>
      <c r="L94" s="234">
        <f>1-((I94/E94)^0.25)</f>
        <v>6.4187682725352246E-2</v>
      </c>
      <c r="M94" s="2"/>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row>
    <row r="95" spans="1:47" x14ac:dyDescent="0.25">
      <c r="A95" s="68" t="s">
        <v>238</v>
      </c>
      <c r="B95" t="s">
        <v>311</v>
      </c>
      <c r="C95" t="s">
        <v>331</v>
      </c>
      <c r="D95" s="1" t="s">
        <v>317</v>
      </c>
      <c r="E95" s="23">
        <v>2.16900499084816E-4</v>
      </c>
      <c r="F95" s="23">
        <v>2.1278563151579051E-4</v>
      </c>
      <c r="G95" s="23">
        <v>2.0902428547408251E-4</v>
      </c>
      <c r="H95" s="23">
        <v>2.0455478043755E-4</v>
      </c>
      <c r="I95" s="23">
        <v>2.00433613181854E-4</v>
      </c>
      <c r="J95" s="199"/>
      <c r="K95" s="213"/>
      <c r="L95" s="232">
        <f t="shared" ref="L95:L97" si="3">1-((I95/E95)^0.25)</f>
        <v>1.9545371549401613E-2</v>
      </c>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row>
    <row r="96" spans="1:47" x14ac:dyDescent="0.25">
      <c r="A96" s="68" t="s">
        <v>239</v>
      </c>
      <c r="B96" t="s">
        <v>311</v>
      </c>
      <c r="C96" t="s">
        <v>331</v>
      </c>
      <c r="D96" s="1" t="s">
        <v>317</v>
      </c>
      <c r="E96" s="23">
        <v>64.371869643100041</v>
      </c>
      <c r="F96" s="23">
        <v>63.228150536820401</v>
      </c>
      <c r="G96" s="23">
        <v>62.165453853429256</v>
      </c>
      <c r="H96" s="23">
        <v>60.886592066537048</v>
      </c>
      <c r="I96" s="23">
        <v>59.703327654803843</v>
      </c>
      <c r="J96" s="214">
        <f>I96/1000/45</f>
        <v>1.3267406145511965E-3</v>
      </c>
      <c r="K96" s="213"/>
      <c r="L96" s="232">
        <f t="shared" si="3"/>
        <v>1.8646210863304202E-2</v>
      </c>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ht="15.75" thickBot="1" x14ac:dyDescent="0.3">
      <c r="A97" s="71" t="s">
        <v>240</v>
      </c>
      <c r="B97" s="47" t="s">
        <v>311</v>
      </c>
      <c r="C97" s="47" t="s">
        <v>331</v>
      </c>
      <c r="D97" s="72" t="s">
        <v>317</v>
      </c>
      <c r="E97" s="73">
        <v>4.0229070464997954E-3</v>
      </c>
      <c r="F97" s="73">
        <v>3.5063855597423049E-3</v>
      </c>
      <c r="G97" s="73">
        <v>3.1250962260919151E-3</v>
      </c>
      <c r="H97" s="73">
        <v>2.8001477516435801E-3</v>
      </c>
      <c r="I97" s="73">
        <v>2.5334269742567353E-3</v>
      </c>
      <c r="J97" s="235"/>
      <c r="K97" s="236"/>
      <c r="L97" s="237">
        <f t="shared" si="3"/>
        <v>0.10917561208385518</v>
      </c>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row>
    <row r="98" spans="1:43" x14ac:dyDescent="0.25">
      <c r="A98" s="1"/>
      <c r="D98" s="1"/>
      <c r="E98" s="23"/>
      <c r="F98" s="23"/>
      <c r="G98" s="23"/>
      <c r="H98" s="23"/>
      <c r="I98" s="23"/>
      <c r="J98" s="612" t="s">
        <v>332</v>
      </c>
      <c r="K98" s="613"/>
      <c r="L98" s="27"/>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row>
    <row r="99" spans="1:43" ht="15.75" thickBot="1" x14ac:dyDescent="0.3">
      <c r="A99" s="1"/>
      <c r="D99" s="1"/>
      <c r="E99" s="23"/>
      <c r="F99" s="23"/>
      <c r="G99" s="23"/>
      <c r="H99" s="23"/>
      <c r="I99" s="23"/>
      <c r="J99" s="614"/>
      <c r="K99" s="615"/>
      <c r="L99" s="27"/>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row>
    <row r="100" spans="1:43" ht="21.75" thickBot="1" x14ac:dyDescent="0.4">
      <c r="A100" s="301" t="s">
        <v>333</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row>
    <row r="101" spans="1:43" x14ac:dyDescent="0.25">
      <c r="A101" s="75" t="s">
        <v>334</v>
      </c>
      <c r="B101" s="28" t="s">
        <v>251</v>
      </c>
      <c r="C101" s="28" t="s">
        <v>328</v>
      </c>
      <c r="D101" s="28"/>
      <c r="E101" s="28">
        <v>2021</v>
      </c>
      <c r="F101" s="28">
        <f>E101+1</f>
        <v>2022</v>
      </c>
      <c r="G101" s="28">
        <f t="shared" ref="G101:AL101" si="4">F101+1</f>
        <v>2023</v>
      </c>
      <c r="H101" s="28">
        <f t="shared" si="4"/>
        <v>2024</v>
      </c>
      <c r="I101" s="28">
        <f t="shared" si="4"/>
        <v>2025</v>
      </c>
      <c r="J101" s="28">
        <f t="shared" si="4"/>
        <v>2026</v>
      </c>
      <c r="K101" s="28">
        <f t="shared" si="4"/>
        <v>2027</v>
      </c>
      <c r="L101" s="28">
        <f t="shared" si="4"/>
        <v>2028</v>
      </c>
      <c r="M101" s="28">
        <f t="shared" si="4"/>
        <v>2029</v>
      </c>
      <c r="N101" s="28">
        <f t="shared" si="4"/>
        <v>2030</v>
      </c>
      <c r="O101" s="28">
        <f t="shared" si="4"/>
        <v>2031</v>
      </c>
      <c r="P101" s="28">
        <f t="shared" si="4"/>
        <v>2032</v>
      </c>
      <c r="Q101" s="28">
        <f t="shared" si="4"/>
        <v>2033</v>
      </c>
      <c r="R101" s="28">
        <f t="shared" si="4"/>
        <v>2034</v>
      </c>
      <c r="S101" s="28">
        <f t="shared" si="4"/>
        <v>2035</v>
      </c>
      <c r="T101" s="28">
        <f t="shared" si="4"/>
        <v>2036</v>
      </c>
      <c r="U101" s="28">
        <f t="shared" si="4"/>
        <v>2037</v>
      </c>
      <c r="V101" s="28">
        <f t="shared" si="4"/>
        <v>2038</v>
      </c>
      <c r="W101" s="28">
        <f t="shared" si="4"/>
        <v>2039</v>
      </c>
      <c r="X101" s="28">
        <f t="shared" si="4"/>
        <v>2040</v>
      </c>
      <c r="Y101" s="28">
        <f t="shared" si="4"/>
        <v>2041</v>
      </c>
      <c r="Z101" s="28">
        <f t="shared" si="4"/>
        <v>2042</v>
      </c>
      <c r="AA101" s="28">
        <f t="shared" si="4"/>
        <v>2043</v>
      </c>
      <c r="AB101" s="28">
        <f t="shared" si="4"/>
        <v>2044</v>
      </c>
      <c r="AC101" s="28">
        <f t="shared" si="4"/>
        <v>2045</v>
      </c>
      <c r="AD101" s="28">
        <f t="shared" si="4"/>
        <v>2046</v>
      </c>
      <c r="AE101" s="28">
        <f t="shared" si="4"/>
        <v>2047</v>
      </c>
      <c r="AF101" s="28">
        <f t="shared" si="4"/>
        <v>2048</v>
      </c>
      <c r="AG101" s="28">
        <f t="shared" si="4"/>
        <v>2049</v>
      </c>
      <c r="AH101" s="28">
        <f t="shared" si="4"/>
        <v>2050</v>
      </c>
      <c r="AI101" s="28">
        <f t="shared" si="4"/>
        <v>2051</v>
      </c>
      <c r="AJ101" s="29">
        <f t="shared" si="4"/>
        <v>2052</v>
      </c>
      <c r="AK101" s="238">
        <f t="shared" si="4"/>
        <v>2053</v>
      </c>
      <c r="AL101" s="238">
        <f t="shared" si="4"/>
        <v>2054</v>
      </c>
      <c r="AM101" s="238"/>
    </row>
    <row r="102" spans="1:43" x14ac:dyDescent="0.25">
      <c r="A102" s="68" t="s">
        <v>335</v>
      </c>
      <c r="B102" s="83" t="s">
        <v>336</v>
      </c>
      <c r="C102" t="s">
        <v>337</v>
      </c>
      <c r="E102" s="76">
        <v>15600</v>
      </c>
      <c r="F102" s="76">
        <v>16600</v>
      </c>
      <c r="G102" s="76">
        <v>16800</v>
      </c>
      <c r="H102" s="76">
        <v>17000</v>
      </c>
      <c r="I102" s="76">
        <v>17200</v>
      </c>
      <c r="J102" s="76">
        <v>17500</v>
      </c>
      <c r="K102" s="76">
        <v>17900</v>
      </c>
      <c r="L102" s="76">
        <v>18200</v>
      </c>
      <c r="M102" s="76">
        <v>18600</v>
      </c>
      <c r="N102" s="76">
        <v>18900</v>
      </c>
      <c r="O102" s="76">
        <v>18900</v>
      </c>
      <c r="P102" s="76">
        <v>18900</v>
      </c>
      <c r="Q102" s="76">
        <v>18900</v>
      </c>
      <c r="R102" s="76">
        <v>18900</v>
      </c>
      <c r="S102" s="76">
        <v>18900</v>
      </c>
      <c r="T102" s="76">
        <v>18900</v>
      </c>
      <c r="U102" s="76">
        <v>18900</v>
      </c>
      <c r="V102" s="76">
        <v>18900</v>
      </c>
      <c r="W102" s="76">
        <v>18900</v>
      </c>
      <c r="X102" s="76">
        <v>18900</v>
      </c>
      <c r="Y102" s="76">
        <v>18900</v>
      </c>
      <c r="Z102" s="76">
        <v>18900</v>
      </c>
      <c r="AA102" s="76">
        <v>18900</v>
      </c>
      <c r="AB102" s="76">
        <v>18900</v>
      </c>
      <c r="AC102" s="76">
        <v>18900</v>
      </c>
      <c r="AD102" s="76">
        <v>18900</v>
      </c>
      <c r="AE102" s="76">
        <v>18900</v>
      </c>
      <c r="AF102" s="76">
        <v>18900</v>
      </c>
      <c r="AG102" s="76">
        <v>18900</v>
      </c>
      <c r="AH102" s="76">
        <v>18900</v>
      </c>
      <c r="AI102" s="76">
        <v>18900</v>
      </c>
      <c r="AJ102" s="76">
        <v>18900</v>
      </c>
      <c r="AK102" s="76">
        <v>18900</v>
      </c>
      <c r="AL102" s="76">
        <v>18900</v>
      </c>
      <c r="AM102" s="239"/>
      <c r="AN102" s="11"/>
      <c r="AO102" s="11"/>
      <c r="AP102" s="11"/>
      <c r="AQ102" s="11"/>
    </row>
    <row r="103" spans="1:43" x14ac:dyDescent="0.25">
      <c r="A103" s="68" t="s">
        <v>338</v>
      </c>
      <c r="B103" s="83" t="s">
        <v>336</v>
      </c>
      <c r="C103" t="s">
        <v>337</v>
      </c>
      <c r="E103" s="76">
        <v>41500</v>
      </c>
      <c r="F103" s="76">
        <v>44300</v>
      </c>
      <c r="G103" s="76">
        <v>45100</v>
      </c>
      <c r="H103" s="76">
        <v>46000</v>
      </c>
      <c r="I103" s="76">
        <v>46900</v>
      </c>
      <c r="J103" s="76">
        <v>47800</v>
      </c>
      <c r="K103" s="76">
        <v>48700</v>
      </c>
      <c r="L103" s="76">
        <v>49500</v>
      </c>
      <c r="M103" s="76">
        <v>50400</v>
      </c>
      <c r="N103" s="76">
        <v>51300</v>
      </c>
      <c r="O103" s="76">
        <v>51300</v>
      </c>
      <c r="P103" s="76">
        <v>51300</v>
      </c>
      <c r="Q103" s="76">
        <v>51300</v>
      </c>
      <c r="R103" s="76">
        <v>51300</v>
      </c>
      <c r="S103" s="76">
        <v>51300</v>
      </c>
      <c r="T103" s="76">
        <v>51300</v>
      </c>
      <c r="U103" s="76">
        <v>51300</v>
      </c>
      <c r="V103" s="76">
        <v>51300</v>
      </c>
      <c r="W103" s="76">
        <v>51300</v>
      </c>
      <c r="X103" s="76">
        <v>51300</v>
      </c>
      <c r="Y103" s="76">
        <v>51300</v>
      </c>
      <c r="Z103" s="76">
        <v>51300</v>
      </c>
      <c r="AA103" s="76">
        <v>51300</v>
      </c>
      <c r="AB103" s="76">
        <v>51300</v>
      </c>
      <c r="AC103" s="76">
        <v>51300</v>
      </c>
      <c r="AD103" s="76">
        <v>51300</v>
      </c>
      <c r="AE103" s="76">
        <v>51300</v>
      </c>
      <c r="AF103" s="76">
        <v>51300</v>
      </c>
      <c r="AG103" s="76">
        <v>51300</v>
      </c>
      <c r="AH103" s="76">
        <v>51300</v>
      </c>
      <c r="AI103" s="76">
        <v>51300</v>
      </c>
      <c r="AJ103" s="76">
        <v>51300</v>
      </c>
      <c r="AK103" s="76">
        <v>51300</v>
      </c>
      <c r="AL103" s="76">
        <v>51300</v>
      </c>
      <c r="AM103" s="240">
        <v>51300</v>
      </c>
      <c r="AN103" s="11"/>
      <c r="AO103" s="11"/>
      <c r="AP103" s="11"/>
      <c r="AQ103" s="11"/>
    </row>
    <row r="104" spans="1:43" ht="18" x14ac:dyDescent="0.35">
      <c r="A104" s="68" t="s">
        <v>339</v>
      </c>
      <c r="B104" s="83" t="s">
        <v>336</v>
      </c>
      <c r="C104" t="s">
        <v>337</v>
      </c>
      <c r="E104" s="76">
        <v>52</v>
      </c>
      <c r="F104" s="76">
        <v>56</v>
      </c>
      <c r="G104" s="76">
        <v>57</v>
      </c>
      <c r="H104" s="76">
        <v>58</v>
      </c>
      <c r="I104" s="76">
        <v>59</v>
      </c>
      <c r="J104" s="76">
        <v>60</v>
      </c>
      <c r="K104" s="76">
        <v>61</v>
      </c>
      <c r="L104" s="76">
        <v>62</v>
      </c>
      <c r="M104" s="76">
        <v>63</v>
      </c>
      <c r="N104" s="76">
        <v>64</v>
      </c>
      <c r="O104" s="76">
        <v>65</v>
      </c>
      <c r="P104" s="76">
        <v>66</v>
      </c>
      <c r="Q104" s="76">
        <v>67</v>
      </c>
      <c r="R104" s="76">
        <v>68</v>
      </c>
      <c r="S104" s="76">
        <v>69</v>
      </c>
      <c r="T104" s="76">
        <v>70</v>
      </c>
      <c r="U104" s="76">
        <v>71</v>
      </c>
      <c r="V104" s="76">
        <v>72</v>
      </c>
      <c r="W104" s="76">
        <v>73</v>
      </c>
      <c r="X104" s="76">
        <v>74</v>
      </c>
      <c r="Y104" s="76">
        <v>75</v>
      </c>
      <c r="Z104" s="76">
        <v>76</v>
      </c>
      <c r="AA104" s="76">
        <v>77</v>
      </c>
      <c r="AB104" s="76">
        <v>78</v>
      </c>
      <c r="AC104" s="76">
        <v>79</v>
      </c>
      <c r="AD104" s="76">
        <v>80</v>
      </c>
      <c r="AE104" s="76">
        <v>81</v>
      </c>
      <c r="AF104" s="76">
        <v>82</v>
      </c>
      <c r="AG104" s="76">
        <v>83</v>
      </c>
      <c r="AH104" s="76">
        <v>84</v>
      </c>
      <c r="AI104" s="76">
        <v>85</v>
      </c>
      <c r="AJ104" s="76">
        <v>86</v>
      </c>
      <c r="AK104" s="76">
        <v>87</v>
      </c>
      <c r="AL104" s="76">
        <v>88</v>
      </c>
      <c r="AM104" s="239"/>
      <c r="AN104" s="11"/>
      <c r="AO104" s="11"/>
      <c r="AP104" s="11"/>
      <c r="AQ104" s="11"/>
    </row>
    <row r="105" spans="1:43" ht="15.75" thickBot="1" x14ac:dyDescent="0.3">
      <c r="A105" s="71" t="s">
        <v>240</v>
      </c>
      <c r="B105" s="241" t="s">
        <v>336</v>
      </c>
      <c r="C105" s="47" t="s">
        <v>337</v>
      </c>
      <c r="D105" s="47"/>
      <c r="E105" s="242">
        <v>748600</v>
      </c>
      <c r="F105" s="242">
        <v>796700</v>
      </c>
      <c r="G105" s="242">
        <v>810500</v>
      </c>
      <c r="H105" s="242">
        <v>824500</v>
      </c>
      <c r="I105" s="242">
        <v>838800</v>
      </c>
      <c r="J105" s="242">
        <v>852100</v>
      </c>
      <c r="K105" s="242">
        <v>865600</v>
      </c>
      <c r="L105" s="242">
        <v>879400</v>
      </c>
      <c r="M105" s="242">
        <v>893400</v>
      </c>
      <c r="N105" s="242">
        <v>907600</v>
      </c>
      <c r="O105" s="242">
        <v>907600</v>
      </c>
      <c r="P105" s="242">
        <v>907600</v>
      </c>
      <c r="Q105" s="242">
        <v>907600</v>
      </c>
      <c r="R105" s="242">
        <v>907600</v>
      </c>
      <c r="S105" s="242">
        <v>907600</v>
      </c>
      <c r="T105" s="242">
        <v>907600</v>
      </c>
      <c r="U105" s="242">
        <v>907600</v>
      </c>
      <c r="V105" s="242">
        <v>907600</v>
      </c>
      <c r="W105" s="242">
        <v>907600</v>
      </c>
      <c r="X105" s="242">
        <v>907600</v>
      </c>
      <c r="Y105" s="242">
        <v>907600</v>
      </c>
      <c r="Z105" s="242">
        <v>907600</v>
      </c>
      <c r="AA105" s="242">
        <v>907600</v>
      </c>
      <c r="AB105" s="242">
        <v>907600</v>
      </c>
      <c r="AC105" s="242">
        <v>907600</v>
      </c>
      <c r="AD105" s="242">
        <v>907600</v>
      </c>
      <c r="AE105" s="242">
        <v>907600</v>
      </c>
      <c r="AF105" s="242">
        <v>907600</v>
      </c>
      <c r="AG105" s="242">
        <v>907600</v>
      </c>
      <c r="AH105" s="242">
        <v>907600</v>
      </c>
      <c r="AI105" s="242">
        <v>907600</v>
      </c>
      <c r="AJ105" s="242">
        <v>907600</v>
      </c>
      <c r="AK105" s="242">
        <v>907600</v>
      </c>
      <c r="AL105" s="242">
        <v>907600</v>
      </c>
      <c r="AM105" s="243">
        <v>907600</v>
      </c>
      <c r="AN105" s="11"/>
      <c r="AO105" s="11"/>
      <c r="AP105" s="11"/>
      <c r="AQ105" s="11"/>
    </row>
    <row r="106" spans="1:43" x14ac:dyDescent="0.25">
      <c r="A106" s="1"/>
    </row>
    <row r="107" spans="1:43" ht="21.75" thickBot="1" x14ac:dyDescent="0.4">
      <c r="A107" s="302" t="s">
        <v>340</v>
      </c>
    </row>
    <row r="108" spans="1:43" x14ac:dyDescent="0.25">
      <c r="A108" s="244" t="s">
        <v>341</v>
      </c>
      <c r="B108" s="28" t="s">
        <v>251</v>
      </c>
      <c r="C108" s="28" t="s">
        <v>328</v>
      </c>
      <c r="D108" s="28"/>
      <c r="E108" s="28">
        <v>2021</v>
      </c>
      <c r="F108" s="28">
        <f>E108+1</f>
        <v>2022</v>
      </c>
      <c r="G108" s="28">
        <f t="shared" ref="G108:AJ108" si="5">F108+1</f>
        <v>2023</v>
      </c>
      <c r="H108" s="28">
        <f t="shared" si="5"/>
        <v>2024</v>
      </c>
      <c r="I108" s="28">
        <f t="shared" si="5"/>
        <v>2025</v>
      </c>
      <c r="J108" s="28">
        <f t="shared" si="5"/>
        <v>2026</v>
      </c>
      <c r="K108" s="28">
        <f t="shared" si="5"/>
        <v>2027</v>
      </c>
      <c r="L108" s="28">
        <f t="shared" si="5"/>
        <v>2028</v>
      </c>
      <c r="M108" s="28">
        <f t="shared" si="5"/>
        <v>2029</v>
      </c>
      <c r="N108" s="28">
        <f t="shared" si="5"/>
        <v>2030</v>
      </c>
      <c r="O108" s="28">
        <f t="shared" si="5"/>
        <v>2031</v>
      </c>
      <c r="P108" s="28">
        <f t="shared" si="5"/>
        <v>2032</v>
      </c>
      <c r="Q108" s="28">
        <f t="shared" si="5"/>
        <v>2033</v>
      </c>
      <c r="R108" s="28">
        <f t="shared" si="5"/>
        <v>2034</v>
      </c>
      <c r="S108" s="28">
        <f t="shared" si="5"/>
        <v>2035</v>
      </c>
      <c r="T108" s="28">
        <f t="shared" si="5"/>
        <v>2036</v>
      </c>
      <c r="U108" s="28">
        <f t="shared" si="5"/>
        <v>2037</v>
      </c>
      <c r="V108" s="28">
        <f t="shared" si="5"/>
        <v>2038</v>
      </c>
      <c r="W108" s="28">
        <f t="shared" si="5"/>
        <v>2039</v>
      </c>
      <c r="X108" s="28">
        <f t="shared" si="5"/>
        <v>2040</v>
      </c>
      <c r="Y108" s="28">
        <f t="shared" si="5"/>
        <v>2041</v>
      </c>
      <c r="Z108" s="28">
        <f t="shared" si="5"/>
        <v>2042</v>
      </c>
      <c r="AA108" s="28">
        <f t="shared" si="5"/>
        <v>2043</v>
      </c>
      <c r="AB108" s="28">
        <f t="shared" si="5"/>
        <v>2044</v>
      </c>
      <c r="AC108" s="28">
        <f t="shared" si="5"/>
        <v>2045</v>
      </c>
      <c r="AD108" s="28">
        <f t="shared" si="5"/>
        <v>2046</v>
      </c>
      <c r="AE108" s="28">
        <f t="shared" si="5"/>
        <v>2047</v>
      </c>
      <c r="AF108" s="28">
        <f t="shared" si="5"/>
        <v>2048</v>
      </c>
      <c r="AG108" s="28">
        <f t="shared" si="5"/>
        <v>2049</v>
      </c>
      <c r="AH108" s="28">
        <f t="shared" si="5"/>
        <v>2050</v>
      </c>
      <c r="AI108" s="28">
        <f t="shared" si="5"/>
        <v>2051</v>
      </c>
      <c r="AJ108" s="29">
        <f t="shared" si="5"/>
        <v>2052</v>
      </c>
      <c r="AK108" s="29">
        <f t="shared" ref="AK108" si="6">AJ108+1</f>
        <v>2053</v>
      </c>
      <c r="AL108" s="29">
        <f t="shared" ref="AL108" si="7">AK108+1</f>
        <v>2054</v>
      </c>
      <c r="AM108" s="29">
        <f t="shared" ref="AM108" si="8">AL108+1</f>
        <v>2055</v>
      </c>
    </row>
    <row r="109" spans="1:43" x14ac:dyDescent="0.25">
      <c r="A109" s="68" t="s">
        <v>342</v>
      </c>
      <c r="B109" s="10" t="s">
        <v>336</v>
      </c>
      <c r="C109" t="s">
        <v>343</v>
      </c>
      <c r="D109" s="19"/>
      <c r="E109" s="19">
        <v>3900</v>
      </c>
      <c r="F109" s="19">
        <v>4000</v>
      </c>
      <c r="G109" s="19">
        <f t="shared" ref="G109:V112" si="9">F109</f>
        <v>4000</v>
      </c>
      <c r="H109" s="19">
        <f t="shared" si="9"/>
        <v>4000</v>
      </c>
      <c r="I109" s="19">
        <f t="shared" si="9"/>
        <v>4000</v>
      </c>
      <c r="J109" s="19">
        <f t="shared" si="9"/>
        <v>4000</v>
      </c>
      <c r="K109" s="19">
        <f t="shared" si="9"/>
        <v>4000</v>
      </c>
      <c r="L109" s="19">
        <f t="shared" si="9"/>
        <v>4000</v>
      </c>
      <c r="M109" s="19">
        <f t="shared" si="9"/>
        <v>4000</v>
      </c>
      <c r="N109" s="19">
        <f t="shared" si="9"/>
        <v>4000</v>
      </c>
      <c r="O109" s="19">
        <f t="shared" si="9"/>
        <v>4000</v>
      </c>
      <c r="P109" s="19">
        <f t="shared" si="9"/>
        <v>4000</v>
      </c>
      <c r="Q109" s="19">
        <f t="shared" si="9"/>
        <v>4000</v>
      </c>
      <c r="R109" s="19">
        <f t="shared" si="9"/>
        <v>4000</v>
      </c>
      <c r="S109" s="19">
        <f t="shared" si="9"/>
        <v>4000</v>
      </c>
      <c r="T109" s="19">
        <f t="shared" si="9"/>
        <v>4000</v>
      </c>
      <c r="U109" s="19">
        <f t="shared" si="9"/>
        <v>4000</v>
      </c>
      <c r="V109" s="19">
        <f t="shared" si="9"/>
        <v>4000</v>
      </c>
      <c r="W109" s="19">
        <f t="shared" ref="W109:AJ112" si="10">V109</f>
        <v>4000</v>
      </c>
      <c r="X109" s="19">
        <f t="shared" si="10"/>
        <v>4000</v>
      </c>
      <c r="Y109" s="19">
        <f t="shared" si="10"/>
        <v>4000</v>
      </c>
      <c r="Z109" s="19">
        <f t="shared" si="10"/>
        <v>4000</v>
      </c>
      <c r="AA109" s="19">
        <f t="shared" si="10"/>
        <v>4000</v>
      </c>
      <c r="AB109" s="19">
        <f t="shared" si="10"/>
        <v>4000</v>
      </c>
      <c r="AC109" s="19">
        <f t="shared" si="10"/>
        <v>4000</v>
      </c>
      <c r="AD109" s="19">
        <f t="shared" si="10"/>
        <v>4000</v>
      </c>
      <c r="AE109" s="19">
        <f t="shared" si="10"/>
        <v>4000</v>
      </c>
      <c r="AF109" s="19">
        <f t="shared" si="10"/>
        <v>4000</v>
      </c>
      <c r="AG109" s="19">
        <f t="shared" si="10"/>
        <v>4000</v>
      </c>
      <c r="AH109" s="19">
        <f t="shared" si="10"/>
        <v>4000</v>
      </c>
      <c r="AI109" s="19">
        <f t="shared" si="10"/>
        <v>4000</v>
      </c>
      <c r="AJ109" s="245">
        <f t="shared" si="10"/>
        <v>4000</v>
      </c>
      <c r="AK109" s="245">
        <f t="shared" ref="AK109:AK112" si="11">AJ109</f>
        <v>4000</v>
      </c>
      <c r="AL109" s="245">
        <f t="shared" ref="AL109:AL112" si="12">AK109</f>
        <v>4000</v>
      </c>
      <c r="AM109" s="245">
        <f t="shared" ref="AM109:AM112" si="13">AL109</f>
        <v>4000</v>
      </c>
      <c r="AN109" s="19"/>
      <c r="AO109" s="19"/>
      <c r="AP109" s="19"/>
      <c r="AQ109" s="19"/>
    </row>
    <row r="110" spans="1:43" x14ac:dyDescent="0.25">
      <c r="A110" s="68" t="s">
        <v>344</v>
      </c>
      <c r="B110" s="10" t="s">
        <v>336</v>
      </c>
      <c r="C110" t="s">
        <v>343</v>
      </c>
      <c r="D110" s="19"/>
      <c r="E110" s="19">
        <v>77200</v>
      </c>
      <c r="F110" s="19">
        <v>78500</v>
      </c>
      <c r="G110" s="19">
        <f t="shared" si="9"/>
        <v>78500</v>
      </c>
      <c r="H110" s="19">
        <f t="shared" si="9"/>
        <v>78500</v>
      </c>
      <c r="I110" s="19">
        <f t="shared" si="9"/>
        <v>78500</v>
      </c>
      <c r="J110" s="19">
        <f t="shared" si="9"/>
        <v>78500</v>
      </c>
      <c r="K110" s="19">
        <f t="shared" si="9"/>
        <v>78500</v>
      </c>
      <c r="L110" s="19">
        <f t="shared" si="9"/>
        <v>78500</v>
      </c>
      <c r="M110" s="19">
        <f t="shared" si="9"/>
        <v>78500</v>
      </c>
      <c r="N110" s="19">
        <f t="shared" si="9"/>
        <v>78500</v>
      </c>
      <c r="O110" s="19">
        <f t="shared" si="9"/>
        <v>78500</v>
      </c>
      <c r="P110" s="19">
        <f t="shared" si="9"/>
        <v>78500</v>
      </c>
      <c r="Q110" s="19">
        <f t="shared" si="9"/>
        <v>78500</v>
      </c>
      <c r="R110" s="19">
        <f t="shared" si="9"/>
        <v>78500</v>
      </c>
      <c r="S110" s="19">
        <f t="shared" si="9"/>
        <v>78500</v>
      </c>
      <c r="T110" s="19">
        <f t="shared" si="9"/>
        <v>78500</v>
      </c>
      <c r="U110" s="19">
        <f t="shared" si="9"/>
        <v>78500</v>
      </c>
      <c r="V110" s="19">
        <f t="shared" si="9"/>
        <v>78500</v>
      </c>
      <c r="W110" s="19">
        <f t="shared" si="10"/>
        <v>78500</v>
      </c>
      <c r="X110" s="19">
        <f t="shared" si="10"/>
        <v>78500</v>
      </c>
      <c r="Y110" s="19">
        <f t="shared" si="10"/>
        <v>78500</v>
      </c>
      <c r="Z110" s="19">
        <f t="shared" si="10"/>
        <v>78500</v>
      </c>
      <c r="AA110" s="19">
        <f t="shared" si="10"/>
        <v>78500</v>
      </c>
      <c r="AB110" s="19">
        <f t="shared" si="10"/>
        <v>78500</v>
      </c>
      <c r="AC110" s="19">
        <f t="shared" si="10"/>
        <v>78500</v>
      </c>
      <c r="AD110" s="19">
        <f t="shared" si="10"/>
        <v>78500</v>
      </c>
      <c r="AE110" s="19">
        <f t="shared" si="10"/>
        <v>78500</v>
      </c>
      <c r="AF110" s="19">
        <f t="shared" si="10"/>
        <v>78500</v>
      </c>
      <c r="AG110" s="19">
        <f t="shared" si="10"/>
        <v>78500</v>
      </c>
      <c r="AH110" s="19">
        <f t="shared" si="10"/>
        <v>78500</v>
      </c>
      <c r="AI110" s="19">
        <f t="shared" si="10"/>
        <v>78500</v>
      </c>
      <c r="AJ110" s="245">
        <f t="shared" si="10"/>
        <v>78500</v>
      </c>
      <c r="AK110" s="245">
        <f t="shared" si="11"/>
        <v>78500</v>
      </c>
      <c r="AL110" s="245">
        <f t="shared" si="12"/>
        <v>78500</v>
      </c>
      <c r="AM110" s="245">
        <f t="shared" si="13"/>
        <v>78500</v>
      </c>
      <c r="AN110" s="19"/>
      <c r="AO110" s="19"/>
      <c r="AP110" s="19"/>
      <c r="AQ110" s="19"/>
    </row>
    <row r="111" spans="1:43" x14ac:dyDescent="0.25">
      <c r="A111" s="68" t="s">
        <v>345</v>
      </c>
      <c r="B111" s="10" t="s">
        <v>336</v>
      </c>
      <c r="C111" t="s">
        <v>343</v>
      </c>
      <c r="D111" s="19"/>
      <c r="E111" s="19">
        <v>151100</v>
      </c>
      <c r="F111" s="19">
        <v>153700</v>
      </c>
      <c r="G111" s="19">
        <f t="shared" si="9"/>
        <v>153700</v>
      </c>
      <c r="H111" s="19">
        <f t="shared" si="9"/>
        <v>153700</v>
      </c>
      <c r="I111" s="19">
        <f t="shared" si="9"/>
        <v>153700</v>
      </c>
      <c r="J111" s="19">
        <f t="shared" si="9"/>
        <v>153700</v>
      </c>
      <c r="K111" s="19">
        <f t="shared" si="9"/>
        <v>153700</v>
      </c>
      <c r="L111" s="19">
        <f t="shared" si="9"/>
        <v>153700</v>
      </c>
      <c r="M111" s="19">
        <f t="shared" si="9"/>
        <v>153700</v>
      </c>
      <c r="N111" s="19">
        <f t="shared" si="9"/>
        <v>153700</v>
      </c>
      <c r="O111" s="19">
        <f t="shared" si="9"/>
        <v>153700</v>
      </c>
      <c r="P111" s="19">
        <f t="shared" si="9"/>
        <v>153700</v>
      </c>
      <c r="Q111" s="19">
        <f t="shared" si="9"/>
        <v>153700</v>
      </c>
      <c r="R111" s="19">
        <f t="shared" si="9"/>
        <v>153700</v>
      </c>
      <c r="S111" s="19">
        <f t="shared" si="9"/>
        <v>153700</v>
      </c>
      <c r="T111" s="19">
        <f t="shared" si="9"/>
        <v>153700</v>
      </c>
      <c r="U111" s="19">
        <f t="shared" si="9"/>
        <v>153700</v>
      </c>
      <c r="V111" s="19">
        <f t="shared" si="9"/>
        <v>153700</v>
      </c>
      <c r="W111" s="19">
        <f t="shared" si="10"/>
        <v>153700</v>
      </c>
      <c r="X111" s="19">
        <f t="shared" si="10"/>
        <v>153700</v>
      </c>
      <c r="Y111" s="19">
        <f t="shared" si="10"/>
        <v>153700</v>
      </c>
      <c r="Z111" s="19">
        <f t="shared" si="10"/>
        <v>153700</v>
      </c>
      <c r="AA111" s="19">
        <f t="shared" si="10"/>
        <v>153700</v>
      </c>
      <c r="AB111" s="19">
        <f t="shared" si="10"/>
        <v>153700</v>
      </c>
      <c r="AC111" s="19">
        <f t="shared" si="10"/>
        <v>153700</v>
      </c>
      <c r="AD111" s="19">
        <f t="shared" si="10"/>
        <v>153700</v>
      </c>
      <c r="AE111" s="19">
        <f t="shared" si="10"/>
        <v>153700</v>
      </c>
      <c r="AF111" s="19">
        <f t="shared" si="10"/>
        <v>153700</v>
      </c>
      <c r="AG111" s="19">
        <f t="shared" si="10"/>
        <v>153700</v>
      </c>
      <c r="AH111" s="19">
        <f t="shared" si="10"/>
        <v>153700</v>
      </c>
      <c r="AI111" s="19">
        <f t="shared" si="10"/>
        <v>153700</v>
      </c>
      <c r="AJ111" s="245">
        <f t="shared" si="10"/>
        <v>153700</v>
      </c>
      <c r="AK111" s="245">
        <f t="shared" si="11"/>
        <v>153700</v>
      </c>
      <c r="AL111" s="245">
        <f t="shared" si="12"/>
        <v>153700</v>
      </c>
      <c r="AM111" s="245">
        <f t="shared" si="13"/>
        <v>153700</v>
      </c>
      <c r="AN111" s="19"/>
      <c r="AO111" s="19"/>
      <c r="AP111" s="19"/>
      <c r="AQ111" s="19"/>
    </row>
    <row r="112" spans="1:43" x14ac:dyDescent="0.25">
      <c r="A112" s="68" t="s">
        <v>346</v>
      </c>
      <c r="B112" s="10" t="s">
        <v>336</v>
      </c>
      <c r="C112" t="s">
        <v>343</v>
      </c>
      <c r="D112" s="19"/>
      <c r="E112" s="19">
        <v>554800</v>
      </c>
      <c r="F112" s="19">
        <v>564300</v>
      </c>
      <c r="G112" s="19">
        <f t="shared" si="9"/>
        <v>564300</v>
      </c>
      <c r="H112" s="19">
        <f t="shared" si="9"/>
        <v>564300</v>
      </c>
      <c r="I112" s="19">
        <f t="shared" si="9"/>
        <v>564300</v>
      </c>
      <c r="J112" s="19">
        <f t="shared" si="9"/>
        <v>564300</v>
      </c>
      <c r="K112" s="19">
        <f t="shared" si="9"/>
        <v>564300</v>
      </c>
      <c r="L112" s="19">
        <f t="shared" si="9"/>
        <v>564300</v>
      </c>
      <c r="M112" s="19">
        <f t="shared" si="9"/>
        <v>564300</v>
      </c>
      <c r="N112" s="19">
        <f t="shared" si="9"/>
        <v>564300</v>
      </c>
      <c r="O112" s="19">
        <f t="shared" si="9"/>
        <v>564300</v>
      </c>
      <c r="P112" s="19">
        <f t="shared" si="9"/>
        <v>564300</v>
      </c>
      <c r="Q112" s="19">
        <f t="shared" si="9"/>
        <v>564300</v>
      </c>
      <c r="R112" s="19">
        <f t="shared" si="9"/>
        <v>564300</v>
      </c>
      <c r="S112" s="19">
        <f t="shared" si="9"/>
        <v>564300</v>
      </c>
      <c r="T112" s="19">
        <f t="shared" si="9"/>
        <v>564300</v>
      </c>
      <c r="U112" s="19">
        <f t="shared" si="9"/>
        <v>564300</v>
      </c>
      <c r="V112" s="19">
        <f t="shared" si="9"/>
        <v>564300</v>
      </c>
      <c r="W112" s="19">
        <f t="shared" si="10"/>
        <v>564300</v>
      </c>
      <c r="X112" s="19">
        <f t="shared" si="10"/>
        <v>564300</v>
      </c>
      <c r="Y112" s="19">
        <f t="shared" si="10"/>
        <v>564300</v>
      </c>
      <c r="Z112" s="19">
        <f t="shared" si="10"/>
        <v>564300</v>
      </c>
      <c r="AA112" s="19">
        <f t="shared" si="10"/>
        <v>564300</v>
      </c>
      <c r="AB112" s="19">
        <f t="shared" si="10"/>
        <v>564300</v>
      </c>
      <c r="AC112" s="19">
        <f t="shared" si="10"/>
        <v>564300</v>
      </c>
      <c r="AD112" s="19">
        <f t="shared" si="10"/>
        <v>564300</v>
      </c>
      <c r="AE112" s="19">
        <f t="shared" si="10"/>
        <v>564300</v>
      </c>
      <c r="AF112" s="19">
        <f t="shared" si="10"/>
        <v>564300</v>
      </c>
      <c r="AG112" s="19">
        <f t="shared" si="10"/>
        <v>564300</v>
      </c>
      <c r="AH112" s="19">
        <f t="shared" si="10"/>
        <v>564300</v>
      </c>
      <c r="AI112" s="19">
        <f t="shared" si="10"/>
        <v>564300</v>
      </c>
      <c r="AJ112" s="245">
        <f t="shared" si="10"/>
        <v>564300</v>
      </c>
      <c r="AK112" s="245">
        <f t="shared" si="11"/>
        <v>564300</v>
      </c>
      <c r="AL112" s="245">
        <f t="shared" si="12"/>
        <v>564300</v>
      </c>
      <c r="AM112" s="245">
        <f t="shared" si="13"/>
        <v>564300</v>
      </c>
      <c r="AN112" s="19"/>
      <c r="AO112" s="19"/>
      <c r="AP112" s="19"/>
      <c r="AQ112" s="19"/>
    </row>
    <row r="113" spans="1:43" ht="15.75" thickBot="1" x14ac:dyDescent="0.3">
      <c r="A113" s="71" t="s">
        <v>347</v>
      </c>
      <c r="B113" s="246" t="s">
        <v>336</v>
      </c>
      <c r="C113" s="47" t="s">
        <v>343</v>
      </c>
      <c r="D113" s="247"/>
      <c r="E113" s="247">
        <v>11600000</v>
      </c>
      <c r="F113" s="247">
        <v>11800000</v>
      </c>
      <c r="G113" s="247">
        <v>11800000</v>
      </c>
      <c r="H113" s="247">
        <v>11800000</v>
      </c>
      <c r="I113" s="247">
        <v>11800000</v>
      </c>
      <c r="J113" s="247">
        <v>11800000</v>
      </c>
      <c r="K113" s="247">
        <v>11800000</v>
      </c>
      <c r="L113" s="247">
        <v>11800000</v>
      </c>
      <c r="M113" s="247">
        <v>11800000</v>
      </c>
      <c r="N113" s="247">
        <v>11800000</v>
      </c>
      <c r="O113" s="247">
        <v>11800000</v>
      </c>
      <c r="P113" s="247">
        <v>11800000</v>
      </c>
      <c r="Q113" s="247">
        <v>11800000</v>
      </c>
      <c r="R113" s="247">
        <v>11800000</v>
      </c>
      <c r="S113" s="247">
        <v>11800000</v>
      </c>
      <c r="T113" s="247">
        <v>11800000</v>
      </c>
      <c r="U113" s="247">
        <v>11800000</v>
      </c>
      <c r="V113" s="247">
        <v>11800000</v>
      </c>
      <c r="W113" s="247">
        <v>11800000</v>
      </c>
      <c r="X113" s="247">
        <v>11800000</v>
      </c>
      <c r="Y113" s="247">
        <v>11800000</v>
      </c>
      <c r="Z113" s="247">
        <v>11800000</v>
      </c>
      <c r="AA113" s="247">
        <v>11800000</v>
      </c>
      <c r="AB113" s="247">
        <v>11800000</v>
      </c>
      <c r="AC113" s="247">
        <v>11800000</v>
      </c>
      <c r="AD113" s="247">
        <v>11800000</v>
      </c>
      <c r="AE113" s="247">
        <v>11800000</v>
      </c>
      <c r="AF113" s="247">
        <v>11800000</v>
      </c>
      <c r="AG113" s="247">
        <v>11800000</v>
      </c>
      <c r="AH113" s="247">
        <v>11800000</v>
      </c>
      <c r="AI113" s="247">
        <v>11800000</v>
      </c>
      <c r="AJ113" s="248">
        <v>11800000</v>
      </c>
      <c r="AK113" s="248">
        <v>11800000</v>
      </c>
      <c r="AL113" s="248">
        <v>11800000</v>
      </c>
      <c r="AM113" s="248">
        <v>11800000</v>
      </c>
      <c r="AN113" s="19"/>
      <c r="AO113" s="19"/>
      <c r="AP113" s="19"/>
      <c r="AQ113" s="19"/>
    </row>
    <row r="114" spans="1:43" x14ac:dyDescent="0.25">
      <c r="A114" s="1"/>
      <c r="B114" s="10"/>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row>
    <row r="115" spans="1:43" ht="21.75" thickBot="1" x14ac:dyDescent="0.4">
      <c r="A115" s="302" t="s">
        <v>348</v>
      </c>
    </row>
    <row r="116" spans="1:43" x14ac:dyDescent="0.25">
      <c r="A116" s="244" t="s">
        <v>349</v>
      </c>
      <c r="B116" s="28"/>
      <c r="C116" s="28"/>
      <c r="D116" s="28"/>
      <c r="E116" s="28">
        <v>2021</v>
      </c>
      <c r="F116" s="28">
        <f>E116+1</f>
        <v>2022</v>
      </c>
      <c r="G116" s="28">
        <f t="shared" ref="G116:AO116" si="14">F116+1</f>
        <v>2023</v>
      </c>
      <c r="H116" s="28">
        <f t="shared" si="14"/>
        <v>2024</v>
      </c>
      <c r="I116" s="28">
        <f t="shared" si="14"/>
        <v>2025</v>
      </c>
      <c r="J116" s="28">
        <f t="shared" si="14"/>
        <v>2026</v>
      </c>
      <c r="K116" s="28">
        <f t="shared" si="14"/>
        <v>2027</v>
      </c>
      <c r="L116" s="28">
        <f t="shared" si="14"/>
        <v>2028</v>
      </c>
      <c r="M116" s="28">
        <f t="shared" si="14"/>
        <v>2029</v>
      </c>
      <c r="N116" s="28">
        <f t="shared" si="14"/>
        <v>2030</v>
      </c>
      <c r="O116" s="28">
        <f t="shared" si="14"/>
        <v>2031</v>
      </c>
      <c r="P116" s="28">
        <f t="shared" si="14"/>
        <v>2032</v>
      </c>
      <c r="Q116" s="28">
        <f t="shared" si="14"/>
        <v>2033</v>
      </c>
      <c r="R116" s="28">
        <f t="shared" si="14"/>
        <v>2034</v>
      </c>
      <c r="S116" s="28">
        <f t="shared" si="14"/>
        <v>2035</v>
      </c>
      <c r="T116" s="28">
        <f t="shared" si="14"/>
        <v>2036</v>
      </c>
      <c r="U116" s="28">
        <f t="shared" si="14"/>
        <v>2037</v>
      </c>
      <c r="V116" s="28">
        <f t="shared" si="14"/>
        <v>2038</v>
      </c>
      <c r="W116" s="28">
        <f t="shared" si="14"/>
        <v>2039</v>
      </c>
      <c r="X116" s="28">
        <f t="shared" si="14"/>
        <v>2040</v>
      </c>
      <c r="Y116" s="28">
        <f t="shared" si="14"/>
        <v>2041</v>
      </c>
      <c r="Z116" s="28">
        <f t="shared" si="14"/>
        <v>2042</v>
      </c>
      <c r="AA116" s="28">
        <f t="shared" si="14"/>
        <v>2043</v>
      </c>
      <c r="AB116" s="28">
        <f t="shared" si="14"/>
        <v>2044</v>
      </c>
      <c r="AC116" s="28">
        <f t="shared" si="14"/>
        <v>2045</v>
      </c>
      <c r="AD116" s="28">
        <f t="shared" si="14"/>
        <v>2046</v>
      </c>
      <c r="AE116" s="28">
        <f t="shared" si="14"/>
        <v>2047</v>
      </c>
      <c r="AF116" s="28">
        <f t="shared" si="14"/>
        <v>2048</v>
      </c>
      <c r="AG116" s="28">
        <f t="shared" si="14"/>
        <v>2049</v>
      </c>
      <c r="AH116" s="28">
        <f t="shared" si="14"/>
        <v>2050</v>
      </c>
      <c r="AI116" s="28">
        <f t="shared" si="14"/>
        <v>2051</v>
      </c>
      <c r="AJ116" s="28">
        <f t="shared" si="14"/>
        <v>2052</v>
      </c>
      <c r="AK116" s="28">
        <f t="shared" si="14"/>
        <v>2053</v>
      </c>
      <c r="AL116" s="28">
        <f t="shared" si="14"/>
        <v>2054</v>
      </c>
      <c r="AM116" s="28">
        <f t="shared" si="14"/>
        <v>2055</v>
      </c>
      <c r="AN116" s="28">
        <f t="shared" si="14"/>
        <v>2056</v>
      </c>
      <c r="AO116" s="29">
        <f t="shared" si="14"/>
        <v>2057</v>
      </c>
    </row>
    <row r="117" spans="1:43" x14ac:dyDescent="0.25">
      <c r="A117" s="68" t="s">
        <v>350</v>
      </c>
      <c r="B117" s="10" t="s">
        <v>351</v>
      </c>
      <c r="D117" s="5"/>
      <c r="E117" s="5">
        <v>18.8</v>
      </c>
      <c r="F117" s="5">
        <f>E117</f>
        <v>18.8</v>
      </c>
      <c r="G117" s="5">
        <f t="shared" ref="G117:V119" si="15">F117</f>
        <v>18.8</v>
      </c>
      <c r="H117" s="5">
        <f t="shared" si="15"/>
        <v>18.8</v>
      </c>
      <c r="I117" s="5">
        <f t="shared" si="15"/>
        <v>18.8</v>
      </c>
      <c r="J117" s="5">
        <f t="shared" si="15"/>
        <v>18.8</v>
      </c>
      <c r="K117" s="5">
        <f t="shared" si="15"/>
        <v>18.8</v>
      </c>
      <c r="L117" s="5">
        <f t="shared" si="15"/>
        <v>18.8</v>
      </c>
      <c r="M117" s="5">
        <f t="shared" si="15"/>
        <v>18.8</v>
      </c>
      <c r="N117" s="5">
        <f t="shared" si="15"/>
        <v>18.8</v>
      </c>
      <c r="O117" s="5">
        <f t="shared" si="15"/>
        <v>18.8</v>
      </c>
      <c r="P117" s="5">
        <f t="shared" si="15"/>
        <v>18.8</v>
      </c>
      <c r="Q117" s="5">
        <f t="shared" si="15"/>
        <v>18.8</v>
      </c>
      <c r="R117" s="5">
        <f t="shared" si="15"/>
        <v>18.8</v>
      </c>
      <c r="S117" s="5">
        <f t="shared" si="15"/>
        <v>18.8</v>
      </c>
      <c r="T117" s="5">
        <f t="shared" si="15"/>
        <v>18.8</v>
      </c>
      <c r="U117" s="5">
        <f t="shared" si="15"/>
        <v>18.8</v>
      </c>
      <c r="V117" s="5">
        <f t="shared" si="15"/>
        <v>18.8</v>
      </c>
      <c r="W117" s="5">
        <f t="shared" ref="W117:AL119" si="16">V117</f>
        <v>18.8</v>
      </c>
      <c r="X117" s="5">
        <f t="shared" si="16"/>
        <v>18.8</v>
      </c>
      <c r="Y117" s="5">
        <f t="shared" si="16"/>
        <v>18.8</v>
      </c>
      <c r="Z117" s="5">
        <f t="shared" si="16"/>
        <v>18.8</v>
      </c>
      <c r="AA117" s="5">
        <f t="shared" si="16"/>
        <v>18.8</v>
      </c>
      <c r="AB117" s="5">
        <f t="shared" si="16"/>
        <v>18.8</v>
      </c>
      <c r="AC117" s="5">
        <f t="shared" si="16"/>
        <v>18.8</v>
      </c>
      <c r="AD117" s="5">
        <f t="shared" si="16"/>
        <v>18.8</v>
      </c>
      <c r="AE117" s="5">
        <f t="shared" si="16"/>
        <v>18.8</v>
      </c>
      <c r="AF117" s="5">
        <f t="shared" si="16"/>
        <v>18.8</v>
      </c>
      <c r="AG117" s="5">
        <f t="shared" si="16"/>
        <v>18.8</v>
      </c>
      <c r="AH117" s="5">
        <f t="shared" si="16"/>
        <v>18.8</v>
      </c>
      <c r="AI117" s="5">
        <f t="shared" si="16"/>
        <v>18.8</v>
      </c>
      <c r="AJ117" s="5">
        <f t="shared" si="16"/>
        <v>18.8</v>
      </c>
      <c r="AK117" s="5">
        <f t="shared" si="16"/>
        <v>18.8</v>
      </c>
      <c r="AL117" s="5">
        <f t="shared" si="16"/>
        <v>18.8</v>
      </c>
      <c r="AM117" s="5">
        <f t="shared" ref="AM117:AO119" si="17">AL117</f>
        <v>18.8</v>
      </c>
      <c r="AN117" s="5">
        <f t="shared" si="17"/>
        <v>18.8</v>
      </c>
      <c r="AO117" s="249">
        <f t="shared" si="17"/>
        <v>18.8</v>
      </c>
      <c r="AP117" s="5"/>
      <c r="AQ117" s="5"/>
    </row>
    <row r="118" spans="1:43" x14ac:dyDescent="0.25">
      <c r="A118" s="68" t="s">
        <v>352</v>
      </c>
      <c r="B118" s="10" t="s">
        <v>351</v>
      </c>
      <c r="D118" s="5"/>
      <c r="E118" s="5">
        <v>34</v>
      </c>
      <c r="F118" s="5">
        <v>34</v>
      </c>
      <c r="G118" s="5">
        <v>34</v>
      </c>
      <c r="H118" s="5">
        <v>34</v>
      </c>
      <c r="I118" s="5">
        <v>34</v>
      </c>
      <c r="J118" s="5">
        <v>34</v>
      </c>
      <c r="K118" s="5">
        <v>34</v>
      </c>
      <c r="L118" s="5">
        <v>34</v>
      </c>
      <c r="M118" s="5">
        <v>34</v>
      </c>
      <c r="N118" s="5">
        <v>34</v>
      </c>
      <c r="O118" s="5">
        <v>34</v>
      </c>
      <c r="P118" s="5">
        <v>34</v>
      </c>
      <c r="Q118" s="5">
        <v>34</v>
      </c>
      <c r="R118" s="5">
        <v>34</v>
      </c>
      <c r="S118" s="5">
        <v>34</v>
      </c>
      <c r="T118" s="5">
        <v>34</v>
      </c>
      <c r="U118" s="5">
        <v>34</v>
      </c>
      <c r="V118" s="5">
        <v>34</v>
      </c>
      <c r="W118" s="5">
        <v>34</v>
      </c>
      <c r="X118" s="5">
        <v>34</v>
      </c>
      <c r="Y118" s="5">
        <v>34</v>
      </c>
      <c r="Z118" s="5">
        <v>34</v>
      </c>
      <c r="AA118" s="5">
        <v>34</v>
      </c>
      <c r="AB118" s="5">
        <v>34</v>
      </c>
      <c r="AC118" s="5">
        <v>34</v>
      </c>
      <c r="AD118" s="5">
        <v>34</v>
      </c>
      <c r="AE118" s="5">
        <v>34</v>
      </c>
      <c r="AF118" s="5">
        <v>34</v>
      </c>
      <c r="AG118" s="5">
        <v>34</v>
      </c>
      <c r="AH118" s="5">
        <v>34</v>
      </c>
      <c r="AI118" s="5">
        <v>34</v>
      </c>
      <c r="AJ118" s="5">
        <v>34</v>
      </c>
      <c r="AK118" s="5">
        <v>34</v>
      </c>
      <c r="AL118" s="5">
        <v>34</v>
      </c>
      <c r="AM118" s="5">
        <v>34</v>
      </c>
      <c r="AN118" s="5">
        <v>34</v>
      </c>
      <c r="AO118" s="5">
        <v>34</v>
      </c>
      <c r="AP118" s="5"/>
      <c r="AQ118" s="5"/>
    </row>
    <row r="119" spans="1:43" ht="15.75" thickBot="1" x14ac:dyDescent="0.3">
      <c r="A119" s="71" t="s">
        <v>353</v>
      </c>
      <c r="B119" s="250" t="s">
        <v>351</v>
      </c>
      <c r="C119" s="47"/>
      <c r="D119" s="251"/>
      <c r="E119" s="251">
        <v>32.4</v>
      </c>
      <c r="F119" s="251">
        <f>E119</f>
        <v>32.4</v>
      </c>
      <c r="G119" s="251">
        <f t="shared" si="15"/>
        <v>32.4</v>
      </c>
      <c r="H119" s="251">
        <f t="shared" si="15"/>
        <v>32.4</v>
      </c>
      <c r="I119" s="251">
        <f t="shared" si="15"/>
        <v>32.4</v>
      </c>
      <c r="J119" s="251">
        <f>I119</f>
        <v>32.4</v>
      </c>
      <c r="K119" s="251">
        <f t="shared" si="15"/>
        <v>32.4</v>
      </c>
      <c r="L119" s="251">
        <f t="shared" si="15"/>
        <v>32.4</v>
      </c>
      <c r="M119" s="251">
        <f t="shared" si="15"/>
        <v>32.4</v>
      </c>
      <c r="N119" s="251">
        <f t="shared" si="15"/>
        <v>32.4</v>
      </c>
      <c r="O119" s="251">
        <f t="shared" si="15"/>
        <v>32.4</v>
      </c>
      <c r="P119" s="251">
        <f t="shared" si="15"/>
        <v>32.4</v>
      </c>
      <c r="Q119" s="251">
        <f t="shared" si="15"/>
        <v>32.4</v>
      </c>
      <c r="R119" s="251">
        <f t="shared" si="15"/>
        <v>32.4</v>
      </c>
      <c r="S119" s="251">
        <f t="shared" si="15"/>
        <v>32.4</v>
      </c>
      <c r="T119" s="251">
        <f t="shared" si="15"/>
        <v>32.4</v>
      </c>
      <c r="U119" s="251">
        <f t="shared" si="15"/>
        <v>32.4</v>
      </c>
      <c r="V119" s="251">
        <f t="shared" si="15"/>
        <v>32.4</v>
      </c>
      <c r="W119" s="251">
        <f t="shared" si="16"/>
        <v>32.4</v>
      </c>
      <c r="X119" s="251">
        <f t="shared" si="16"/>
        <v>32.4</v>
      </c>
      <c r="Y119" s="251">
        <f t="shared" si="16"/>
        <v>32.4</v>
      </c>
      <c r="Z119" s="251">
        <f t="shared" si="16"/>
        <v>32.4</v>
      </c>
      <c r="AA119" s="251">
        <f t="shared" si="16"/>
        <v>32.4</v>
      </c>
      <c r="AB119" s="251">
        <f t="shared" si="16"/>
        <v>32.4</v>
      </c>
      <c r="AC119" s="251">
        <f t="shared" si="16"/>
        <v>32.4</v>
      </c>
      <c r="AD119" s="251">
        <f t="shared" si="16"/>
        <v>32.4</v>
      </c>
      <c r="AE119" s="251">
        <f t="shared" si="16"/>
        <v>32.4</v>
      </c>
      <c r="AF119" s="251">
        <f t="shared" si="16"/>
        <v>32.4</v>
      </c>
      <c r="AG119" s="251">
        <f t="shared" si="16"/>
        <v>32.4</v>
      </c>
      <c r="AH119" s="251">
        <f t="shared" si="16"/>
        <v>32.4</v>
      </c>
      <c r="AI119" s="251">
        <f t="shared" si="16"/>
        <v>32.4</v>
      </c>
      <c r="AJ119" s="251">
        <f t="shared" si="16"/>
        <v>32.4</v>
      </c>
      <c r="AK119" s="251">
        <f t="shared" si="16"/>
        <v>32.4</v>
      </c>
      <c r="AL119" s="251">
        <f t="shared" si="16"/>
        <v>32.4</v>
      </c>
      <c r="AM119" s="251">
        <f t="shared" si="17"/>
        <v>32.4</v>
      </c>
      <c r="AN119" s="251">
        <f t="shared" si="17"/>
        <v>32.4</v>
      </c>
      <c r="AO119" s="252">
        <f t="shared" si="17"/>
        <v>32.4</v>
      </c>
      <c r="AP119" s="5"/>
      <c r="AQ119" s="5"/>
    </row>
    <row r="120" spans="1:43" x14ac:dyDescent="0.25">
      <c r="A120" s="1"/>
      <c r="B120" s="10"/>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1:43" ht="21.75" thickBot="1" x14ac:dyDescent="0.4">
      <c r="A121" s="302" t="s">
        <v>354</v>
      </c>
      <c r="B121" s="10"/>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1:43" ht="15.75" x14ac:dyDescent="0.25">
      <c r="A122" s="303" t="s">
        <v>355</v>
      </c>
      <c r="B122" s="28"/>
      <c r="C122" s="28"/>
      <c r="D122" s="28"/>
      <c r="E122" s="29"/>
    </row>
    <row r="123" spans="1:43" ht="15" customHeight="1" thickBot="1" x14ac:dyDescent="0.3">
      <c r="A123" s="253" t="s">
        <v>356</v>
      </c>
      <c r="B123" s="254">
        <f>126.907/117.922</f>
        <v>1.0761944336086566</v>
      </c>
      <c r="C123" s="90" t="s">
        <v>357</v>
      </c>
      <c r="D123" s="47"/>
      <c r="E123" s="48"/>
    </row>
    <row r="124" spans="1:43" x14ac:dyDescent="0.25">
      <c r="A124" s="40"/>
      <c r="B124" s="22"/>
      <c r="C124" s="90"/>
    </row>
    <row r="125" spans="1:43" ht="34.5" thickBot="1" x14ac:dyDescent="0.55000000000000004">
      <c r="A125" s="195"/>
      <c r="B125" s="22"/>
      <c r="C125" s="90"/>
    </row>
    <row r="126" spans="1:43" ht="15.75" x14ac:dyDescent="0.25">
      <c r="A126" s="616" t="s">
        <v>358</v>
      </c>
      <c r="B126" s="617"/>
      <c r="C126" s="617"/>
      <c r="D126" s="617"/>
      <c r="E126" s="617"/>
      <c r="F126" s="617"/>
      <c r="G126" s="618"/>
    </row>
    <row r="127" spans="1:43" x14ac:dyDescent="0.25">
      <c r="A127" s="255"/>
      <c r="B127" s="256"/>
      <c r="C127" s="257"/>
      <c r="D127" s="257"/>
      <c r="E127" s="257"/>
      <c r="F127" s="257"/>
      <c r="G127" s="258"/>
    </row>
    <row r="128" spans="1:43" ht="15.75" thickBot="1" x14ac:dyDescent="0.3">
      <c r="A128" s="259" t="s">
        <v>359</v>
      </c>
      <c r="B128" s="257"/>
      <c r="C128" s="257"/>
      <c r="D128" s="257"/>
      <c r="E128" s="257"/>
      <c r="F128" s="257"/>
      <c r="G128" s="258"/>
    </row>
    <row r="129" spans="1:7" ht="15.75" thickBot="1" x14ac:dyDescent="0.3">
      <c r="A129" s="260" t="s">
        <v>360</v>
      </c>
      <c r="B129" s="261" t="s">
        <v>361</v>
      </c>
      <c r="C129" s="261" t="s">
        <v>323</v>
      </c>
      <c r="D129" s="261" t="s">
        <v>362</v>
      </c>
      <c r="E129" s="261" t="s">
        <v>363</v>
      </c>
      <c r="F129" s="262" t="s">
        <v>26</v>
      </c>
      <c r="G129" s="258"/>
    </row>
    <row r="130" spans="1:7" x14ac:dyDescent="0.25">
      <c r="A130" s="263" t="s">
        <v>310</v>
      </c>
      <c r="B130" s="264">
        <v>9.3999999999999998E-9</v>
      </c>
      <c r="C130" s="264">
        <v>2.1999999999999998E-9</v>
      </c>
      <c r="D130" s="264">
        <v>2.23E-7</v>
      </c>
      <c r="E130" s="264">
        <v>2.1750000000000001E-7</v>
      </c>
      <c r="F130" s="265">
        <v>4.0006814400000003E-4</v>
      </c>
      <c r="G130" s="258"/>
    </row>
    <row r="131" spans="1:7" x14ac:dyDescent="0.25">
      <c r="A131" s="266" t="s">
        <v>314</v>
      </c>
      <c r="B131" s="267">
        <v>3.4099999999999994E-8</v>
      </c>
      <c r="C131" s="267">
        <v>3.4999999999999999E-9</v>
      </c>
      <c r="D131" s="267">
        <v>2.6029999999999997E-7</v>
      </c>
      <c r="E131" s="267">
        <v>1.0682E-6</v>
      </c>
      <c r="F131" s="268">
        <v>1.3564215167999997E-3</v>
      </c>
      <c r="G131" s="258"/>
    </row>
    <row r="132" spans="1:7" ht="15.75" thickBot="1" x14ac:dyDescent="0.3">
      <c r="A132" s="269" t="s">
        <v>316</v>
      </c>
      <c r="B132" s="270">
        <v>8.3900000000000004E-8</v>
      </c>
      <c r="C132" s="270">
        <v>5.4999999999999996E-9</v>
      </c>
      <c r="D132" s="270">
        <v>1.825E-7</v>
      </c>
      <c r="E132" s="270">
        <v>3.9024000000000001E-6</v>
      </c>
      <c r="F132" s="271">
        <v>1.6795241702399998E-3</v>
      </c>
      <c r="G132" s="258"/>
    </row>
    <row r="133" spans="1:7" x14ac:dyDescent="0.25">
      <c r="A133" s="263" t="s">
        <v>364</v>
      </c>
      <c r="B133" s="257"/>
      <c r="C133" s="257"/>
      <c r="D133" s="257"/>
      <c r="E133" s="257"/>
      <c r="F133" s="257"/>
      <c r="G133" s="258"/>
    </row>
    <row r="134" spans="1:7" x14ac:dyDescent="0.25">
      <c r="A134" s="263"/>
      <c r="B134" s="257"/>
      <c r="C134" s="257"/>
      <c r="D134" s="257"/>
      <c r="E134" s="257"/>
      <c r="F134" s="257"/>
      <c r="G134" s="258"/>
    </row>
    <row r="135" spans="1:7" ht="15.75" thickBot="1" x14ac:dyDescent="0.3">
      <c r="A135" s="259" t="s">
        <v>365</v>
      </c>
      <c r="B135" s="257"/>
      <c r="C135" s="257"/>
      <c r="D135" s="257"/>
      <c r="E135" s="257"/>
      <c r="F135" s="257"/>
      <c r="G135" s="258"/>
    </row>
    <row r="136" spans="1:7" ht="45" x14ac:dyDescent="0.25">
      <c r="A136" s="272" t="s">
        <v>366</v>
      </c>
      <c r="B136" s="273" t="s">
        <v>367</v>
      </c>
      <c r="C136" s="273" t="s">
        <v>368</v>
      </c>
      <c r="D136" s="273" t="s">
        <v>369</v>
      </c>
      <c r="E136" s="273" t="s">
        <v>370</v>
      </c>
      <c r="F136" s="273" t="s">
        <v>371</v>
      </c>
      <c r="G136" s="274" t="s">
        <v>372</v>
      </c>
    </row>
    <row r="137" spans="1:7" ht="18" x14ac:dyDescent="0.25">
      <c r="A137" s="275" t="s">
        <v>373</v>
      </c>
      <c r="B137" s="276">
        <v>11275.447404570192</v>
      </c>
      <c r="C137" s="276">
        <v>1.1275447404570193E-2</v>
      </c>
      <c r="D137" s="276">
        <v>8830.45502606833</v>
      </c>
      <c r="E137" s="277">
        <v>8.8304550260683307E-3</v>
      </c>
      <c r="F137" s="276">
        <v>7708.8482559763288</v>
      </c>
      <c r="G137" s="278">
        <v>7.7088482559763286E-3</v>
      </c>
    </row>
    <row r="138" spans="1:7" x14ac:dyDescent="0.25">
      <c r="A138" s="275" t="s">
        <v>324</v>
      </c>
      <c r="B138" s="276">
        <v>3.7213921169520545</v>
      </c>
      <c r="C138" s="276">
        <v>3.7213921169520547E-6</v>
      </c>
      <c r="D138" s="276">
        <v>1.2345206551242083</v>
      </c>
      <c r="E138" s="277">
        <v>1.2345206551242083E-6</v>
      </c>
      <c r="F138" s="276">
        <v>0.81779423577067945</v>
      </c>
      <c r="G138" s="278">
        <v>8.1779423577067947E-7</v>
      </c>
    </row>
    <row r="139" spans="1:7" x14ac:dyDescent="0.25">
      <c r="A139" s="275" t="s">
        <v>374</v>
      </c>
      <c r="B139" s="276">
        <v>8.9937854070367944</v>
      </c>
      <c r="C139" s="276">
        <v>8.9937854070367946E-6</v>
      </c>
      <c r="D139" s="276">
        <v>1.5445023852016495</v>
      </c>
      <c r="E139" s="277">
        <v>1.5445023852016496E-6</v>
      </c>
      <c r="F139" s="276">
        <v>0.25233853999419642</v>
      </c>
      <c r="G139" s="278">
        <v>2.5233853999419644E-7</v>
      </c>
    </row>
    <row r="140" spans="1:7" x14ac:dyDescent="0.25">
      <c r="A140" s="275" t="s">
        <v>240</v>
      </c>
      <c r="B140" s="276">
        <v>0.12886406705904768</v>
      </c>
      <c r="C140" s="276">
        <v>1.2886406705904769E-7</v>
      </c>
      <c r="D140" s="276">
        <v>5.5327868083124933E-2</v>
      </c>
      <c r="E140" s="277">
        <v>5.532786808312493E-8</v>
      </c>
      <c r="F140" s="276">
        <v>3.3519149056169588E-2</v>
      </c>
      <c r="G140" s="278">
        <v>3.3519149056169589E-8</v>
      </c>
    </row>
    <row r="141" spans="1:7" ht="15.75" thickBot="1" x14ac:dyDescent="0.3">
      <c r="A141" s="279" t="s">
        <v>323</v>
      </c>
      <c r="B141" s="280">
        <v>0.11884531699638028</v>
      </c>
      <c r="C141" s="280">
        <v>1.1884531699638027E-7</v>
      </c>
      <c r="D141" s="280">
        <v>5.7156236934076982E-2</v>
      </c>
      <c r="E141" s="281">
        <v>5.7156236934076979E-8</v>
      </c>
      <c r="F141" s="280">
        <v>4.9688573697553973E-2</v>
      </c>
      <c r="G141" s="282">
        <v>4.9688573697553975E-8</v>
      </c>
    </row>
    <row r="142" spans="1:7" x14ac:dyDescent="0.25">
      <c r="A142" s="283" t="s">
        <v>375</v>
      </c>
      <c r="B142" s="257"/>
      <c r="C142" s="257"/>
      <c r="D142" s="257"/>
      <c r="E142" s="257"/>
      <c r="F142" s="257"/>
      <c r="G142" s="258"/>
    </row>
    <row r="143" spans="1:7" x14ac:dyDescent="0.25">
      <c r="A143" s="284" t="s">
        <v>376</v>
      </c>
      <c r="B143" s="257"/>
      <c r="C143" s="257"/>
      <c r="D143" s="257"/>
      <c r="E143" s="257"/>
      <c r="F143" s="257"/>
      <c r="G143" s="258"/>
    </row>
    <row r="144" spans="1:7" x14ac:dyDescent="0.25">
      <c r="A144" s="285" t="s">
        <v>377</v>
      </c>
      <c r="B144" s="257"/>
      <c r="C144" s="257"/>
      <c r="D144" s="257"/>
      <c r="E144" s="257"/>
      <c r="F144" s="257"/>
      <c r="G144" s="258"/>
    </row>
    <row r="145" spans="1:7" ht="15.75" thickBot="1" x14ac:dyDescent="0.3">
      <c r="A145" s="269"/>
      <c r="B145" s="286"/>
      <c r="C145" s="286"/>
      <c r="D145" s="286"/>
      <c r="E145" s="286"/>
      <c r="F145" s="286"/>
      <c r="G145" s="287"/>
    </row>
  </sheetData>
  <mergeCells count="6">
    <mergeCell ref="J98:K99"/>
    <mergeCell ref="A126:G126"/>
    <mergeCell ref="A41:A42"/>
    <mergeCell ref="B41:B42"/>
    <mergeCell ref="C41:F41"/>
    <mergeCell ref="C42:F42"/>
  </mergeCells>
  <hyperlinks>
    <hyperlink ref="A143" r:id="rId1" xr:uid="{1FEBE5FF-B7CE-4696-8C1D-9B6747704DE5}"/>
    <hyperlink ref="A144" r:id="rId2" xr:uid="{A903F1E8-C26A-4E91-9870-3B7770DB8923}"/>
    <hyperlink ref="D17" r:id="rId3" xr:uid="{0E5E646A-F31F-4769-A529-36E5B1B5B328}"/>
    <hyperlink ref="C13" r:id="rId4" display="https://www.ics-shipping.org/shipping-fact/environmental-performance-environmental-performance/" xr:uid="{AD512AE6-3CA8-4185-BF7A-5093961E014F}"/>
    <hyperlink ref="D32" r:id="rId5" display="https://www.epa.gov/system/files/documents/2022-10/420b22046.pdf" xr:uid="{04028CD7-B18E-4246-8B51-4E86F876CDBC}"/>
    <hyperlink ref="E21" r:id="rId6" xr:uid="{82C8C7CA-72C7-45DF-B43C-0005B62B4D5A}"/>
    <hyperlink ref="E22" r:id="rId7" xr:uid="{DEBEF40F-05C8-4092-A761-413D4187C1F4}"/>
    <hyperlink ref="E23" r:id="rId8" xr:uid="{3D90F2E9-327F-4593-8C7C-EA5CD2E56062}"/>
    <hyperlink ref="C42" r:id="rId9" display="https://mobility.tamu.edu/umr/congestion-data/" xr:uid="{D708D386-6C65-4336-9EEA-998F5063718A}"/>
  </hyperlinks>
  <pageMargins left="0.7" right="0.7" top="0.75" bottom="0.75" header="0.3" footer="0.3"/>
  <pageSetup orientation="portrait" r:id="rId10"/>
  <legacy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006E-68F9-4D9F-822D-6FB94CE72144}">
  <sheetPr>
    <tabColor rgb="FFF4B084"/>
  </sheetPr>
  <dimension ref="A4:C12"/>
  <sheetViews>
    <sheetView workbookViewId="0">
      <selection activeCell="J12" sqref="J12"/>
    </sheetView>
  </sheetViews>
  <sheetFormatPr defaultRowHeight="15" x14ac:dyDescent="0.25"/>
  <sheetData>
    <row r="4" spans="1:3" ht="21" x14ac:dyDescent="0.35">
      <c r="A4" s="174" t="s">
        <v>378</v>
      </c>
    </row>
    <row r="7" spans="1:3" x14ac:dyDescent="0.25">
      <c r="A7" s="13" t="s">
        <v>379</v>
      </c>
      <c r="B7" s="13"/>
      <c r="C7" s="13"/>
    </row>
    <row r="8" spans="1:3" x14ac:dyDescent="0.25">
      <c r="A8" s="13" t="s">
        <v>380</v>
      </c>
      <c r="B8" s="13"/>
      <c r="C8" s="13"/>
    </row>
    <row r="9" spans="1:3" x14ac:dyDescent="0.25">
      <c r="A9" s="13" t="s">
        <v>381</v>
      </c>
      <c r="B9" s="13"/>
      <c r="C9" s="13"/>
    </row>
    <row r="10" spans="1:3" x14ac:dyDescent="0.25">
      <c r="A10" s="13" t="s">
        <v>382</v>
      </c>
      <c r="B10" s="13"/>
      <c r="C10" s="13"/>
    </row>
    <row r="11" spans="1:3" x14ac:dyDescent="0.25">
      <c r="A11" s="13" t="s">
        <v>383</v>
      </c>
      <c r="B11" s="13"/>
      <c r="C11" s="13"/>
    </row>
    <row r="12" spans="1:3" x14ac:dyDescent="0.25">
      <c r="A12" s="13" t="s">
        <v>384</v>
      </c>
      <c r="B12" s="13"/>
      <c r="C12" s="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4974-D6EF-41D3-BE8D-E3EEAF8C2783}">
  <sheetPr>
    <tabColor rgb="FFF4B084"/>
  </sheetPr>
  <dimension ref="A1:M41"/>
  <sheetViews>
    <sheetView topLeftCell="E22" workbookViewId="0">
      <selection activeCell="P7" sqref="P7"/>
    </sheetView>
  </sheetViews>
  <sheetFormatPr defaultRowHeight="15" x14ac:dyDescent="0.25"/>
  <cols>
    <col min="1" max="1" width="50.28515625" customWidth="1"/>
    <col min="2" max="12" width="16.7109375" customWidth="1"/>
  </cols>
  <sheetData>
    <row r="1" spans="1:13" x14ac:dyDescent="0.25">
      <c r="A1" s="382" t="s">
        <v>385</v>
      </c>
      <c r="B1" s="383" t="s">
        <v>386</v>
      </c>
      <c r="C1" s="383" t="s">
        <v>387</v>
      </c>
      <c r="D1" s="383" t="s">
        <v>388</v>
      </c>
      <c r="E1" s="383" t="s">
        <v>389</v>
      </c>
      <c r="F1" s="383" t="s">
        <v>390</v>
      </c>
      <c r="G1" s="384" t="s">
        <v>135</v>
      </c>
      <c r="I1" s="385" t="s">
        <v>391</v>
      </c>
      <c r="J1" s="386">
        <v>1.055871</v>
      </c>
      <c r="K1" s="387" t="s">
        <v>392</v>
      </c>
    </row>
    <row r="2" spans="1:13" x14ac:dyDescent="0.25">
      <c r="A2" s="388" t="s">
        <v>393</v>
      </c>
      <c r="B2" s="389">
        <v>2465</v>
      </c>
      <c r="C2" s="389">
        <v>2044</v>
      </c>
      <c r="D2" s="389">
        <v>806</v>
      </c>
      <c r="E2" s="389">
        <v>2519</v>
      </c>
      <c r="F2" s="389">
        <v>1666</v>
      </c>
      <c r="G2" s="390">
        <f>SUM(B2:F2)</f>
        <v>9500</v>
      </c>
      <c r="I2" s="391" t="s">
        <v>394</v>
      </c>
      <c r="J2" s="392">
        <v>10</v>
      </c>
      <c r="K2" s="393" t="s">
        <v>395</v>
      </c>
    </row>
    <row r="3" spans="1:13" x14ac:dyDescent="0.25">
      <c r="A3" s="394" t="s">
        <v>396</v>
      </c>
      <c r="B3" s="395">
        <v>2299</v>
      </c>
      <c r="C3" s="395">
        <v>1970</v>
      </c>
      <c r="D3" s="395">
        <v>742</v>
      </c>
      <c r="E3" s="395">
        <v>2237</v>
      </c>
      <c r="F3" s="395">
        <v>1376</v>
      </c>
      <c r="G3" s="396">
        <f>SUM(B3:F3)</f>
        <v>8624</v>
      </c>
    </row>
    <row r="4" spans="1:13" x14ac:dyDescent="0.25">
      <c r="A4" s="43"/>
      <c r="B4" s="47"/>
      <c r="C4" s="47"/>
      <c r="D4" s="47"/>
      <c r="E4" s="47"/>
      <c r="F4" s="47"/>
    </row>
    <row r="5" spans="1:13" x14ac:dyDescent="0.25">
      <c r="A5" s="397"/>
      <c r="B5" s="398" t="s">
        <v>386</v>
      </c>
      <c r="C5" s="398" t="s">
        <v>387</v>
      </c>
      <c r="D5" s="398" t="s">
        <v>388</v>
      </c>
      <c r="E5" s="398" t="s">
        <v>389</v>
      </c>
      <c r="F5" s="398" t="s">
        <v>390</v>
      </c>
      <c r="G5" s="384" t="s">
        <v>135</v>
      </c>
    </row>
    <row r="6" spans="1:13" x14ac:dyDescent="0.25">
      <c r="A6" s="399" t="s">
        <v>397</v>
      </c>
      <c r="B6" s="400">
        <f t="shared" ref="B6:F7" si="0">B2</f>
        <v>2465</v>
      </c>
      <c r="C6" s="400">
        <f t="shared" si="0"/>
        <v>2044</v>
      </c>
      <c r="D6" s="400">
        <f t="shared" si="0"/>
        <v>806</v>
      </c>
      <c r="E6" s="400">
        <f t="shared" si="0"/>
        <v>2519</v>
      </c>
      <c r="F6" s="400">
        <f t="shared" si="0"/>
        <v>1666</v>
      </c>
      <c r="G6" s="401"/>
    </row>
    <row r="7" spans="1:13" x14ac:dyDescent="0.25">
      <c r="A7" s="399" t="s">
        <v>398</v>
      </c>
      <c r="B7" s="400">
        <f t="shared" si="0"/>
        <v>2299</v>
      </c>
      <c r="C7" s="400">
        <f t="shared" si="0"/>
        <v>1970</v>
      </c>
      <c r="D7" s="400">
        <f t="shared" si="0"/>
        <v>742</v>
      </c>
      <c r="E7" s="400">
        <f t="shared" si="0"/>
        <v>2237</v>
      </c>
      <c r="F7" s="400">
        <f t="shared" si="0"/>
        <v>1376</v>
      </c>
      <c r="G7" s="401"/>
    </row>
    <row r="8" spans="1:13" x14ac:dyDescent="0.25">
      <c r="A8" s="388"/>
      <c r="B8" s="172"/>
      <c r="C8" s="172"/>
      <c r="D8" s="172"/>
      <c r="E8" s="172"/>
      <c r="F8" s="402"/>
      <c r="G8" s="401"/>
    </row>
    <row r="9" spans="1:13" x14ac:dyDescent="0.25">
      <c r="A9" s="388" t="s">
        <v>399</v>
      </c>
      <c r="B9" s="403">
        <v>2.7E-2</v>
      </c>
      <c r="C9" s="403">
        <v>4.0000000000000001E-3</v>
      </c>
      <c r="D9" s="403">
        <v>8.9999999999999993E-3</v>
      </c>
      <c r="E9" s="403">
        <v>1.0999999999999999E-2</v>
      </c>
      <c r="F9" s="404">
        <v>8.6999999999999994E-2</v>
      </c>
      <c r="G9" s="401"/>
      <c r="I9" s="13" t="s">
        <v>400</v>
      </c>
    </row>
    <row r="10" spans="1:13" x14ac:dyDescent="0.25">
      <c r="A10" s="388" t="s">
        <v>401</v>
      </c>
      <c r="B10" s="403">
        <v>0</v>
      </c>
      <c r="C10" s="403">
        <v>0</v>
      </c>
      <c r="D10" s="403">
        <v>0</v>
      </c>
      <c r="E10" s="403">
        <v>0</v>
      </c>
      <c r="F10" s="404">
        <v>5.0000000000000001E-3</v>
      </c>
      <c r="G10" s="401"/>
      <c r="I10" s="503"/>
      <c r="J10" s="504"/>
      <c r="K10" s="504"/>
      <c r="L10" s="504"/>
      <c r="M10" s="505"/>
    </row>
    <row r="11" spans="1:13" x14ac:dyDescent="0.25">
      <c r="A11" s="39"/>
      <c r="G11" s="46"/>
      <c r="I11" s="506"/>
      <c r="M11" s="507"/>
    </row>
    <row r="12" spans="1:13" x14ac:dyDescent="0.25">
      <c r="A12" s="388" t="s">
        <v>402</v>
      </c>
      <c r="B12" s="405">
        <f>B6*B9</f>
        <v>66.554999999999993</v>
      </c>
      <c r="C12" s="405">
        <f t="shared" ref="C12:F13" si="1">C6*C9</f>
        <v>8.1760000000000002</v>
      </c>
      <c r="D12" s="405">
        <f t="shared" si="1"/>
        <v>7.2539999999999996</v>
      </c>
      <c r="E12" s="405">
        <f t="shared" si="1"/>
        <v>27.709</v>
      </c>
      <c r="F12" s="405">
        <f t="shared" si="1"/>
        <v>144.94199999999998</v>
      </c>
      <c r="G12" s="406">
        <f>SUM(B12:F12)</f>
        <v>254.63599999999997</v>
      </c>
      <c r="I12" s="506">
        <v>1000</v>
      </c>
      <c r="J12" s="627" t="s">
        <v>403</v>
      </c>
      <c r="K12" s="627"/>
      <c r="L12" s="627"/>
      <c r="M12" s="628"/>
    </row>
    <row r="13" spans="1:13" x14ac:dyDescent="0.25">
      <c r="A13" s="388" t="s">
        <v>404</v>
      </c>
      <c r="B13" s="405">
        <f>B7*B10</f>
        <v>0</v>
      </c>
      <c r="C13" s="405">
        <f t="shared" si="1"/>
        <v>0</v>
      </c>
      <c r="D13" s="405">
        <f t="shared" si="1"/>
        <v>0</v>
      </c>
      <c r="E13" s="405">
        <f t="shared" si="1"/>
        <v>0</v>
      </c>
      <c r="F13" s="405">
        <f t="shared" si="1"/>
        <v>6.88</v>
      </c>
      <c r="G13" s="406">
        <f>SUM(B13:F13)</f>
        <v>6.88</v>
      </c>
      <c r="I13" s="506"/>
      <c r="M13" s="507"/>
    </row>
    <row r="14" spans="1:13" x14ac:dyDescent="0.25">
      <c r="A14" s="39"/>
      <c r="G14" s="46"/>
      <c r="I14" s="506"/>
      <c r="M14" s="507"/>
    </row>
    <row r="15" spans="1:13" x14ac:dyDescent="0.25">
      <c r="A15" s="388" t="s">
        <v>405</v>
      </c>
      <c r="B15" s="405">
        <v>520</v>
      </c>
      <c r="C15" s="405">
        <v>520</v>
      </c>
      <c r="D15" s="405">
        <v>520</v>
      </c>
      <c r="E15" s="405">
        <v>520</v>
      </c>
      <c r="F15" s="405">
        <v>520</v>
      </c>
      <c r="G15" s="407"/>
      <c r="I15" s="508">
        <f>I12*5000</f>
        <v>5000000</v>
      </c>
      <c r="J15" s="629" t="s">
        <v>406</v>
      </c>
      <c r="K15" s="629"/>
      <c r="L15" s="629"/>
      <c r="M15" s="630"/>
    </row>
    <row r="16" spans="1:13" x14ac:dyDescent="0.25">
      <c r="A16" s="388" t="s">
        <v>407</v>
      </c>
      <c r="B16" s="405">
        <f>B12*B15</f>
        <v>34608.6</v>
      </c>
      <c r="C16" s="405">
        <f t="shared" ref="C16:F16" si="2">C12*C15</f>
        <v>4251.5200000000004</v>
      </c>
      <c r="D16" s="405">
        <f t="shared" si="2"/>
        <v>3772.08</v>
      </c>
      <c r="E16" s="405">
        <f t="shared" si="2"/>
        <v>14408.68</v>
      </c>
      <c r="F16" s="405">
        <f t="shared" si="2"/>
        <v>75369.839999999982</v>
      </c>
      <c r="G16" s="407">
        <f>SUM(B16:F16)</f>
        <v>132410.71999999997</v>
      </c>
    </row>
    <row r="17" spans="1:7" x14ac:dyDescent="0.25">
      <c r="A17" s="394" t="s">
        <v>408</v>
      </c>
      <c r="B17" s="395">
        <f>B13*B15</f>
        <v>0</v>
      </c>
      <c r="C17" s="395">
        <f t="shared" ref="C17:F17" si="3">C13*C15</f>
        <v>0</v>
      </c>
      <c r="D17" s="395">
        <f t="shared" si="3"/>
        <v>0</v>
      </c>
      <c r="E17" s="395">
        <f t="shared" si="3"/>
        <v>0</v>
      </c>
      <c r="F17" s="395">
        <f t="shared" si="3"/>
        <v>3577.6</v>
      </c>
      <c r="G17" s="408">
        <f>SUM(B17:F17)</f>
        <v>3577.6</v>
      </c>
    </row>
    <row r="19" spans="1:7" x14ac:dyDescent="0.25">
      <c r="A19" s="397"/>
      <c r="B19" s="398" t="s">
        <v>386</v>
      </c>
      <c r="C19" s="398" t="s">
        <v>387</v>
      </c>
      <c r="D19" s="398" t="s">
        <v>388</v>
      </c>
      <c r="E19" s="398" t="s">
        <v>389</v>
      </c>
      <c r="F19" s="398" t="s">
        <v>390</v>
      </c>
      <c r="G19" s="384" t="s">
        <v>135</v>
      </c>
    </row>
    <row r="20" spans="1:7" x14ac:dyDescent="0.25">
      <c r="A20" s="399" t="s">
        <v>397</v>
      </c>
      <c r="B20" s="400">
        <f>B2</f>
        <v>2465</v>
      </c>
      <c r="C20" s="400">
        <f t="shared" ref="C20:F21" si="4">C2</f>
        <v>2044</v>
      </c>
      <c r="D20" s="400">
        <f t="shared" si="4"/>
        <v>806</v>
      </c>
      <c r="E20" s="400">
        <f t="shared" si="4"/>
        <v>2519</v>
      </c>
      <c r="F20" s="400">
        <f t="shared" si="4"/>
        <v>1666</v>
      </c>
      <c r="G20" s="401"/>
    </row>
    <row r="21" spans="1:7" x14ac:dyDescent="0.25">
      <c r="A21" s="399" t="s">
        <v>398</v>
      </c>
      <c r="B21" s="400">
        <f>B3</f>
        <v>2299</v>
      </c>
      <c r="C21" s="400">
        <f t="shared" si="4"/>
        <v>1970</v>
      </c>
      <c r="D21" s="400">
        <f t="shared" si="4"/>
        <v>742</v>
      </c>
      <c r="E21" s="400">
        <f t="shared" si="4"/>
        <v>2237</v>
      </c>
      <c r="F21" s="400">
        <f t="shared" si="4"/>
        <v>1376</v>
      </c>
      <c r="G21" s="401"/>
    </row>
    <row r="22" spans="1:7" x14ac:dyDescent="0.25">
      <c r="A22" s="388"/>
      <c r="B22" s="172"/>
      <c r="C22" s="172"/>
      <c r="D22" s="172"/>
      <c r="E22" s="172"/>
      <c r="F22" s="402"/>
      <c r="G22" s="401"/>
    </row>
    <row r="23" spans="1:7" x14ac:dyDescent="0.25">
      <c r="A23" s="388" t="s">
        <v>409</v>
      </c>
      <c r="B23" s="403">
        <v>1.6E-2</v>
      </c>
      <c r="C23" s="403">
        <v>1.6E-2</v>
      </c>
      <c r="D23" s="403">
        <v>1.6E-2</v>
      </c>
      <c r="E23" s="403">
        <v>1.6E-2</v>
      </c>
      <c r="F23" s="403">
        <v>1.6E-2</v>
      </c>
      <c r="G23" s="401"/>
    </row>
    <row r="24" spans="1:7" x14ac:dyDescent="0.25">
      <c r="A24" s="388" t="s">
        <v>410</v>
      </c>
      <c r="B24" s="403">
        <v>3.0000000000000001E-3</v>
      </c>
      <c r="C24" s="403">
        <v>3.0000000000000001E-3</v>
      </c>
      <c r="D24" s="403">
        <v>3.0000000000000001E-3</v>
      </c>
      <c r="E24" s="403">
        <v>3.0000000000000001E-3</v>
      </c>
      <c r="F24" s="403">
        <v>3.0000000000000001E-3</v>
      </c>
      <c r="G24" s="401"/>
    </row>
    <row r="25" spans="1:7" x14ac:dyDescent="0.25">
      <c r="A25" s="39"/>
      <c r="G25" s="46"/>
    </row>
    <row r="26" spans="1:7" x14ac:dyDescent="0.25">
      <c r="A26" s="388" t="s">
        <v>411</v>
      </c>
      <c r="B26" s="405">
        <f>B20*B23</f>
        <v>39.44</v>
      </c>
      <c r="C26" s="405">
        <f t="shared" ref="C26:F27" si="5">C20*C23</f>
        <v>32.704000000000001</v>
      </c>
      <c r="D26" s="405">
        <f t="shared" si="5"/>
        <v>12.896000000000001</v>
      </c>
      <c r="E26" s="405">
        <f t="shared" si="5"/>
        <v>40.304000000000002</v>
      </c>
      <c r="F26" s="405">
        <f t="shared" si="5"/>
        <v>26.655999999999999</v>
      </c>
      <c r="G26" s="406">
        <f>SUM(B26:F26)</f>
        <v>152</v>
      </c>
    </row>
    <row r="27" spans="1:7" x14ac:dyDescent="0.25">
      <c r="A27" s="388" t="s">
        <v>412</v>
      </c>
      <c r="B27" s="405">
        <f>B21*B24</f>
        <v>6.8970000000000002</v>
      </c>
      <c r="C27" s="405">
        <f t="shared" si="5"/>
        <v>5.91</v>
      </c>
      <c r="D27" s="405">
        <f t="shared" si="5"/>
        <v>2.226</v>
      </c>
      <c r="E27" s="405">
        <f t="shared" si="5"/>
        <v>6.7110000000000003</v>
      </c>
      <c r="F27" s="405">
        <f t="shared" si="5"/>
        <v>4.1280000000000001</v>
      </c>
      <c r="G27" s="406">
        <f>SUM(B27:F27)</f>
        <v>25.872</v>
      </c>
    </row>
    <row r="28" spans="1:7" x14ac:dyDescent="0.25">
      <c r="A28" s="39"/>
      <c r="G28" s="46"/>
    </row>
    <row r="29" spans="1:7" x14ac:dyDescent="0.25">
      <c r="A29" s="388" t="s">
        <v>405</v>
      </c>
      <c r="B29" s="405">
        <v>520</v>
      </c>
      <c r="C29" s="405">
        <v>520</v>
      </c>
      <c r="D29" s="405">
        <v>520</v>
      </c>
      <c r="E29" s="405">
        <v>520</v>
      </c>
      <c r="F29" s="405">
        <v>520</v>
      </c>
      <c r="G29" s="407"/>
    </row>
    <row r="30" spans="1:7" x14ac:dyDescent="0.25">
      <c r="A30" s="388" t="s">
        <v>413</v>
      </c>
      <c r="B30" s="405">
        <f>B26*B29</f>
        <v>20508.8</v>
      </c>
      <c r="C30" s="405">
        <f t="shared" ref="C30:F30" si="6">C26*C29</f>
        <v>17006.080000000002</v>
      </c>
      <c r="D30" s="405">
        <f t="shared" si="6"/>
        <v>6705.92</v>
      </c>
      <c r="E30" s="405">
        <f t="shared" si="6"/>
        <v>20958.080000000002</v>
      </c>
      <c r="F30" s="405">
        <f t="shared" si="6"/>
        <v>13861.119999999999</v>
      </c>
      <c r="G30" s="407">
        <f>SUM(B30:F30)</f>
        <v>79040</v>
      </c>
    </row>
    <row r="31" spans="1:7" x14ac:dyDescent="0.25">
      <c r="A31" s="394" t="s">
        <v>414</v>
      </c>
      <c r="B31" s="395">
        <f>B27*B29</f>
        <v>3586.44</v>
      </c>
      <c r="C31" s="395">
        <f t="shared" ref="C31:F31" si="7">C27*C29</f>
        <v>3073.2000000000003</v>
      </c>
      <c r="D31" s="395">
        <f t="shared" si="7"/>
        <v>1157.52</v>
      </c>
      <c r="E31" s="395">
        <f t="shared" si="7"/>
        <v>3489.7200000000003</v>
      </c>
      <c r="F31" s="395">
        <f t="shared" si="7"/>
        <v>2146.56</v>
      </c>
      <c r="G31" s="408">
        <f>SUM(B31:F31)</f>
        <v>13453.44</v>
      </c>
    </row>
    <row r="33" spans="1:9" x14ac:dyDescent="0.25">
      <c r="A33" s="397"/>
      <c r="B33" s="398" t="s">
        <v>386</v>
      </c>
      <c r="C33" s="398" t="s">
        <v>387</v>
      </c>
      <c r="D33" s="398" t="s">
        <v>388</v>
      </c>
      <c r="E33" s="398" t="s">
        <v>389</v>
      </c>
      <c r="F33" s="398" t="s">
        <v>390</v>
      </c>
      <c r="G33" s="384" t="s">
        <v>135</v>
      </c>
    </row>
    <row r="34" spans="1:9" x14ac:dyDescent="0.25">
      <c r="A34" s="399" t="s">
        <v>397</v>
      </c>
      <c r="B34" s="400">
        <f>B2</f>
        <v>2465</v>
      </c>
      <c r="C34" s="400">
        <f t="shared" ref="C34:F35" si="8">C2</f>
        <v>2044</v>
      </c>
      <c r="D34" s="400">
        <f t="shared" si="8"/>
        <v>806</v>
      </c>
      <c r="E34" s="400">
        <f t="shared" si="8"/>
        <v>2519</v>
      </c>
      <c r="F34" s="400">
        <f t="shared" si="8"/>
        <v>1666</v>
      </c>
      <c r="G34" s="401"/>
    </row>
    <row r="35" spans="1:9" x14ac:dyDescent="0.25">
      <c r="A35" s="399" t="s">
        <v>398</v>
      </c>
      <c r="B35" s="400">
        <f>B3</f>
        <v>2299</v>
      </c>
      <c r="C35" s="400">
        <f t="shared" si="8"/>
        <v>1970</v>
      </c>
      <c r="D35" s="400">
        <f t="shared" si="8"/>
        <v>742</v>
      </c>
      <c r="E35" s="400">
        <f t="shared" si="8"/>
        <v>2237</v>
      </c>
      <c r="F35" s="400">
        <f t="shared" si="8"/>
        <v>1376</v>
      </c>
      <c r="G35" s="401"/>
    </row>
    <row r="36" spans="1:9" x14ac:dyDescent="0.25">
      <c r="A36" s="388"/>
      <c r="B36" s="172"/>
      <c r="C36" s="172"/>
      <c r="D36" s="172"/>
      <c r="E36" s="172"/>
      <c r="F36" s="402"/>
      <c r="G36" s="401"/>
    </row>
    <row r="37" spans="1:9" x14ac:dyDescent="0.25">
      <c r="A37" s="388" t="s">
        <v>415</v>
      </c>
      <c r="B37" s="403">
        <v>0.35</v>
      </c>
      <c r="C37" s="403">
        <v>0.35</v>
      </c>
      <c r="D37" s="403">
        <v>0.35</v>
      </c>
      <c r="E37" s="403">
        <v>0.35</v>
      </c>
      <c r="F37" s="403">
        <v>0.35</v>
      </c>
      <c r="G37" s="401"/>
      <c r="I37" s="20" t="s">
        <v>416</v>
      </c>
    </row>
    <row r="38" spans="1:9" x14ac:dyDescent="0.25">
      <c r="A38" s="388" t="s">
        <v>417</v>
      </c>
      <c r="B38" s="403">
        <v>0.11</v>
      </c>
      <c r="C38" s="403">
        <v>0.11</v>
      </c>
      <c r="D38" s="403">
        <v>0.11</v>
      </c>
      <c r="E38" s="403">
        <v>0.11</v>
      </c>
      <c r="F38" s="403">
        <v>0.11</v>
      </c>
      <c r="G38" s="401"/>
      <c r="I38" s="20" t="s">
        <v>416</v>
      </c>
    </row>
    <row r="39" spans="1:9" x14ac:dyDescent="0.25">
      <c r="A39" s="39"/>
      <c r="G39" s="46"/>
    </row>
    <row r="40" spans="1:9" x14ac:dyDescent="0.25">
      <c r="A40" s="388" t="s">
        <v>418</v>
      </c>
      <c r="B40" s="409">
        <f>(B34*B37)/52</f>
        <v>16.591346153846153</v>
      </c>
      <c r="C40" s="409">
        <f t="shared" ref="C40:F41" si="9">(C34*C37)/52</f>
        <v>13.757692307692308</v>
      </c>
      <c r="D40" s="409">
        <f t="shared" si="9"/>
        <v>5.4249999999999989</v>
      </c>
      <c r="E40" s="409">
        <f t="shared" si="9"/>
        <v>16.954807692307693</v>
      </c>
      <c r="F40" s="409">
        <f t="shared" si="9"/>
        <v>11.213461538461537</v>
      </c>
      <c r="G40" s="410">
        <f>SUM(B40:F40)</f>
        <v>63.942307692307686</v>
      </c>
      <c r="I40" s="7"/>
    </row>
    <row r="41" spans="1:9" x14ac:dyDescent="0.25">
      <c r="A41" s="394" t="s">
        <v>419</v>
      </c>
      <c r="B41" s="411">
        <f>(B35*B38)/52</f>
        <v>4.8632692307692311</v>
      </c>
      <c r="C41" s="411">
        <f t="shared" si="9"/>
        <v>4.1673076923076922</v>
      </c>
      <c r="D41" s="411">
        <f t="shared" si="9"/>
        <v>1.5696153846153846</v>
      </c>
      <c r="E41" s="411">
        <f t="shared" si="9"/>
        <v>4.7321153846153843</v>
      </c>
      <c r="F41" s="411">
        <f t="shared" si="9"/>
        <v>2.910769230769231</v>
      </c>
      <c r="G41" s="412">
        <f>SUM(B41:F41)</f>
        <v>18.24307692307692</v>
      </c>
      <c r="I41" s="7"/>
    </row>
  </sheetData>
  <mergeCells count="2">
    <mergeCell ref="J12:M12"/>
    <mergeCell ref="J15:M15"/>
  </mergeCells>
  <hyperlinks>
    <hyperlink ref="I37" r:id="rId1" display="Link." xr:uid="{1D3800F0-396E-46A2-A27A-2527C1391E0C}"/>
    <hyperlink ref="I38" r:id="rId2" xr:uid="{F6D7D4FA-1C1A-4134-A02A-72DF41014B4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001F-155C-40F9-A2FA-35FF67D3F0E6}">
  <sheetPr>
    <tabColor rgb="FFF4B084"/>
  </sheetPr>
  <dimension ref="A1:W36"/>
  <sheetViews>
    <sheetView workbookViewId="0">
      <selection activeCell="AI20" sqref="AI20"/>
    </sheetView>
  </sheetViews>
  <sheetFormatPr defaultRowHeight="15" x14ac:dyDescent="0.25"/>
  <cols>
    <col min="1" max="1" width="43.42578125" customWidth="1"/>
    <col min="2" max="22" width="10.7109375" customWidth="1"/>
  </cols>
  <sheetData>
    <row r="1" spans="1:23" ht="15.75" x14ac:dyDescent="0.25">
      <c r="A1" s="41" t="s">
        <v>420</v>
      </c>
    </row>
    <row r="3" spans="1:23" x14ac:dyDescent="0.25">
      <c r="A3" s="92" t="s">
        <v>421</v>
      </c>
      <c r="C3">
        <v>1</v>
      </c>
      <c r="D3">
        <f t="shared" ref="D3:S4" si="0">C3+1</f>
        <v>2</v>
      </c>
      <c r="E3">
        <f t="shared" si="0"/>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ref="T3:V4" si="1">S3+1</f>
        <v>18</v>
      </c>
      <c r="U3">
        <f t="shared" si="1"/>
        <v>19</v>
      </c>
      <c r="V3">
        <f t="shared" si="1"/>
        <v>20</v>
      </c>
    </row>
    <row r="4" spans="1:23" x14ac:dyDescent="0.25">
      <c r="A4" s="92" t="s">
        <v>422</v>
      </c>
      <c r="C4">
        <v>2030</v>
      </c>
      <c r="D4">
        <f t="shared" si="0"/>
        <v>2031</v>
      </c>
      <c r="E4">
        <f t="shared" si="0"/>
        <v>2032</v>
      </c>
      <c r="F4">
        <f t="shared" si="0"/>
        <v>2033</v>
      </c>
      <c r="G4">
        <f t="shared" si="0"/>
        <v>2034</v>
      </c>
      <c r="H4">
        <f t="shared" si="0"/>
        <v>2035</v>
      </c>
      <c r="I4">
        <f t="shared" si="0"/>
        <v>2036</v>
      </c>
      <c r="J4">
        <f t="shared" si="0"/>
        <v>2037</v>
      </c>
      <c r="K4">
        <f t="shared" si="0"/>
        <v>2038</v>
      </c>
      <c r="L4">
        <f t="shared" si="0"/>
        <v>2039</v>
      </c>
      <c r="M4">
        <f t="shared" si="0"/>
        <v>2040</v>
      </c>
      <c r="N4">
        <f t="shared" si="0"/>
        <v>2041</v>
      </c>
      <c r="O4">
        <f t="shared" si="0"/>
        <v>2042</v>
      </c>
      <c r="P4">
        <f t="shared" si="0"/>
        <v>2043</v>
      </c>
      <c r="Q4">
        <f t="shared" si="0"/>
        <v>2044</v>
      </c>
      <c r="R4">
        <f t="shared" si="0"/>
        <v>2045</v>
      </c>
      <c r="S4">
        <f t="shared" si="0"/>
        <v>2046</v>
      </c>
      <c r="T4">
        <f t="shared" si="1"/>
        <v>2047</v>
      </c>
      <c r="U4">
        <f t="shared" si="1"/>
        <v>2048</v>
      </c>
      <c r="V4">
        <f t="shared" si="1"/>
        <v>2049</v>
      </c>
    </row>
    <row r="5" spans="1:23" x14ac:dyDescent="0.25">
      <c r="A5" s="1"/>
    </row>
    <row r="6" spans="1:23" x14ac:dyDescent="0.25">
      <c r="A6" s="413" t="s">
        <v>423</v>
      </c>
      <c r="B6" s="414"/>
      <c r="C6" s="414"/>
      <c r="D6" s="414"/>
      <c r="E6" s="414"/>
      <c r="F6" s="414"/>
      <c r="G6" s="414"/>
      <c r="H6" s="414"/>
      <c r="I6" s="414"/>
      <c r="J6" s="414"/>
      <c r="K6" s="414"/>
      <c r="L6" s="414"/>
      <c r="M6" s="414"/>
      <c r="N6" s="414"/>
      <c r="O6" s="414"/>
      <c r="P6" s="414"/>
      <c r="Q6" s="414"/>
      <c r="R6" s="414"/>
      <c r="S6" s="414"/>
      <c r="T6" s="414"/>
      <c r="U6" s="414"/>
      <c r="V6" s="414"/>
      <c r="W6" s="414"/>
    </row>
    <row r="7" spans="1:23" x14ac:dyDescent="0.25">
      <c r="A7" t="s">
        <v>424</v>
      </c>
      <c r="B7">
        <v>255</v>
      </c>
      <c r="C7">
        <f>$B$7</f>
        <v>255</v>
      </c>
      <c r="D7">
        <f t="shared" ref="D7:V7" si="2">$B$7</f>
        <v>255</v>
      </c>
      <c r="E7">
        <f t="shared" si="2"/>
        <v>255</v>
      </c>
      <c r="F7">
        <f t="shared" si="2"/>
        <v>255</v>
      </c>
      <c r="G7">
        <f t="shared" si="2"/>
        <v>255</v>
      </c>
      <c r="H7">
        <f t="shared" si="2"/>
        <v>255</v>
      </c>
      <c r="I7">
        <f t="shared" si="2"/>
        <v>255</v>
      </c>
      <c r="J7">
        <f t="shared" si="2"/>
        <v>255</v>
      </c>
      <c r="K7">
        <f t="shared" si="2"/>
        <v>255</v>
      </c>
      <c r="L7">
        <f t="shared" si="2"/>
        <v>255</v>
      </c>
      <c r="M7">
        <f t="shared" si="2"/>
        <v>255</v>
      </c>
      <c r="N7">
        <f t="shared" si="2"/>
        <v>255</v>
      </c>
      <c r="O7">
        <f t="shared" si="2"/>
        <v>255</v>
      </c>
      <c r="P7">
        <f t="shared" si="2"/>
        <v>255</v>
      </c>
      <c r="Q7">
        <f t="shared" si="2"/>
        <v>255</v>
      </c>
      <c r="R7">
        <f t="shared" si="2"/>
        <v>255</v>
      </c>
      <c r="S7">
        <f t="shared" si="2"/>
        <v>255</v>
      </c>
      <c r="T7">
        <f t="shared" si="2"/>
        <v>255</v>
      </c>
      <c r="U7">
        <f t="shared" si="2"/>
        <v>255</v>
      </c>
      <c r="V7">
        <f t="shared" si="2"/>
        <v>255</v>
      </c>
    </row>
    <row r="8" spans="1:23" x14ac:dyDescent="0.25">
      <c r="A8" t="s">
        <v>425</v>
      </c>
      <c r="B8" s="415">
        <v>365</v>
      </c>
      <c r="C8" s="15">
        <f>$B$8</f>
        <v>365</v>
      </c>
      <c r="D8" s="15">
        <f t="shared" ref="D8:V8" si="3">$B$8</f>
        <v>365</v>
      </c>
      <c r="E8" s="15">
        <f t="shared" si="3"/>
        <v>365</v>
      </c>
      <c r="F8" s="15">
        <f t="shared" si="3"/>
        <v>365</v>
      </c>
      <c r="G8" s="15">
        <f t="shared" si="3"/>
        <v>365</v>
      </c>
      <c r="H8" s="15">
        <f t="shared" si="3"/>
        <v>365</v>
      </c>
      <c r="I8" s="15">
        <f t="shared" si="3"/>
        <v>365</v>
      </c>
      <c r="J8" s="15">
        <f t="shared" si="3"/>
        <v>365</v>
      </c>
      <c r="K8" s="15">
        <f t="shared" si="3"/>
        <v>365</v>
      </c>
      <c r="L8" s="15">
        <f t="shared" si="3"/>
        <v>365</v>
      </c>
      <c r="M8" s="15">
        <f t="shared" si="3"/>
        <v>365</v>
      </c>
      <c r="N8" s="15">
        <f t="shared" si="3"/>
        <v>365</v>
      </c>
      <c r="O8" s="15">
        <f t="shared" si="3"/>
        <v>365</v>
      </c>
      <c r="P8" s="15">
        <f t="shared" si="3"/>
        <v>365</v>
      </c>
      <c r="Q8" s="15">
        <f t="shared" si="3"/>
        <v>365</v>
      </c>
      <c r="R8" s="15">
        <f t="shared" si="3"/>
        <v>365</v>
      </c>
      <c r="S8" s="15">
        <f t="shared" si="3"/>
        <v>365</v>
      </c>
      <c r="T8" s="15">
        <f t="shared" si="3"/>
        <v>365</v>
      </c>
      <c r="U8" s="15">
        <f t="shared" si="3"/>
        <v>365</v>
      </c>
      <c r="V8" s="15">
        <f t="shared" si="3"/>
        <v>365</v>
      </c>
    </row>
    <row r="9" spans="1:23" x14ac:dyDescent="0.25">
      <c r="A9" t="s">
        <v>426</v>
      </c>
      <c r="B9" s="52">
        <v>0.86</v>
      </c>
      <c r="C9" s="417">
        <f>$B$9</f>
        <v>0.86</v>
      </c>
      <c r="D9" s="417">
        <f t="shared" ref="D9:V9" si="4">$B$9</f>
        <v>0.86</v>
      </c>
      <c r="E9" s="417">
        <f t="shared" si="4"/>
        <v>0.86</v>
      </c>
      <c r="F9" s="417">
        <f t="shared" si="4"/>
        <v>0.86</v>
      </c>
      <c r="G9" s="417">
        <f t="shared" si="4"/>
        <v>0.86</v>
      </c>
      <c r="H9" s="417">
        <f t="shared" si="4"/>
        <v>0.86</v>
      </c>
      <c r="I9" s="417">
        <f t="shared" si="4"/>
        <v>0.86</v>
      </c>
      <c r="J9" s="417">
        <f t="shared" si="4"/>
        <v>0.86</v>
      </c>
      <c r="K9" s="417">
        <f t="shared" si="4"/>
        <v>0.86</v>
      </c>
      <c r="L9" s="417">
        <f t="shared" si="4"/>
        <v>0.86</v>
      </c>
      <c r="M9" s="417">
        <f t="shared" si="4"/>
        <v>0.86</v>
      </c>
      <c r="N9" s="417">
        <f t="shared" si="4"/>
        <v>0.86</v>
      </c>
      <c r="O9" s="417">
        <f t="shared" si="4"/>
        <v>0.86</v>
      </c>
      <c r="P9" s="417">
        <f t="shared" si="4"/>
        <v>0.86</v>
      </c>
      <c r="Q9" s="417">
        <f t="shared" si="4"/>
        <v>0.86</v>
      </c>
      <c r="R9" s="417">
        <f t="shared" si="4"/>
        <v>0.86</v>
      </c>
      <c r="S9" s="417">
        <f t="shared" si="4"/>
        <v>0.86</v>
      </c>
      <c r="T9" s="417">
        <f t="shared" si="4"/>
        <v>0.86</v>
      </c>
      <c r="U9" s="417">
        <f t="shared" si="4"/>
        <v>0.86</v>
      </c>
      <c r="V9" s="417">
        <f t="shared" si="4"/>
        <v>0.86</v>
      </c>
    </row>
    <row r="10" spans="1:23" x14ac:dyDescent="0.25">
      <c r="A10" s="15" t="s">
        <v>427</v>
      </c>
      <c r="B10" s="15">
        <f>C7*C8*C9</f>
        <v>80044.5</v>
      </c>
      <c r="C10" s="142">
        <f>$B$10</f>
        <v>80044.5</v>
      </c>
      <c r="D10" s="142">
        <f t="shared" ref="D10:V10" si="5">$B$10</f>
        <v>80044.5</v>
      </c>
      <c r="E10" s="142">
        <f t="shared" si="5"/>
        <v>80044.5</v>
      </c>
      <c r="F10" s="142">
        <f t="shared" si="5"/>
        <v>80044.5</v>
      </c>
      <c r="G10" s="142">
        <f t="shared" si="5"/>
        <v>80044.5</v>
      </c>
      <c r="H10" s="142">
        <f t="shared" si="5"/>
        <v>80044.5</v>
      </c>
      <c r="I10" s="142">
        <f t="shared" si="5"/>
        <v>80044.5</v>
      </c>
      <c r="J10" s="142">
        <f t="shared" si="5"/>
        <v>80044.5</v>
      </c>
      <c r="K10" s="142">
        <f t="shared" si="5"/>
        <v>80044.5</v>
      </c>
      <c r="L10" s="142">
        <f t="shared" si="5"/>
        <v>80044.5</v>
      </c>
      <c r="M10" s="142">
        <f t="shared" si="5"/>
        <v>80044.5</v>
      </c>
      <c r="N10" s="142">
        <f t="shared" si="5"/>
        <v>80044.5</v>
      </c>
      <c r="O10" s="142">
        <f t="shared" si="5"/>
        <v>80044.5</v>
      </c>
      <c r="P10" s="142">
        <f t="shared" si="5"/>
        <v>80044.5</v>
      </c>
      <c r="Q10" s="142">
        <f t="shared" si="5"/>
        <v>80044.5</v>
      </c>
      <c r="R10" s="142">
        <f t="shared" si="5"/>
        <v>80044.5</v>
      </c>
      <c r="S10" s="142">
        <f t="shared" si="5"/>
        <v>80044.5</v>
      </c>
      <c r="T10" s="142">
        <f t="shared" si="5"/>
        <v>80044.5</v>
      </c>
      <c r="U10" s="142">
        <f t="shared" si="5"/>
        <v>80044.5</v>
      </c>
      <c r="V10" s="142">
        <f t="shared" si="5"/>
        <v>80044.5</v>
      </c>
    </row>
    <row r="12" spans="1:23" x14ac:dyDescent="0.25">
      <c r="A12" s="418" t="s">
        <v>428</v>
      </c>
      <c r="B12" s="419">
        <v>1.1000000000000001</v>
      </c>
      <c r="C12" s="420">
        <f>$B$12</f>
        <v>1.1000000000000001</v>
      </c>
      <c r="D12" s="420">
        <f t="shared" ref="D12:V12" si="6">$B$12</f>
        <v>1.1000000000000001</v>
      </c>
      <c r="E12" s="420">
        <f t="shared" si="6"/>
        <v>1.1000000000000001</v>
      </c>
      <c r="F12" s="420">
        <f t="shared" si="6"/>
        <v>1.1000000000000001</v>
      </c>
      <c r="G12" s="420">
        <f t="shared" si="6"/>
        <v>1.1000000000000001</v>
      </c>
      <c r="H12" s="420">
        <f t="shared" si="6"/>
        <v>1.1000000000000001</v>
      </c>
      <c r="I12" s="420">
        <f t="shared" si="6"/>
        <v>1.1000000000000001</v>
      </c>
      <c r="J12" s="420">
        <f t="shared" si="6"/>
        <v>1.1000000000000001</v>
      </c>
      <c r="K12" s="420">
        <f t="shared" si="6"/>
        <v>1.1000000000000001</v>
      </c>
      <c r="L12" s="420">
        <f t="shared" si="6"/>
        <v>1.1000000000000001</v>
      </c>
      <c r="M12" s="420">
        <f t="shared" si="6"/>
        <v>1.1000000000000001</v>
      </c>
      <c r="N12" s="420">
        <f t="shared" si="6"/>
        <v>1.1000000000000001</v>
      </c>
      <c r="O12" s="420">
        <f t="shared" si="6"/>
        <v>1.1000000000000001</v>
      </c>
      <c r="P12" s="420">
        <f t="shared" si="6"/>
        <v>1.1000000000000001</v>
      </c>
      <c r="Q12" s="420">
        <f t="shared" si="6"/>
        <v>1.1000000000000001</v>
      </c>
      <c r="R12" s="420">
        <f t="shared" si="6"/>
        <v>1.1000000000000001</v>
      </c>
      <c r="S12" s="420">
        <f t="shared" si="6"/>
        <v>1.1000000000000001</v>
      </c>
      <c r="T12" s="420">
        <f t="shared" si="6"/>
        <v>1.1000000000000001</v>
      </c>
      <c r="U12" s="420">
        <f t="shared" si="6"/>
        <v>1.1000000000000001</v>
      </c>
      <c r="V12" s="420">
        <f t="shared" si="6"/>
        <v>1.1000000000000001</v>
      </c>
      <c r="W12" s="421"/>
    </row>
    <row r="14" spans="1:23" x14ac:dyDescent="0.25">
      <c r="A14" s="13" t="s">
        <v>429</v>
      </c>
      <c r="C14" s="422">
        <f>C10*C12</f>
        <v>88048.950000000012</v>
      </c>
      <c r="D14" s="422">
        <f t="shared" ref="D14:V14" si="7">D10*D12</f>
        <v>88048.950000000012</v>
      </c>
      <c r="E14" s="422">
        <f t="shared" si="7"/>
        <v>88048.950000000012</v>
      </c>
      <c r="F14" s="422">
        <f t="shared" si="7"/>
        <v>88048.950000000012</v>
      </c>
      <c r="G14" s="422">
        <f t="shared" si="7"/>
        <v>88048.950000000012</v>
      </c>
      <c r="H14" s="422">
        <f t="shared" si="7"/>
        <v>88048.950000000012</v>
      </c>
      <c r="I14" s="422">
        <f t="shared" si="7"/>
        <v>88048.950000000012</v>
      </c>
      <c r="J14" s="422">
        <f t="shared" si="7"/>
        <v>88048.950000000012</v>
      </c>
      <c r="K14" s="422">
        <f t="shared" si="7"/>
        <v>88048.950000000012</v>
      </c>
      <c r="L14" s="422">
        <f t="shared" si="7"/>
        <v>88048.950000000012</v>
      </c>
      <c r="M14" s="422">
        <f t="shared" si="7"/>
        <v>88048.950000000012</v>
      </c>
      <c r="N14" s="422">
        <f t="shared" si="7"/>
        <v>88048.950000000012</v>
      </c>
      <c r="O14" s="422">
        <f t="shared" si="7"/>
        <v>88048.950000000012</v>
      </c>
      <c r="P14" s="422">
        <f t="shared" si="7"/>
        <v>88048.950000000012</v>
      </c>
      <c r="Q14" s="422">
        <f t="shared" si="7"/>
        <v>88048.950000000012</v>
      </c>
      <c r="R14" s="422">
        <f t="shared" si="7"/>
        <v>88048.950000000012</v>
      </c>
      <c r="S14" s="422">
        <f t="shared" si="7"/>
        <v>88048.950000000012</v>
      </c>
      <c r="T14" s="422">
        <f t="shared" si="7"/>
        <v>88048.950000000012</v>
      </c>
      <c r="U14" s="422">
        <f t="shared" si="7"/>
        <v>88048.950000000012</v>
      </c>
      <c r="V14" s="422">
        <f t="shared" si="7"/>
        <v>88048.950000000012</v>
      </c>
    </row>
    <row r="16" spans="1:23" x14ac:dyDescent="0.25">
      <c r="A16" s="413" t="s">
        <v>430</v>
      </c>
      <c r="B16" s="414"/>
      <c r="C16" s="414"/>
      <c r="D16" s="414"/>
      <c r="E16" s="414"/>
      <c r="F16" s="414"/>
      <c r="G16" s="414"/>
      <c r="H16" s="414"/>
      <c r="I16" s="414"/>
      <c r="J16" s="414"/>
      <c r="K16" s="414"/>
      <c r="L16" s="414"/>
      <c r="M16" s="414"/>
      <c r="N16" s="414"/>
      <c r="O16" s="414"/>
      <c r="P16" s="414"/>
      <c r="Q16" s="414"/>
      <c r="R16" s="414"/>
      <c r="S16" s="414"/>
      <c r="T16" s="414"/>
      <c r="U16" s="414"/>
      <c r="V16" s="414"/>
      <c r="W16" s="414"/>
    </row>
    <row r="17" spans="1:23" x14ac:dyDescent="0.25">
      <c r="A17" t="s">
        <v>431</v>
      </c>
      <c r="B17">
        <v>152</v>
      </c>
      <c r="C17">
        <f>$B$17</f>
        <v>152</v>
      </c>
      <c r="D17">
        <f t="shared" ref="D17:V17" si="8">$B$17</f>
        <v>152</v>
      </c>
      <c r="E17">
        <f t="shared" si="8"/>
        <v>152</v>
      </c>
      <c r="F17">
        <f t="shared" si="8"/>
        <v>152</v>
      </c>
      <c r="G17">
        <f t="shared" si="8"/>
        <v>152</v>
      </c>
      <c r="H17">
        <f t="shared" si="8"/>
        <v>152</v>
      </c>
      <c r="I17">
        <f t="shared" si="8"/>
        <v>152</v>
      </c>
      <c r="J17">
        <f t="shared" si="8"/>
        <v>152</v>
      </c>
      <c r="K17">
        <f t="shared" si="8"/>
        <v>152</v>
      </c>
      <c r="L17">
        <f t="shared" si="8"/>
        <v>152</v>
      </c>
      <c r="M17">
        <f t="shared" si="8"/>
        <v>152</v>
      </c>
      <c r="N17">
        <f t="shared" si="8"/>
        <v>152</v>
      </c>
      <c r="O17">
        <f t="shared" si="8"/>
        <v>152</v>
      </c>
      <c r="P17">
        <f t="shared" si="8"/>
        <v>152</v>
      </c>
      <c r="Q17">
        <f t="shared" si="8"/>
        <v>152</v>
      </c>
      <c r="R17">
        <f t="shared" si="8"/>
        <v>152</v>
      </c>
      <c r="S17">
        <f t="shared" si="8"/>
        <v>152</v>
      </c>
      <c r="T17">
        <f t="shared" si="8"/>
        <v>152</v>
      </c>
      <c r="U17">
        <f t="shared" si="8"/>
        <v>152</v>
      </c>
      <c r="V17">
        <f t="shared" si="8"/>
        <v>152</v>
      </c>
    </row>
    <row r="18" spans="1:23" x14ac:dyDescent="0.25">
      <c r="A18" s="30" t="s">
        <v>432</v>
      </c>
      <c r="B18" s="30">
        <v>64</v>
      </c>
      <c r="C18" s="15">
        <f>$B$18</f>
        <v>64</v>
      </c>
      <c r="D18" s="15">
        <f t="shared" ref="D18:V18" si="9">$B$18</f>
        <v>64</v>
      </c>
      <c r="E18" s="15">
        <f t="shared" si="9"/>
        <v>64</v>
      </c>
      <c r="F18" s="15">
        <f t="shared" si="9"/>
        <v>64</v>
      </c>
      <c r="G18" s="15">
        <f t="shared" si="9"/>
        <v>64</v>
      </c>
      <c r="H18" s="15">
        <f t="shared" si="9"/>
        <v>64</v>
      </c>
      <c r="I18" s="15">
        <f t="shared" si="9"/>
        <v>64</v>
      </c>
      <c r="J18" s="15">
        <f t="shared" si="9"/>
        <v>64</v>
      </c>
      <c r="K18" s="15">
        <f t="shared" si="9"/>
        <v>64</v>
      </c>
      <c r="L18" s="15">
        <f t="shared" si="9"/>
        <v>64</v>
      </c>
      <c r="M18" s="15">
        <f t="shared" si="9"/>
        <v>64</v>
      </c>
      <c r="N18" s="15">
        <f t="shared" si="9"/>
        <v>64</v>
      </c>
      <c r="O18" s="15">
        <f t="shared" si="9"/>
        <v>64</v>
      </c>
      <c r="P18" s="15">
        <f t="shared" si="9"/>
        <v>64</v>
      </c>
      <c r="Q18" s="15">
        <f t="shared" si="9"/>
        <v>64</v>
      </c>
      <c r="R18" s="15">
        <f t="shared" si="9"/>
        <v>64</v>
      </c>
      <c r="S18" s="15">
        <f t="shared" si="9"/>
        <v>64</v>
      </c>
      <c r="T18" s="15">
        <f t="shared" si="9"/>
        <v>64</v>
      </c>
      <c r="U18" s="15">
        <f t="shared" si="9"/>
        <v>64</v>
      </c>
      <c r="V18" s="15">
        <f t="shared" si="9"/>
        <v>64</v>
      </c>
    </row>
    <row r="19" spans="1:23" x14ac:dyDescent="0.25">
      <c r="A19" t="s">
        <v>425</v>
      </c>
      <c r="B19" s="415">
        <v>365</v>
      </c>
      <c r="C19" s="15">
        <f>$B$19</f>
        <v>365</v>
      </c>
      <c r="D19" s="15">
        <f t="shared" ref="D19:V19" si="10">$B$19</f>
        <v>365</v>
      </c>
      <c r="E19" s="15">
        <f t="shared" si="10"/>
        <v>365</v>
      </c>
      <c r="F19" s="15">
        <f t="shared" si="10"/>
        <v>365</v>
      </c>
      <c r="G19" s="15">
        <f t="shared" si="10"/>
        <v>365</v>
      </c>
      <c r="H19" s="15">
        <f t="shared" si="10"/>
        <v>365</v>
      </c>
      <c r="I19" s="15">
        <f t="shared" si="10"/>
        <v>365</v>
      </c>
      <c r="J19" s="15">
        <f t="shared" si="10"/>
        <v>365</v>
      </c>
      <c r="K19" s="15">
        <f t="shared" si="10"/>
        <v>365</v>
      </c>
      <c r="L19" s="15">
        <f t="shared" si="10"/>
        <v>365</v>
      </c>
      <c r="M19" s="15">
        <f t="shared" si="10"/>
        <v>365</v>
      </c>
      <c r="N19" s="15">
        <f t="shared" si="10"/>
        <v>365</v>
      </c>
      <c r="O19" s="15">
        <f t="shared" si="10"/>
        <v>365</v>
      </c>
      <c r="P19" s="15">
        <f t="shared" si="10"/>
        <v>365</v>
      </c>
      <c r="Q19" s="15">
        <f t="shared" si="10"/>
        <v>365</v>
      </c>
      <c r="R19" s="15">
        <f t="shared" si="10"/>
        <v>365</v>
      </c>
      <c r="S19" s="15">
        <f t="shared" si="10"/>
        <v>365</v>
      </c>
      <c r="T19" s="15">
        <f t="shared" si="10"/>
        <v>365</v>
      </c>
      <c r="U19" s="15">
        <f t="shared" si="10"/>
        <v>365</v>
      </c>
      <c r="V19" s="15">
        <f t="shared" si="10"/>
        <v>365</v>
      </c>
    </row>
    <row r="20" spans="1:23" x14ac:dyDescent="0.25">
      <c r="A20" t="s">
        <v>426</v>
      </c>
      <c r="B20" s="52">
        <v>0.86</v>
      </c>
      <c r="C20" s="417">
        <f>$B$20</f>
        <v>0.86</v>
      </c>
      <c r="D20" s="417">
        <f t="shared" ref="D20:V20" si="11">$B$20</f>
        <v>0.86</v>
      </c>
      <c r="E20" s="417">
        <f t="shared" si="11"/>
        <v>0.86</v>
      </c>
      <c r="F20" s="417">
        <f t="shared" si="11"/>
        <v>0.86</v>
      </c>
      <c r="G20" s="417">
        <f t="shared" si="11"/>
        <v>0.86</v>
      </c>
      <c r="H20" s="417">
        <f t="shared" si="11"/>
        <v>0.86</v>
      </c>
      <c r="I20" s="417">
        <f t="shared" si="11"/>
        <v>0.86</v>
      </c>
      <c r="J20" s="417">
        <f t="shared" si="11"/>
        <v>0.86</v>
      </c>
      <c r="K20" s="417">
        <f t="shared" si="11"/>
        <v>0.86</v>
      </c>
      <c r="L20" s="417">
        <f t="shared" si="11"/>
        <v>0.86</v>
      </c>
      <c r="M20" s="417">
        <f t="shared" si="11"/>
        <v>0.86</v>
      </c>
      <c r="N20" s="417">
        <f t="shared" si="11"/>
        <v>0.86</v>
      </c>
      <c r="O20" s="417">
        <f t="shared" si="11"/>
        <v>0.86</v>
      </c>
      <c r="P20" s="417">
        <f t="shared" si="11"/>
        <v>0.86</v>
      </c>
      <c r="Q20" s="417">
        <f t="shared" si="11"/>
        <v>0.86</v>
      </c>
      <c r="R20" s="417">
        <f t="shared" si="11"/>
        <v>0.86</v>
      </c>
      <c r="S20" s="417">
        <f t="shared" si="11"/>
        <v>0.86</v>
      </c>
      <c r="T20" s="417">
        <f t="shared" si="11"/>
        <v>0.86</v>
      </c>
      <c r="U20" s="417">
        <f t="shared" si="11"/>
        <v>0.86</v>
      </c>
      <c r="V20" s="417">
        <f t="shared" si="11"/>
        <v>0.86</v>
      </c>
    </row>
    <row r="21" spans="1:23" x14ac:dyDescent="0.25">
      <c r="A21" s="15" t="s">
        <v>427</v>
      </c>
      <c r="B21" s="15">
        <f>(C17+C18)*C19*C20</f>
        <v>67802.399999999994</v>
      </c>
      <c r="C21" s="142">
        <f>$B$21</f>
        <v>67802.399999999994</v>
      </c>
      <c r="D21" s="142">
        <f t="shared" ref="D21:V21" si="12">$B$21</f>
        <v>67802.399999999994</v>
      </c>
      <c r="E21" s="142">
        <f t="shared" si="12"/>
        <v>67802.399999999994</v>
      </c>
      <c r="F21" s="142">
        <f t="shared" si="12"/>
        <v>67802.399999999994</v>
      </c>
      <c r="G21" s="142">
        <f t="shared" si="12"/>
        <v>67802.399999999994</v>
      </c>
      <c r="H21" s="142">
        <f t="shared" si="12"/>
        <v>67802.399999999994</v>
      </c>
      <c r="I21" s="142">
        <f t="shared" si="12"/>
        <v>67802.399999999994</v>
      </c>
      <c r="J21" s="142">
        <f t="shared" si="12"/>
        <v>67802.399999999994</v>
      </c>
      <c r="K21" s="142">
        <f t="shared" si="12"/>
        <v>67802.399999999994</v>
      </c>
      <c r="L21" s="142">
        <f t="shared" si="12"/>
        <v>67802.399999999994</v>
      </c>
      <c r="M21" s="142">
        <f t="shared" si="12"/>
        <v>67802.399999999994</v>
      </c>
      <c r="N21" s="142">
        <f t="shared" si="12"/>
        <v>67802.399999999994</v>
      </c>
      <c r="O21" s="142">
        <f t="shared" si="12"/>
        <v>67802.399999999994</v>
      </c>
      <c r="P21" s="142">
        <f t="shared" si="12"/>
        <v>67802.399999999994</v>
      </c>
      <c r="Q21" s="142">
        <f t="shared" si="12"/>
        <v>67802.399999999994</v>
      </c>
      <c r="R21" s="142">
        <f t="shared" si="12"/>
        <v>67802.399999999994</v>
      </c>
      <c r="S21" s="142">
        <f t="shared" si="12"/>
        <v>67802.399999999994</v>
      </c>
      <c r="T21" s="142">
        <f t="shared" si="12"/>
        <v>67802.399999999994</v>
      </c>
      <c r="U21" s="142">
        <f t="shared" si="12"/>
        <v>67802.399999999994</v>
      </c>
      <c r="V21" s="142">
        <f t="shared" si="12"/>
        <v>67802.399999999994</v>
      </c>
    </row>
    <row r="22" spans="1:23" ht="15.75" x14ac:dyDescent="0.25">
      <c r="A22" s="423"/>
    </row>
    <row r="23" spans="1:23" x14ac:dyDescent="0.25">
      <c r="A23" s="418" t="s">
        <v>428</v>
      </c>
      <c r="B23" s="419">
        <v>1.1000000000000001</v>
      </c>
      <c r="C23" s="420">
        <f>$B$23</f>
        <v>1.1000000000000001</v>
      </c>
      <c r="D23" s="420">
        <f t="shared" ref="D23:V23" si="13">$B$23</f>
        <v>1.1000000000000001</v>
      </c>
      <c r="E23" s="420">
        <f t="shared" si="13"/>
        <v>1.1000000000000001</v>
      </c>
      <c r="F23" s="420">
        <f t="shared" si="13"/>
        <v>1.1000000000000001</v>
      </c>
      <c r="G23" s="420">
        <f t="shared" si="13"/>
        <v>1.1000000000000001</v>
      </c>
      <c r="H23" s="420">
        <f t="shared" si="13"/>
        <v>1.1000000000000001</v>
      </c>
      <c r="I23" s="420">
        <f t="shared" si="13"/>
        <v>1.1000000000000001</v>
      </c>
      <c r="J23" s="420">
        <f t="shared" si="13"/>
        <v>1.1000000000000001</v>
      </c>
      <c r="K23" s="420">
        <f t="shared" si="13"/>
        <v>1.1000000000000001</v>
      </c>
      <c r="L23" s="420">
        <f t="shared" si="13"/>
        <v>1.1000000000000001</v>
      </c>
      <c r="M23" s="420">
        <f t="shared" si="13"/>
        <v>1.1000000000000001</v>
      </c>
      <c r="N23" s="420">
        <f t="shared" si="13"/>
        <v>1.1000000000000001</v>
      </c>
      <c r="O23" s="420">
        <f t="shared" si="13"/>
        <v>1.1000000000000001</v>
      </c>
      <c r="P23" s="420">
        <f t="shared" si="13"/>
        <v>1.1000000000000001</v>
      </c>
      <c r="Q23" s="420">
        <f t="shared" si="13"/>
        <v>1.1000000000000001</v>
      </c>
      <c r="R23" s="420">
        <f t="shared" si="13"/>
        <v>1.1000000000000001</v>
      </c>
      <c r="S23" s="420">
        <f t="shared" si="13"/>
        <v>1.1000000000000001</v>
      </c>
      <c r="T23" s="420">
        <f t="shared" si="13"/>
        <v>1.1000000000000001</v>
      </c>
      <c r="U23" s="420">
        <f t="shared" si="13"/>
        <v>1.1000000000000001</v>
      </c>
      <c r="V23" s="420">
        <f t="shared" si="13"/>
        <v>1.1000000000000001</v>
      </c>
    </row>
    <row r="24" spans="1:23" ht="15.75" x14ac:dyDescent="0.25">
      <c r="A24" s="423"/>
    </row>
    <row r="25" spans="1:23" x14ac:dyDescent="0.25">
      <c r="A25" s="13" t="s">
        <v>433</v>
      </c>
      <c r="C25" s="422">
        <f>C21*C23</f>
        <v>74582.64</v>
      </c>
      <c r="D25" s="422">
        <f t="shared" ref="D25:V25" si="14">D21*D23</f>
        <v>74582.64</v>
      </c>
      <c r="E25" s="422">
        <f t="shared" si="14"/>
        <v>74582.64</v>
      </c>
      <c r="F25" s="422">
        <f t="shared" si="14"/>
        <v>74582.64</v>
      </c>
      <c r="G25" s="422">
        <f t="shared" si="14"/>
        <v>74582.64</v>
      </c>
      <c r="H25" s="422">
        <f t="shared" si="14"/>
        <v>74582.64</v>
      </c>
      <c r="I25" s="422">
        <f t="shared" si="14"/>
        <v>74582.64</v>
      </c>
      <c r="J25" s="422">
        <f t="shared" si="14"/>
        <v>74582.64</v>
      </c>
      <c r="K25" s="422">
        <f t="shared" si="14"/>
        <v>74582.64</v>
      </c>
      <c r="L25" s="422">
        <f t="shared" si="14"/>
        <v>74582.64</v>
      </c>
      <c r="M25" s="422">
        <f t="shared" si="14"/>
        <v>74582.64</v>
      </c>
      <c r="N25" s="422">
        <f t="shared" si="14"/>
        <v>74582.64</v>
      </c>
      <c r="O25" s="422">
        <f t="shared" si="14"/>
        <v>74582.64</v>
      </c>
      <c r="P25" s="422">
        <f t="shared" si="14"/>
        <v>74582.64</v>
      </c>
      <c r="Q25" s="422">
        <f t="shared" si="14"/>
        <v>74582.64</v>
      </c>
      <c r="R25" s="422">
        <f t="shared" si="14"/>
        <v>74582.64</v>
      </c>
      <c r="S25" s="422">
        <f t="shared" si="14"/>
        <v>74582.64</v>
      </c>
      <c r="T25" s="422">
        <f t="shared" si="14"/>
        <v>74582.64</v>
      </c>
      <c r="U25" s="422">
        <f t="shared" si="14"/>
        <v>74582.64</v>
      </c>
      <c r="V25" s="422">
        <f t="shared" si="14"/>
        <v>74582.64</v>
      </c>
    </row>
    <row r="26" spans="1:23" ht="15.75" x14ac:dyDescent="0.25">
      <c r="A26" s="423"/>
    </row>
    <row r="27" spans="1:23" x14ac:dyDescent="0.25">
      <c r="A27" s="424" t="s">
        <v>434</v>
      </c>
      <c r="B27" s="425"/>
      <c r="C27" s="50">
        <f>C14+C25</f>
        <v>162631.59000000003</v>
      </c>
      <c r="D27" s="50">
        <f t="shared" ref="D27:V27" si="15">D14+D25</f>
        <v>162631.59000000003</v>
      </c>
      <c r="E27" s="50">
        <f t="shared" si="15"/>
        <v>162631.59000000003</v>
      </c>
      <c r="F27" s="50">
        <f t="shared" si="15"/>
        <v>162631.59000000003</v>
      </c>
      <c r="G27" s="50">
        <f t="shared" si="15"/>
        <v>162631.59000000003</v>
      </c>
      <c r="H27" s="50">
        <f t="shared" si="15"/>
        <v>162631.59000000003</v>
      </c>
      <c r="I27" s="50">
        <f t="shared" si="15"/>
        <v>162631.59000000003</v>
      </c>
      <c r="J27" s="50">
        <f t="shared" si="15"/>
        <v>162631.59000000003</v>
      </c>
      <c r="K27" s="50">
        <f t="shared" si="15"/>
        <v>162631.59000000003</v>
      </c>
      <c r="L27" s="50">
        <f t="shared" si="15"/>
        <v>162631.59000000003</v>
      </c>
      <c r="M27" s="50">
        <f t="shared" si="15"/>
        <v>162631.59000000003</v>
      </c>
      <c r="N27" s="50">
        <f t="shared" si="15"/>
        <v>162631.59000000003</v>
      </c>
      <c r="O27" s="50">
        <f t="shared" si="15"/>
        <v>162631.59000000003</v>
      </c>
      <c r="P27" s="50">
        <f t="shared" si="15"/>
        <v>162631.59000000003</v>
      </c>
      <c r="Q27" s="50">
        <f t="shared" si="15"/>
        <v>162631.59000000003</v>
      </c>
      <c r="R27" s="50">
        <f t="shared" si="15"/>
        <v>162631.59000000003</v>
      </c>
      <c r="S27" s="50">
        <f t="shared" si="15"/>
        <v>162631.59000000003</v>
      </c>
      <c r="T27" s="50">
        <f t="shared" si="15"/>
        <v>162631.59000000003</v>
      </c>
      <c r="U27" s="50">
        <f t="shared" si="15"/>
        <v>162631.59000000003</v>
      </c>
      <c r="V27" s="50">
        <f t="shared" si="15"/>
        <v>162631.59000000003</v>
      </c>
      <c r="W27" s="13"/>
    </row>
    <row r="28" spans="1:23" x14ac:dyDescent="0.25">
      <c r="A28" s="22"/>
      <c r="B28" s="15"/>
    </row>
    <row r="29" spans="1:23" x14ac:dyDescent="0.25">
      <c r="A29" s="22"/>
    </row>
    <row r="30" spans="1:23" x14ac:dyDescent="0.25">
      <c r="A30" s="22"/>
      <c r="B30" s="15"/>
    </row>
    <row r="31" spans="1:23" x14ac:dyDescent="0.25">
      <c r="A31" s="22"/>
      <c r="B31" s="426"/>
    </row>
    <row r="32" spans="1:23" ht="15.75" x14ac:dyDescent="0.25">
      <c r="A32" s="423"/>
    </row>
    <row r="33" spans="1:22" x14ac:dyDescent="0.25">
      <c r="A33" s="424"/>
      <c r="B33" s="62"/>
      <c r="C33" s="50"/>
      <c r="D33" s="50"/>
      <c r="E33" s="50"/>
      <c r="F33" s="50"/>
      <c r="G33" s="50"/>
      <c r="H33" s="50"/>
      <c r="I33" s="50"/>
      <c r="J33" s="50"/>
      <c r="K33" s="50"/>
      <c r="L33" s="50"/>
      <c r="M33" s="50"/>
      <c r="N33" s="50"/>
      <c r="O33" s="50"/>
      <c r="P33" s="50"/>
      <c r="Q33" s="50"/>
      <c r="R33" s="50"/>
      <c r="S33" s="50"/>
      <c r="T33" s="50"/>
      <c r="U33" s="50"/>
      <c r="V33" s="50"/>
    </row>
    <row r="35" spans="1:22" x14ac:dyDescent="0.25">
      <c r="A35" s="13"/>
      <c r="C35" s="422"/>
      <c r="D35" s="422"/>
      <c r="E35" s="422"/>
      <c r="F35" s="422"/>
      <c r="G35" s="422"/>
      <c r="H35" s="422"/>
      <c r="I35" s="422"/>
      <c r="J35" s="422"/>
      <c r="K35" s="422"/>
      <c r="L35" s="422"/>
      <c r="M35" s="422"/>
      <c r="N35" s="422"/>
      <c r="O35" s="422"/>
      <c r="P35" s="422"/>
      <c r="Q35" s="422"/>
      <c r="R35" s="422"/>
      <c r="S35" s="422"/>
      <c r="T35" s="422"/>
      <c r="U35" s="422"/>
      <c r="V35" s="422"/>
    </row>
    <row r="36" spans="1:22" x14ac:dyDescent="0.25">
      <c r="A36" s="13"/>
      <c r="C36" s="422"/>
      <c r="D36" s="422"/>
      <c r="E36" s="422"/>
      <c r="F36" s="422"/>
      <c r="G36" s="422"/>
      <c r="H36" s="422"/>
      <c r="I36" s="422"/>
      <c r="J36" s="422"/>
      <c r="K36" s="422"/>
      <c r="L36" s="422"/>
      <c r="M36" s="422"/>
      <c r="N36" s="422"/>
      <c r="O36" s="422"/>
      <c r="P36" s="422"/>
      <c r="Q36" s="422"/>
      <c r="R36" s="422"/>
      <c r="S36" s="422"/>
      <c r="T36" s="422"/>
      <c r="U36" s="422"/>
      <c r="V36" s="42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14B4-FF13-4C1C-9FB9-E0BB3DF966F6}">
  <sheetPr>
    <tabColor rgb="FFF4B084"/>
  </sheetPr>
  <dimension ref="A1:AH31"/>
  <sheetViews>
    <sheetView workbookViewId="0">
      <selection activeCell="D1" sqref="D1"/>
    </sheetView>
  </sheetViews>
  <sheetFormatPr defaultRowHeight="15" x14ac:dyDescent="0.25"/>
  <cols>
    <col min="1" max="1" width="38" customWidth="1"/>
  </cols>
  <sheetData>
    <row r="1" spans="1:34" ht="15.75" x14ac:dyDescent="0.25">
      <c r="A1" s="41" t="s">
        <v>435</v>
      </c>
    </row>
    <row r="3" spans="1:34" x14ac:dyDescent="0.25">
      <c r="A3" s="92" t="s">
        <v>421</v>
      </c>
      <c r="D3">
        <v>1</v>
      </c>
      <c r="E3">
        <f t="shared" ref="E3:T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ref="U3:AG4" si="1">T3+1</f>
        <v>18</v>
      </c>
      <c r="V3">
        <f t="shared" si="1"/>
        <v>19</v>
      </c>
      <c r="W3">
        <f t="shared" si="1"/>
        <v>20</v>
      </c>
      <c r="X3">
        <f t="shared" si="1"/>
        <v>21</v>
      </c>
      <c r="Y3">
        <f t="shared" si="1"/>
        <v>22</v>
      </c>
      <c r="Z3">
        <f t="shared" si="1"/>
        <v>23</v>
      </c>
      <c r="AA3">
        <f t="shared" si="1"/>
        <v>24</v>
      </c>
      <c r="AB3">
        <f t="shared" si="1"/>
        <v>25</v>
      </c>
      <c r="AC3">
        <f t="shared" si="1"/>
        <v>26</v>
      </c>
      <c r="AD3">
        <f t="shared" si="1"/>
        <v>27</v>
      </c>
      <c r="AE3">
        <f t="shared" si="1"/>
        <v>28</v>
      </c>
      <c r="AF3">
        <f t="shared" si="1"/>
        <v>29</v>
      </c>
      <c r="AG3">
        <f t="shared" si="1"/>
        <v>30</v>
      </c>
    </row>
    <row r="4" spans="1:34" x14ac:dyDescent="0.25">
      <c r="A4" s="92" t="s">
        <v>422</v>
      </c>
      <c r="D4">
        <v>2030</v>
      </c>
      <c r="E4">
        <f t="shared" si="0"/>
        <v>2031</v>
      </c>
      <c r="F4">
        <f t="shared" si="0"/>
        <v>2032</v>
      </c>
      <c r="G4">
        <f t="shared" si="0"/>
        <v>2033</v>
      </c>
      <c r="H4">
        <f t="shared" si="0"/>
        <v>2034</v>
      </c>
      <c r="I4">
        <f t="shared" si="0"/>
        <v>2035</v>
      </c>
      <c r="J4">
        <f t="shared" si="0"/>
        <v>2036</v>
      </c>
      <c r="K4">
        <f t="shared" si="0"/>
        <v>2037</v>
      </c>
      <c r="L4">
        <f t="shared" si="0"/>
        <v>2038</v>
      </c>
      <c r="M4">
        <f t="shared" si="0"/>
        <v>2039</v>
      </c>
      <c r="N4">
        <f t="shared" si="0"/>
        <v>2040</v>
      </c>
      <c r="O4">
        <f t="shared" si="0"/>
        <v>2041</v>
      </c>
      <c r="P4">
        <f t="shared" si="0"/>
        <v>2042</v>
      </c>
      <c r="Q4">
        <f t="shared" si="0"/>
        <v>2043</v>
      </c>
      <c r="R4">
        <f t="shared" si="0"/>
        <v>2044</v>
      </c>
      <c r="S4">
        <f t="shared" si="0"/>
        <v>2045</v>
      </c>
      <c r="T4">
        <f t="shared" si="0"/>
        <v>2046</v>
      </c>
      <c r="U4">
        <f t="shared" si="1"/>
        <v>2047</v>
      </c>
      <c r="V4">
        <f t="shared" si="1"/>
        <v>2048</v>
      </c>
      <c r="W4">
        <f t="shared" si="1"/>
        <v>2049</v>
      </c>
      <c r="X4">
        <f t="shared" si="1"/>
        <v>2050</v>
      </c>
      <c r="Y4">
        <f t="shared" si="1"/>
        <v>2051</v>
      </c>
      <c r="Z4">
        <f t="shared" si="1"/>
        <v>2052</v>
      </c>
      <c r="AA4">
        <f t="shared" si="1"/>
        <v>2053</v>
      </c>
      <c r="AB4">
        <f t="shared" si="1"/>
        <v>2054</v>
      </c>
      <c r="AC4">
        <f t="shared" si="1"/>
        <v>2055</v>
      </c>
      <c r="AD4">
        <f t="shared" si="1"/>
        <v>2056</v>
      </c>
      <c r="AE4">
        <f t="shared" si="1"/>
        <v>2057</v>
      </c>
      <c r="AF4">
        <f t="shared" si="1"/>
        <v>2058</v>
      </c>
      <c r="AG4">
        <f t="shared" si="1"/>
        <v>2059</v>
      </c>
    </row>
    <row r="5" spans="1:34" x14ac:dyDescent="0.25">
      <c r="A5" s="1"/>
    </row>
    <row r="6" spans="1:34" x14ac:dyDescent="0.25">
      <c r="A6" s="413" t="s">
        <v>436</v>
      </c>
      <c r="B6" s="414"/>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row>
    <row r="7" spans="1:34" x14ac:dyDescent="0.25">
      <c r="A7" t="s">
        <v>437</v>
      </c>
      <c r="B7">
        <v>7</v>
      </c>
      <c r="D7">
        <f>$B$7</f>
        <v>7</v>
      </c>
      <c r="E7">
        <f t="shared" ref="E7:AG7" si="2">$B$7</f>
        <v>7</v>
      </c>
      <c r="F7">
        <f t="shared" si="2"/>
        <v>7</v>
      </c>
      <c r="G7">
        <f t="shared" si="2"/>
        <v>7</v>
      </c>
      <c r="H7">
        <f t="shared" si="2"/>
        <v>7</v>
      </c>
      <c r="I7">
        <f t="shared" si="2"/>
        <v>7</v>
      </c>
      <c r="J7">
        <f t="shared" si="2"/>
        <v>7</v>
      </c>
      <c r="K7">
        <f t="shared" si="2"/>
        <v>7</v>
      </c>
      <c r="L7">
        <f t="shared" si="2"/>
        <v>7</v>
      </c>
      <c r="M7">
        <f t="shared" si="2"/>
        <v>7</v>
      </c>
      <c r="N7">
        <f t="shared" si="2"/>
        <v>7</v>
      </c>
      <c r="O7">
        <f t="shared" si="2"/>
        <v>7</v>
      </c>
      <c r="P7">
        <f t="shared" si="2"/>
        <v>7</v>
      </c>
      <c r="Q7">
        <f t="shared" si="2"/>
        <v>7</v>
      </c>
      <c r="R7">
        <f t="shared" si="2"/>
        <v>7</v>
      </c>
      <c r="S7">
        <f t="shared" si="2"/>
        <v>7</v>
      </c>
      <c r="T7">
        <f t="shared" si="2"/>
        <v>7</v>
      </c>
      <c r="U7">
        <f t="shared" si="2"/>
        <v>7</v>
      </c>
      <c r="V7">
        <f t="shared" si="2"/>
        <v>7</v>
      </c>
      <c r="W7">
        <f t="shared" si="2"/>
        <v>7</v>
      </c>
      <c r="X7">
        <f t="shared" si="2"/>
        <v>7</v>
      </c>
      <c r="Y7">
        <f t="shared" si="2"/>
        <v>7</v>
      </c>
      <c r="Z7">
        <f t="shared" si="2"/>
        <v>7</v>
      </c>
      <c r="AA7">
        <f t="shared" si="2"/>
        <v>7</v>
      </c>
      <c r="AB7">
        <f t="shared" si="2"/>
        <v>7</v>
      </c>
      <c r="AC7">
        <f t="shared" si="2"/>
        <v>7</v>
      </c>
      <c r="AD7">
        <f t="shared" si="2"/>
        <v>7</v>
      </c>
      <c r="AE7">
        <f t="shared" si="2"/>
        <v>7</v>
      </c>
      <c r="AF7">
        <f t="shared" si="2"/>
        <v>7</v>
      </c>
      <c r="AG7">
        <f t="shared" si="2"/>
        <v>7</v>
      </c>
    </row>
    <row r="8" spans="1:34" x14ac:dyDescent="0.25">
      <c r="A8" t="s">
        <v>425</v>
      </c>
      <c r="B8" s="415">
        <v>365</v>
      </c>
      <c r="C8" s="416"/>
      <c r="D8" s="15">
        <f>$B$8</f>
        <v>365</v>
      </c>
      <c r="E8" s="15">
        <f t="shared" ref="E8:AG8" si="3">$B$8</f>
        <v>365</v>
      </c>
      <c r="F8" s="15">
        <f t="shared" si="3"/>
        <v>365</v>
      </c>
      <c r="G8" s="15">
        <f t="shared" si="3"/>
        <v>365</v>
      </c>
      <c r="H8" s="15">
        <f t="shared" si="3"/>
        <v>365</v>
      </c>
      <c r="I8" s="15">
        <f t="shared" si="3"/>
        <v>365</v>
      </c>
      <c r="J8" s="15">
        <f t="shared" si="3"/>
        <v>365</v>
      </c>
      <c r="K8" s="15">
        <f t="shared" si="3"/>
        <v>365</v>
      </c>
      <c r="L8" s="15">
        <f t="shared" si="3"/>
        <v>365</v>
      </c>
      <c r="M8" s="15">
        <f t="shared" si="3"/>
        <v>365</v>
      </c>
      <c r="N8" s="15">
        <f t="shared" si="3"/>
        <v>365</v>
      </c>
      <c r="O8" s="15">
        <f t="shared" si="3"/>
        <v>365</v>
      </c>
      <c r="P8" s="15">
        <f t="shared" si="3"/>
        <v>365</v>
      </c>
      <c r="Q8" s="15">
        <f t="shared" si="3"/>
        <v>365</v>
      </c>
      <c r="R8" s="15">
        <f t="shared" si="3"/>
        <v>365</v>
      </c>
      <c r="S8" s="15">
        <f t="shared" si="3"/>
        <v>365</v>
      </c>
      <c r="T8" s="15">
        <f t="shared" si="3"/>
        <v>365</v>
      </c>
      <c r="U8" s="15">
        <f t="shared" si="3"/>
        <v>365</v>
      </c>
      <c r="V8" s="15">
        <f t="shared" si="3"/>
        <v>365</v>
      </c>
      <c r="W8" s="15">
        <f t="shared" si="3"/>
        <v>365</v>
      </c>
      <c r="X8" s="15">
        <f t="shared" si="3"/>
        <v>365</v>
      </c>
      <c r="Y8" s="15">
        <f t="shared" si="3"/>
        <v>365</v>
      </c>
      <c r="Z8" s="15">
        <f t="shared" si="3"/>
        <v>365</v>
      </c>
      <c r="AA8" s="15">
        <f t="shared" si="3"/>
        <v>365</v>
      </c>
      <c r="AB8" s="15">
        <f t="shared" si="3"/>
        <v>365</v>
      </c>
      <c r="AC8" s="15">
        <f t="shared" si="3"/>
        <v>365</v>
      </c>
      <c r="AD8" s="15">
        <f t="shared" si="3"/>
        <v>365</v>
      </c>
      <c r="AE8" s="15">
        <f t="shared" si="3"/>
        <v>365</v>
      </c>
      <c r="AF8" s="15">
        <f t="shared" si="3"/>
        <v>365</v>
      </c>
      <c r="AG8" s="15">
        <f t="shared" si="3"/>
        <v>365</v>
      </c>
    </row>
    <row r="9" spans="1:34" x14ac:dyDescent="0.25">
      <c r="A9" t="s">
        <v>438</v>
      </c>
      <c r="B9" s="52">
        <v>1.0549999999999999</v>
      </c>
      <c r="C9" s="33"/>
      <c r="D9" s="417">
        <f>$B$9</f>
        <v>1.0549999999999999</v>
      </c>
      <c r="E9" s="417">
        <f t="shared" ref="E9:AG9" si="4">$B$9</f>
        <v>1.0549999999999999</v>
      </c>
      <c r="F9" s="417">
        <f t="shared" si="4"/>
        <v>1.0549999999999999</v>
      </c>
      <c r="G9" s="417">
        <f t="shared" si="4"/>
        <v>1.0549999999999999</v>
      </c>
      <c r="H9" s="417">
        <f t="shared" si="4"/>
        <v>1.0549999999999999</v>
      </c>
      <c r="I9" s="417">
        <f t="shared" si="4"/>
        <v>1.0549999999999999</v>
      </c>
      <c r="J9" s="417">
        <f t="shared" si="4"/>
        <v>1.0549999999999999</v>
      </c>
      <c r="K9" s="417">
        <f t="shared" si="4"/>
        <v>1.0549999999999999</v>
      </c>
      <c r="L9" s="417">
        <f t="shared" si="4"/>
        <v>1.0549999999999999</v>
      </c>
      <c r="M9" s="417">
        <f t="shared" si="4"/>
        <v>1.0549999999999999</v>
      </c>
      <c r="N9" s="417">
        <f t="shared" si="4"/>
        <v>1.0549999999999999</v>
      </c>
      <c r="O9" s="417">
        <f t="shared" si="4"/>
        <v>1.0549999999999999</v>
      </c>
      <c r="P9" s="417">
        <f t="shared" si="4"/>
        <v>1.0549999999999999</v>
      </c>
      <c r="Q9" s="417">
        <f t="shared" si="4"/>
        <v>1.0549999999999999</v>
      </c>
      <c r="R9" s="417">
        <f t="shared" si="4"/>
        <v>1.0549999999999999</v>
      </c>
      <c r="S9" s="417">
        <f t="shared" si="4"/>
        <v>1.0549999999999999</v>
      </c>
      <c r="T9" s="417">
        <f t="shared" si="4"/>
        <v>1.0549999999999999</v>
      </c>
      <c r="U9" s="417">
        <f t="shared" si="4"/>
        <v>1.0549999999999999</v>
      </c>
      <c r="V9" s="417">
        <f t="shared" si="4"/>
        <v>1.0549999999999999</v>
      </c>
      <c r="W9" s="417">
        <f t="shared" si="4"/>
        <v>1.0549999999999999</v>
      </c>
      <c r="X9" s="417">
        <f t="shared" si="4"/>
        <v>1.0549999999999999</v>
      </c>
      <c r="Y9" s="417">
        <f t="shared" si="4"/>
        <v>1.0549999999999999</v>
      </c>
      <c r="Z9" s="417">
        <f t="shared" si="4"/>
        <v>1.0549999999999999</v>
      </c>
      <c r="AA9" s="417">
        <f t="shared" si="4"/>
        <v>1.0549999999999999</v>
      </c>
      <c r="AB9" s="417">
        <f t="shared" si="4"/>
        <v>1.0549999999999999</v>
      </c>
      <c r="AC9" s="417">
        <f t="shared" si="4"/>
        <v>1.0549999999999999</v>
      </c>
      <c r="AD9" s="417">
        <f t="shared" si="4"/>
        <v>1.0549999999999999</v>
      </c>
      <c r="AE9" s="417">
        <f t="shared" si="4"/>
        <v>1.0549999999999999</v>
      </c>
      <c r="AF9" s="417">
        <f t="shared" si="4"/>
        <v>1.0549999999999999</v>
      </c>
      <c r="AG9" s="417">
        <f t="shared" si="4"/>
        <v>1.0549999999999999</v>
      </c>
    </row>
    <row r="10" spans="1:34" x14ac:dyDescent="0.25">
      <c r="A10" s="15" t="s">
        <v>439</v>
      </c>
      <c r="B10" s="15">
        <f>D7*D8*D9</f>
        <v>2695.5249999999996</v>
      </c>
      <c r="C10" s="15"/>
      <c r="D10" s="142">
        <f>$B$10</f>
        <v>2695.5249999999996</v>
      </c>
      <c r="E10" s="142">
        <f t="shared" ref="E10:AG10" si="5">$B$10</f>
        <v>2695.5249999999996</v>
      </c>
      <c r="F10" s="142">
        <f t="shared" si="5"/>
        <v>2695.5249999999996</v>
      </c>
      <c r="G10" s="142">
        <f t="shared" si="5"/>
        <v>2695.5249999999996</v>
      </c>
      <c r="H10" s="142">
        <f t="shared" si="5"/>
        <v>2695.5249999999996</v>
      </c>
      <c r="I10" s="142">
        <f t="shared" si="5"/>
        <v>2695.5249999999996</v>
      </c>
      <c r="J10" s="142">
        <f t="shared" si="5"/>
        <v>2695.5249999999996</v>
      </c>
      <c r="K10" s="142">
        <f t="shared" si="5"/>
        <v>2695.5249999999996</v>
      </c>
      <c r="L10" s="142">
        <f t="shared" si="5"/>
        <v>2695.5249999999996</v>
      </c>
      <c r="M10" s="142">
        <f t="shared" si="5"/>
        <v>2695.5249999999996</v>
      </c>
      <c r="N10" s="142">
        <f t="shared" si="5"/>
        <v>2695.5249999999996</v>
      </c>
      <c r="O10" s="142">
        <f t="shared" si="5"/>
        <v>2695.5249999999996</v>
      </c>
      <c r="P10" s="142">
        <f t="shared" si="5"/>
        <v>2695.5249999999996</v>
      </c>
      <c r="Q10" s="142">
        <f t="shared" si="5"/>
        <v>2695.5249999999996</v>
      </c>
      <c r="R10" s="142">
        <f t="shared" si="5"/>
        <v>2695.5249999999996</v>
      </c>
      <c r="S10" s="142">
        <f t="shared" si="5"/>
        <v>2695.5249999999996</v>
      </c>
      <c r="T10" s="142">
        <f t="shared" si="5"/>
        <v>2695.5249999999996</v>
      </c>
      <c r="U10" s="142">
        <f t="shared" si="5"/>
        <v>2695.5249999999996</v>
      </c>
      <c r="V10" s="142">
        <f t="shared" si="5"/>
        <v>2695.5249999999996</v>
      </c>
      <c r="W10" s="142">
        <f t="shared" si="5"/>
        <v>2695.5249999999996</v>
      </c>
      <c r="X10" s="142">
        <f t="shared" si="5"/>
        <v>2695.5249999999996</v>
      </c>
      <c r="Y10" s="142">
        <f t="shared" si="5"/>
        <v>2695.5249999999996</v>
      </c>
      <c r="Z10" s="142">
        <f t="shared" si="5"/>
        <v>2695.5249999999996</v>
      </c>
      <c r="AA10" s="142">
        <f t="shared" si="5"/>
        <v>2695.5249999999996</v>
      </c>
      <c r="AB10" s="142">
        <f t="shared" si="5"/>
        <v>2695.5249999999996</v>
      </c>
      <c r="AC10" s="142">
        <f t="shared" si="5"/>
        <v>2695.5249999999996</v>
      </c>
      <c r="AD10" s="142">
        <f t="shared" si="5"/>
        <v>2695.5249999999996</v>
      </c>
      <c r="AE10" s="142">
        <f t="shared" si="5"/>
        <v>2695.5249999999996</v>
      </c>
      <c r="AF10" s="142">
        <f t="shared" si="5"/>
        <v>2695.5249999999996</v>
      </c>
      <c r="AG10" s="142">
        <f t="shared" si="5"/>
        <v>2695.5249999999996</v>
      </c>
    </row>
    <row r="12" spans="1:34" ht="30" x14ac:dyDescent="0.25">
      <c r="A12" s="418" t="s">
        <v>440</v>
      </c>
      <c r="B12" s="419">
        <v>1.87</v>
      </c>
      <c r="C12" s="420"/>
      <c r="D12" s="420">
        <f>$B$12</f>
        <v>1.87</v>
      </c>
      <c r="E12" s="420">
        <f t="shared" ref="E12:AG12" si="6">$B$12</f>
        <v>1.87</v>
      </c>
      <c r="F12" s="420">
        <f t="shared" si="6"/>
        <v>1.87</v>
      </c>
      <c r="G12" s="420">
        <f t="shared" si="6"/>
        <v>1.87</v>
      </c>
      <c r="H12" s="420">
        <f t="shared" si="6"/>
        <v>1.87</v>
      </c>
      <c r="I12" s="420">
        <f t="shared" si="6"/>
        <v>1.87</v>
      </c>
      <c r="J12" s="420">
        <f t="shared" si="6"/>
        <v>1.87</v>
      </c>
      <c r="K12" s="420">
        <f t="shared" si="6"/>
        <v>1.87</v>
      </c>
      <c r="L12" s="420">
        <f t="shared" si="6"/>
        <v>1.87</v>
      </c>
      <c r="M12" s="420">
        <f t="shared" si="6"/>
        <v>1.87</v>
      </c>
      <c r="N12" s="420">
        <f t="shared" si="6"/>
        <v>1.87</v>
      </c>
      <c r="O12" s="420">
        <f t="shared" si="6"/>
        <v>1.87</v>
      </c>
      <c r="P12" s="420">
        <f t="shared" si="6"/>
        <v>1.87</v>
      </c>
      <c r="Q12" s="420">
        <f t="shared" si="6"/>
        <v>1.87</v>
      </c>
      <c r="R12" s="420">
        <f t="shared" si="6"/>
        <v>1.87</v>
      </c>
      <c r="S12" s="420">
        <f t="shared" si="6"/>
        <v>1.87</v>
      </c>
      <c r="T12" s="420">
        <f t="shared" si="6"/>
        <v>1.87</v>
      </c>
      <c r="U12" s="420">
        <f t="shared" si="6"/>
        <v>1.87</v>
      </c>
      <c r="V12" s="420">
        <f t="shared" si="6"/>
        <v>1.87</v>
      </c>
      <c r="W12" s="420">
        <f t="shared" si="6"/>
        <v>1.87</v>
      </c>
      <c r="X12" s="420">
        <f t="shared" si="6"/>
        <v>1.87</v>
      </c>
      <c r="Y12" s="420">
        <f t="shared" si="6"/>
        <v>1.87</v>
      </c>
      <c r="Z12" s="420">
        <f t="shared" si="6"/>
        <v>1.87</v>
      </c>
      <c r="AA12" s="420">
        <f t="shared" si="6"/>
        <v>1.87</v>
      </c>
      <c r="AB12" s="420">
        <f t="shared" si="6"/>
        <v>1.87</v>
      </c>
      <c r="AC12" s="420">
        <f t="shared" si="6"/>
        <v>1.87</v>
      </c>
      <c r="AD12" s="420">
        <f t="shared" si="6"/>
        <v>1.87</v>
      </c>
      <c r="AE12" s="420">
        <f t="shared" si="6"/>
        <v>1.87</v>
      </c>
      <c r="AF12" s="420">
        <f t="shared" si="6"/>
        <v>1.87</v>
      </c>
      <c r="AG12" s="420">
        <f t="shared" si="6"/>
        <v>1.87</v>
      </c>
      <c r="AH12" s="421"/>
    </row>
    <row r="14" spans="1:34" x14ac:dyDescent="0.25">
      <c r="A14" s="13" t="s">
        <v>441</v>
      </c>
      <c r="D14" s="422">
        <f>D10*D12</f>
        <v>5040.6317499999996</v>
      </c>
      <c r="E14" s="422">
        <f t="shared" ref="E14:AG14" si="7">E10*E12</f>
        <v>5040.6317499999996</v>
      </c>
      <c r="F14" s="422">
        <f t="shared" si="7"/>
        <v>5040.6317499999996</v>
      </c>
      <c r="G14" s="422">
        <f t="shared" si="7"/>
        <v>5040.6317499999996</v>
      </c>
      <c r="H14" s="422">
        <f t="shared" si="7"/>
        <v>5040.6317499999996</v>
      </c>
      <c r="I14" s="422">
        <f t="shared" si="7"/>
        <v>5040.6317499999996</v>
      </c>
      <c r="J14" s="422">
        <f t="shared" si="7"/>
        <v>5040.6317499999996</v>
      </c>
      <c r="K14" s="422">
        <f t="shared" si="7"/>
        <v>5040.6317499999996</v>
      </c>
      <c r="L14" s="422">
        <f t="shared" si="7"/>
        <v>5040.6317499999996</v>
      </c>
      <c r="M14" s="422">
        <f t="shared" si="7"/>
        <v>5040.6317499999996</v>
      </c>
      <c r="N14" s="422">
        <f t="shared" si="7"/>
        <v>5040.6317499999996</v>
      </c>
      <c r="O14" s="422">
        <f t="shared" si="7"/>
        <v>5040.6317499999996</v>
      </c>
      <c r="P14" s="422">
        <f t="shared" si="7"/>
        <v>5040.6317499999996</v>
      </c>
      <c r="Q14" s="422">
        <f t="shared" si="7"/>
        <v>5040.6317499999996</v>
      </c>
      <c r="R14" s="422">
        <f t="shared" si="7"/>
        <v>5040.6317499999996</v>
      </c>
      <c r="S14" s="422">
        <f t="shared" si="7"/>
        <v>5040.6317499999996</v>
      </c>
      <c r="T14" s="422">
        <f t="shared" si="7"/>
        <v>5040.6317499999996</v>
      </c>
      <c r="U14" s="422">
        <f t="shared" si="7"/>
        <v>5040.6317499999996</v>
      </c>
      <c r="V14" s="422">
        <f t="shared" si="7"/>
        <v>5040.6317499999996</v>
      </c>
      <c r="W14" s="422">
        <f t="shared" si="7"/>
        <v>5040.6317499999996</v>
      </c>
      <c r="X14" s="422">
        <f t="shared" si="7"/>
        <v>5040.6317499999996</v>
      </c>
      <c r="Y14" s="422">
        <f t="shared" si="7"/>
        <v>5040.6317499999996</v>
      </c>
      <c r="Z14" s="422">
        <f t="shared" si="7"/>
        <v>5040.6317499999996</v>
      </c>
      <c r="AA14" s="422">
        <f t="shared" si="7"/>
        <v>5040.6317499999996</v>
      </c>
      <c r="AB14" s="422">
        <f t="shared" si="7"/>
        <v>5040.6317499999996</v>
      </c>
      <c r="AC14" s="422">
        <f t="shared" si="7"/>
        <v>5040.6317499999996</v>
      </c>
      <c r="AD14" s="422">
        <f t="shared" si="7"/>
        <v>5040.6317499999996</v>
      </c>
      <c r="AE14" s="422">
        <f t="shared" si="7"/>
        <v>5040.6317499999996</v>
      </c>
      <c r="AF14" s="422">
        <f t="shared" si="7"/>
        <v>5040.6317499999996</v>
      </c>
      <c r="AG14" s="422">
        <f t="shared" si="7"/>
        <v>5040.6317499999996</v>
      </c>
    </row>
    <row r="16" spans="1:34" x14ac:dyDescent="0.25">
      <c r="A16" s="413" t="s">
        <v>442</v>
      </c>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row>
    <row r="17" spans="1:34" x14ac:dyDescent="0.25">
      <c r="A17" t="s">
        <v>443</v>
      </c>
      <c r="B17">
        <v>26</v>
      </c>
      <c r="D17">
        <f>$B$17</f>
        <v>26</v>
      </c>
      <c r="E17">
        <f t="shared" ref="E17:AG17" si="8">$B$7</f>
        <v>7</v>
      </c>
      <c r="F17">
        <f t="shared" si="8"/>
        <v>7</v>
      </c>
      <c r="G17">
        <f t="shared" si="8"/>
        <v>7</v>
      </c>
      <c r="H17">
        <f t="shared" si="8"/>
        <v>7</v>
      </c>
      <c r="I17">
        <f t="shared" si="8"/>
        <v>7</v>
      </c>
      <c r="J17">
        <f t="shared" si="8"/>
        <v>7</v>
      </c>
      <c r="K17">
        <f t="shared" si="8"/>
        <v>7</v>
      </c>
      <c r="L17">
        <f t="shared" si="8"/>
        <v>7</v>
      </c>
      <c r="M17">
        <f t="shared" si="8"/>
        <v>7</v>
      </c>
      <c r="N17">
        <f t="shared" si="8"/>
        <v>7</v>
      </c>
      <c r="O17">
        <f t="shared" si="8"/>
        <v>7</v>
      </c>
      <c r="P17">
        <f t="shared" si="8"/>
        <v>7</v>
      </c>
      <c r="Q17">
        <f t="shared" si="8"/>
        <v>7</v>
      </c>
      <c r="R17">
        <f t="shared" si="8"/>
        <v>7</v>
      </c>
      <c r="S17">
        <f t="shared" si="8"/>
        <v>7</v>
      </c>
      <c r="T17">
        <f t="shared" si="8"/>
        <v>7</v>
      </c>
      <c r="U17">
        <f t="shared" si="8"/>
        <v>7</v>
      </c>
      <c r="V17">
        <f t="shared" si="8"/>
        <v>7</v>
      </c>
      <c r="W17">
        <f t="shared" si="8"/>
        <v>7</v>
      </c>
      <c r="X17">
        <f t="shared" si="8"/>
        <v>7</v>
      </c>
      <c r="Y17">
        <f t="shared" si="8"/>
        <v>7</v>
      </c>
      <c r="Z17">
        <f t="shared" si="8"/>
        <v>7</v>
      </c>
      <c r="AA17">
        <f t="shared" si="8"/>
        <v>7</v>
      </c>
      <c r="AB17">
        <f t="shared" si="8"/>
        <v>7</v>
      </c>
      <c r="AC17">
        <f t="shared" si="8"/>
        <v>7</v>
      </c>
      <c r="AD17">
        <f t="shared" si="8"/>
        <v>7</v>
      </c>
      <c r="AE17">
        <f t="shared" si="8"/>
        <v>7</v>
      </c>
      <c r="AF17">
        <f t="shared" si="8"/>
        <v>7</v>
      </c>
      <c r="AG17">
        <f t="shared" si="8"/>
        <v>7</v>
      </c>
    </row>
    <row r="18" spans="1:34" x14ac:dyDescent="0.25">
      <c r="A18" s="30" t="s">
        <v>444</v>
      </c>
      <c r="B18" s="30">
        <v>18</v>
      </c>
      <c r="D18">
        <f>$B$18</f>
        <v>18</v>
      </c>
      <c r="E18">
        <f t="shared" ref="E18:AG18" si="9">$B$18</f>
        <v>18</v>
      </c>
      <c r="F18">
        <f t="shared" si="9"/>
        <v>18</v>
      </c>
      <c r="G18">
        <f t="shared" si="9"/>
        <v>18</v>
      </c>
      <c r="H18">
        <f t="shared" si="9"/>
        <v>18</v>
      </c>
      <c r="I18">
        <f t="shared" si="9"/>
        <v>18</v>
      </c>
      <c r="J18">
        <f t="shared" si="9"/>
        <v>18</v>
      </c>
      <c r="K18">
        <f t="shared" si="9"/>
        <v>18</v>
      </c>
      <c r="L18">
        <f t="shared" si="9"/>
        <v>18</v>
      </c>
      <c r="M18">
        <f t="shared" si="9"/>
        <v>18</v>
      </c>
      <c r="N18">
        <f t="shared" si="9"/>
        <v>18</v>
      </c>
      <c r="O18">
        <f t="shared" si="9"/>
        <v>18</v>
      </c>
      <c r="P18">
        <f t="shared" si="9"/>
        <v>18</v>
      </c>
      <c r="Q18">
        <f t="shared" si="9"/>
        <v>18</v>
      </c>
      <c r="R18">
        <f t="shared" si="9"/>
        <v>18</v>
      </c>
      <c r="S18">
        <f t="shared" si="9"/>
        <v>18</v>
      </c>
      <c r="T18">
        <f t="shared" si="9"/>
        <v>18</v>
      </c>
      <c r="U18">
        <f t="shared" si="9"/>
        <v>18</v>
      </c>
      <c r="V18">
        <f t="shared" si="9"/>
        <v>18</v>
      </c>
      <c r="W18">
        <f t="shared" si="9"/>
        <v>18</v>
      </c>
      <c r="X18">
        <f t="shared" si="9"/>
        <v>18</v>
      </c>
      <c r="Y18">
        <f t="shared" si="9"/>
        <v>18</v>
      </c>
      <c r="Z18">
        <f t="shared" si="9"/>
        <v>18</v>
      </c>
      <c r="AA18">
        <f t="shared" si="9"/>
        <v>18</v>
      </c>
      <c r="AB18">
        <f t="shared" si="9"/>
        <v>18</v>
      </c>
      <c r="AC18">
        <f t="shared" si="9"/>
        <v>18</v>
      </c>
      <c r="AD18">
        <f t="shared" si="9"/>
        <v>18</v>
      </c>
      <c r="AE18">
        <f t="shared" si="9"/>
        <v>18</v>
      </c>
      <c r="AF18">
        <f t="shared" si="9"/>
        <v>18</v>
      </c>
      <c r="AG18">
        <f t="shared" si="9"/>
        <v>18</v>
      </c>
    </row>
    <row r="19" spans="1:34" x14ac:dyDescent="0.25">
      <c r="A19" t="s">
        <v>425</v>
      </c>
      <c r="B19" s="415">
        <v>365</v>
      </c>
      <c r="D19" s="15">
        <f>$B$19</f>
        <v>365</v>
      </c>
      <c r="E19" s="15">
        <f t="shared" ref="E19:AG19" si="10">$B$8</f>
        <v>365</v>
      </c>
      <c r="F19" s="15">
        <f t="shared" si="10"/>
        <v>365</v>
      </c>
      <c r="G19" s="15">
        <f t="shared" si="10"/>
        <v>365</v>
      </c>
      <c r="H19" s="15">
        <f t="shared" si="10"/>
        <v>365</v>
      </c>
      <c r="I19" s="15">
        <f t="shared" si="10"/>
        <v>365</v>
      </c>
      <c r="J19" s="15">
        <f t="shared" si="10"/>
        <v>365</v>
      </c>
      <c r="K19" s="15">
        <f t="shared" si="10"/>
        <v>365</v>
      </c>
      <c r="L19" s="15">
        <f t="shared" si="10"/>
        <v>365</v>
      </c>
      <c r="M19" s="15">
        <f t="shared" si="10"/>
        <v>365</v>
      </c>
      <c r="N19" s="15">
        <f t="shared" si="10"/>
        <v>365</v>
      </c>
      <c r="O19" s="15">
        <f t="shared" si="10"/>
        <v>365</v>
      </c>
      <c r="P19" s="15">
        <f t="shared" si="10"/>
        <v>365</v>
      </c>
      <c r="Q19" s="15">
        <f t="shared" si="10"/>
        <v>365</v>
      </c>
      <c r="R19" s="15">
        <f t="shared" si="10"/>
        <v>365</v>
      </c>
      <c r="S19" s="15">
        <f t="shared" si="10"/>
        <v>365</v>
      </c>
      <c r="T19" s="15">
        <f t="shared" si="10"/>
        <v>365</v>
      </c>
      <c r="U19" s="15">
        <f t="shared" si="10"/>
        <v>365</v>
      </c>
      <c r="V19" s="15">
        <f t="shared" si="10"/>
        <v>365</v>
      </c>
      <c r="W19" s="15">
        <f t="shared" si="10"/>
        <v>365</v>
      </c>
      <c r="X19" s="15">
        <f t="shared" si="10"/>
        <v>365</v>
      </c>
      <c r="Y19" s="15">
        <f t="shared" si="10"/>
        <v>365</v>
      </c>
      <c r="Z19" s="15">
        <f t="shared" si="10"/>
        <v>365</v>
      </c>
      <c r="AA19" s="15">
        <f t="shared" si="10"/>
        <v>365</v>
      </c>
      <c r="AB19" s="15">
        <f t="shared" si="10"/>
        <v>365</v>
      </c>
      <c r="AC19" s="15">
        <f t="shared" si="10"/>
        <v>365</v>
      </c>
      <c r="AD19" s="15">
        <f t="shared" si="10"/>
        <v>365</v>
      </c>
      <c r="AE19" s="15">
        <f t="shared" si="10"/>
        <v>365</v>
      </c>
      <c r="AF19" s="15">
        <f t="shared" si="10"/>
        <v>365</v>
      </c>
      <c r="AG19" s="15">
        <f t="shared" si="10"/>
        <v>365</v>
      </c>
    </row>
    <row r="20" spans="1:34" x14ac:dyDescent="0.25">
      <c r="A20" t="s">
        <v>438</v>
      </c>
      <c r="B20" s="52">
        <v>1.0549999999999999</v>
      </c>
      <c r="D20" s="417">
        <f>$B$20</f>
        <v>1.0549999999999999</v>
      </c>
      <c r="E20" s="417">
        <f t="shared" ref="E20:AG20" si="11">$B$9</f>
        <v>1.0549999999999999</v>
      </c>
      <c r="F20" s="417">
        <f t="shared" si="11"/>
        <v>1.0549999999999999</v>
      </c>
      <c r="G20" s="417">
        <f t="shared" si="11"/>
        <v>1.0549999999999999</v>
      </c>
      <c r="H20" s="417">
        <f t="shared" si="11"/>
        <v>1.0549999999999999</v>
      </c>
      <c r="I20" s="417">
        <f t="shared" si="11"/>
        <v>1.0549999999999999</v>
      </c>
      <c r="J20" s="417">
        <f t="shared" si="11"/>
        <v>1.0549999999999999</v>
      </c>
      <c r="K20" s="417">
        <f t="shared" si="11"/>
        <v>1.0549999999999999</v>
      </c>
      <c r="L20" s="417">
        <f t="shared" si="11"/>
        <v>1.0549999999999999</v>
      </c>
      <c r="M20" s="417">
        <f t="shared" si="11"/>
        <v>1.0549999999999999</v>
      </c>
      <c r="N20" s="417">
        <f t="shared" si="11"/>
        <v>1.0549999999999999</v>
      </c>
      <c r="O20" s="417">
        <f t="shared" si="11"/>
        <v>1.0549999999999999</v>
      </c>
      <c r="P20" s="417">
        <f t="shared" si="11"/>
        <v>1.0549999999999999</v>
      </c>
      <c r="Q20" s="417">
        <f t="shared" si="11"/>
        <v>1.0549999999999999</v>
      </c>
      <c r="R20" s="417">
        <f t="shared" si="11"/>
        <v>1.0549999999999999</v>
      </c>
      <c r="S20" s="417">
        <f t="shared" si="11"/>
        <v>1.0549999999999999</v>
      </c>
      <c r="T20" s="417">
        <f t="shared" si="11"/>
        <v>1.0549999999999999</v>
      </c>
      <c r="U20" s="417">
        <f t="shared" si="11"/>
        <v>1.0549999999999999</v>
      </c>
      <c r="V20" s="417">
        <f t="shared" si="11"/>
        <v>1.0549999999999999</v>
      </c>
      <c r="W20" s="417">
        <f t="shared" si="11"/>
        <v>1.0549999999999999</v>
      </c>
      <c r="X20" s="417">
        <f t="shared" si="11"/>
        <v>1.0549999999999999</v>
      </c>
      <c r="Y20" s="417">
        <f t="shared" si="11"/>
        <v>1.0549999999999999</v>
      </c>
      <c r="Z20" s="417">
        <f t="shared" si="11"/>
        <v>1.0549999999999999</v>
      </c>
      <c r="AA20" s="417">
        <f t="shared" si="11"/>
        <v>1.0549999999999999</v>
      </c>
      <c r="AB20" s="417">
        <f t="shared" si="11"/>
        <v>1.0549999999999999</v>
      </c>
      <c r="AC20" s="417">
        <f t="shared" si="11"/>
        <v>1.0549999999999999</v>
      </c>
      <c r="AD20" s="417">
        <f t="shared" si="11"/>
        <v>1.0549999999999999</v>
      </c>
      <c r="AE20" s="417">
        <f t="shared" si="11"/>
        <v>1.0549999999999999</v>
      </c>
      <c r="AF20" s="417">
        <f t="shared" si="11"/>
        <v>1.0549999999999999</v>
      </c>
      <c r="AG20" s="417">
        <f t="shared" si="11"/>
        <v>1.0549999999999999</v>
      </c>
    </row>
    <row r="21" spans="1:34" x14ac:dyDescent="0.25">
      <c r="A21" s="15" t="s">
        <v>439</v>
      </c>
      <c r="B21">
        <f>(D17+D18)*D19*D20</f>
        <v>16943.3</v>
      </c>
      <c r="D21" s="142">
        <f>$B$21</f>
        <v>16943.3</v>
      </c>
      <c r="E21" s="142">
        <f t="shared" ref="E21:AG21" si="12">$B$21</f>
        <v>16943.3</v>
      </c>
      <c r="F21" s="142">
        <f t="shared" si="12"/>
        <v>16943.3</v>
      </c>
      <c r="G21" s="142">
        <f t="shared" si="12"/>
        <v>16943.3</v>
      </c>
      <c r="H21" s="142">
        <f t="shared" si="12"/>
        <v>16943.3</v>
      </c>
      <c r="I21" s="142">
        <f t="shared" si="12"/>
        <v>16943.3</v>
      </c>
      <c r="J21" s="142">
        <f t="shared" si="12"/>
        <v>16943.3</v>
      </c>
      <c r="K21" s="142">
        <f t="shared" si="12"/>
        <v>16943.3</v>
      </c>
      <c r="L21" s="142">
        <f t="shared" si="12"/>
        <v>16943.3</v>
      </c>
      <c r="M21" s="142">
        <f t="shared" si="12"/>
        <v>16943.3</v>
      </c>
      <c r="N21" s="142">
        <f t="shared" si="12"/>
        <v>16943.3</v>
      </c>
      <c r="O21" s="142">
        <f t="shared" si="12"/>
        <v>16943.3</v>
      </c>
      <c r="P21" s="142">
        <f t="shared" si="12"/>
        <v>16943.3</v>
      </c>
      <c r="Q21" s="142">
        <f t="shared" si="12"/>
        <v>16943.3</v>
      </c>
      <c r="R21" s="142">
        <f t="shared" si="12"/>
        <v>16943.3</v>
      </c>
      <c r="S21" s="142">
        <f t="shared" si="12"/>
        <v>16943.3</v>
      </c>
      <c r="T21" s="142">
        <f t="shared" si="12"/>
        <v>16943.3</v>
      </c>
      <c r="U21" s="142">
        <f t="shared" si="12"/>
        <v>16943.3</v>
      </c>
      <c r="V21" s="142">
        <f t="shared" si="12"/>
        <v>16943.3</v>
      </c>
      <c r="W21" s="142">
        <f t="shared" si="12"/>
        <v>16943.3</v>
      </c>
      <c r="X21" s="142">
        <f t="shared" si="12"/>
        <v>16943.3</v>
      </c>
      <c r="Y21" s="142">
        <f t="shared" si="12"/>
        <v>16943.3</v>
      </c>
      <c r="Z21" s="142">
        <f t="shared" si="12"/>
        <v>16943.3</v>
      </c>
      <c r="AA21" s="142">
        <f t="shared" si="12"/>
        <v>16943.3</v>
      </c>
      <c r="AB21" s="142">
        <f t="shared" si="12"/>
        <v>16943.3</v>
      </c>
      <c r="AC21" s="142">
        <f t="shared" si="12"/>
        <v>16943.3</v>
      </c>
      <c r="AD21" s="142">
        <f t="shared" si="12"/>
        <v>16943.3</v>
      </c>
      <c r="AE21" s="142">
        <f t="shared" si="12"/>
        <v>16943.3</v>
      </c>
      <c r="AF21" s="142">
        <f t="shared" si="12"/>
        <v>16943.3</v>
      </c>
      <c r="AG21" s="142">
        <f t="shared" si="12"/>
        <v>16943.3</v>
      </c>
    </row>
    <row r="22" spans="1:34" ht="15.75" x14ac:dyDescent="0.25">
      <c r="A22" s="423"/>
    </row>
    <row r="23" spans="1:34" ht="30" x14ac:dyDescent="0.25">
      <c r="A23" s="418" t="s">
        <v>440</v>
      </c>
      <c r="B23" s="419">
        <v>1.87</v>
      </c>
      <c r="D23" s="420">
        <f>$B$23</f>
        <v>1.87</v>
      </c>
      <c r="E23" s="420">
        <f t="shared" ref="E23:AG23" si="13">$B$23</f>
        <v>1.87</v>
      </c>
      <c r="F23" s="420">
        <f t="shared" si="13"/>
        <v>1.87</v>
      </c>
      <c r="G23" s="420">
        <f t="shared" si="13"/>
        <v>1.87</v>
      </c>
      <c r="H23" s="420">
        <f t="shared" si="13"/>
        <v>1.87</v>
      </c>
      <c r="I23" s="420">
        <f t="shared" si="13"/>
        <v>1.87</v>
      </c>
      <c r="J23" s="420">
        <f t="shared" si="13"/>
        <v>1.87</v>
      </c>
      <c r="K23" s="420">
        <f t="shared" si="13"/>
        <v>1.87</v>
      </c>
      <c r="L23" s="420">
        <f t="shared" si="13"/>
        <v>1.87</v>
      </c>
      <c r="M23" s="420">
        <f t="shared" si="13"/>
        <v>1.87</v>
      </c>
      <c r="N23" s="420">
        <f t="shared" si="13"/>
        <v>1.87</v>
      </c>
      <c r="O23" s="420">
        <f t="shared" si="13"/>
        <v>1.87</v>
      </c>
      <c r="P23" s="420">
        <f t="shared" si="13"/>
        <v>1.87</v>
      </c>
      <c r="Q23" s="420">
        <f t="shared" si="13"/>
        <v>1.87</v>
      </c>
      <c r="R23" s="420">
        <f t="shared" si="13"/>
        <v>1.87</v>
      </c>
      <c r="S23" s="420">
        <f t="shared" si="13"/>
        <v>1.87</v>
      </c>
      <c r="T23" s="420">
        <f t="shared" si="13"/>
        <v>1.87</v>
      </c>
      <c r="U23" s="420">
        <f t="shared" si="13"/>
        <v>1.87</v>
      </c>
      <c r="V23" s="420">
        <f t="shared" si="13"/>
        <v>1.87</v>
      </c>
      <c r="W23" s="420">
        <f t="shared" si="13"/>
        <v>1.87</v>
      </c>
      <c r="X23" s="420">
        <f t="shared" si="13"/>
        <v>1.87</v>
      </c>
      <c r="Y23" s="420">
        <f t="shared" si="13"/>
        <v>1.87</v>
      </c>
      <c r="Z23" s="420">
        <f t="shared" si="13"/>
        <v>1.87</v>
      </c>
      <c r="AA23" s="420">
        <f t="shared" si="13"/>
        <v>1.87</v>
      </c>
      <c r="AB23" s="420">
        <f t="shared" si="13"/>
        <v>1.87</v>
      </c>
      <c r="AC23" s="420">
        <f t="shared" si="13"/>
        <v>1.87</v>
      </c>
      <c r="AD23" s="420">
        <f t="shared" si="13"/>
        <v>1.87</v>
      </c>
      <c r="AE23" s="420">
        <f t="shared" si="13"/>
        <v>1.87</v>
      </c>
      <c r="AF23" s="420">
        <f t="shared" si="13"/>
        <v>1.87</v>
      </c>
      <c r="AG23" s="420">
        <f t="shared" si="13"/>
        <v>1.87</v>
      </c>
    </row>
    <row r="24" spans="1:34" ht="15.75" x14ac:dyDescent="0.25">
      <c r="A24" s="423"/>
    </row>
    <row r="25" spans="1:34" x14ac:dyDescent="0.25">
      <c r="A25" s="13" t="s">
        <v>445</v>
      </c>
      <c r="D25" s="422">
        <f>D21*D23</f>
        <v>31683.971000000001</v>
      </c>
      <c r="E25" s="422">
        <f t="shared" ref="E25:Y25" si="14">E21*E23</f>
        <v>31683.971000000001</v>
      </c>
      <c r="F25" s="422">
        <f t="shared" si="14"/>
        <v>31683.971000000001</v>
      </c>
      <c r="G25" s="422">
        <f t="shared" si="14"/>
        <v>31683.971000000001</v>
      </c>
      <c r="H25" s="422">
        <f t="shared" si="14"/>
        <v>31683.971000000001</v>
      </c>
      <c r="I25" s="422">
        <f t="shared" si="14"/>
        <v>31683.971000000001</v>
      </c>
      <c r="J25" s="422">
        <f t="shared" si="14"/>
        <v>31683.971000000001</v>
      </c>
      <c r="K25" s="422">
        <f t="shared" si="14"/>
        <v>31683.971000000001</v>
      </c>
      <c r="L25" s="422">
        <f t="shared" si="14"/>
        <v>31683.971000000001</v>
      </c>
      <c r="M25" s="422">
        <f t="shared" si="14"/>
        <v>31683.971000000001</v>
      </c>
      <c r="N25" s="422">
        <f t="shared" si="14"/>
        <v>31683.971000000001</v>
      </c>
      <c r="O25" s="422">
        <f t="shared" si="14"/>
        <v>31683.971000000001</v>
      </c>
      <c r="P25" s="422">
        <f t="shared" si="14"/>
        <v>31683.971000000001</v>
      </c>
      <c r="Q25" s="422">
        <f t="shared" si="14"/>
        <v>31683.971000000001</v>
      </c>
      <c r="R25" s="422">
        <f t="shared" si="14"/>
        <v>31683.971000000001</v>
      </c>
      <c r="S25" s="422">
        <f t="shared" si="14"/>
        <v>31683.971000000001</v>
      </c>
      <c r="T25" s="422">
        <f t="shared" si="14"/>
        <v>31683.971000000001</v>
      </c>
      <c r="U25" s="422">
        <f t="shared" si="14"/>
        <v>31683.971000000001</v>
      </c>
      <c r="V25" s="422">
        <f t="shared" si="14"/>
        <v>31683.971000000001</v>
      </c>
      <c r="W25" s="422">
        <f t="shared" si="14"/>
        <v>31683.971000000001</v>
      </c>
      <c r="X25" s="422">
        <f t="shared" si="14"/>
        <v>31683.971000000001</v>
      </c>
      <c r="Y25" s="422">
        <f t="shared" si="14"/>
        <v>31683.971000000001</v>
      </c>
      <c r="Z25" s="422">
        <f>Z21*Z23</f>
        <v>31683.971000000001</v>
      </c>
      <c r="AA25" s="422">
        <f t="shared" ref="AA25:AG25" si="15">AA21*AA23</f>
        <v>31683.971000000001</v>
      </c>
      <c r="AB25" s="422">
        <f t="shared" si="15"/>
        <v>31683.971000000001</v>
      </c>
      <c r="AC25" s="422">
        <f t="shared" si="15"/>
        <v>31683.971000000001</v>
      </c>
      <c r="AD25" s="422">
        <f t="shared" si="15"/>
        <v>31683.971000000001</v>
      </c>
      <c r="AE25" s="422">
        <f t="shared" si="15"/>
        <v>31683.971000000001</v>
      </c>
      <c r="AF25" s="422">
        <f t="shared" si="15"/>
        <v>31683.971000000001</v>
      </c>
      <c r="AG25" s="422">
        <f t="shared" si="15"/>
        <v>31683.971000000001</v>
      </c>
    </row>
    <row r="26" spans="1:34" ht="15.75" x14ac:dyDescent="0.25">
      <c r="A26" s="423"/>
    </row>
    <row r="27" spans="1:34" x14ac:dyDescent="0.25">
      <c r="A27" s="424" t="s">
        <v>446</v>
      </c>
      <c r="B27" s="425"/>
      <c r="C27" s="425"/>
      <c r="D27" s="50">
        <f>D14+D25</f>
        <v>36724.602749999998</v>
      </c>
      <c r="E27" s="50">
        <f t="shared" ref="E27:Y27" si="16">E14+E25</f>
        <v>36724.602749999998</v>
      </c>
      <c r="F27" s="50">
        <f t="shared" si="16"/>
        <v>36724.602749999998</v>
      </c>
      <c r="G27" s="50">
        <f t="shared" si="16"/>
        <v>36724.602749999998</v>
      </c>
      <c r="H27" s="50">
        <f t="shared" si="16"/>
        <v>36724.602749999998</v>
      </c>
      <c r="I27" s="50">
        <f t="shared" si="16"/>
        <v>36724.602749999998</v>
      </c>
      <c r="J27" s="50">
        <f t="shared" si="16"/>
        <v>36724.602749999998</v>
      </c>
      <c r="K27" s="50">
        <f t="shared" si="16"/>
        <v>36724.602749999998</v>
      </c>
      <c r="L27" s="50">
        <f t="shared" si="16"/>
        <v>36724.602749999998</v>
      </c>
      <c r="M27" s="50">
        <f t="shared" si="16"/>
        <v>36724.602749999998</v>
      </c>
      <c r="N27" s="50">
        <f t="shared" si="16"/>
        <v>36724.602749999998</v>
      </c>
      <c r="O27" s="50">
        <f t="shared" si="16"/>
        <v>36724.602749999998</v>
      </c>
      <c r="P27" s="50">
        <f t="shared" si="16"/>
        <v>36724.602749999998</v>
      </c>
      <c r="Q27" s="50">
        <f t="shared" si="16"/>
        <v>36724.602749999998</v>
      </c>
      <c r="R27" s="50">
        <f t="shared" si="16"/>
        <v>36724.602749999998</v>
      </c>
      <c r="S27" s="50">
        <f t="shared" si="16"/>
        <v>36724.602749999998</v>
      </c>
      <c r="T27" s="50">
        <f t="shared" si="16"/>
        <v>36724.602749999998</v>
      </c>
      <c r="U27" s="50">
        <f t="shared" si="16"/>
        <v>36724.602749999998</v>
      </c>
      <c r="V27" s="50">
        <f t="shared" si="16"/>
        <v>36724.602749999998</v>
      </c>
      <c r="W27" s="50">
        <f t="shared" si="16"/>
        <v>36724.602749999998</v>
      </c>
      <c r="X27" s="50">
        <f t="shared" si="16"/>
        <v>36724.602749999998</v>
      </c>
      <c r="Y27" s="50">
        <f t="shared" si="16"/>
        <v>36724.602749999998</v>
      </c>
      <c r="Z27" s="50">
        <f>Z14+Z25</f>
        <v>36724.602749999998</v>
      </c>
      <c r="AA27" s="50">
        <f t="shared" ref="AA27:AG27" si="17">AA14+AA25</f>
        <v>36724.602749999998</v>
      </c>
      <c r="AB27" s="50">
        <f t="shared" si="17"/>
        <v>36724.602749999998</v>
      </c>
      <c r="AC27" s="50">
        <f t="shared" si="17"/>
        <v>36724.602749999998</v>
      </c>
      <c r="AD27" s="50">
        <f t="shared" si="17"/>
        <v>36724.602749999998</v>
      </c>
      <c r="AE27" s="50">
        <f t="shared" si="17"/>
        <v>36724.602749999998</v>
      </c>
      <c r="AF27" s="50">
        <f t="shared" si="17"/>
        <v>36724.602749999998</v>
      </c>
      <c r="AG27" s="50">
        <f t="shared" si="17"/>
        <v>36724.602749999998</v>
      </c>
      <c r="AH27" s="13"/>
    </row>
    <row r="28" spans="1:34" x14ac:dyDescent="0.25">
      <c r="A28" s="22"/>
      <c r="B28" s="15"/>
      <c r="C28" s="15"/>
    </row>
    <row r="29" spans="1:34" x14ac:dyDescent="0.25">
      <c r="A29" s="22"/>
    </row>
    <row r="30" spans="1:34" x14ac:dyDescent="0.25">
      <c r="A30" s="22"/>
      <c r="B30" s="15"/>
      <c r="C30" s="15"/>
    </row>
    <row r="31" spans="1:34" x14ac:dyDescent="0.25">
      <c r="A31" s="22"/>
      <c r="B31" s="426"/>
      <c r="C31" s="42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AC55-8D1B-4940-A310-49075ABAA9A7}">
  <sheetPr>
    <tabColor rgb="FFF4B084"/>
  </sheetPr>
  <dimension ref="A1:F35"/>
  <sheetViews>
    <sheetView workbookViewId="0">
      <selection activeCell="C34" sqref="C34"/>
    </sheetView>
  </sheetViews>
  <sheetFormatPr defaultRowHeight="15" x14ac:dyDescent="0.25"/>
  <cols>
    <col min="1" max="1" width="94.28515625" customWidth="1"/>
    <col min="2" max="2" width="68.42578125" customWidth="1"/>
    <col min="3" max="3" width="48" customWidth="1"/>
  </cols>
  <sheetData>
    <row r="1" spans="1:6" x14ac:dyDescent="0.25">
      <c r="A1" s="631" t="s">
        <v>447</v>
      </c>
      <c r="B1" s="632"/>
      <c r="C1" s="421"/>
      <c r="D1" s="421"/>
      <c r="E1" s="421"/>
      <c r="F1" s="421"/>
    </row>
    <row r="2" spans="1:6" x14ac:dyDescent="0.25">
      <c r="A2" s="427" t="s">
        <v>448</v>
      </c>
      <c r="B2" s="428" t="s">
        <v>449</v>
      </c>
      <c r="C2" s="421"/>
      <c r="D2" s="421"/>
      <c r="E2" s="421"/>
      <c r="F2" s="421"/>
    </row>
    <row r="3" spans="1:6" x14ac:dyDescent="0.25">
      <c r="A3" s="429" t="s">
        <v>450</v>
      </c>
      <c r="B3" s="430">
        <v>0.11</v>
      </c>
      <c r="C3" s="421"/>
      <c r="D3" s="421"/>
      <c r="E3" s="421"/>
      <c r="F3" s="421"/>
    </row>
    <row r="4" spans="1:6" x14ac:dyDescent="0.25">
      <c r="A4" s="429" t="s">
        <v>451</v>
      </c>
      <c r="B4" s="430">
        <v>1.05</v>
      </c>
      <c r="C4" s="421"/>
      <c r="D4" s="421"/>
      <c r="E4" s="431"/>
      <c r="F4" s="421"/>
    </row>
    <row r="5" spans="1:6" x14ac:dyDescent="0.25">
      <c r="A5" s="429" t="s">
        <v>452</v>
      </c>
      <c r="B5" s="430">
        <v>0.09</v>
      </c>
      <c r="C5" s="421"/>
      <c r="D5" s="421"/>
      <c r="E5" s="421"/>
      <c r="F5" s="421"/>
    </row>
    <row r="6" spans="1:6" x14ac:dyDescent="0.25">
      <c r="A6" s="429" t="s">
        <v>453</v>
      </c>
      <c r="B6" s="432">
        <v>8.9999999999999998E-4</v>
      </c>
      <c r="C6" s="421"/>
      <c r="D6" s="421"/>
      <c r="E6" s="421"/>
      <c r="F6" s="421"/>
    </row>
    <row r="7" spans="1:6" x14ac:dyDescent="0.25">
      <c r="A7" s="429"/>
      <c r="B7" s="433"/>
      <c r="C7" s="421"/>
      <c r="D7" s="421"/>
      <c r="E7" s="421"/>
      <c r="F7" s="421"/>
    </row>
    <row r="8" spans="1:6" x14ac:dyDescent="0.25">
      <c r="A8" s="434" t="s">
        <v>448</v>
      </c>
      <c r="B8" s="435" t="s">
        <v>449</v>
      </c>
      <c r="C8" s="421"/>
      <c r="D8" s="421"/>
      <c r="E8" s="421"/>
      <c r="F8" s="421"/>
    </row>
    <row r="9" spans="1:6" x14ac:dyDescent="0.25">
      <c r="A9" s="429" t="s">
        <v>454</v>
      </c>
      <c r="B9" s="430">
        <v>0.18</v>
      </c>
      <c r="C9" s="421"/>
      <c r="D9" s="421"/>
      <c r="E9" s="421"/>
      <c r="F9" s="421"/>
    </row>
    <row r="10" spans="1:6" x14ac:dyDescent="0.25">
      <c r="A10" s="436" t="s">
        <v>455</v>
      </c>
      <c r="B10" s="437">
        <v>0.48</v>
      </c>
      <c r="C10" s="421"/>
      <c r="D10" s="421"/>
      <c r="E10" s="421"/>
      <c r="F10" s="421"/>
    </row>
    <row r="11" spans="1:6" x14ac:dyDescent="0.25">
      <c r="A11" s="421"/>
      <c r="B11" s="438"/>
      <c r="C11" s="421"/>
      <c r="D11" s="421"/>
      <c r="E11" s="421"/>
      <c r="F11" s="421"/>
    </row>
    <row r="12" spans="1:6" x14ac:dyDescent="0.25">
      <c r="A12" s="421"/>
      <c r="B12" s="421"/>
      <c r="C12" s="421"/>
      <c r="D12" s="421"/>
      <c r="E12" s="421"/>
      <c r="F12" s="421"/>
    </row>
    <row r="13" spans="1:6" x14ac:dyDescent="0.25">
      <c r="A13" s="631" t="s">
        <v>456</v>
      </c>
      <c r="B13" s="632"/>
      <c r="C13" s="421"/>
      <c r="D13" s="421"/>
      <c r="E13" s="421"/>
      <c r="F13" s="421"/>
    </row>
    <row r="14" spans="1:6" x14ac:dyDescent="0.25">
      <c r="A14" s="427" t="s">
        <v>457</v>
      </c>
      <c r="B14" s="428" t="s">
        <v>458</v>
      </c>
      <c r="C14" s="421"/>
      <c r="D14" s="421"/>
      <c r="E14" s="421"/>
      <c r="F14" s="421"/>
    </row>
    <row r="15" spans="1:6" x14ac:dyDescent="0.25">
      <c r="A15" s="429" t="s">
        <v>459</v>
      </c>
      <c r="B15" s="430">
        <v>1.49</v>
      </c>
      <c r="C15" s="421"/>
      <c r="D15" s="421"/>
      <c r="E15" s="421"/>
      <c r="F15" s="421"/>
    </row>
    <row r="16" spans="1:6" x14ac:dyDescent="0.25">
      <c r="A16" s="429" t="s">
        <v>460</v>
      </c>
      <c r="B16" s="430">
        <v>1.87</v>
      </c>
      <c r="C16" s="421"/>
      <c r="D16" s="421"/>
      <c r="E16" s="421"/>
      <c r="F16" s="421"/>
    </row>
    <row r="17" spans="1:6" x14ac:dyDescent="0.25">
      <c r="A17" s="429" t="s">
        <v>461</v>
      </c>
      <c r="B17" s="430">
        <v>1.77</v>
      </c>
      <c r="C17" s="421"/>
      <c r="D17" s="421"/>
      <c r="E17" s="421"/>
      <c r="F17" s="421"/>
    </row>
    <row r="18" spans="1:6" x14ac:dyDescent="0.25">
      <c r="A18" s="429" t="s">
        <v>462</v>
      </c>
      <c r="B18" s="430">
        <v>0.28000000000000003</v>
      </c>
      <c r="C18" s="421"/>
      <c r="D18" s="421"/>
      <c r="E18" s="421"/>
      <c r="F18" s="421"/>
    </row>
    <row r="19" spans="1:6" x14ac:dyDescent="0.25">
      <c r="A19" s="436" t="s">
        <v>463</v>
      </c>
      <c r="B19" s="437">
        <v>1.77</v>
      </c>
      <c r="C19" s="421"/>
      <c r="D19" s="421"/>
      <c r="E19" s="421"/>
      <c r="F19" s="421"/>
    </row>
    <row r="20" spans="1:6" x14ac:dyDescent="0.25">
      <c r="A20" s="421"/>
      <c r="B20" s="438"/>
      <c r="C20" s="421"/>
      <c r="D20" s="421"/>
      <c r="E20" s="421"/>
      <c r="F20" s="421"/>
    </row>
    <row r="21" spans="1:6" x14ac:dyDescent="0.25">
      <c r="A21" s="421"/>
      <c r="B21" s="421"/>
      <c r="C21" s="421"/>
      <c r="D21" s="421"/>
      <c r="E21" s="421"/>
      <c r="F21" s="421"/>
    </row>
    <row r="22" spans="1:6" x14ac:dyDescent="0.25">
      <c r="A22" s="633" t="s">
        <v>464</v>
      </c>
      <c r="B22" s="634"/>
      <c r="C22" s="635"/>
      <c r="D22" s="421"/>
      <c r="E22" s="421"/>
      <c r="F22" s="421"/>
    </row>
    <row r="23" spans="1:6" x14ac:dyDescent="0.25">
      <c r="A23" s="434" t="s">
        <v>465</v>
      </c>
      <c r="B23" s="439" t="s">
        <v>466</v>
      </c>
      <c r="C23" s="435" t="s">
        <v>467</v>
      </c>
      <c r="D23" s="421"/>
      <c r="E23" s="421"/>
      <c r="F23" s="421"/>
    </row>
    <row r="24" spans="1:6" x14ac:dyDescent="0.25">
      <c r="A24" s="429" t="s">
        <v>468</v>
      </c>
      <c r="B24" s="440" t="s">
        <v>469</v>
      </c>
      <c r="C24" s="430">
        <v>7.2</v>
      </c>
      <c r="D24" s="421"/>
      <c r="E24" s="421"/>
      <c r="F24" s="421"/>
    </row>
    <row r="25" spans="1:6" x14ac:dyDescent="0.25">
      <c r="A25" s="436" t="s">
        <v>470</v>
      </c>
      <c r="B25" s="441" t="s">
        <v>471</v>
      </c>
      <c r="C25" s="437">
        <v>6.42</v>
      </c>
      <c r="D25" s="421"/>
      <c r="E25" s="421"/>
      <c r="F25" s="421"/>
    </row>
    <row r="26" spans="1:6" x14ac:dyDescent="0.25">
      <c r="A26" s="421"/>
      <c r="B26" s="421"/>
      <c r="C26" s="421"/>
      <c r="D26" s="421"/>
      <c r="E26" s="421"/>
      <c r="F26" s="421"/>
    </row>
    <row r="27" spans="1:6" x14ac:dyDescent="0.25">
      <c r="A27" s="421"/>
      <c r="B27" s="421"/>
      <c r="C27" s="421"/>
      <c r="D27" s="421"/>
      <c r="E27" s="421"/>
      <c r="F27" s="421"/>
    </row>
    <row r="28" spans="1:6" x14ac:dyDescent="0.25">
      <c r="A28" s="421"/>
      <c r="B28" s="421"/>
      <c r="C28" s="421"/>
      <c r="D28" s="421"/>
      <c r="E28" s="421"/>
      <c r="F28" s="421"/>
    </row>
    <row r="29" spans="1:6" x14ac:dyDescent="0.25">
      <c r="A29" s="421"/>
      <c r="B29" s="421"/>
      <c r="C29" s="421"/>
      <c r="D29" s="421"/>
      <c r="E29" s="421"/>
      <c r="F29" s="421"/>
    </row>
    <row r="30" spans="1:6" x14ac:dyDescent="0.25">
      <c r="A30" s="421"/>
      <c r="B30" s="421"/>
      <c r="C30" s="421"/>
      <c r="D30" s="421"/>
      <c r="E30" s="421"/>
      <c r="F30" s="421"/>
    </row>
    <row r="31" spans="1:6" x14ac:dyDescent="0.25">
      <c r="A31" s="421"/>
      <c r="B31" s="421"/>
      <c r="C31" s="421"/>
      <c r="D31" s="421"/>
      <c r="E31" s="421"/>
      <c r="F31" s="421"/>
    </row>
    <row r="32" spans="1:6" x14ac:dyDescent="0.25">
      <c r="A32" s="421"/>
      <c r="B32" s="421"/>
      <c r="C32" s="421"/>
      <c r="D32" s="421"/>
      <c r="E32" s="421"/>
      <c r="F32" s="421"/>
    </row>
    <row r="33" spans="1:6" x14ac:dyDescent="0.25">
      <c r="A33" s="421"/>
      <c r="B33" s="421"/>
      <c r="C33" s="421"/>
      <c r="D33" s="421"/>
      <c r="E33" s="421"/>
      <c r="F33" s="421"/>
    </row>
    <row r="34" spans="1:6" x14ac:dyDescent="0.25">
      <c r="A34" s="421"/>
      <c r="B34" s="421"/>
      <c r="C34" s="421"/>
      <c r="D34" s="421"/>
      <c r="E34" s="421"/>
      <c r="F34" s="421"/>
    </row>
    <row r="35" spans="1:6" x14ac:dyDescent="0.25">
      <c r="A35" s="421"/>
      <c r="B35" s="421"/>
      <c r="C35" s="421"/>
      <c r="D35" s="421"/>
      <c r="E35" s="421"/>
      <c r="F35" s="421"/>
    </row>
  </sheetData>
  <mergeCells count="3">
    <mergeCell ref="A1:B1"/>
    <mergeCell ref="A13:B13"/>
    <mergeCell ref="A22: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E50"/>
  <sheetViews>
    <sheetView zoomScale="80" zoomScaleNormal="80" workbookViewId="0">
      <pane xSplit="1" topLeftCell="AA1" activePane="topRight" state="frozen"/>
      <selection pane="topRight" activeCell="AF1" sqref="AF1:AK1048576"/>
    </sheetView>
  </sheetViews>
  <sheetFormatPr defaultColWidth="8.85546875" defaultRowHeight="15" x14ac:dyDescent="0.25"/>
  <cols>
    <col min="1" max="1" width="45.140625" customWidth="1"/>
    <col min="2" max="2" width="17" customWidth="1"/>
    <col min="3" max="3" width="15.42578125" style="89" customWidth="1"/>
    <col min="4" max="31" width="13.5703125" customWidth="1"/>
  </cols>
  <sheetData>
    <row r="1" spans="1:31" ht="21.75" thickBot="1" x14ac:dyDescent="0.4">
      <c r="A1" s="174" t="s">
        <v>45</v>
      </c>
      <c r="C1" s="86"/>
    </row>
    <row r="2" spans="1:31" ht="15" customHeight="1" thickBot="1" x14ac:dyDescent="0.4">
      <c r="A2" s="174"/>
      <c r="C2" s="86"/>
      <c r="E2" s="582" t="s">
        <v>46</v>
      </c>
      <c r="F2" s="583"/>
      <c r="G2" s="584"/>
      <c r="H2" s="582" t="s">
        <v>3</v>
      </c>
      <c r="I2" s="583"/>
      <c r="J2" s="583"/>
      <c r="K2" s="584"/>
    </row>
    <row r="3" spans="1:31" x14ac:dyDescent="0.25">
      <c r="A3" s="1" t="s">
        <v>6</v>
      </c>
      <c r="B3" s="1"/>
      <c r="C3" s="86"/>
      <c r="F3" s="1">
        <v>1</v>
      </c>
      <c r="G3" s="107">
        <v>2</v>
      </c>
      <c r="H3" s="1">
        <v>3</v>
      </c>
      <c r="I3" s="107">
        <v>4</v>
      </c>
      <c r="J3" s="1">
        <v>5</v>
      </c>
      <c r="K3" s="107">
        <v>6</v>
      </c>
    </row>
    <row r="4" spans="1:31" x14ac:dyDescent="0.25">
      <c r="A4" s="1" t="s">
        <v>47</v>
      </c>
      <c r="B4" s="1"/>
      <c r="C4" s="87"/>
      <c r="D4" s="55"/>
      <c r="L4">
        <v>1</v>
      </c>
      <c r="M4">
        <f t="shared" ref="M4:AE5" si="0">L4+1</f>
        <v>2</v>
      </c>
      <c r="N4">
        <f t="shared" si="0"/>
        <v>3</v>
      </c>
      <c r="O4">
        <f t="shared" si="0"/>
        <v>4</v>
      </c>
      <c r="P4">
        <f t="shared" si="0"/>
        <v>5</v>
      </c>
      <c r="Q4">
        <f t="shared" si="0"/>
        <v>6</v>
      </c>
      <c r="R4">
        <f t="shared" si="0"/>
        <v>7</v>
      </c>
      <c r="S4">
        <f t="shared" si="0"/>
        <v>8</v>
      </c>
      <c r="T4">
        <f t="shared" si="0"/>
        <v>9</v>
      </c>
      <c r="U4">
        <f t="shared" si="0"/>
        <v>10</v>
      </c>
      <c r="V4">
        <f t="shared" si="0"/>
        <v>11</v>
      </c>
      <c r="W4">
        <f t="shared" si="0"/>
        <v>12</v>
      </c>
      <c r="X4">
        <f t="shared" si="0"/>
        <v>13</v>
      </c>
      <c r="Y4">
        <f t="shared" si="0"/>
        <v>14</v>
      </c>
      <c r="Z4">
        <f t="shared" si="0"/>
        <v>15</v>
      </c>
      <c r="AA4">
        <f t="shared" si="0"/>
        <v>16</v>
      </c>
      <c r="AB4">
        <f t="shared" si="0"/>
        <v>17</v>
      </c>
      <c r="AC4">
        <f t="shared" si="0"/>
        <v>18</v>
      </c>
      <c r="AD4">
        <f t="shared" si="0"/>
        <v>19</v>
      </c>
      <c r="AE4">
        <f t="shared" si="0"/>
        <v>20</v>
      </c>
    </row>
    <row r="5" spans="1:31" ht="30" x14ac:dyDescent="0.25">
      <c r="B5" s="188" t="s">
        <v>48</v>
      </c>
      <c r="C5" s="88" t="s">
        <v>49</v>
      </c>
      <c r="D5" s="13">
        <v>2022</v>
      </c>
      <c r="E5" s="13">
        <f>D5+1</f>
        <v>2023</v>
      </c>
      <c r="F5" s="13">
        <f>E5+1</f>
        <v>2024</v>
      </c>
      <c r="G5" s="13">
        <f t="shared" ref="G5:AB5" si="1">F5+1</f>
        <v>2025</v>
      </c>
      <c r="H5" s="13">
        <f t="shared" si="1"/>
        <v>2026</v>
      </c>
      <c r="I5" s="13">
        <f t="shared" si="1"/>
        <v>2027</v>
      </c>
      <c r="J5" s="13">
        <f t="shared" si="1"/>
        <v>2028</v>
      </c>
      <c r="K5" s="13">
        <f t="shared" si="1"/>
        <v>2029</v>
      </c>
      <c r="L5" s="13">
        <f t="shared" si="1"/>
        <v>2030</v>
      </c>
      <c r="M5" s="13">
        <f t="shared" si="1"/>
        <v>2031</v>
      </c>
      <c r="N5" s="13">
        <f t="shared" si="1"/>
        <v>2032</v>
      </c>
      <c r="O5" s="13">
        <f t="shared" si="1"/>
        <v>2033</v>
      </c>
      <c r="P5" s="13">
        <f t="shared" si="1"/>
        <v>2034</v>
      </c>
      <c r="Q5" s="13">
        <f t="shared" si="1"/>
        <v>2035</v>
      </c>
      <c r="R5" s="13">
        <f t="shared" si="1"/>
        <v>2036</v>
      </c>
      <c r="S5" s="13">
        <f t="shared" si="1"/>
        <v>2037</v>
      </c>
      <c r="T5" s="13">
        <f t="shared" si="1"/>
        <v>2038</v>
      </c>
      <c r="U5" s="13">
        <f t="shared" si="1"/>
        <v>2039</v>
      </c>
      <c r="V5" s="13">
        <f t="shared" si="1"/>
        <v>2040</v>
      </c>
      <c r="W5" s="13">
        <f t="shared" si="1"/>
        <v>2041</v>
      </c>
      <c r="X5" s="13">
        <f t="shared" si="1"/>
        <v>2042</v>
      </c>
      <c r="Y5" s="13">
        <f t="shared" si="1"/>
        <v>2043</v>
      </c>
      <c r="Z5" s="13">
        <f t="shared" si="1"/>
        <v>2044</v>
      </c>
      <c r="AA5" s="13">
        <f t="shared" si="1"/>
        <v>2045</v>
      </c>
      <c r="AB5" s="13">
        <f t="shared" si="1"/>
        <v>2046</v>
      </c>
      <c r="AC5" s="13">
        <f t="shared" si="0"/>
        <v>2047</v>
      </c>
      <c r="AD5" s="13">
        <f t="shared" si="0"/>
        <v>2048</v>
      </c>
      <c r="AE5" s="13">
        <f t="shared" si="0"/>
        <v>2049</v>
      </c>
    </row>
    <row r="6" spans="1:31" x14ac:dyDescent="0.25">
      <c r="A6" s="42"/>
      <c r="B6" s="42"/>
    </row>
    <row r="7" spans="1:31" x14ac:dyDescent="0.25">
      <c r="A7" s="56" t="s">
        <v>50</v>
      </c>
      <c r="B7" s="189"/>
      <c r="C7" s="57"/>
    </row>
    <row r="8" spans="1:31" x14ac:dyDescent="0.25">
      <c r="A8" s="56"/>
      <c r="B8" s="189"/>
      <c r="C8" s="57"/>
      <c r="F8" s="89"/>
    </row>
    <row r="9" spans="1:31" x14ac:dyDescent="0.25">
      <c r="A9" s="56" t="s">
        <v>51</v>
      </c>
      <c r="B9" s="189"/>
      <c r="C9" s="86"/>
    </row>
    <row r="10" spans="1:31" x14ac:dyDescent="0.25">
      <c r="A10" s="1" t="s">
        <v>16</v>
      </c>
      <c r="B10" s="82">
        <f>(E$10+F$10+G$10+H$10+I$10+J$10+K$10)*'Look Up Data'!$B$123</f>
        <v>145689279.99999997</v>
      </c>
      <c r="C10" s="36">
        <f>SUM(D10:K10)</f>
        <v>135374496.88480538</v>
      </c>
      <c r="D10" s="82"/>
      <c r="E10" s="82">
        <f>$D$38*0.02/'Look Up Data'!$B$123</f>
        <v>2707489.9376961081</v>
      </c>
      <c r="F10" s="82">
        <f>$D$38*0.04/'Look Up Data'!$B$123</f>
        <v>5414979.8753922163</v>
      </c>
      <c r="G10" s="82">
        <f>$D$38*0.04/'Look Up Data'!$B$123</f>
        <v>5414979.8753922163</v>
      </c>
      <c r="H10" s="96">
        <f>($D$38)*0.9/4/'Look Up Data'!$B$123</f>
        <v>30459261.799081214</v>
      </c>
      <c r="I10" s="96">
        <f>($D$38)*0.9/4/'Look Up Data'!$B$123</f>
        <v>30459261.799081214</v>
      </c>
      <c r="J10" s="96">
        <f>($D$38)*0.9/4/'Look Up Data'!$B$123</f>
        <v>30459261.799081214</v>
      </c>
      <c r="K10" s="96">
        <f>($D$38)*0.9/4/'Look Up Data'!$B$123</f>
        <v>30459261.799081214</v>
      </c>
      <c r="L10" s="96"/>
      <c r="M10" s="96"/>
    </row>
    <row r="11" spans="1:31" x14ac:dyDescent="0.25">
      <c r="A11" s="1" t="s">
        <v>52</v>
      </c>
      <c r="B11" s="82">
        <f>(E$11+F$11+G$11+H$11+I$11+J$11+K$11)*'Look Up Data'!$B$123</f>
        <v>20020720</v>
      </c>
      <c r="C11" s="36">
        <f>SUM(H11:K11)</f>
        <v>16742929.936536202</v>
      </c>
      <c r="E11" s="96">
        <f>$D$39*0.02/'Look Up Data'!$B$123</f>
        <v>372065.10970080452</v>
      </c>
      <c r="F11" s="96">
        <f>$D$39*0.04/'Look Up Data'!$B$123</f>
        <v>744130.21940160904</v>
      </c>
      <c r="G11" s="96">
        <f>$D$39*0.04/'Look Up Data'!$B$123</f>
        <v>744130.21940160904</v>
      </c>
      <c r="H11" s="96">
        <f>$D$39*0.9/4/'Look Up Data'!$B$123</f>
        <v>4185732.4841340506</v>
      </c>
      <c r="I11" s="96">
        <f>$D$39*0.9/4/'Look Up Data'!$B$123</f>
        <v>4185732.4841340506</v>
      </c>
      <c r="J11" s="96">
        <f>$D$39*0.9/4/'Look Up Data'!$B$123</f>
        <v>4185732.4841340506</v>
      </c>
      <c r="K11" s="96">
        <f>$D$39*0.9/4/'Look Up Data'!$B$123</f>
        <v>4185732.4841340506</v>
      </c>
      <c r="L11" s="96"/>
      <c r="M11" s="96"/>
    </row>
    <row r="12" spans="1:31" x14ac:dyDescent="0.25">
      <c r="A12" s="1"/>
      <c r="B12" s="190">
        <f>B10+B11</f>
        <v>165709999.99999997</v>
      </c>
      <c r="C12" s="36"/>
      <c r="F12" s="96"/>
      <c r="G12" s="96"/>
      <c r="H12" s="96"/>
      <c r="I12" s="96"/>
      <c r="J12" s="58"/>
      <c r="K12" s="58"/>
      <c r="L12" s="96"/>
      <c r="M12" s="96"/>
    </row>
    <row r="13" spans="1:31" x14ac:dyDescent="0.25">
      <c r="A13" s="40"/>
      <c r="B13" s="42"/>
      <c r="C13" s="36"/>
      <c r="F13" s="96"/>
      <c r="G13" s="96"/>
      <c r="H13" s="96" t="s">
        <v>12</v>
      </c>
      <c r="I13" s="96"/>
      <c r="J13" s="175" t="s">
        <v>12</v>
      </c>
      <c r="K13" s="96"/>
      <c r="L13" s="58"/>
      <c r="M13" s="58"/>
      <c r="N13" s="51"/>
      <c r="O13" s="51"/>
      <c r="P13" s="51"/>
      <c r="Q13" s="51"/>
      <c r="R13" s="51"/>
      <c r="S13" s="51"/>
      <c r="T13" s="51"/>
      <c r="U13" s="51"/>
      <c r="V13" s="51"/>
      <c r="W13" s="51"/>
      <c r="X13" s="51"/>
      <c r="Y13" s="51"/>
      <c r="Z13" s="51"/>
      <c r="AA13" s="51"/>
      <c r="AB13" s="51"/>
      <c r="AC13" s="51"/>
    </row>
    <row r="14" spans="1:31" x14ac:dyDescent="0.25">
      <c r="A14" s="42"/>
      <c r="J14" t="s">
        <v>12</v>
      </c>
      <c r="AC14" s="82"/>
    </row>
    <row r="15" spans="1:31" x14ac:dyDescent="0.25">
      <c r="B15" s="82"/>
    </row>
    <row r="18" spans="2:11" ht="15.75" thickBot="1" x14ac:dyDescent="0.3"/>
    <row r="19" spans="2:11" ht="15.75" thickBot="1" x14ac:dyDescent="0.3">
      <c r="B19" s="557" t="s">
        <v>53</v>
      </c>
      <c r="C19" s="558"/>
      <c r="D19" s="559"/>
      <c r="F19" s="560" t="s">
        <v>54</v>
      </c>
      <c r="G19" s="561"/>
      <c r="H19" s="561"/>
      <c r="I19" s="561"/>
      <c r="J19" s="561"/>
      <c r="K19" s="562"/>
    </row>
    <row r="20" spans="2:11" ht="15.75" thickBot="1" x14ac:dyDescent="0.3">
      <c r="B20" s="563" t="s">
        <v>55</v>
      </c>
      <c r="C20" s="564"/>
      <c r="D20" s="510" t="s">
        <v>56</v>
      </c>
      <c r="F20" s="565" t="s">
        <v>57</v>
      </c>
      <c r="G20" s="567" t="s">
        <v>58</v>
      </c>
      <c r="H20" s="567" t="s">
        <v>59</v>
      </c>
      <c r="I20" s="569" t="s">
        <v>60</v>
      </c>
      <c r="J20" s="571" t="s">
        <v>61</v>
      </c>
      <c r="K20" s="573" t="s">
        <v>62</v>
      </c>
    </row>
    <row r="21" spans="2:11" ht="15.75" thickBot="1" x14ac:dyDescent="0.3">
      <c r="B21" s="75" t="s">
        <v>63</v>
      </c>
      <c r="C21" s="28"/>
      <c r="D21" s="511"/>
      <c r="F21" s="566"/>
      <c r="G21" s="568"/>
      <c r="H21" s="568"/>
      <c r="I21" s="570"/>
      <c r="J21" s="572"/>
      <c r="K21" s="574"/>
    </row>
    <row r="22" spans="2:11" ht="15.75" thickBot="1" x14ac:dyDescent="0.3">
      <c r="B22" s="512"/>
      <c r="C22" s="513" t="s">
        <v>64</v>
      </c>
      <c r="D22" s="514">
        <v>27500000</v>
      </c>
      <c r="F22" s="515" t="s">
        <v>65</v>
      </c>
      <c r="G22" s="516" t="s">
        <v>66</v>
      </c>
      <c r="H22" s="517" t="s">
        <v>67</v>
      </c>
      <c r="I22" s="518">
        <v>150</v>
      </c>
      <c r="J22" s="519">
        <v>290</v>
      </c>
      <c r="K22" s="519">
        <f>J22*I22</f>
        <v>43500</v>
      </c>
    </row>
    <row r="23" spans="2:11" ht="15.75" thickBot="1" x14ac:dyDescent="0.3">
      <c r="B23" s="520"/>
      <c r="C23" s="521" t="s">
        <v>68</v>
      </c>
      <c r="D23" s="522">
        <v>4000000</v>
      </c>
      <c r="F23" s="515" t="s">
        <v>69</v>
      </c>
      <c r="G23" s="516" t="s">
        <v>70</v>
      </c>
      <c r="H23" s="517" t="s">
        <v>71</v>
      </c>
      <c r="I23" s="518">
        <v>1700</v>
      </c>
      <c r="J23" s="519">
        <v>105</v>
      </c>
      <c r="K23" s="519">
        <f>J23*I23</f>
        <v>178500</v>
      </c>
    </row>
    <row r="24" spans="2:11" ht="15.75" thickBot="1" x14ac:dyDescent="0.3">
      <c r="B24" s="523" t="s">
        <v>72</v>
      </c>
      <c r="C24" s="524"/>
      <c r="D24" s="525"/>
      <c r="F24" s="515" t="s">
        <v>73</v>
      </c>
      <c r="G24" s="516" t="s">
        <v>74</v>
      </c>
      <c r="H24" s="517" t="s">
        <v>75</v>
      </c>
      <c r="I24" s="518">
        <v>2300000</v>
      </c>
      <c r="J24" s="519">
        <v>3</v>
      </c>
      <c r="K24" s="519">
        <f>J24*I24</f>
        <v>6900000</v>
      </c>
    </row>
    <row r="25" spans="2:11" ht="15.75" thickBot="1" x14ac:dyDescent="0.3">
      <c r="B25" s="512"/>
      <c r="C25" s="526" t="s">
        <v>76</v>
      </c>
      <c r="D25" s="514">
        <v>47400000</v>
      </c>
      <c r="F25" s="515" t="s">
        <v>77</v>
      </c>
      <c r="G25" s="516" t="s">
        <v>78</v>
      </c>
      <c r="H25" s="517" t="s">
        <v>79</v>
      </c>
      <c r="I25" s="575">
        <f>2*5</f>
        <v>10</v>
      </c>
      <c r="J25" s="577">
        <v>2250</v>
      </c>
      <c r="K25" s="577">
        <f>J25*I25</f>
        <v>22500</v>
      </c>
    </row>
    <row r="26" spans="2:11" ht="15.75" thickBot="1" x14ac:dyDescent="0.3">
      <c r="B26" s="520"/>
      <c r="C26" s="527" t="s">
        <v>80</v>
      </c>
      <c r="D26" s="522">
        <v>33900000</v>
      </c>
      <c r="F26" s="515" t="s">
        <v>81</v>
      </c>
      <c r="G26" s="516" t="s">
        <v>82</v>
      </c>
      <c r="H26" s="517" t="s">
        <v>79</v>
      </c>
      <c r="I26" s="576"/>
      <c r="J26" s="578"/>
      <c r="K26" s="578"/>
    </row>
    <row r="27" spans="2:11" ht="15.75" thickBot="1" x14ac:dyDescent="0.3">
      <c r="B27" s="528"/>
      <c r="C27" s="529" t="s">
        <v>83</v>
      </c>
      <c r="D27" s="530">
        <v>20700000</v>
      </c>
      <c r="F27" s="515" t="s">
        <v>84</v>
      </c>
      <c r="G27" s="516" t="s">
        <v>85</v>
      </c>
      <c r="H27" s="517" t="s">
        <v>86</v>
      </c>
      <c r="I27" s="518">
        <v>520</v>
      </c>
      <c r="J27" s="519">
        <v>700</v>
      </c>
      <c r="K27" s="519">
        <f>J27*I27</f>
        <v>364000</v>
      </c>
    </row>
    <row r="28" spans="2:11" ht="15.75" thickBot="1" x14ac:dyDescent="0.3">
      <c r="B28" s="520"/>
      <c r="C28" s="527" t="s">
        <v>87</v>
      </c>
      <c r="D28" s="522">
        <v>13200000</v>
      </c>
      <c r="F28" s="515" t="s">
        <v>88</v>
      </c>
      <c r="G28" s="516" t="s">
        <v>89</v>
      </c>
      <c r="H28" s="517" t="s">
        <v>86</v>
      </c>
      <c r="I28" s="518">
        <v>300</v>
      </c>
      <c r="J28" s="519">
        <v>770</v>
      </c>
      <c r="K28" s="519">
        <f>J28*I28</f>
        <v>231000</v>
      </c>
    </row>
    <row r="29" spans="2:11" ht="15.75" thickBot="1" x14ac:dyDescent="0.3">
      <c r="B29" s="528"/>
      <c r="C29" s="529" t="s">
        <v>90</v>
      </c>
      <c r="D29" s="531">
        <v>2800000</v>
      </c>
      <c r="F29" s="515" t="s">
        <v>91</v>
      </c>
      <c r="G29" s="516" t="s">
        <v>92</v>
      </c>
      <c r="H29" s="517" t="s">
        <v>75</v>
      </c>
      <c r="I29" s="518">
        <f>ROUNDUP((I27+I28)*250,-1)</f>
        <v>205000</v>
      </c>
      <c r="J29" s="519">
        <v>1.9</v>
      </c>
      <c r="K29" s="519">
        <f>J29*I29</f>
        <v>389500</v>
      </c>
    </row>
    <row r="30" spans="2:11" ht="15.75" thickBot="1" x14ac:dyDescent="0.3">
      <c r="B30" s="532" t="s">
        <v>93</v>
      </c>
      <c r="C30" s="78"/>
      <c r="D30" s="533">
        <v>5200000</v>
      </c>
      <c r="F30" s="515" t="s">
        <v>94</v>
      </c>
      <c r="G30" s="516" t="s">
        <v>95</v>
      </c>
      <c r="H30" s="517" t="s">
        <v>71</v>
      </c>
      <c r="I30" s="518">
        <v>100</v>
      </c>
      <c r="J30" s="519">
        <v>2000</v>
      </c>
      <c r="K30" s="519">
        <f>J30*I30</f>
        <v>200000</v>
      </c>
    </row>
    <row r="31" spans="2:11" ht="15.75" thickBot="1" x14ac:dyDescent="0.3">
      <c r="B31" s="528"/>
      <c r="C31" s="534"/>
      <c r="D31" s="530"/>
      <c r="F31" s="515" t="s">
        <v>96</v>
      </c>
      <c r="G31" s="516" t="s">
        <v>97</v>
      </c>
      <c r="H31" s="517" t="s">
        <v>98</v>
      </c>
      <c r="I31" s="535">
        <v>600</v>
      </c>
      <c r="J31" s="519">
        <v>80</v>
      </c>
      <c r="K31" s="519">
        <f>J31*I31</f>
        <v>48000</v>
      </c>
    </row>
    <row r="32" spans="2:11" ht="15.75" thickBot="1" x14ac:dyDescent="0.3">
      <c r="B32" s="536"/>
      <c r="C32" s="78" t="s">
        <v>99</v>
      </c>
      <c r="D32" s="533">
        <v>154700000</v>
      </c>
      <c r="F32" s="515"/>
      <c r="G32" s="516"/>
      <c r="H32" s="517"/>
      <c r="I32" s="535"/>
      <c r="J32" s="519"/>
      <c r="K32" s="519"/>
    </row>
    <row r="33" spans="2:11" ht="15.75" thickBot="1" x14ac:dyDescent="0.3">
      <c r="B33" s="528"/>
      <c r="C33" s="534" t="s">
        <v>100</v>
      </c>
      <c r="D33" s="530">
        <v>11010000</v>
      </c>
      <c r="F33" s="515"/>
      <c r="G33" s="516" t="s">
        <v>101</v>
      </c>
      <c r="H33" s="517"/>
      <c r="I33" s="537"/>
      <c r="J33" s="519"/>
      <c r="K33" s="538">
        <f>SUM(K22:K31)</f>
        <v>8377000</v>
      </c>
    </row>
    <row r="34" spans="2:11" ht="15.75" thickBot="1" x14ac:dyDescent="0.3">
      <c r="B34" s="539"/>
      <c r="C34" s="540" t="s">
        <v>102</v>
      </c>
      <c r="D34" s="541">
        <v>165710000</v>
      </c>
      <c r="F34" s="515"/>
      <c r="G34" s="516" t="s">
        <v>103</v>
      </c>
      <c r="H34" s="517"/>
      <c r="I34" s="537"/>
      <c r="J34" s="519"/>
      <c r="K34" s="538">
        <f>0.1*K33</f>
        <v>837700</v>
      </c>
    </row>
    <row r="35" spans="2:11" ht="15.75" thickBot="1" x14ac:dyDescent="0.3">
      <c r="F35" s="515"/>
      <c r="G35" s="516" t="s">
        <v>12</v>
      </c>
      <c r="H35" s="517"/>
      <c r="I35" s="537"/>
      <c r="J35" s="519"/>
      <c r="K35" s="538">
        <v>4000000</v>
      </c>
    </row>
    <row r="36" spans="2:11" ht="15.75" thickBot="1" x14ac:dyDescent="0.3">
      <c r="F36" s="515"/>
      <c r="G36" s="516" t="s">
        <v>104</v>
      </c>
      <c r="H36" s="517"/>
      <c r="I36" s="537"/>
      <c r="J36" s="519"/>
      <c r="K36" s="542">
        <f>SUM(K33:K35)</f>
        <v>13214700</v>
      </c>
    </row>
    <row r="37" spans="2:11" ht="15.75" thickBot="1" x14ac:dyDescent="0.3">
      <c r="F37" s="579"/>
      <c r="G37" s="580"/>
      <c r="H37" s="580"/>
      <c r="I37" s="580"/>
      <c r="J37" s="580"/>
      <c r="K37" s="581"/>
    </row>
    <row r="38" spans="2:11" ht="15.75" thickBot="1" x14ac:dyDescent="0.3">
      <c r="B38" s="82" t="s">
        <v>105</v>
      </c>
      <c r="D38" s="82">
        <f>D34-K50</f>
        <v>145689280</v>
      </c>
      <c r="F38" s="515" t="s">
        <v>106</v>
      </c>
      <c r="G38" s="516" t="s">
        <v>107</v>
      </c>
      <c r="H38" s="517" t="s">
        <v>67</v>
      </c>
      <c r="I38" s="544">
        <f>20*300*6/9</f>
        <v>4000</v>
      </c>
      <c r="J38" s="519">
        <v>850</v>
      </c>
      <c r="K38" s="519">
        <f t="shared" ref="K38:K44" si="2">J38*I38</f>
        <v>3400000</v>
      </c>
    </row>
    <row r="39" spans="2:11" ht="15.75" thickBot="1" x14ac:dyDescent="0.3">
      <c r="B39" t="s">
        <v>108</v>
      </c>
      <c r="D39" s="76">
        <f>K50</f>
        <v>20020720</v>
      </c>
      <c r="F39" s="515"/>
      <c r="G39" s="516" t="s">
        <v>109</v>
      </c>
      <c r="H39" s="517" t="s">
        <v>71</v>
      </c>
      <c r="I39" s="544">
        <v>2000</v>
      </c>
      <c r="J39" s="519">
        <v>122</v>
      </c>
      <c r="K39" s="519">
        <f t="shared" si="2"/>
        <v>244000</v>
      </c>
    </row>
    <row r="40" spans="2:11" ht="15.75" thickBot="1" x14ac:dyDescent="0.3">
      <c r="F40" s="515"/>
      <c r="G40" s="516" t="s">
        <v>110</v>
      </c>
      <c r="H40" s="517" t="s">
        <v>71</v>
      </c>
      <c r="I40" s="544">
        <v>500</v>
      </c>
      <c r="J40" s="519">
        <v>1300</v>
      </c>
      <c r="K40" s="519">
        <f t="shared" si="2"/>
        <v>650000</v>
      </c>
    </row>
    <row r="41" spans="2:11" ht="15.75" thickBot="1" x14ac:dyDescent="0.3">
      <c r="F41" s="515"/>
      <c r="G41" s="516" t="s">
        <v>111</v>
      </c>
      <c r="H41" s="517" t="s">
        <v>71</v>
      </c>
      <c r="I41" s="544">
        <v>800</v>
      </c>
      <c r="J41" s="519">
        <v>122</v>
      </c>
      <c r="K41" s="519">
        <f t="shared" si="2"/>
        <v>97600</v>
      </c>
    </row>
    <row r="42" spans="2:11" ht="15.75" thickBot="1" x14ac:dyDescent="0.3">
      <c r="D42" s="82">
        <f>D38+D39</f>
        <v>165710000</v>
      </c>
      <c r="F42" s="515"/>
      <c r="G42" s="516" t="s">
        <v>112</v>
      </c>
      <c r="H42" s="517" t="s">
        <v>71</v>
      </c>
      <c r="I42" s="544">
        <v>500</v>
      </c>
      <c r="J42" s="519">
        <v>1300</v>
      </c>
      <c r="K42" s="519">
        <f t="shared" si="2"/>
        <v>650000</v>
      </c>
    </row>
    <row r="43" spans="2:11" ht="15.75" thickBot="1" x14ac:dyDescent="0.3">
      <c r="F43" s="515"/>
      <c r="G43" s="516" t="s">
        <v>113</v>
      </c>
      <c r="H43" s="517" t="s">
        <v>71</v>
      </c>
      <c r="I43" s="544">
        <v>900</v>
      </c>
      <c r="J43" s="519">
        <v>122</v>
      </c>
      <c r="K43" s="519">
        <f t="shared" si="2"/>
        <v>109800</v>
      </c>
    </row>
    <row r="44" spans="2:11" ht="15.75" thickBot="1" x14ac:dyDescent="0.3">
      <c r="F44" s="515" t="s">
        <v>114</v>
      </c>
      <c r="G44" s="516" t="s">
        <v>115</v>
      </c>
      <c r="H44" s="517" t="s">
        <v>71</v>
      </c>
      <c r="I44" s="544">
        <f>I39+I41</f>
        <v>2800</v>
      </c>
      <c r="J44" s="519">
        <v>30</v>
      </c>
      <c r="K44" s="519">
        <f t="shared" si="2"/>
        <v>84000</v>
      </c>
    </row>
    <row r="45" spans="2:11" ht="15.75" thickBot="1" x14ac:dyDescent="0.3">
      <c r="F45" s="515"/>
      <c r="G45" s="516"/>
      <c r="H45" s="517"/>
      <c r="I45" s="537"/>
      <c r="J45" s="519"/>
      <c r="K45" s="545"/>
    </row>
    <row r="46" spans="2:11" ht="15.75" thickBot="1" x14ac:dyDescent="0.3">
      <c r="F46" s="515"/>
      <c r="G46" s="516" t="s">
        <v>101</v>
      </c>
      <c r="H46" s="517"/>
      <c r="I46" s="537"/>
      <c r="J46" s="519"/>
      <c r="K46" s="538">
        <f>SUM(K38:K44)</f>
        <v>5235400</v>
      </c>
    </row>
    <row r="47" spans="2:11" ht="15.75" thickBot="1" x14ac:dyDescent="0.3">
      <c r="F47" s="515"/>
      <c r="G47" s="516" t="s">
        <v>116</v>
      </c>
      <c r="H47" s="517"/>
      <c r="I47" s="537"/>
      <c r="J47" s="519"/>
      <c r="K47" s="538">
        <f>0.3*K46</f>
        <v>1570620</v>
      </c>
    </row>
    <row r="48" spans="2:11" ht="15.75" thickBot="1" x14ac:dyDescent="0.3">
      <c r="F48" s="515"/>
      <c r="G48" s="516" t="s">
        <v>117</v>
      </c>
      <c r="H48" s="517"/>
      <c r="I48" s="537"/>
      <c r="J48" s="519"/>
      <c r="K48" s="542">
        <f>K47+K46</f>
        <v>6806020</v>
      </c>
    </row>
    <row r="49" spans="6:11" ht="15.75" thickBot="1" x14ac:dyDescent="0.3">
      <c r="F49" s="546"/>
      <c r="G49" s="547"/>
      <c r="H49" s="543"/>
      <c r="I49" s="548"/>
      <c r="J49" s="549"/>
      <c r="K49" s="550"/>
    </row>
    <row r="50" spans="6:11" ht="15.75" thickBot="1" x14ac:dyDescent="0.3">
      <c r="F50" s="515"/>
      <c r="G50" s="516" t="s">
        <v>118</v>
      </c>
      <c r="H50" s="517"/>
      <c r="I50" s="537"/>
      <c r="J50" s="519"/>
      <c r="K50" s="542">
        <f>K48+K36</f>
        <v>20020720</v>
      </c>
    </row>
  </sheetData>
  <mergeCells count="15">
    <mergeCell ref="I25:I26"/>
    <mergeCell ref="J25:J26"/>
    <mergeCell ref="K25:K26"/>
    <mergeCell ref="F37:K37"/>
    <mergeCell ref="H2:K2"/>
    <mergeCell ref="E2:G2"/>
    <mergeCell ref="B19:D19"/>
    <mergeCell ref="F19:K19"/>
    <mergeCell ref="B20:C20"/>
    <mergeCell ref="F20:F21"/>
    <mergeCell ref="G20:G21"/>
    <mergeCell ref="H20:H21"/>
    <mergeCell ref="I20:I21"/>
    <mergeCell ref="J20:J21"/>
    <mergeCell ref="K20:K21"/>
  </mergeCells>
  <pageMargins left="0.7" right="0.7" top="0.75" bottom="0.75" header="0.3" footer="0.3"/>
  <pageSetup paperSize="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8818-7C64-43E3-BB20-B7FD02182BAA}">
  <sheetPr>
    <tabColor rgb="FFF4B084"/>
  </sheetPr>
  <dimension ref="A1:G31"/>
  <sheetViews>
    <sheetView workbookViewId="0"/>
  </sheetViews>
  <sheetFormatPr defaultRowHeight="15" x14ac:dyDescent="0.25"/>
  <cols>
    <col min="1" max="1" width="25.140625" customWidth="1"/>
  </cols>
  <sheetData>
    <row r="1" spans="1:6" ht="45" x14ac:dyDescent="0.25">
      <c r="A1" s="442" t="s">
        <v>472</v>
      </c>
      <c r="B1" s="443" t="s">
        <v>386</v>
      </c>
      <c r="C1" s="443" t="s">
        <v>387</v>
      </c>
      <c r="D1" s="443" t="s">
        <v>388</v>
      </c>
      <c r="E1" s="443" t="s">
        <v>389</v>
      </c>
      <c r="F1" s="443" t="s">
        <v>390</v>
      </c>
    </row>
    <row r="2" spans="1:6" x14ac:dyDescent="0.25">
      <c r="A2" t="s">
        <v>473</v>
      </c>
      <c r="B2" s="444">
        <v>230</v>
      </c>
      <c r="C2" s="444">
        <v>279</v>
      </c>
      <c r="D2" s="444">
        <v>149</v>
      </c>
      <c r="E2" s="444">
        <v>149</v>
      </c>
      <c r="F2" s="444">
        <v>8</v>
      </c>
    </row>
    <row r="3" spans="1:6" x14ac:dyDescent="0.25">
      <c r="A3" t="s">
        <v>474</v>
      </c>
      <c r="B3" s="444">
        <v>383</v>
      </c>
      <c r="C3" s="444">
        <v>231</v>
      </c>
      <c r="D3" s="444">
        <v>98</v>
      </c>
      <c r="E3" s="444">
        <v>290</v>
      </c>
      <c r="F3" s="444">
        <v>14</v>
      </c>
    </row>
    <row r="4" spans="1:6" x14ac:dyDescent="0.25">
      <c r="A4" t="s">
        <v>475</v>
      </c>
      <c r="B4" s="444">
        <v>396</v>
      </c>
      <c r="C4" s="444">
        <v>255</v>
      </c>
      <c r="D4" s="444">
        <v>25</v>
      </c>
      <c r="E4" s="444">
        <v>247</v>
      </c>
      <c r="F4" s="444">
        <v>39</v>
      </c>
    </row>
    <row r="5" spans="1:6" x14ac:dyDescent="0.25">
      <c r="A5" t="s">
        <v>476</v>
      </c>
      <c r="B5" s="444">
        <v>322</v>
      </c>
      <c r="C5" s="444">
        <v>355</v>
      </c>
      <c r="D5" s="444">
        <v>58</v>
      </c>
      <c r="E5" s="444">
        <v>384</v>
      </c>
      <c r="F5" s="444">
        <v>14</v>
      </c>
    </row>
    <row r="6" spans="1:6" x14ac:dyDescent="0.25">
      <c r="A6" t="s">
        <v>477</v>
      </c>
      <c r="B6" s="444">
        <v>222</v>
      </c>
      <c r="C6" s="444">
        <v>341</v>
      </c>
      <c r="D6" s="444">
        <v>80</v>
      </c>
      <c r="E6" s="444">
        <v>352</v>
      </c>
      <c r="F6" s="444">
        <v>162</v>
      </c>
    </row>
    <row r="7" spans="1:6" x14ac:dyDescent="0.25">
      <c r="A7" t="s">
        <v>478</v>
      </c>
      <c r="B7" s="444">
        <v>141</v>
      </c>
      <c r="C7" s="444">
        <v>308</v>
      </c>
      <c r="D7" s="444">
        <v>117</v>
      </c>
      <c r="E7" s="444">
        <v>154</v>
      </c>
      <c r="F7" s="444">
        <v>603</v>
      </c>
    </row>
    <row r="8" spans="1:6" x14ac:dyDescent="0.25">
      <c r="A8" t="s">
        <v>479</v>
      </c>
      <c r="B8" s="444">
        <v>415</v>
      </c>
      <c r="C8" s="444">
        <v>210</v>
      </c>
      <c r="D8" s="444">
        <v>78</v>
      </c>
      <c r="E8" s="444">
        <v>233</v>
      </c>
      <c r="F8" s="444">
        <v>218</v>
      </c>
    </row>
    <row r="9" spans="1:6" x14ac:dyDescent="0.25">
      <c r="A9" t="s">
        <v>480</v>
      </c>
      <c r="B9" s="444">
        <v>375</v>
      </c>
      <c r="C9" s="444">
        <v>87</v>
      </c>
      <c r="D9" s="444">
        <v>50</v>
      </c>
      <c r="E9" s="444">
        <v>125</v>
      </c>
      <c r="F9" s="444">
        <v>104</v>
      </c>
    </row>
    <row r="10" spans="1:6" x14ac:dyDescent="0.25">
      <c r="A10" t="s">
        <v>481</v>
      </c>
      <c r="B10" s="444">
        <v>170</v>
      </c>
      <c r="C10" s="444">
        <v>288</v>
      </c>
      <c r="D10" s="444">
        <v>51</v>
      </c>
      <c r="E10" s="444">
        <v>150</v>
      </c>
      <c r="F10" s="444">
        <v>56</v>
      </c>
    </row>
    <row r="11" spans="1:6" x14ac:dyDescent="0.25">
      <c r="A11" t="s">
        <v>482</v>
      </c>
      <c r="B11" s="444">
        <v>76</v>
      </c>
      <c r="C11" s="444">
        <v>120</v>
      </c>
      <c r="D11" s="444">
        <v>94</v>
      </c>
      <c r="E11" s="444">
        <v>253</v>
      </c>
      <c r="F11" s="444">
        <v>40</v>
      </c>
    </row>
    <row r="12" spans="1:6" x14ac:dyDescent="0.25">
      <c r="A12" t="s">
        <v>483</v>
      </c>
      <c r="B12" s="444">
        <v>389</v>
      </c>
      <c r="C12" s="444">
        <v>131</v>
      </c>
      <c r="D12" s="444">
        <v>69</v>
      </c>
      <c r="E12" s="444">
        <v>222</v>
      </c>
      <c r="F12" s="444">
        <v>39</v>
      </c>
    </row>
    <row r="13" spans="1:6" x14ac:dyDescent="0.25">
      <c r="A13" t="s">
        <v>484</v>
      </c>
      <c r="B13" s="444">
        <v>413</v>
      </c>
      <c r="C13" s="444">
        <v>381</v>
      </c>
      <c r="D13" s="444">
        <v>117</v>
      </c>
      <c r="E13" s="444">
        <v>458</v>
      </c>
      <c r="F13" s="444">
        <v>82</v>
      </c>
    </row>
    <row r="14" spans="1:6" x14ac:dyDescent="0.25">
      <c r="A14" t="s">
        <v>485</v>
      </c>
      <c r="B14" s="444">
        <v>98</v>
      </c>
      <c r="C14" s="444">
        <v>104</v>
      </c>
      <c r="D14" s="444">
        <v>86</v>
      </c>
      <c r="E14" s="444">
        <v>290</v>
      </c>
      <c r="F14" s="444">
        <v>72</v>
      </c>
    </row>
    <row r="15" spans="1:6" x14ac:dyDescent="0.25">
      <c r="A15" t="s">
        <v>486</v>
      </c>
      <c r="B15" s="444">
        <v>99</v>
      </c>
      <c r="C15" s="444">
        <v>47</v>
      </c>
      <c r="D15" s="444">
        <v>37</v>
      </c>
      <c r="E15" s="444">
        <v>187</v>
      </c>
      <c r="F15" s="444">
        <v>53</v>
      </c>
    </row>
    <row r="16" spans="1:6" x14ac:dyDescent="0.25">
      <c r="A16" t="s">
        <v>487</v>
      </c>
      <c r="B16" s="444">
        <v>67</v>
      </c>
      <c r="C16" s="444">
        <v>27</v>
      </c>
      <c r="D16" s="444">
        <v>27</v>
      </c>
      <c r="E16" s="444">
        <v>95</v>
      </c>
      <c r="F16" s="444">
        <v>237</v>
      </c>
    </row>
    <row r="17" spans="1:7" x14ac:dyDescent="0.25">
      <c r="A17" t="s">
        <v>488</v>
      </c>
      <c r="B17" s="444">
        <v>12</v>
      </c>
      <c r="C17" s="444">
        <v>28</v>
      </c>
      <c r="D17" s="444">
        <v>30</v>
      </c>
      <c r="E17" s="444">
        <v>91</v>
      </c>
      <c r="F17" s="444">
        <v>11</v>
      </c>
    </row>
    <row r="18" spans="1:7" x14ac:dyDescent="0.25">
      <c r="A18" t="s">
        <v>489</v>
      </c>
      <c r="B18" s="444">
        <v>6</v>
      </c>
      <c r="C18" s="444">
        <v>10</v>
      </c>
      <c r="D18" s="444">
        <v>5</v>
      </c>
      <c r="E18" s="444">
        <v>38</v>
      </c>
      <c r="F18" s="444">
        <v>5</v>
      </c>
    </row>
    <row r="19" spans="1:7" x14ac:dyDescent="0.25">
      <c r="A19" t="s">
        <v>490</v>
      </c>
      <c r="B19" s="444">
        <v>14</v>
      </c>
      <c r="C19" s="444">
        <v>84</v>
      </c>
      <c r="D19" s="444">
        <v>29</v>
      </c>
      <c r="E19" s="444">
        <v>68</v>
      </c>
      <c r="F19" s="444">
        <v>5</v>
      </c>
    </row>
    <row r="20" spans="1:7" x14ac:dyDescent="0.25">
      <c r="A20" s="13" t="s">
        <v>491</v>
      </c>
      <c r="B20" s="445">
        <v>3828</v>
      </c>
      <c r="C20" s="445">
        <v>3286</v>
      </c>
      <c r="D20" s="445">
        <v>1200</v>
      </c>
      <c r="E20" s="445">
        <v>3786</v>
      </c>
      <c r="F20" s="445">
        <v>1762</v>
      </c>
      <c r="G20" s="13"/>
    </row>
    <row r="21" spans="1:7" x14ac:dyDescent="0.25">
      <c r="B21" s="22"/>
      <c r="C21" s="22"/>
      <c r="D21" s="22"/>
      <c r="E21" s="22"/>
      <c r="F21" s="22"/>
    </row>
    <row r="22" spans="1:7" x14ac:dyDescent="0.25">
      <c r="A22" s="30" t="s">
        <v>471</v>
      </c>
      <c r="B22" s="446">
        <f>SUM(B6:B14)</f>
        <v>2299</v>
      </c>
      <c r="C22" s="446">
        <f t="shared" ref="C22:F22" si="0">SUM(C6:C14)</f>
        <v>1970</v>
      </c>
      <c r="D22" s="446">
        <f t="shared" si="0"/>
        <v>742</v>
      </c>
      <c r="E22" s="446">
        <f t="shared" si="0"/>
        <v>2237</v>
      </c>
      <c r="F22" s="446">
        <f t="shared" si="0"/>
        <v>1376</v>
      </c>
    </row>
    <row r="23" spans="1:7" x14ac:dyDescent="0.25">
      <c r="A23" s="30" t="s">
        <v>469</v>
      </c>
      <c r="B23" s="446">
        <f>SUM(B6:B16)</f>
        <v>2465</v>
      </c>
      <c r="C23" s="446">
        <f t="shared" ref="C23:F23" si="1">SUM(C6:C16)</f>
        <v>2044</v>
      </c>
      <c r="D23" s="446">
        <f t="shared" si="1"/>
        <v>806</v>
      </c>
      <c r="E23" s="446">
        <f t="shared" si="1"/>
        <v>2519</v>
      </c>
      <c r="F23" s="446">
        <f t="shared" si="1"/>
        <v>1666</v>
      </c>
    </row>
    <row r="24" spans="1:7" x14ac:dyDescent="0.25">
      <c r="B24" s="22"/>
      <c r="C24" s="22"/>
      <c r="D24" s="22"/>
      <c r="E24" s="22"/>
      <c r="F24" s="22"/>
    </row>
    <row r="25" spans="1:7" x14ac:dyDescent="0.25">
      <c r="B25" s="22"/>
      <c r="C25" s="22"/>
      <c r="D25" s="22"/>
      <c r="E25" s="22"/>
      <c r="F25" s="22"/>
    </row>
    <row r="26" spans="1:7" x14ac:dyDescent="0.25">
      <c r="B26" s="22"/>
      <c r="C26" s="22"/>
      <c r="D26" s="22"/>
      <c r="E26" s="22"/>
      <c r="F26" s="22"/>
    </row>
    <row r="27" spans="1:7" x14ac:dyDescent="0.25">
      <c r="B27" s="22"/>
      <c r="C27" s="22"/>
      <c r="D27" s="22"/>
      <c r="E27" s="22"/>
      <c r="F27" s="22"/>
    </row>
    <row r="28" spans="1:7" x14ac:dyDescent="0.25">
      <c r="B28" s="22"/>
      <c r="C28" s="22"/>
      <c r="D28" s="22"/>
      <c r="E28" s="22"/>
      <c r="F28" s="22"/>
    </row>
    <row r="29" spans="1:7" x14ac:dyDescent="0.25">
      <c r="B29" s="22"/>
      <c r="C29" s="22"/>
      <c r="D29" s="22"/>
      <c r="E29" s="22"/>
      <c r="F29" s="22"/>
    </row>
    <row r="30" spans="1:7" x14ac:dyDescent="0.25">
      <c r="B30" s="22"/>
      <c r="C30" s="22"/>
      <c r="D30" s="22"/>
      <c r="E30" s="22"/>
      <c r="F30" s="22"/>
    </row>
    <row r="31" spans="1:7" x14ac:dyDescent="0.25">
      <c r="B31" s="22"/>
      <c r="C31" s="22"/>
      <c r="D31" s="22"/>
      <c r="E31" s="22"/>
      <c r="F31" s="2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CCC2-19E8-465E-873B-1CDC7C6DA2FA}">
  <sheetPr>
    <tabColor rgb="FFF4B084"/>
  </sheetPr>
  <dimension ref="A1:G7"/>
  <sheetViews>
    <sheetView workbookViewId="0">
      <selection activeCell="L11" sqref="L11"/>
    </sheetView>
  </sheetViews>
  <sheetFormatPr defaultRowHeight="15" x14ac:dyDescent="0.25"/>
  <cols>
    <col min="1" max="1" width="45.7109375" customWidth="1"/>
    <col min="2" max="8" width="12.7109375" customWidth="1"/>
  </cols>
  <sheetData>
    <row r="1" spans="1:7" ht="45" x14ac:dyDescent="0.25">
      <c r="A1" s="442" t="s">
        <v>472</v>
      </c>
      <c r="B1" s="509" t="s">
        <v>386</v>
      </c>
      <c r="C1" s="509" t="s">
        <v>387</v>
      </c>
      <c r="D1" s="509" t="s">
        <v>388</v>
      </c>
      <c r="E1" s="509" t="s">
        <v>389</v>
      </c>
      <c r="F1" s="509" t="s">
        <v>390</v>
      </c>
      <c r="G1" s="509" t="s">
        <v>492</v>
      </c>
    </row>
    <row r="2" spans="1:7" x14ac:dyDescent="0.25">
      <c r="A2" t="s">
        <v>493</v>
      </c>
      <c r="B2" s="447">
        <v>0.94799999999999995</v>
      </c>
      <c r="C2" s="447">
        <v>0.9</v>
      </c>
      <c r="D2" s="447">
        <v>0.80100000000000005</v>
      </c>
      <c r="E2" s="447">
        <v>0.93100000000000005</v>
      </c>
      <c r="F2" s="447">
        <v>0.86699999999999999</v>
      </c>
      <c r="G2" s="447">
        <v>0.91300000000000003</v>
      </c>
    </row>
    <row r="3" spans="1:7" x14ac:dyDescent="0.25">
      <c r="A3" t="s">
        <v>494</v>
      </c>
      <c r="B3" s="447">
        <v>0</v>
      </c>
      <c r="C3" s="447">
        <v>3.4000000000000002E-2</v>
      </c>
      <c r="D3" s="447">
        <v>6.0000000000000001E-3</v>
      </c>
      <c r="E3" s="447">
        <v>3.5999999999999997E-2</v>
      </c>
      <c r="F3" s="447">
        <v>7.0000000000000001E-3</v>
      </c>
      <c r="G3" s="447">
        <v>5.0000000000000001E-3</v>
      </c>
    </row>
    <row r="4" spans="1:7" x14ac:dyDescent="0.25">
      <c r="A4" s="30" t="s">
        <v>495</v>
      </c>
      <c r="B4" s="448">
        <v>2.7E-2</v>
      </c>
      <c r="C4" s="448">
        <v>4.0000000000000001E-3</v>
      </c>
      <c r="D4" s="448">
        <v>8.9999999999999993E-3</v>
      </c>
      <c r="E4" s="448">
        <v>1.0999999999999999E-2</v>
      </c>
      <c r="F4" s="448">
        <v>8.6999999999999994E-2</v>
      </c>
      <c r="G4" s="448">
        <v>1.6E-2</v>
      </c>
    </row>
    <row r="5" spans="1:7" x14ac:dyDescent="0.25">
      <c r="A5" s="30" t="s">
        <v>496</v>
      </c>
      <c r="B5" s="448">
        <v>0</v>
      </c>
      <c r="C5" s="448">
        <v>0</v>
      </c>
      <c r="D5" s="448">
        <v>0</v>
      </c>
      <c r="E5" s="448">
        <v>0</v>
      </c>
      <c r="F5" s="448">
        <v>5.0000000000000001E-3</v>
      </c>
      <c r="G5" s="448">
        <v>3.0000000000000001E-3</v>
      </c>
    </row>
    <row r="6" spans="1:7" x14ac:dyDescent="0.25">
      <c r="A6" t="s">
        <v>497</v>
      </c>
      <c r="B6" s="447">
        <v>1.6E-2</v>
      </c>
      <c r="C6" s="447">
        <v>4.4999999999999998E-2</v>
      </c>
      <c r="D6" s="447">
        <v>0.161</v>
      </c>
      <c r="E6" s="447">
        <v>0</v>
      </c>
      <c r="F6" s="447">
        <v>6.0000000000000001E-3</v>
      </c>
      <c r="G6" s="447">
        <v>1.2E-2</v>
      </c>
    </row>
    <row r="7" spans="1:7" x14ac:dyDescent="0.25">
      <c r="A7" t="s">
        <v>498</v>
      </c>
      <c r="B7" s="447">
        <v>8.9999999999999993E-3</v>
      </c>
      <c r="C7" s="447">
        <v>1.7000000000000001E-2</v>
      </c>
      <c r="D7" s="447">
        <v>2.1999999999999999E-2</v>
      </c>
      <c r="E7" s="447">
        <v>2.1000000000000001E-2</v>
      </c>
      <c r="F7" s="447">
        <v>2.8000000000000001E-2</v>
      </c>
      <c r="G7" s="447">
        <v>5.1999999999999998E-2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D19C-731B-476E-9096-6F88C9BCA0F3}">
  <sheetPr>
    <tabColor rgb="FFF4B084"/>
  </sheetPr>
  <dimension ref="B4:H28"/>
  <sheetViews>
    <sheetView topLeftCell="A11" workbookViewId="0">
      <selection activeCell="L15" sqref="L15"/>
    </sheetView>
  </sheetViews>
  <sheetFormatPr defaultRowHeight="15" x14ac:dyDescent="0.25"/>
  <cols>
    <col min="2" max="2" width="37.28515625" customWidth="1"/>
    <col min="3" max="4" width="10.7109375" customWidth="1"/>
    <col min="6" max="6" width="38.140625" customWidth="1"/>
    <col min="7" max="8" width="10.7109375" customWidth="1"/>
  </cols>
  <sheetData>
    <row r="4" spans="2:8" x14ac:dyDescent="0.25">
      <c r="B4" s="75" t="s">
        <v>499</v>
      </c>
      <c r="C4" s="449"/>
      <c r="D4" s="450"/>
      <c r="E4" s="28"/>
      <c r="F4" s="451" t="s">
        <v>500</v>
      </c>
      <c r="G4" s="449"/>
      <c r="H4" s="452"/>
    </row>
    <row r="5" spans="2:8" x14ac:dyDescent="0.25">
      <c r="B5" s="453" t="s">
        <v>422</v>
      </c>
      <c r="C5" s="216"/>
      <c r="D5" s="454">
        <v>2030</v>
      </c>
      <c r="F5" s="455" t="s">
        <v>422</v>
      </c>
      <c r="G5" s="216"/>
      <c r="H5" s="456">
        <v>2030</v>
      </c>
    </row>
    <row r="6" spans="2:8" x14ac:dyDescent="0.25">
      <c r="B6" s="453"/>
      <c r="C6" s="216"/>
      <c r="D6" s="454"/>
      <c r="F6" s="455"/>
      <c r="G6" s="216"/>
      <c r="H6" s="456"/>
    </row>
    <row r="7" spans="2:8" x14ac:dyDescent="0.25">
      <c r="B7" s="457" t="s">
        <v>436</v>
      </c>
      <c r="C7" s="216"/>
      <c r="D7" s="454"/>
      <c r="F7" s="458" t="s">
        <v>423</v>
      </c>
      <c r="G7" s="216"/>
      <c r="H7" s="456"/>
    </row>
    <row r="8" spans="2:8" x14ac:dyDescent="0.25">
      <c r="B8" s="453" t="s">
        <v>437</v>
      </c>
      <c r="C8" s="216">
        <v>7</v>
      </c>
      <c r="D8" s="454">
        <v>7</v>
      </c>
      <c r="F8" s="459" t="s">
        <v>424</v>
      </c>
      <c r="G8" s="216">
        <v>255</v>
      </c>
      <c r="H8" s="456">
        <v>255</v>
      </c>
    </row>
    <row r="9" spans="2:8" x14ac:dyDescent="0.25">
      <c r="B9" s="453" t="s">
        <v>425</v>
      </c>
      <c r="C9" s="216">
        <v>365</v>
      </c>
      <c r="D9" s="454">
        <v>365</v>
      </c>
      <c r="F9" s="459" t="s">
        <v>425</v>
      </c>
      <c r="G9" s="216">
        <v>365</v>
      </c>
      <c r="H9" s="456">
        <v>365</v>
      </c>
    </row>
    <row r="10" spans="2:8" x14ac:dyDescent="0.25">
      <c r="B10" s="453" t="s">
        <v>438</v>
      </c>
      <c r="C10" s="216">
        <v>1.0549999999999999</v>
      </c>
      <c r="D10" s="454">
        <v>1.0549999999999999</v>
      </c>
      <c r="F10" s="455" t="s">
        <v>426</v>
      </c>
      <c r="G10" s="216">
        <v>0.86</v>
      </c>
      <c r="H10" s="456">
        <v>0.86</v>
      </c>
    </row>
    <row r="11" spans="2:8" x14ac:dyDescent="0.25">
      <c r="B11" s="453" t="s">
        <v>439</v>
      </c>
      <c r="C11" s="460">
        <v>2695.5249999999996</v>
      </c>
      <c r="D11" s="461">
        <v>2695.5249999999996</v>
      </c>
      <c r="F11" s="455" t="s">
        <v>427</v>
      </c>
      <c r="G11" s="462">
        <v>80044.5</v>
      </c>
      <c r="H11" s="463">
        <v>80044.5</v>
      </c>
    </row>
    <row r="12" spans="2:8" x14ac:dyDescent="0.25">
      <c r="B12" s="453"/>
      <c r="C12" s="216"/>
      <c r="D12" s="454"/>
      <c r="F12" s="455"/>
      <c r="G12" s="216"/>
      <c r="H12" s="456"/>
    </row>
    <row r="13" spans="2:8" x14ac:dyDescent="0.25">
      <c r="B13" s="464" t="s">
        <v>440</v>
      </c>
      <c r="C13" s="465">
        <v>1.87</v>
      </c>
      <c r="D13" s="466">
        <v>1.87</v>
      </c>
      <c r="F13" s="467" t="s">
        <v>428</v>
      </c>
      <c r="G13" s="465">
        <v>1.1000000000000001</v>
      </c>
      <c r="H13" s="468">
        <v>1.1000000000000001</v>
      </c>
    </row>
    <row r="14" spans="2:8" x14ac:dyDescent="0.25">
      <c r="B14" s="453"/>
      <c r="C14" s="216"/>
      <c r="D14" s="454"/>
      <c r="F14" s="467"/>
      <c r="G14" s="460"/>
      <c r="H14" s="469"/>
    </row>
    <row r="15" spans="2:8" x14ac:dyDescent="0.25">
      <c r="B15" s="470" t="s">
        <v>441</v>
      </c>
      <c r="C15" s="471"/>
      <c r="D15" s="472">
        <v>5040.6317499999996</v>
      </c>
      <c r="E15" s="13"/>
      <c r="F15" s="473" t="s">
        <v>429</v>
      </c>
      <c r="G15" s="474"/>
      <c r="H15" s="475">
        <v>88048.950000000012</v>
      </c>
    </row>
    <row r="16" spans="2:8" x14ac:dyDescent="0.25">
      <c r="B16" s="453"/>
      <c r="C16" s="216"/>
      <c r="D16" s="454"/>
      <c r="F16" s="455"/>
      <c r="G16" s="216"/>
      <c r="H16" s="456"/>
    </row>
    <row r="17" spans="2:8" x14ac:dyDescent="0.25">
      <c r="B17" s="457" t="s">
        <v>442</v>
      </c>
      <c r="C17" s="216"/>
      <c r="D17" s="454"/>
      <c r="F17" s="476" t="s">
        <v>430</v>
      </c>
      <c r="G17" s="216"/>
      <c r="H17" s="477"/>
    </row>
    <row r="18" spans="2:8" x14ac:dyDescent="0.25">
      <c r="B18" s="453" t="s">
        <v>443</v>
      </c>
      <c r="C18" s="216">
        <v>26</v>
      </c>
      <c r="D18" s="454">
        <v>26</v>
      </c>
      <c r="F18" s="455" t="s">
        <v>431</v>
      </c>
      <c r="G18" s="216">
        <v>152</v>
      </c>
      <c r="H18" s="456">
        <v>152</v>
      </c>
    </row>
    <row r="19" spans="2:8" x14ac:dyDescent="0.25">
      <c r="B19" s="453" t="s">
        <v>444</v>
      </c>
      <c r="C19" s="216">
        <v>18</v>
      </c>
      <c r="D19" s="454">
        <v>18</v>
      </c>
      <c r="F19" s="459" t="s">
        <v>432</v>
      </c>
      <c r="G19" s="216">
        <v>64</v>
      </c>
      <c r="H19" s="456">
        <v>64</v>
      </c>
    </row>
    <row r="20" spans="2:8" x14ac:dyDescent="0.25">
      <c r="B20" s="453" t="s">
        <v>425</v>
      </c>
      <c r="C20" s="216">
        <v>365</v>
      </c>
      <c r="D20" s="454">
        <v>365</v>
      </c>
      <c r="F20" s="455" t="s">
        <v>425</v>
      </c>
      <c r="G20" s="216">
        <v>365</v>
      </c>
      <c r="H20" s="456">
        <v>365</v>
      </c>
    </row>
    <row r="21" spans="2:8" x14ac:dyDescent="0.25">
      <c r="B21" s="453" t="s">
        <v>438</v>
      </c>
      <c r="C21" s="216">
        <v>1.0549999999999999</v>
      </c>
      <c r="D21" s="454">
        <v>1.0549999999999999</v>
      </c>
      <c r="F21" s="455" t="s">
        <v>426</v>
      </c>
      <c r="G21" s="216">
        <v>0.86</v>
      </c>
      <c r="H21" s="478">
        <v>0.86</v>
      </c>
    </row>
    <row r="22" spans="2:8" x14ac:dyDescent="0.25">
      <c r="B22" s="453" t="s">
        <v>439</v>
      </c>
      <c r="C22" s="216">
        <v>16943.3</v>
      </c>
      <c r="D22" s="454">
        <v>16943.3</v>
      </c>
      <c r="F22" s="455" t="s">
        <v>427</v>
      </c>
      <c r="G22" s="462">
        <v>67802.399999999994</v>
      </c>
      <c r="H22" s="463">
        <v>67802.399999999994</v>
      </c>
    </row>
    <row r="23" spans="2:8" x14ac:dyDescent="0.25">
      <c r="B23" s="453"/>
      <c r="C23" s="216"/>
      <c r="D23" s="454"/>
      <c r="F23" s="479"/>
      <c r="H23" s="46"/>
    </row>
    <row r="24" spans="2:8" x14ac:dyDescent="0.25">
      <c r="B24" s="453" t="s">
        <v>440</v>
      </c>
      <c r="C24" s="216">
        <v>1.87</v>
      </c>
      <c r="D24" s="454">
        <v>1.87</v>
      </c>
      <c r="F24" s="467" t="s">
        <v>428</v>
      </c>
      <c r="G24" s="480">
        <v>1.1000000000000001</v>
      </c>
      <c r="H24" s="478">
        <v>1.1000000000000001</v>
      </c>
    </row>
    <row r="25" spans="2:8" x14ac:dyDescent="0.25">
      <c r="B25" s="453"/>
      <c r="C25" s="216"/>
      <c r="D25" s="454"/>
      <c r="F25" s="476"/>
      <c r="G25" s="216"/>
      <c r="H25" s="456"/>
    </row>
    <row r="26" spans="2:8" x14ac:dyDescent="0.25">
      <c r="B26" s="470" t="s">
        <v>445</v>
      </c>
      <c r="C26" s="481"/>
      <c r="D26" s="482">
        <v>31683.971000000001</v>
      </c>
      <c r="E26" s="82"/>
      <c r="F26" s="483" t="s">
        <v>433</v>
      </c>
      <c r="G26" s="484"/>
      <c r="H26" s="485">
        <v>74582.64</v>
      </c>
    </row>
    <row r="27" spans="2:8" x14ac:dyDescent="0.25">
      <c r="B27" s="39"/>
      <c r="D27" s="486"/>
      <c r="E27" s="82"/>
      <c r="F27" s="487"/>
      <c r="G27" s="488"/>
      <c r="H27" s="489"/>
    </row>
    <row r="28" spans="2:8" x14ac:dyDescent="0.25">
      <c r="B28" s="490" t="s">
        <v>446</v>
      </c>
      <c r="C28" s="491"/>
      <c r="D28" s="492">
        <v>36724.602749999998</v>
      </c>
      <c r="E28" s="493"/>
      <c r="F28" s="494" t="s">
        <v>434</v>
      </c>
      <c r="G28" s="495"/>
      <c r="H28" s="496">
        <f>H15+H26</f>
        <v>162631.59000000003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CBA6-855A-4233-B6C7-54A672EA0F09}">
  <dimension ref="A1"/>
  <sheetViews>
    <sheetView workbookViewId="0"/>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6CCC-855B-4F77-8948-5C6EEB6C5C79}">
  <sheetPr>
    <tabColor rgb="FFFFC000"/>
  </sheetPr>
  <dimension ref="A1:D8"/>
  <sheetViews>
    <sheetView zoomScale="75" zoomScaleNormal="75" workbookViewId="0">
      <selection activeCell="K15" sqref="K15"/>
    </sheetView>
  </sheetViews>
  <sheetFormatPr defaultRowHeight="15" x14ac:dyDescent="0.25"/>
  <cols>
    <col min="1" max="1" width="23.7109375" bestFit="1" customWidth="1"/>
    <col min="2" max="2" width="25.7109375" customWidth="1"/>
    <col min="3" max="3" width="13.85546875" customWidth="1"/>
  </cols>
  <sheetData>
    <row r="1" spans="1:4" x14ac:dyDescent="0.25">
      <c r="A1" s="13" t="s">
        <v>501</v>
      </c>
    </row>
    <row r="3" spans="1:4" x14ac:dyDescent="0.25">
      <c r="A3" s="93"/>
      <c r="B3" s="2"/>
      <c r="C3" s="2"/>
      <c r="D3" s="95"/>
    </row>
    <row r="4" spans="1:4" x14ac:dyDescent="0.25">
      <c r="A4" s="93"/>
      <c r="B4" s="2"/>
      <c r="C4" s="2"/>
      <c r="D4" s="95"/>
    </row>
    <row r="5" spans="1:4" x14ac:dyDescent="0.25">
      <c r="A5" s="93"/>
      <c r="B5" s="2"/>
      <c r="C5" s="2"/>
      <c r="D5" s="95"/>
    </row>
    <row r="6" spans="1:4" x14ac:dyDescent="0.25">
      <c r="A6" s="93"/>
      <c r="B6" s="2"/>
      <c r="C6" s="2"/>
      <c r="D6" s="95"/>
    </row>
    <row r="7" spans="1:4" x14ac:dyDescent="0.25">
      <c r="B7" s="2"/>
      <c r="C7" s="2"/>
      <c r="D7" s="2"/>
    </row>
    <row r="8" spans="1:4" x14ac:dyDescent="0.25">
      <c r="B8" s="94"/>
    </row>
  </sheetData>
  <pageMargins left="0.7" right="0.7" top="0.75" bottom="0.75" header="0.3" footer="0.3"/>
  <pageSetup paperSize="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1D-37A4-499A-A7AF-B415233758D2}">
  <sheetPr>
    <tabColor theme="9" tint="0.39997558519241921"/>
  </sheetPr>
  <dimension ref="A1:AC94"/>
  <sheetViews>
    <sheetView topLeftCell="S1" zoomScale="75" zoomScaleNormal="75" workbookViewId="0">
      <selection activeCell="N26" sqref="N26"/>
    </sheetView>
  </sheetViews>
  <sheetFormatPr defaultColWidth="8.7109375" defaultRowHeight="15" x14ac:dyDescent="0.25"/>
  <cols>
    <col min="1" max="1" width="39.28515625" customWidth="1"/>
    <col min="2" max="6" width="15.5703125" customWidth="1"/>
    <col min="7" max="8" width="15.5703125" hidden="1" customWidth="1"/>
    <col min="9" max="9" width="13.5703125" customWidth="1"/>
    <col min="10" max="10" width="15" customWidth="1"/>
    <col min="11" max="29" width="12.5703125" customWidth="1"/>
  </cols>
  <sheetData>
    <row r="1" spans="1:29" ht="21" x14ac:dyDescent="0.35">
      <c r="A1" s="174" t="s">
        <v>119</v>
      </c>
    </row>
    <row r="3" spans="1:29" x14ac:dyDescent="0.25">
      <c r="A3" s="1" t="s">
        <v>47</v>
      </c>
      <c r="B3" s="55"/>
      <c r="J3">
        <v>1</v>
      </c>
      <c r="K3">
        <f t="shared" ref="K3:AA4" si="0">J3+1</f>
        <v>2</v>
      </c>
      <c r="L3">
        <f t="shared" si="0"/>
        <v>3</v>
      </c>
      <c r="M3">
        <f t="shared" si="0"/>
        <v>4</v>
      </c>
      <c r="N3">
        <f t="shared" si="0"/>
        <v>5</v>
      </c>
      <c r="O3">
        <f t="shared" si="0"/>
        <v>6</v>
      </c>
      <c r="P3">
        <f t="shared" si="0"/>
        <v>7</v>
      </c>
      <c r="Q3">
        <f t="shared" si="0"/>
        <v>8</v>
      </c>
      <c r="R3">
        <f t="shared" si="0"/>
        <v>9</v>
      </c>
      <c r="S3">
        <f t="shared" si="0"/>
        <v>10</v>
      </c>
      <c r="T3">
        <f t="shared" si="0"/>
        <v>11</v>
      </c>
      <c r="U3">
        <f t="shared" si="0"/>
        <v>12</v>
      </c>
      <c r="V3">
        <f t="shared" si="0"/>
        <v>13</v>
      </c>
      <c r="W3">
        <f t="shared" si="0"/>
        <v>14</v>
      </c>
      <c r="X3">
        <f t="shared" si="0"/>
        <v>15</v>
      </c>
      <c r="Y3">
        <f t="shared" si="0"/>
        <v>16</v>
      </c>
      <c r="Z3">
        <f t="shared" si="0"/>
        <v>17</v>
      </c>
      <c r="AA3">
        <f t="shared" si="0"/>
        <v>18</v>
      </c>
      <c r="AB3">
        <f t="shared" ref="AB3:AB4" si="1">AA3+1</f>
        <v>19</v>
      </c>
      <c r="AC3">
        <f t="shared" ref="AC3:AC4" si="2">AB3+1</f>
        <v>20</v>
      </c>
    </row>
    <row r="4" spans="1:29" x14ac:dyDescent="0.25">
      <c r="B4">
        <v>2020</v>
      </c>
      <c r="C4">
        <f t="shared" ref="C4:Z4" si="3">B4+1</f>
        <v>2021</v>
      </c>
      <c r="D4">
        <f>C4+1</f>
        <v>2022</v>
      </c>
      <c r="E4">
        <f t="shared" si="3"/>
        <v>2023</v>
      </c>
      <c r="F4">
        <f t="shared" si="3"/>
        <v>2024</v>
      </c>
      <c r="G4">
        <f t="shared" si="3"/>
        <v>2025</v>
      </c>
      <c r="H4">
        <f t="shared" si="3"/>
        <v>2026</v>
      </c>
      <c r="I4">
        <f t="shared" si="3"/>
        <v>2027</v>
      </c>
      <c r="J4">
        <f t="shared" si="3"/>
        <v>2028</v>
      </c>
      <c r="K4">
        <f t="shared" si="3"/>
        <v>2029</v>
      </c>
      <c r="L4">
        <f t="shared" si="3"/>
        <v>2030</v>
      </c>
      <c r="M4">
        <f t="shared" si="3"/>
        <v>2031</v>
      </c>
      <c r="N4">
        <f t="shared" si="3"/>
        <v>2032</v>
      </c>
      <c r="O4">
        <f t="shared" si="3"/>
        <v>2033</v>
      </c>
      <c r="P4">
        <f t="shared" si="3"/>
        <v>2034</v>
      </c>
      <c r="Q4">
        <f t="shared" si="3"/>
        <v>2035</v>
      </c>
      <c r="R4">
        <f t="shared" si="3"/>
        <v>2036</v>
      </c>
      <c r="S4">
        <f t="shared" si="3"/>
        <v>2037</v>
      </c>
      <c r="T4">
        <f t="shared" si="3"/>
        <v>2038</v>
      </c>
      <c r="U4">
        <f t="shared" si="3"/>
        <v>2039</v>
      </c>
      <c r="V4">
        <f t="shared" si="3"/>
        <v>2040</v>
      </c>
      <c r="W4">
        <f t="shared" si="3"/>
        <v>2041</v>
      </c>
      <c r="X4">
        <f t="shared" si="3"/>
        <v>2042</v>
      </c>
      <c r="Y4">
        <f t="shared" si="3"/>
        <v>2043</v>
      </c>
      <c r="Z4">
        <f t="shared" si="3"/>
        <v>2044</v>
      </c>
      <c r="AA4">
        <f t="shared" si="0"/>
        <v>2045</v>
      </c>
      <c r="AB4">
        <f t="shared" si="1"/>
        <v>2046</v>
      </c>
      <c r="AC4">
        <f t="shared" si="2"/>
        <v>2047</v>
      </c>
    </row>
    <row r="5" spans="1:29" ht="15.75" x14ac:dyDescent="0.25">
      <c r="A5" s="91"/>
      <c r="B5" s="61"/>
    </row>
    <row r="6" spans="1:29" x14ac:dyDescent="0.25">
      <c r="A6" s="13" t="s">
        <v>120</v>
      </c>
      <c r="B6" s="59"/>
      <c r="H6" s="82"/>
      <c r="I6" s="82"/>
      <c r="J6" s="82"/>
      <c r="K6" s="82"/>
      <c r="L6" s="82"/>
      <c r="M6" s="82"/>
      <c r="N6" s="82"/>
      <c r="O6" s="82"/>
      <c r="P6" s="82"/>
      <c r="Q6" s="82"/>
      <c r="R6" s="82"/>
      <c r="S6" s="82"/>
      <c r="T6" s="82"/>
      <c r="U6" s="82"/>
      <c r="V6" s="82"/>
      <c r="W6" s="82"/>
      <c r="X6" s="82"/>
      <c r="Y6" s="82"/>
      <c r="Z6" s="82"/>
      <c r="AA6" s="82"/>
      <c r="AB6" s="82"/>
      <c r="AC6" s="82"/>
    </row>
    <row r="7" spans="1:29" hidden="1" x14ac:dyDescent="0.25">
      <c r="A7" s="1" t="s">
        <v>121</v>
      </c>
      <c r="B7" s="59"/>
      <c r="F7" s="82">
        <v>5000</v>
      </c>
      <c r="G7" s="82"/>
      <c r="H7" s="82"/>
      <c r="I7" s="82"/>
      <c r="J7" s="82"/>
      <c r="K7" s="82"/>
      <c r="L7" s="82"/>
      <c r="M7" s="82"/>
      <c r="N7" s="82"/>
      <c r="O7" s="82"/>
      <c r="P7" s="82"/>
      <c r="Q7" s="82"/>
      <c r="R7" s="82"/>
      <c r="S7" s="82"/>
      <c r="T7" s="82"/>
      <c r="U7" s="82"/>
      <c r="V7" s="82"/>
      <c r="W7" s="82"/>
      <c r="X7" s="82"/>
      <c r="Y7" s="82"/>
      <c r="Z7" s="82"/>
      <c r="AA7" s="82"/>
      <c r="AB7" s="82"/>
      <c r="AC7" s="82"/>
    </row>
    <row r="8" spans="1:29" x14ac:dyDescent="0.25">
      <c r="A8" s="1" t="s">
        <v>122</v>
      </c>
      <c r="B8" s="191">
        <v>84100</v>
      </c>
      <c r="C8" s="96">
        <v>50000</v>
      </c>
      <c r="D8" s="82">
        <v>4500</v>
      </c>
      <c r="F8" s="82"/>
      <c r="G8" s="82"/>
    </row>
    <row r="9" spans="1:29" x14ac:dyDescent="0.25">
      <c r="A9" s="1" t="s">
        <v>123</v>
      </c>
      <c r="B9" s="59"/>
      <c r="F9" s="103"/>
      <c r="G9" s="82"/>
      <c r="H9" s="82">
        <v>2000000</v>
      </c>
      <c r="I9" s="82"/>
      <c r="J9" s="82"/>
      <c r="K9" s="82"/>
      <c r="L9" s="82"/>
      <c r="M9" s="82"/>
      <c r="N9" s="82"/>
      <c r="O9" s="82"/>
      <c r="P9" s="82"/>
      <c r="Q9" s="82"/>
      <c r="R9" s="82"/>
      <c r="S9" s="82"/>
      <c r="T9" s="82"/>
      <c r="U9" s="82"/>
      <c r="V9" s="82">
        <v>3000000</v>
      </c>
      <c r="W9" s="82">
        <v>150000</v>
      </c>
      <c r="X9" s="82">
        <v>150000</v>
      </c>
      <c r="Y9" s="82">
        <v>150000</v>
      </c>
      <c r="Z9" s="82">
        <v>150000</v>
      </c>
      <c r="AA9" s="82">
        <v>150000</v>
      </c>
      <c r="AB9" s="82">
        <v>150000</v>
      </c>
      <c r="AC9" s="82">
        <v>150000</v>
      </c>
    </row>
    <row r="10" spans="1:29" x14ac:dyDescent="0.25">
      <c r="A10" s="13" t="s">
        <v>51</v>
      </c>
      <c r="B10" s="60"/>
      <c r="F10" s="82"/>
      <c r="G10" s="82"/>
      <c r="H10" s="82"/>
      <c r="I10" s="82"/>
      <c r="J10" s="82"/>
      <c r="K10" s="82"/>
      <c r="L10" s="82"/>
      <c r="M10" s="82"/>
      <c r="N10" s="82"/>
      <c r="O10" s="82"/>
      <c r="P10" s="82"/>
      <c r="Q10" s="82"/>
      <c r="R10" s="82"/>
      <c r="S10" s="82"/>
      <c r="T10" s="82"/>
      <c r="U10" s="82"/>
      <c r="V10" s="82"/>
      <c r="W10" s="82"/>
      <c r="X10" s="82"/>
      <c r="Y10" s="82"/>
      <c r="Z10" s="82"/>
      <c r="AA10" s="82"/>
      <c r="AB10" s="82"/>
      <c r="AC10" s="82"/>
    </row>
    <row r="11" spans="1:29" hidden="1" x14ac:dyDescent="0.25">
      <c r="A11" s="1" t="s">
        <v>121</v>
      </c>
      <c r="F11" s="82"/>
      <c r="G11" s="82"/>
      <c r="H11" s="82"/>
      <c r="I11" s="82"/>
      <c r="J11" s="82"/>
      <c r="K11" s="82"/>
      <c r="L11" s="82"/>
      <c r="M11" s="82"/>
      <c r="N11" s="82"/>
      <c r="O11" s="82"/>
      <c r="P11" s="82"/>
      <c r="Q11" s="82"/>
      <c r="R11" s="82"/>
      <c r="S11" s="82"/>
      <c r="T11" s="82"/>
      <c r="U11" s="82"/>
      <c r="V11" s="82"/>
      <c r="W11" s="82"/>
      <c r="X11" s="82"/>
      <c r="Y11" s="82"/>
      <c r="Z11" s="82"/>
      <c r="AA11" s="82"/>
      <c r="AB11" s="82"/>
      <c r="AC11" s="82"/>
    </row>
    <row r="12" spans="1:29" x14ac:dyDescent="0.25">
      <c r="A12" s="1" t="s">
        <v>123</v>
      </c>
      <c r="F12" s="82"/>
      <c r="G12" s="82"/>
      <c r="H12" s="82"/>
      <c r="I12" s="82"/>
      <c r="J12" s="82"/>
      <c r="K12" s="82"/>
      <c r="L12" s="82"/>
      <c r="M12" s="82"/>
      <c r="N12" s="82"/>
      <c r="O12" s="82"/>
      <c r="P12" s="82"/>
      <c r="Q12" s="82"/>
      <c r="R12" s="82"/>
      <c r="S12" s="82"/>
      <c r="T12" s="82"/>
      <c r="U12" s="82"/>
      <c r="V12" s="82"/>
      <c r="W12" s="82"/>
      <c r="X12" s="82"/>
      <c r="Y12" s="82"/>
      <c r="Z12" s="82"/>
      <c r="AA12" s="82"/>
      <c r="AB12" s="82"/>
      <c r="AC12" s="82"/>
    </row>
    <row r="13" spans="1:29" x14ac:dyDescent="0.25">
      <c r="A13" s="13" t="s">
        <v>124</v>
      </c>
      <c r="F13" s="82"/>
      <c r="G13" s="82"/>
      <c r="H13" s="82"/>
      <c r="I13" s="82"/>
      <c r="J13" s="82"/>
      <c r="K13" s="82"/>
      <c r="L13" s="82"/>
      <c r="M13" s="82"/>
      <c r="N13" s="82"/>
      <c r="O13" s="82"/>
      <c r="P13" s="82"/>
      <c r="Q13" s="82"/>
      <c r="R13" s="82"/>
      <c r="S13" s="82"/>
      <c r="T13" s="82"/>
      <c r="U13" s="82"/>
      <c r="V13" s="82"/>
      <c r="W13" s="82"/>
      <c r="X13" s="82"/>
      <c r="Y13" s="82"/>
      <c r="Z13" s="82"/>
      <c r="AA13" s="82"/>
      <c r="AB13" s="82"/>
      <c r="AC13" s="82"/>
    </row>
    <row r="14" spans="1:29" x14ac:dyDescent="0.25">
      <c r="A14" s="1" t="s">
        <v>122</v>
      </c>
      <c r="B14" s="82">
        <f>B8</f>
        <v>84100</v>
      </c>
      <c r="C14" s="82">
        <f t="shared" ref="C14:AC14" si="4">C8</f>
        <v>50000</v>
      </c>
      <c r="D14" s="82">
        <f t="shared" si="4"/>
        <v>4500</v>
      </c>
      <c r="E14" s="82">
        <f t="shared" si="4"/>
        <v>0</v>
      </c>
      <c r="F14" s="82">
        <f t="shared" si="4"/>
        <v>0</v>
      </c>
      <c r="G14" s="82">
        <f t="shared" si="4"/>
        <v>0</v>
      </c>
      <c r="H14" s="82">
        <f t="shared" si="4"/>
        <v>0</v>
      </c>
      <c r="I14" s="82">
        <f t="shared" si="4"/>
        <v>0</v>
      </c>
      <c r="J14" s="82">
        <f t="shared" si="4"/>
        <v>0</v>
      </c>
      <c r="K14" s="82">
        <f t="shared" si="4"/>
        <v>0</v>
      </c>
      <c r="L14" s="82">
        <f t="shared" si="4"/>
        <v>0</v>
      </c>
      <c r="M14" s="82">
        <f t="shared" si="4"/>
        <v>0</v>
      </c>
      <c r="N14" s="82">
        <f t="shared" si="4"/>
        <v>0</v>
      </c>
      <c r="O14" s="82">
        <f t="shared" si="4"/>
        <v>0</v>
      </c>
      <c r="P14" s="82">
        <f t="shared" si="4"/>
        <v>0</v>
      </c>
      <c r="Q14" s="82">
        <f t="shared" si="4"/>
        <v>0</v>
      </c>
      <c r="R14" s="82">
        <f t="shared" si="4"/>
        <v>0</v>
      </c>
      <c r="S14" s="82">
        <f t="shared" si="4"/>
        <v>0</v>
      </c>
      <c r="T14" s="82">
        <f t="shared" si="4"/>
        <v>0</v>
      </c>
      <c r="U14" s="82">
        <f t="shared" si="4"/>
        <v>0</v>
      </c>
      <c r="V14" s="82">
        <f t="shared" si="4"/>
        <v>0</v>
      </c>
      <c r="W14" s="82">
        <f t="shared" si="4"/>
        <v>0</v>
      </c>
      <c r="X14" s="82">
        <f t="shared" si="4"/>
        <v>0</v>
      </c>
      <c r="Y14" s="82">
        <f t="shared" si="4"/>
        <v>0</v>
      </c>
      <c r="Z14" s="82">
        <f t="shared" si="4"/>
        <v>0</v>
      </c>
      <c r="AA14" s="82">
        <f t="shared" si="4"/>
        <v>0</v>
      </c>
      <c r="AB14" s="82">
        <f t="shared" si="4"/>
        <v>0</v>
      </c>
      <c r="AC14" s="82">
        <f t="shared" si="4"/>
        <v>0</v>
      </c>
    </row>
    <row r="15" spans="1:29" x14ac:dyDescent="0.25">
      <c r="A15" s="1" t="s">
        <v>123</v>
      </c>
      <c r="B15" s="89">
        <f>B9-B12</f>
        <v>0</v>
      </c>
      <c r="C15" s="82">
        <f t="shared" ref="C15:AC15" si="5">C9-C12</f>
        <v>0</v>
      </c>
      <c r="D15" s="82">
        <f t="shared" si="5"/>
        <v>0</v>
      </c>
      <c r="E15" s="82">
        <f t="shared" si="5"/>
        <v>0</v>
      </c>
      <c r="F15" s="82">
        <f t="shared" si="5"/>
        <v>0</v>
      </c>
      <c r="G15" s="82">
        <f t="shared" si="5"/>
        <v>0</v>
      </c>
      <c r="H15" s="82">
        <f t="shared" si="5"/>
        <v>2000000</v>
      </c>
      <c r="I15" s="82">
        <f t="shared" si="5"/>
        <v>0</v>
      </c>
      <c r="J15" s="82">
        <f t="shared" si="5"/>
        <v>0</v>
      </c>
      <c r="K15" s="82">
        <f t="shared" si="5"/>
        <v>0</v>
      </c>
      <c r="L15" s="82">
        <f t="shared" si="5"/>
        <v>0</v>
      </c>
      <c r="M15" s="82">
        <f t="shared" si="5"/>
        <v>0</v>
      </c>
      <c r="N15" s="82">
        <f t="shared" si="5"/>
        <v>0</v>
      </c>
      <c r="O15" s="82">
        <f t="shared" si="5"/>
        <v>0</v>
      </c>
      <c r="P15" s="82">
        <f t="shared" si="5"/>
        <v>0</v>
      </c>
      <c r="Q15" s="82">
        <f t="shared" si="5"/>
        <v>0</v>
      </c>
      <c r="R15" s="82">
        <f t="shared" si="5"/>
        <v>0</v>
      </c>
      <c r="S15" s="82">
        <f t="shared" si="5"/>
        <v>0</v>
      </c>
      <c r="T15" s="82">
        <f t="shared" si="5"/>
        <v>0</v>
      </c>
      <c r="U15" s="82">
        <f t="shared" si="5"/>
        <v>0</v>
      </c>
      <c r="V15" s="82">
        <f t="shared" si="5"/>
        <v>3000000</v>
      </c>
      <c r="W15" s="82">
        <f t="shared" si="5"/>
        <v>150000</v>
      </c>
      <c r="X15" s="82">
        <f t="shared" si="5"/>
        <v>150000</v>
      </c>
      <c r="Y15" s="82">
        <f t="shared" si="5"/>
        <v>150000</v>
      </c>
      <c r="Z15" s="82">
        <f t="shared" si="5"/>
        <v>150000</v>
      </c>
      <c r="AA15" s="82">
        <f t="shared" si="5"/>
        <v>150000</v>
      </c>
      <c r="AB15" s="82">
        <f t="shared" si="5"/>
        <v>150000</v>
      </c>
      <c r="AC15" s="82">
        <f t="shared" si="5"/>
        <v>150000</v>
      </c>
    </row>
    <row r="16" spans="1:29" x14ac:dyDescent="0.25">
      <c r="A16" s="1" t="s">
        <v>125</v>
      </c>
      <c r="B16" s="82">
        <f>B14+B15</f>
        <v>84100</v>
      </c>
      <c r="C16" s="82">
        <f t="shared" ref="C16:AC16" si="6">C14+C15</f>
        <v>50000</v>
      </c>
      <c r="D16" s="82">
        <f t="shared" si="6"/>
        <v>4500</v>
      </c>
      <c r="E16" s="82">
        <f t="shared" si="6"/>
        <v>0</v>
      </c>
      <c r="F16" s="82">
        <f t="shared" si="6"/>
        <v>0</v>
      </c>
      <c r="G16" s="82">
        <f t="shared" si="6"/>
        <v>0</v>
      </c>
      <c r="H16" s="82">
        <f t="shared" si="6"/>
        <v>2000000</v>
      </c>
      <c r="I16" s="82">
        <f t="shared" si="6"/>
        <v>0</v>
      </c>
      <c r="J16" s="82">
        <f t="shared" si="6"/>
        <v>0</v>
      </c>
      <c r="K16" s="82">
        <f t="shared" si="6"/>
        <v>0</v>
      </c>
      <c r="L16" s="82">
        <f t="shared" si="6"/>
        <v>0</v>
      </c>
      <c r="M16" s="82">
        <f t="shared" si="6"/>
        <v>0</v>
      </c>
      <c r="N16" s="82">
        <f t="shared" si="6"/>
        <v>0</v>
      </c>
      <c r="O16" s="82">
        <f t="shared" si="6"/>
        <v>0</v>
      </c>
      <c r="P16" s="82">
        <f t="shared" si="6"/>
        <v>0</v>
      </c>
      <c r="Q16" s="82">
        <f t="shared" si="6"/>
        <v>0</v>
      </c>
      <c r="R16" s="82">
        <f t="shared" si="6"/>
        <v>0</v>
      </c>
      <c r="S16" s="82">
        <f t="shared" si="6"/>
        <v>0</v>
      </c>
      <c r="T16" s="82">
        <f t="shared" si="6"/>
        <v>0</v>
      </c>
      <c r="U16" s="82">
        <f t="shared" si="6"/>
        <v>0</v>
      </c>
      <c r="V16" s="82">
        <f t="shared" si="6"/>
        <v>3000000</v>
      </c>
      <c r="W16" s="82">
        <f t="shared" si="6"/>
        <v>150000</v>
      </c>
      <c r="X16" s="82">
        <f t="shared" si="6"/>
        <v>150000</v>
      </c>
      <c r="Y16" s="82">
        <f t="shared" si="6"/>
        <v>150000</v>
      </c>
      <c r="Z16" s="82">
        <f t="shared" si="6"/>
        <v>150000</v>
      </c>
      <c r="AA16" s="82">
        <f t="shared" si="6"/>
        <v>150000</v>
      </c>
      <c r="AB16" s="82">
        <f t="shared" si="6"/>
        <v>150000</v>
      </c>
      <c r="AC16" s="82">
        <f t="shared" si="6"/>
        <v>150000</v>
      </c>
    </row>
    <row r="17" spans="2:29" x14ac:dyDescent="0.25">
      <c r="F17" s="82"/>
      <c r="G17" s="82"/>
      <c r="H17" s="82"/>
      <c r="I17" s="82"/>
      <c r="J17" s="82"/>
      <c r="K17" s="82"/>
      <c r="L17" s="82"/>
      <c r="M17" s="82"/>
      <c r="N17" s="82"/>
      <c r="O17" s="82"/>
      <c r="P17" s="82"/>
      <c r="Q17" s="82"/>
      <c r="R17" s="82"/>
      <c r="S17" s="82"/>
      <c r="T17" s="82"/>
      <c r="U17" s="82"/>
      <c r="V17" s="82"/>
      <c r="W17" s="82"/>
      <c r="X17" s="82"/>
      <c r="Y17" s="82"/>
      <c r="Z17" s="82"/>
      <c r="AA17" s="82"/>
      <c r="AB17" s="82"/>
      <c r="AC17" s="82"/>
    </row>
    <row r="24" spans="2:29" ht="15.75" thickBot="1" x14ac:dyDescent="0.3"/>
    <row r="25" spans="2:29" ht="19.5" thickBot="1" x14ac:dyDescent="0.3">
      <c r="B25" s="588" t="s">
        <v>126</v>
      </c>
      <c r="C25" s="590" t="s">
        <v>127</v>
      </c>
      <c r="D25" s="591"/>
      <c r="E25" s="591"/>
      <c r="F25" s="592"/>
      <c r="G25" s="114"/>
      <c r="H25" s="593" t="s">
        <v>128</v>
      </c>
      <c r="I25" s="594"/>
      <c r="J25" s="595"/>
      <c r="L25" s="585"/>
      <c r="M25" s="586"/>
      <c r="N25" s="586"/>
      <c r="O25" s="586"/>
      <c r="P25" s="586"/>
      <c r="Q25" s="364"/>
      <c r="R25" s="587"/>
      <c r="S25" s="587"/>
      <c r="T25" s="587"/>
    </row>
    <row r="26" spans="2:29" ht="45.75" thickBot="1" x14ac:dyDescent="0.3">
      <c r="B26" s="589"/>
      <c r="C26" s="115" t="s">
        <v>129</v>
      </c>
      <c r="D26" s="116" t="s">
        <v>130</v>
      </c>
      <c r="E26" s="116" t="s">
        <v>131</v>
      </c>
      <c r="F26" s="117" t="s">
        <v>132</v>
      </c>
      <c r="G26" s="118"/>
      <c r="H26" s="117"/>
      <c r="I26" s="116" t="s">
        <v>133</v>
      </c>
      <c r="J26" s="117" t="s">
        <v>132</v>
      </c>
      <c r="L26" s="585"/>
      <c r="M26" s="363"/>
      <c r="N26" s="363"/>
      <c r="O26" s="363"/>
      <c r="P26" s="365"/>
      <c r="Q26" s="365"/>
      <c r="R26" s="365"/>
      <c r="S26" s="363"/>
      <c r="T26" s="365"/>
    </row>
    <row r="27" spans="2:29" ht="15.75" hidden="1" thickBot="1" x14ac:dyDescent="0.3">
      <c r="B27" s="119">
        <v>2016</v>
      </c>
      <c r="C27" s="125">
        <v>0</v>
      </c>
      <c r="D27" s="125">
        <v>0</v>
      </c>
      <c r="E27" s="125">
        <v>0</v>
      </c>
      <c r="F27" s="125">
        <f>SUM(C27:E27)</f>
        <v>0</v>
      </c>
      <c r="G27" s="126"/>
      <c r="H27" s="125"/>
      <c r="I27" s="125">
        <v>0</v>
      </c>
      <c r="J27" s="127">
        <f>SUM(H27+I27)</f>
        <v>0</v>
      </c>
      <c r="L27" s="366"/>
      <c r="M27" s="367"/>
      <c r="N27" s="367"/>
      <c r="O27" s="367"/>
      <c r="P27" s="367"/>
      <c r="Q27" s="367"/>
      <c r="R27" s="367"/>
      <c r="S27" s="367"/>
      <c r="T27" s="368"/>
    </row>
    <row r="28" spans="2:29" ht="15.75" hidden="1" thickBot="1" x14ac:dyDescent="0.3">
      <c r="B28" s="119">
        <v>2017</v>
      </c>
      <c r="C28" s="125">
        <v>0</v>
      </c>
      <c r="D28" s="125">
        <v>0</v>
      </c>
      <c r="E28" s="125">
        <v>9252</v>
      </c>
      <c r="F28" s="125">
        <f t="shared" ref="F28:F54" si="7">SUM(C28:E28)</f>
        <v>9252</v>
      </c>
      <c r="G28" s="126"/>
      <c r="H28" s="125"/>
      <c r="I28" s="125">
        <v>0</v>
      </c>
      <c r="J28" s="127">
        <f t="shared" ref="J28:J54" si="8">SUM(H28+I28)</f>
        <v>0</v>
      </c>
      <c r="L28" s="366"/>
      <c r="M28" s="367"/>
      <c r="N28" s="367"/>
      <c r="O28" s="367"/>
      <c r="P28" s="367"/>
      <c r="Q28" s="367"/>
      <c r="R28" s="367"/>
      <c r="S28" s="367"/>
      <c r="T28" s="368"/>
    </row>
    <row r="29" spans="2:29" ht="15.75" hidden="1" thickBot="1" x14ac:dyDescent="0.3">
      <c r="B29" s="119">
        <v>2018</v>
      </c>
      <c r="C29" s="125">
        <v>0</v>
      </c>
      <c r="D29" s="125">
        <v>0</v>
      </c>
      <c r="E29" s="125">
        <v>0</v>
      </c>
      <c r="F29" s="125">
        <f t="shared" si="7"/>
        <v>0</v>
      </c>
      <c r="G29" s="126"/>
      <c r="H29" s="125"/>
      <c r="I29" s="125">
        <v>0</v>
      </c>
      <c r="J29" s="127">
        <f t="shared" si="8"/>
        <v>0</v>
      </c>
      <c r="L29" s="366"/>
      <c r="M29" s="367"/>
      <c r="N29" s="367"/>
      <c r="O29" s="367"/>
      <c r="P29" s="367"/>
      <c r="Q29" s="367"/>
      <c r="R29" s="367"/>
      <c r="S29" s="367"/>
      <c r="T29" s="368"/>
    </row>
    <row r="30" spans="2:29" ht="15.75" hidden="1" thickBot="1" x14ac:dyDescent="0.3">
      <c r="B30" s="119">
        <v>2019</v>
      </c>
      <c r="C30" s="125">
        <v>0</v>
      </c>
      <c r="D30" s="125">
        <v>0</v>
      </c>
      <c r="E30" s="125">
        <v>0</v>
      </c>
      <c r="F30" s="125">
        <f t="shared" si="7"/>
        <v>0</v>
      </c>
      <c r="G30" s="126"/>
      <c r="H30" s="125"/>
      <c r="I30" s="125">
        <v>0</v>
      </c>
      <c r="J30" s="127">
        <f t="shared" si="8"/>
        <v>0</v>
      </c>
      <c r="L30" s="366"/>
      <c r="M30" s="367"/>
      <c r="N30" s="367"/>
      <c r="O30" s="367"/>
      <c r="P30" s="367"/>
      <c r="Q30" s="367"/>
      <c r="R30" s="367"/>
      <c r="S30" s="367"/>
      <c r="T30" s="368"/>
    </row>
    <row r="31" spans="2:29" ht="15.75" thickBot="1" x14ac:dyDescent="0.3">
      <c r="B31" s="119">
        <v>2020</v>
      </c>
      <c r="C31" s="125">
        <v>0</v>
      </c>
      <c r="D31" s="125">
        <v>0</v>
      </c>
      <c r="E31" s="125">
        <v>84087</v>
      </c>
      <c r="F31" s="125">
        <f t="shared" si="7"/>
        <v>84087</v>
      </c>
      <c r="G31" s="126"/>
      <c r="H31" s="125"/>
      <c r="I31" s="125">
        <v>0</v>
      </c>
      <c r="J31" s="127">
        <f t="shared" si="8"/>
        <v>0</v>
      </c>
      <c r="L31" s="366"/>
      <c r="M31" s="367"/>
      <c r="N31" s="367"/>
      <c r="O31" s="367"/>
      <c r="P31" s="367"/>
      <c r="Q31" s="367"/>
      <c r="R31" s="367"/>
      <c r="S31" s="367"/>
      <c r="T31" s="368"/>
    </row>
    <row r="32" spans="2:29" ht="15.75" thickBot="1" x14ac:dyDescent="0.3">
      <c r="B32" s="119">
        <v>2021</v>
      </c>
      <c r="C32" s="125">
        <v>0</v>
      </c>
      <c r="D32" s="125">
        <v>0</v>
      </c>
      <c r="E32" s="125">
        <v>50000</v>
      </c>
      <c r="F32" s="125">
        <f t="shared" si="7"/>
        <v>50000</v>
      </c>
      <c r="G32" s="126"/>
      <c r="H32" s="125"/>
      <c r="I32" s="125">
        <v>0</v>
      </c>
      <c r="J32" s="127">
        <f t="shared" si="8"/>
        <v>0</v>
      </c>
      <c r="L32" s="366"/>
      <c r="M32" s="367"/>
      <c r="N32" s="367"/>
      <c r="O32" s="367"/>
      <c r="P32" s="367"/>
      <c r="Q32" s="367"/>
      <c r="R32" s="367"/>
      <c r="S32" s="367"/>
      <c r="T32" s="368"/>
    </row>
    <row r="33" spans="2:20" ht="15.75" thickBot="1" x14ac:dyDescent="0.3">
      <c r="B33" s="119">
        <v>2022</v>
      </c>
      <c r="C33" s="125">
        <v>5000</v>
      </c>
      <c r="D33" s="125">
        <v>0</v>
      </c>
      <c r="E33" s="125">
        <v>4500</v>
      </c>
      <c r="F33" s="125">
        <f t="shared" si="7"/>
        <v>9500</v>
      </c>
      <c r="G33" s="126"/>
      <c r="H33" s="125"/>
      <c r="I33" s="125">
        <v>0</v>
      </c>
      <c r="J33" s="127">
        <f t="shared" si="8"/>
        <v>0</v>
      </c>
      <c r="L33" s="366"/>
      <c r="M33" s="367"/>
      <c r="N33" s="367"/>
      <c r="O33" s="367"/>
      <c r="P33" s="367"/>
      <c r="Q33" s="367"/>
      <c r="R33" s="367"/>
      <c r="S33" s="367"/>
      <c r="T33" s="368"/>
    </row>
    <row r="34" spans="2:20" ht="15.75" thickBot="1" x14ac:dyDescent="0.3">
      <c r="B34" s="179">
        <v>2023</v>
      </c>
      <c r="C34" s="125">
        <v>5000</v>
      </c>
      <c r="D34" s="125">
        <v>0</v>
      </c>
      <c r="E34" s="125">
        <v>0</v>
      </c>
      <c r="F34" s="125">
        <f t="shared" si="7"/>
        <v>5000</v>
      </c>
      <c r="G34" s="126"/>
      <c r="H34" s="125"/>
      <c r="I34" s="125">
        <v>0</v>
      </c>
      <c r="J34" s="127">
        <f t="shared" si="8"/>
        <v>0</v>
      </c>
      <c r="L34" s="366"/>
      <c r="M34" s="367"/>
      <c r="N34" s="367"/>
      <c r="O34" s="367"/>
      <c r="P34" s="367"/>
      <c r="Q34" s="367"/>
      <c r="R34" s="367"/>
      <c r="S34" s="367"/>
      <c r="T34" s="368"/>
    </row>
    <row r="35" spans="2:20" x14ac:dyDescent="0.25">
      <c r="B35" s="120">
        <v>2024</v>
      </c>
      <c r="C35" s="125">
        <v>5000</v>
      </c>
      <c r="D35" s="125">
        <v>0</v>
      </c>
      <c r="E35" s="125">
        <v>0</v>
      </c>
      <c r="F35" s="125">
        <f t="shared" si="7"/>
        <v>5000</v>
      </c>
      <c r="G35" s="126"/>
      <c r="H35" s="128"/>
      <c r="I35" s="125">
        <v>0</v>
      </c>
      <c r="J35" s="127">
        <f t="shared" si="8"/>
        <v>0</v>
      </c>
      <c r="L35" s="366"/>
      <c r="M35" s="367"/>
      <c r="N35" s="367"/>
      <c r="O35" s="367"/>
      <c r="P35" s="367"/>
      <c r="Q35" s="367"/>
      <c r="R35" s="369"/>
      <c r="S35" s="367"/>
      <c r="T35" s="368"/>
    </row>
    <row r="36" spans="2:20" x14ac:dyDescent="0.25">
      <c r="B36" s="121">
        <v>2025</v>
      </c>
      <c r="C36" s="125">
        <v>5000</v>
      </c>
      <c r="D36" s="125">
        <v>0</v>
      </c>
      <c r="E36" s="129">
        <v>0</v>
      </c>
      <c r="F36" s="125">
        <f t="shared" si="7"/>
        <v>5000</v>
      </c>
      <c r="G36" s="126"/>
      <c r="H36" s="128"/>
      <c r="I36" s="125">
        <v>0</v>
      </c>
      <c r="J36" s="127">
        <f t="shared" si="8"/>
        <v>0</v>
      </c>
      <c r="L36" s="366"/>
      <c r="M36" s="367"/>
      <c r="N36" s="367"/>
      <c r="O36" s="370"/>
      <c r="P36" s="367"/>
      <c r="Q36" s="367"/>
      <c r="R36" s="369"/>
      <c r="S36" s="367"/>
      <c r="T36" s="368"/>
    </row>
    <row r="37" spans="2:20" ht="15.75" thickBot="1" x14ac:dyDescent="0.3">
      <c r="B37" s="122">
        <v>2026</v>
      </c>
      <c r="C37" s="130">
        <v>5000</v>
      </c>
      <c r="D37" s="131">
        <v>2000000</v>
      </c>
      <c r="E37" s="129">
        <v>0</v>
      </c>
      <c r="F37" s="125">
        <f t="shared" si="7"/>
        <v>2005000</v>
      </c>
      <c r="G37" s="126"/>
      <c r="H37" s="128"/>
      <c r="I37" s="125">
        <v>0</v>
      </c>
      <c r="J37" s="127">
        <f t="shared" si="8"/>
        <v>0</v>
      </c>
      <c r="L37" s="366"/>
      <c r="M37" s="371"/>
      <c r="N37" s="372"/>
      <c r="O37" s="370"/>
      <c r="P37" s="367"/>
      <c r="Q37" s="367"/>
      <c r="R37" s="369"/>
      <c r="S37" s="367"/>
      <c r="T37" s="368"/>
    </row>
    <row r="38" spans="2:20" ht="15.75" thickBot="1" x14ac:dyDescent="0.3">
      <c r="B38" s="119">
        <v>2028</v>
      </c>
      <c r="C38" s="125">
        <v>5000</v>
      </c>
      <c r="D38" s="128">
        <v>0</v>
      </c>
      <c r="E38" s="129">
        <v>0</v>
      </c>
      <c r="F38" s="125">
        <f t="shared" si="7"/>
        <v>5000</v>
      </c>
      <c r="G38" s="126"/>
      <c r="H38" s="125"/>
      <c r="I38" s="125">
        <v>5000</v>
      </c>
      <c r="J38" s="127">
        <f t="shared" si="8"/>
        <v>5000</v>
      </c>
      <c r="L38" s="366"/>
      <c r="M38" s="367"/>
      <c r="N38" s="369"/>
      <c r="O38" s="370"/>
      <c r="P38" s="367"/>
      <c r="Q38" s="367"/>
      <c r="R38" s="367"/>
      <c r="S38" s="367"/>
      <c r="T38" s="368"/>
    </row>
    <row r="39" spans="2:20" ht="15.75" thickBot="1" x14ac:dyDescent="0.3">
      <c r="B39" s="119">
        <v>2030</v>
      </c>
      <c r="C39" s="130">
        <v>5000</v>
      </c>
      <c r="D39" s="128">
        <v>0</v>
      </c>
      <c r="E39" s="129">
        <v>0</v>
      </c>
      <c r="F39" s="125">
        <f t="shared" si="7"/>
        <v>5000</v>
      </c>
      <c r="G39" s="126"/>
      <c r="H39" s="125"/>
      <c r="I39" s="125">
        <v>5000</v>
      </c>
      <c r="J39" s="127">
        <f t="shared" si="8"/>
        <v>5000</v>
      </c>
      <c r="L39" s="366"/>
      <c r="M39" s="371"/>
      <c r="N39" s="369"/>
      <c r="O39" s="370"/>
      <c r="P39" s="367"/>
      <c r="Q39" s="367"/>
      <c r="R39" s="367"/>
      <c r="S39" s="367"/>
      <c r="T39" s="368"/>
    </row>
    <row r="40" spans="2:20" ht="15.75" thickBot="1" x14ac:dyDescent="0.3">
      <c r="B40" s="119">
        <v>2032</v>
      </c>
      <c r="C40" s="130">
        <v>5000</v>
      </c>
      <c r="D40" s="128">
        <v>0</v>
      </c>
      <c r="E40" s="129">
        <v>0</v>
      </c>
      <c r="F40" s="125">
        <f t="shared" si="7"/>
        <v>5000</v>
      </c>
      <c r="G40" s="126"/>
      <c r="H40" s="125"/>
      <c r="I40" s="125">
        <v>5000</v>
      </c>
      <c r="J40" s="127">
        <f t="shared" si="8"/>
        <v>5000</v>
      </c>
      <c r="L40" s="366"/>
      <c r="M40" s="371"/>
      <c r="N40" s="369"/>
      <c r="O40" s="370"/>
      <c r="P40" s="367"/>
      <c r="Q40" s="367"/>
      <c r="R40" s="367"/>
      <c r="S40" s="367"/>
      <c r="T40" s="368"/>
    </row>
    <row r="41" spans="2:20" ht="15.75" thickBot="1" x14ac:dyDescent="0.3">
      <c r="B41" s="119">
        <v>2034</v>
      </c>
      <c r="C41" s="130">
        <v>5000</v>
      </c>
      <c r="D41" s="128">
        <v>0</v>
      </c>
      <c r="E41" s="129">
        <v>0</v>
      </c>
      <c r="F41" s="125">
        <f t="shared" si="7"/>
        <v>5000</v>
      </c>
      <c r="G41" s="126"/>
      <c r="H41" s="125"/>
      <c r="I41" s="125">
        <v>5000</v>
      </c>
      <c r="J41" s="127">
        <f t="shared" si="8"/>
        <v>5000</v>
      </c>
      <c r="L41" s="366"/>
      <c r="M41" s="371"/>
      <c r="N41" s="369"/>
      <c r="O41" s="370"/>
      <c r="P41" s="367"/>
      <c r="Q41" s="367"/>
      <c r="R41" s="367"/>
      <c r="S41" s="367"/>
      <c r="T41" s="368"/>
    </row>
    <row r="42" spans="2:20" ht="15.75" thickBot="1" x14ac:dyDescent="0.3">
      <c r="B42" s="119">
        <v>2036</v>
      </c>
      <c r="C42" s="130">
        <v>5000</v>
      </c>
      <c r="D42" s="128">
        <v>0</v>
      </c>
      <c r="E42" s="129">
        <v>0</v>
      </c>
      <c r="F42" s="125">
        <f t="shared" si="7"/>
        <v>5000</v>
      </c>
      <c r="G42" s="126"/>
      <c r="H42" s="125"/>
      <c r="I42" s="125">
        <v>5000</v>
      </c>
      <c r="J42" s="127">
        <f t="shared" si="8"/>
        <v>5000</v>
      </c>
      <c r="L42" s="366"/>
      <c r="M42" s="371"/>
      <c r="N42" s="369"/>
      <c r="O42" s="370"/>
      <c r="P42" s="367"/>
      <c r="Q42" s="367"/>
      <c r="R42" s="367"/>
      <c r="S42" s="367"/>
      <c r="T42" s="368"/>
    </row>
    <row r="43" spans="2:20" ht="15.75" thickBot="1" x14ac:dyDescent="0.3">
      <c r="B43" s="119">
        <v>2038</v>
      </c>
      <c r="C43" s="130">
        <v>5000</v>
      </c>
      <c r="D43" s="128">
        <v>0</v>
      </c>
      <c r="E43" s="129">
        <v>0</v>
      </c>
      <c r="F43" s="125">
        <f t="shared" si="7"/>
        <v>5000</v>
      </c>
      <c r="G43" s="126"/>
      <c r="H43" s="125"/>
      <c r="I43" s="125">
        <v>5000</v>
      </c>
      <c r="J43" s="127">
        <f t="shared" si="8"/>
        <v>5000</v>
      </c>
      <c r="L43" s="366"/>
      <c r="M43" s="371"/>
      <c r="N43" s="369"/>
      <c r="O43" s="370"/>
      <c r="P43" s="367"/>
      <c r="Q43" s="367"/>
      <c r="R43" s="367"/>
      <c r="S43" s="367"/>
      <c r="T43" s="368"/>
    </row>
    <row r="44" spans="2:20" ht="15.75" thickBot="1" x14ac:dyDescent="0.3">
      <c r="B44" s="119">
        <v>2040</v>
      </c>
      <c r="C44" s="130">
        <v>5000</v>
      </c>
      <c r="D44" s="128">
        <v>3000000</v>
      </c>
      <c r="E44" s="129">
        <v>0</v>
      </c>
      <c r="F44" s="125">
        <f t="shared" si="7"/>
        <v>3005000</v>
      </c>
      <c r="G44" s="126"/>
      <c r="H44" s="125"/>
      <c r="I44" s="125">
        <v>5000</v>
      </c>
      <c r="J44" s="127">
        <f t="shared" si="8"/>
        <v>5000</v>
      </c>
      <c r="L44" s="366"/>
      <c r="M44" s="371"/>
      <c r="N44" s="369"/>
      <c r="O44" s="370"/>
      <c r="P44" s="367"/>
      <c r="Q44" s="367"/>
      <c r="R44" s="367"/>
      <c r="S44" s="367"/>
      <c r="T44" s="368"/>
    </row>
    <row r="45" spans="2:20" ht="15.75" thickBot="1" x14ac:dyDescent="0.3">
      <c r="B45" s="119">
        <v>2042</v>
      </c>
      <c r="C45" s="130">
        <v>5000</v>
      </c>
      <c r="D45" s="128">
        <v>0</v>
      </c>
      <c r="E45" s="129">
        <v>0</v>
      </c>
      <c r="F45" s="125">
        <f t="shared" si="7"/>
        <v>5000</v>
      </c>
      <c r="G45" s="126"/>
      <c r="H45" s="125"/>
      <c r="I45" s="125">
        <v>5000</v>
      </c>
      <c r="J45" s="127">
        <f t="shared" si="8"/>
        <v>5000</v>
      </c>
      <c r="L45" s="366"/>
      <c r="M45" s="371"/>
      <c r="N45" s="369"/>
      <c r="O45" s="370"/>
      <c r="P45" s="367"/>
      <c r="Q45" s="367"/>
      <c r="R45" s="367"/>
      <c r="S45" s="367"/>
      <c r="T45" s="368"/>
    </row>
    <row r="46" spans="2:20" ht="15.75" thickBot="1" x14ac:dyDescent="0.3">
      <c r="B46" s="119">
        <v>2044</v>
      </c>
      <c r="C46" s="130">
        <v>5000</v>
      </c>
      <c r="D46" s="128">
        <v>0</v>
      </c>
      <c r="E46" s="129">
        <v>0</v>
      </c>
      <c r="F46" s="125">
        <f t="shared" si="7"/>
        <v>5000</v>
      </c>
      <c r="G46" s="126"/>
      <c r="H46" s="125"/>
      <c r="I46" s="125">
        <v>5000</v>
      </c>
      <c r="J46" s="127">
        <f t="shared" si="8"/>
        <v>5000</v>
      </c>
      <c r="L46" s="366"/>
      <c r="M46" s="371"/>
      <c r="N46" s="369"/>
      <c r="O46" s="370"/>
      <c r="P46" s="367"/>
      <c r="Q46" s="367"/>
      <c r="R46" s="367"/>
      <c r="S46" s="367"/>
      <c r="T46" s="368"/>
    </row>
    <row r="47" spans="2:20" ht="15.75" thickBot="1" x14ac:dyDescent="0.3">
      <c r="B47" s="119">
        <v>2046</v>
      </c>
      <c r="C47" s="130">
        <v>5000</v>
      </c>
      <c r="D47" s="128">
        <v>0</v>
      </c>
      <c r="E47" s="129">
        <v>0</v>
      </c>
      <c r="F47" s="125">
        <f t="shared" si="7"/>
        <v>5000</v>
      </c>
      <c r="G47" s="126"/>
      <c r="H47" s="125"/>
      <c r="I47" s="125">
        <v>5000</v>
      </c>
      <c r="J47" s="127">
        <f t="shared" si="8"/>
        <v>5000</v>
      </c>
      <c r="L47" s="366"/>
      <c r="M47" s="371"/>
      <c r="N47" s="369"/>
      <c r="O47" s="370"/>
      <c r="P47" s="367"/>
      <c r="Q47" s="367"/>
      <c r="R47" s="367"/>
      <c r="S47" s="367"/>
      <c r="T47" s="368"/>
    </row>
    <row r="48" spans="2:20" ht="15.75" thickBot="1" x14ac:dyDescent="0.3">
      <c r="B48" s="119">
        <v>2048</v>
      </c>
      <c r="C48" s="130">
        <v>5000</v>
      </c>
      <c r="D48" s="128">
        <v>0</v>
      </c>
      <c r="E48" s="129">
        <v>0</v>
      </c>
      <c r="F48" s="125">
        <f t="shared" si="7"/>
        <v>5000</v>
      </c>
      <c r="G48" s="126"/>
      <c r="H48" s="125"/>
      <c r="I48" s="125">
        <v>5000</v>
      </c>
      <c r="J48" s="127">
        <f t="shared" si="8"/>
        <v>5000</v>
      </c>
      <c r="L48" s="366"/>
      <c r="M48" s="371"/>
      <c r="N48" s="369"/>
      <c r="O48" s="370"/>
      <c r="P48" s="367"/>
      <c r="Q48" s="367"/>
      <c r="R48" s="367"/>
      <c r="S48" s="367"/>
      <c r="T48" s="368"/>
    </row>
    <row r="49" spans="1:20" ht="15.75" thickBot="1" x14ac:dyDescent="0.3">
      <c r="A49" t="s">
        <v>134</v>
      </c>
      <c r="B49" s="119">
        <v>2050</v>
      </c>
      <c r="C49" s="130">
        <v>5000</v>
      </c>
      <c r="D49" s="128">
        <v>0</v>
      </c>
      <c r="E49" s="125">
        <v>0</v>
      </c>
      <c r="F49" s="125">
        <f t="shared" si="7"/>
        <v>5000</v>
      </c>
      <c r="G49" s="126"/>
      <c r="H49" s="125"/>
      <c r="I49" s="128">
        <v>1000000</v>
      </c>
      <c r="J49" s="127">
        <f t="shared" si="8"/>
        <v>1000000</v>
      </c>
      <c r="L49" s="366"/>
      <c r="M49" s="371"/>
      <c r="N49" s="369"/>
      <c r="O49" s="367"/>
      <c r="P49" s="367"/>
      <c r="Q49" s="367"/>
      <c r="R49" s="367"/>
      <c r="S49" s="369"/>
      <c r="T49" s="368"/>
    </row>
    <row r="50" spans="1:20" ht="15.75" thickBot="1" x14ac:dyDescent="0.3">
      <c r="B50" s="119">
        <v>2052</v>
      </c>
      <c r="C50" s="130">
        <v>5000</v>
      </c>
      <c r="D50" s="128">
        <v>0</v>
      </c>
      <c r="E50" s="125">
        <v>0</v>
      </c>
      <c r="F50" s="125">
        <f t="shared" si="7"/>
        <v>5000</v>
      </c>
      <c r="G50" s="126"/>
      <c r="H50" s="125"/>
      <c r="I50" s="128">
        <v>5000</v>
      </c>
      <c r="J50" s="127">
        <f t="shared" si="8"/>
        <v>5000</v>
      </c>
      <c r="L50" s="366"/>
      <c r="M50" s="371"/>
      <c r="N50" s="369"/>
      <c r="O50" s="367"/>
      <c r="P50" s="367"/>
      <c r="Q50" s="367"/>
      <c r="R50" s="367"/>
      <c r="S50" s="367"/>
      <c r="T50" s="368"/>
    </row>
    <row r="51" spans="1:20" ht="15.75" thickBot="1" x14ac:dyDescent="0.3">
      <c r="B51" s="119">
        <v>2054</v>
      </c>
      <c r="C51" s="130">
        <v>5000</v>
      </c>
      <c r="D51" s="128">
        <v>0</v>
      </c>
      <c r="E51" s="125">
        <v>0</v>
      </c>
      <c r="F51" s="125">
        <f t="shared" si="7"/>
        <v>5000</v>
      </c>
      <c r="G51" s="126"/>
      <c r="H51" s="125"/>
      <c r="I51" s="128">
        <v>5000</v>
      </c>
      <c r="J51" s="127">
        <f t="shared" si="8"/>
        <v>5000</v>
      </c>
      <c r="L51" s="366"/>
      <c r="M51" s="371"/>
      <c r="N51" s="369"/>
      <c r="O51" s="367"/>
      <c r="P51" s="367"/>
      <c r="Q51" s="367"/>
      <c r="R51" s="367"/>
      <c r="S51" s="367"/>
      <c r="T51" s="368"/>
    </row>
    <row r="52" spans="1:20" ht="15.75" thickBot="1" x14ac:dyDescent="0.3">
      <c r="B52" s="119">
        <v>2056</v>
      </c>
      <c r="C52" s="130">
        <v>5000</v>
      </c>
      <c r="D52" s="128">
        <v>0</v>
      </c>
      <c r="E52" s="125">
        <v>0</v>
      </c>
      <c r="F52" s="125">
        <f t="shared" si="7"/>
        <v>5000</v>
      </c>
      <c r="G52" s="126"/>
      <c r="H52" s="125"/>
      <c r="I52" s="128">
        <v>5000</v>
      </c>
      <c r="J52" s="127">
        <f t="shared" si="8"/>
        <v>5000</v>
      </c>
      <c r="L52" s="366"/>
      <c r="M52" s="371"/>
      <c r="N52" s="369"/>
      <c r="O52" s="367"/>
      <c r="P52" s="367"/>
      <c r="Q52" s="367"/>
      <c r="R52" s="367"/>
      <c r="S52" s="367"/>
      <c r="T52" s="368"/>
    </row>
    <row r="53" spans="1:20" ht="15.75" thickBot="1" x14ac:dyDescent="0.3">
      <c r="B53" s="119">
        <v>2058</v>
      </c>
      <c r="C53" s="130">
        <v>5000</v>
      </c>
      <c r="D53" s="128">
        <v>0</v>
      </c>
      <c r="E53" s="125">
        <v>0</v>
      </c>
      <c r="F53" s="125">
        <f t="shared" si="7"/>
        <v>5000</v>
      </c>
      <c r="G53" s="126"/>
      <c r="H53" s="125"/>
      <c r="I53" s="128">
        <v>5000</v>
      </c>
      <c r="J53" s="127">
        <f t="shared" si="8"/>
        <v>5000</v>
      </c>
      <c r="L53" s="366"/>
      <c r="M53" s="371"/>
      <c r="N53" s="369"/>
      <c r="O53" s="367"/>
      <c r="P53" s="367"/>
      <c r="Q53" s="367"/>
      <c r="R53" s="367"/>
      <c r="S53" s="367"/>
      <c r="T53" s="368"/>
    </row>
    <row r="54" spans="1:20" ht="15.75" thickBot="1" x14ac:dyDescent="0.3">
      <c r="B54" s="123">
        <v>2060</v>
      </c>
      <c r="C54" s="125">
        <v>5000</v>
      </c>
      <c r="D54" s="125">
        <v>3000000</v>
      </c>
      <c r="E54" s="125">
        <v>0</v>
      </c>
      <c r="F54" s="125">
        <f t="shared" si="7"/>
        <v>3005000</v>
      </c>
      <c r="G54" s="126"/>
      <c r="H54" s="125"/>
      <c r="I54" s="125">
        <v>1000000</v>
      </c>
      <c r="J54" s="127">
        <f t="shared" si="8"/>
        <v>1000000</v>
      </c>
      <c r="L54" s="366"/>
      <c r="M54" s="367"/>
      <c r="N54" s="367"/>
      <c r="O54" s="367"/>
      <c r="P54" s="367"/>
      <c r="Q54" s="367"/>
      <c r="R54" s="367"/>
      <c r="S54" s="367"/>
      <c r="T54" s="368"/>
    </row>
    <row r="55" spans="1:20" ht="16.5" thickBot="1" x14ac:dyDescent="0.3">
      <c r="B55" s="124" t="s">
        <v>135</v>
      </c>
      <c r="C55" s="132">
        <f>SUM(C27:C54)</f>
        <v>110000</v>
      </c>
      <c r="D55" s="132">
        <f t="shared" ref="D55:E55" si="9">SUM(D27:D54)</f>
        <v>8000000</v>
      </c>
      <c r="E55" s="132">
        <f t="shared" si="9"/>
        <v>147839</v>
      </c>
      <c r="F55" s="132">
        <f>SUM(F27:F54)</f>
        <v>8257839</v>
      </c>
      <c r="G55" s="133"/>
      <c r="H55" s="132"/>
      <c r="I55" s="132">
        <f t="shared" ref="I55:J55" si="10">SUM(I27:I54)</f>
        <v>2075000</v>
      </c>
      <c r="J55" s="132">
        <f t="shared" si="10"/>
        <v>2075000</v>
      </c>
      <c r="L55" s="373"/>
      <c r="M55" s="374"/>
      <c r="N55" s="374"/>
      <c r="O55" s="374"/>
      <c r="P55" s="374"/>
      <c r="Q55" s="374"/>
      <c r="R55" s="374"/>
      <c r="S55" s="374"/>
      <c r="T55" s="374"/>
    </row>
    <row r="59" spans="1:20" ht="15.75" thickBot="1" x14ac:dyDescent="0.3"/>
    <row r="60" spans="1:20" ht="19.5" thickBot="1" x14ac:dyDescent="0.3">
      <c r="B60" s="588" t="s">
        <v>126</v>
      </c>
      <c r="C60" s="590" t="s">
        <v>127</v>
      </c>
      <c r="D60" s="591"/>
      <c r="E60" s="591"/>
      <c r="F60" s="592"/>
      <c r="G60" s="114"/>
      <c r="H60" s="593" t="s">
        <v>128</v>
      </c>
      <c r="I60" s="594"/>
      <c r="J60" s="595"/>
    </row>
    <row r="61" spans="1:20" ht="30.75" thickBot="1" x14ac:dyDescent="0.3">
      <c r="B61" s="589"/>
      <c r="C61" s="115" t="s">
        <v>136</v>
      </c>
      <c r="D61" s="116" t="s">
        <v>137</v>
      </c>
      <c r="E61" s="116" t="s">
        <v>131</v>
      </c>
      <c r="F61" s="117" t="s">
        <v>132</v>
      </c>
      <c r="G61" s="118"/>
      <c r="H61" s="117" t="s">
        <v>138</v>
      </c>
      <c r="I61" s="117" t="s">
        <v>139</v>
      </c>
      <c r="J61" s="117" t="s">
        <v>132</v>
      </c>
    </row>
    <row r="62" spans="1:20" ht="15.75" thickBot="1" x14ac:dyDescent="0.3">
      <c r="B62" s="119">
        <v>2016</v>
      </c>
      <c r="C62" s="176">
        <v>0</v>
      </c>
      <c r="D62" s="176">
        <v>0</v>
      </c>
      <c r="E62" s="176">
        <v>0</v>
      </c>
      <c r="F62" s="176">
        <f>SUM(C62:E62)</f>
        <v>0</v>
      </c>
      <c r="G62" s="177"/>
      <c r="H62" s="176">
        <v>0</v>
      </c>
      <c r="I62" s="176">
        <v>0</v>
      </c>
      <c r="J62" s="178">
        <f>SUM(H62+I62)</f>
        <v>0</v>
      </c>
    </row>
    <row r="63" spans="1:20" ht="15.75" thickBot="1" x14ac:dyDescent="0.3">
      <c r="B63" s="119">
        <v>2017</v>
      </c>
      <c r="C63" s="176">
        <v>9252</v>
      </c>
      <c r="D63" s="176">
        <v>0</v>
      </c>
      <c r="E63" s="176">
        <v>0</v>
      </c>
      <c r="F63" s="176">
        <f t="shared" ref="F63:F89" si="11">SUM(C63:E63)</f>
        <v>9252</v>
      </c>
      <c r="G63" s="177"/>
      <c r="H63" s="176">
        <v>0</v>
      </c>
      <c r="I63" s="176">
        <v>0</v>
      </c>
      <c r="J63" s="178">
        <f t="shared" ref="J63:J89" si="12">SUM(H63+I63)</f>
        <v>0</v>
      </c>
    </row>
    <row r="64" spans="1:20" ht="15.75" thickBot="1" x14ac:dyDescent="0.3">
      <c r="B64" s="119">
        <v>2018</v>
      </c>
      <c r="C64" s="176">
        <v>0</v>
      </c>
      <c r="D64" s="176">
        <v>0</v>
      </c>
      <c r="E64" s="176">
        <v>0</v>
      </c>
      <c r="F64" s="176">
        <f t="shared" si="11"/>
        <v>0</v>
      </c>
      <c r="G64" s="177"/>
      <c r="H64" s="176">
        <v>0</v>
      </c>
      <c r="I64" s="176">
        <v>0</v>
      </c>
      <c r="J64" s="178">
        <f t="shared" si="12"/>
        <v>0</v>
      </c>
    </row>
    <row r="65" spans="2:10" ht="15.75" thickBot="1" x14ac:dyDescent="0.3">
      <c r="B65" s="119">
        <v>2019</v>
      </c>
      <c r="C65" s="176">
        <v>0</v>
      </c>
      <c r="D65" s="176">
        <v>0</v>
      </c>
      <c r="E65" s="176">
        <v>0</v>
      </c>
      <c r="F65" s="176">
        <f t="shared" si="11"/>
        <v>0</v>
      </c>
      <c r="G65" s="177"/>
      <c r="H65" s="176">
        <v>0</v>
      </c>
      <c r="I65" s="176">
        <v>0</v>
      </c>
      <c r="J65" s="178">
        <f t="shared" si="12"/>
        <v>0</v>
      </c>
    </row>
    <row r="66" spans="2:10" ht="15.75" thickBot="1" x14ac:dyDescent="0.3">
      <c r="B66" s="119">
        <v>2020</v>
      </c>
      <c r="C66" s="176">
        <v>84087</v>
      </c>
      <c r="D66" s="176">
        <v>0</v>
      </c>
      <c r="E66" s="176">
        <v>0</v>
      </c>
      <c r="F66" s="176">
        <f t="shared" si="11"/>
        <v>84087</v>
      </c>
      <c r="G66" s="177"/>
      <c r="H66" s="176">
        <v>0</v>
      </c>
      <c r="I66" s="176">
        <v>0</v>
      </c>
      <c r="J66" s="178">
        <f t="shared" si="12"/>
        <v>0</v>
      </c>
    </row>
    <row r="67" spans="2:10" ht="15.75" thickBot="1" x14ac:dyDescent="0.3">
      <c r="B67" s="119">
        <v>2021</v>
      </c>
      <c r="C67" s="176">
        <v>50000</v>
      </c>
      <c r="D67" s="176">
        <v>0</v>
      </c>
      <c r="E67" s="176">
        <v>0</v>
      </c>
      <c r="F67" s="176">
        <f t="shared" si="11"/>
        <v>50000</v>
      </c>
      <c r="G67" s="177"/>
      <c r="H67" s="176">
        <v>0</v>
      </c>
      <c r="I67" s="176">
        <v>0</v>
      </c>
      <c r="J67" s="178">
        <f t="shared" si="12"/>
        <v>0</v>
      </c>
    </row>
    <row r="68" spans="2:10" ht="15.75" thickBot="1" x14ac:dyDescent="0.3">
      <c r="B68" s="119">
        <v>2022</v>
      </c>
      <c r="C68" s="176">
        <v>4500</v>
      </c>
      <c r="D68" s="176">
        <v>0</v>
      </c>
      <c r="E68" s="176">
        <v>0</v>
      </c>
      <c r="F68" s="176">
        <f t="shared" si="11"/>
        <v>4500</v>
      </c>
      <c r="G68" s="177"/>
      <c r="H68" s="176">
        <v>0</v>
      </c>
      <c r="I68" s="176">
        <v>0</v>
      </c>
      <c r="J68" s="178">
        <f t="shared" si="12"/>
        <v>0</v>
      </c>
    </row>
    <row r="69" spans="2:10" ht="15.75" thickBot="1" x14ac:dyDescent="0.3">
      <c r="B69" s="179">
        <v>2023</v>
      </c>
      <c r="C69" s="180">
        <v>0</v>
      </c>
      <c r="D69" s="176">
        <v>0</v>
      </c>
      <c r="E69" s="176">
        <v>0</v>
      </c>
      <c r="F69" s="176">
        <f t="shared" si="11"/>
        <v>0</v>
      </c>
      <c r="G69" s="177"/>
      <c r="H69" s="176">
        <v>0</v>
      </c>
      <c r="I69" s="176">
        <v>0</v>
      </c>
      <c r="J69" s="178">
        <f t="shared" si="12"/>
        <v>0</v>
      </c>
    </row>
    <row r="70" spans="2:10" x14ac:dyDescent="0.25">
      <c r="B70" s="120">
        <v>2024</v>
      </c>
      <c r="C70" s="176">
        <v>0</v>
      </c>
      <c r="D70" s="176">
        <v>0</v>
      </c>
      <c r="E70" s="176">
        <v>0</v>
      </c>
      <c r="F70" s="176">
        <f t="shared" si="11"/>
        <v>0</v>
      </c>
      <c r="G70" s="177"/>
      <c r="H70" s="181">
        <v>0</v>
      </c>
      <c r="I70" s="176">
        <v>0</v>
      </c>
      <c r="J70" s="178">
        <f t="shared" si="12"/>
        <v>0</v>
      </c>
    </row>
    <row r="71" spans="2:10" x14ac:dyDescent="0.25">
      <c r="B71" s="121">
        <v>2025</v>
      </c>
      <c r="C71" s="182">
        <v>0</v>
      </c>
      <c r="D71" s="176">
        <v>0</v>
      </c>
      <c r="E71" s="182">
        <v>0</v>
      </c>
      <c r="F71" s="176">
        <f t="shared" si="11"/>
        <v>0</v>
      </c>
      <c r="G71" s="177"/>
      <c r="H71" s="181">
        <v>0</v>
      </c>
      <c r="I71" s="176">
        <v>0</v>
      </c>
      <c r="J71" s="178">
        <f t="shared" si="12"/>
        <v>0</v>
      </c>
    </row>
    <row r="72" spans="2:10" ht="15.75" thickBot="1" x14ac:dyDescent="0.3">
      <c r="B72" s="122">
        <v>2026</v>
      </c>
      <c r="C72" s="183">
        <v>0</v>
      </c>
      <c r="D72" s="184">
        <v>0</v>
      </c>
      <c r="E72" s="182">
        <v>0</v>
      </c>
      <c r="F72" s="176">
        <f t="shared" si="11"/>
        <v>0</v>
      </c>
      <c r="G72" s="177"/>
      <c r="H72" s="181">
        <v>0</v>
      </c>
      <c r="I72" s="176">
        <v>0</v>
      </c>
      <c r="J72" s="178">
        <f t="shared" si="12"/>
        <v>0</v>
      </c>
    </row>
    <row r="73" spans="2:10" ht="15.75" thickBot="1" x14ac:dyDescent="0.3">
      <c r="B73" s="119">
        <v>2028</v>
      </c>
      <c r="C73" s="183">
        <v>0</v>
      </c>
      <c r="D73" s="181">
        <v>0</v>
      </c>
      <c r="E73" s="182">
        <v>0</v>
      </c>
      <c r="F73" s="176">
        <f t="shared" si="11"/>
        <v>0</v>
      </c>
      <c r="G73" s="177"/>
      <c r="H73" s="176">
        <v>17600000</v>
      </c>
      <c r="I73" s="176">
        <v>0</v>
      </c>
      <c r="J73" s="178">
        <v>0</v>
      </c>
    </row>
    <row r="74" spans="2:10" ht="15.75" thickBot="1" x14ac:dyDescent="0.3">
      <c r="B74" s="119">
        <v>2030</v>
      </c>
      <c r="C74" s="183">
        <v>0</v>
      </c>
      <c r="D74" s="181">
        <v>0</v>
      </c>
      <c r="E74" s="182">
        <v>0</v>
      </c>
      <c r="F74" s="176">
        <f t="shared" si="11"/>
        <v>0</v>
      </c>
      <c r="G74" s="177"/>
      <c r="H74" s="176">
        <v>0</v>
      </c>
      <c r="I74" s="176">
        <v>1000000</v>
      </c>
      <c r="J74" s="178">
        <f t="shared" si="12"/>
        <v>1000000</v>
      </c>
    </row>
    <row r="75" spans="2:10" ht="15.75" thickBot="1" x14ac:dyDescent="0.3">
      <c r="B75" s="119">
        <v>2032</v>
      </c>
      <c r="C75" s="183">
        <v>0</v>
      </c>
      <c r="D75" s="181">
        <v>0</v>
      </c>
      <c r="E75" s="182">
        <v>0</v>
      </c>
      <c r="F75" s="176">
        <f t="shared" si="11"/>
        <v>0</v>
      </c>
      <c r="G75" s="177"/>
      <c r="H75" s="176">
        <v>0</v>
      </c>
      <c r="I75" s="176">
        <v>0</v>
      </c>
      <c r="J75" s="178">
        <f t="shared" si="12"/>
        <v>0</v>
      </c>
    </row>
    <row r="76" spans="2:10" ht="15.75" thickBot="1" x14ac:dyDescent="0.3">
      <c r="B76" s="119">
        <v>2034</v>
      </c>
      <c r="C76" s="183">
        <v>0</v>
      </c>
      <c r="D76" s="181">
        <v>0</v>
      </c>
      <c r="E76" s="182">
        <v>0</v>
      </c>
      <c r="F76" s="176">
        <f t="shared" si="11"/>
        <v>0</v>
      </c>
      <c r="G76" s="177"/>
      <c r="H76" s="176">
        <v>0</v>
      </c>
      <c r="I76" s="176">
        <v>0</v>
      </c>
      <c r="J76" s="178">
        <f t="shared" si="12"/>
        <v>0</v>
      </c>
    </row>
    <row r="77" spans="2:10" ht="15.75" thickBot="1" x14ac:dyDescent="0.3">
      <c r="B77" s="119">
        <v>2036</v>
      </c>
      <c r="C77" s="183">
        <v>0</v>
      </c>
      <c r="D77" s="181">
        <v>0</v>
      </c>
      <c r="E77" s="182">
        <v>0</v>
      </c>
      <c r="F77" s="176">
        <f t="shared" si="11"/>
        <v>0</v>
      </c>
      <c r="G77" s="177"/>
      <c r="H77" s="176">
        <v>0</v>
      </c>
      <c r="I77" s="176">
        <v>0</v>
      </c>
      <c r="J77" s="178">
        <f t="shared" si="12"/>
        <v>0</v>
      </c>
    </row>
    <row r="78" spans="2:10" ht="15.75" thickBot="1" x14ac:dyDescent="0.3">
      <c r="B78" s="119">
        <v>2038</v>
      </c>
      <c r="C78" s="183">
        <v>0</v>
      </c>
      <c r="D78" s="181">
        <v>0</v>
      </c>
      <c r="E78" s="182">
        <v>0</v>
      </c>
      <c r="F78" s="176">
        <f t="shared" si="11"/>
        <v>0</v>
      </c>
      <c r="G78" s="177"/>
      <c r="H78" s="176">
        <v>0</v>
      </c>
      <c r="I78" s="176">
        <v>0</v>
      </c>
      <c r="J78" s="178">
        <f t="shared" si="12"/>
        <v>0</v>
      </c>
    </row>
    <row r="79" spans="2:10" ht="15.75" thickBot="1" x14ac:dyDescent="0.3">
      <c r="B79" s="119">
        <v>2040</v>
      </c>
      <c r="C79" s="183">
        <v>0</v>
      </c>
      <c r="D79" s="181">
        <v>0</v>
      </c>
      <c r="E79" s="182">
        <v>0</v>
      </c>
      <c r="F79" s="176">
        <f t="shared" si="11"/>
        <v>0</v>
      </c>
      <c r="G79" s="177"/>
      <c r="H79" s="176">
        <v>0</v>
      </c>
      <c r="I79" s="176">
        <v>0</v>
      </c>
      <c r="J79" s="178">
        <f t="shared" si="12"/>
        <v>0</v>
      </c>
    </row>
    <row r="80" spans="2:10" ht="15.75" thickBot="1" x14ac:dyDescent="0.3">
      <c r="B80" s="119">
        <v>2042</v>
      </c>
      <c r="C80" s="183">
        <v>0</v>
      </c>
      <c r="D80" s="181">
        <v>0</v>
      </c>
      <c r="E80" s="182">
        <v>0</v>
      </c>
      <c r="F80" s="176">
        <f t="shared" si="11"/>
        <v>0</v>
      </c>
      <c r="G80" s="177"/>
      <c r="H80" s="176">
        <v>0</v>
      </c>
      <c r="I80" s="176">
        <v>0</v>
      </c>
      <c r="J80" s="178">
        <f t="shared" si="12"/>
        <v>0</v>
      </c>
    </row>
    <row r="81" spans="2:10" ht="15.75" thickBot="1" x14ac:dyDescent="0.3">
      <c r="B81" s="119">
        <v>2044</v>
      </c>
      <c r="C81" s="183">
        <v>0</v>
      </c>
      <c r="D81" s="181">
        <v>0</v>
      </c>
      <c r="E81" s="182">
        <v>0</v>
      </c>
      <c r="F81" s="176">
        <f t="shared" si="11"/>
        <v>0</v>
      </c>
      <c r="G81" s="177"/>
      <c r="H81" s="176">
        <v>0</v>
      </c>
      <c r="I81" s="176">
        <v>0</v>
      </c>
      <c r="J81" s="178">
        <f t="shared" si="12"/>
        <v>0</v>
      </c>
    </row>
    <row r="82" spans="2:10" ht="15.75" thickBot="1" x14ac:dyDescent="0.3">
      <c r="B82" s="119">
        <v>2046</v>
      </c>
      <c r="C82" s="183">
        <v>0</v>
      </c>
      <c r="D82" s="181">
        <v>0</v>
      </c>
      <c r="E82" s="182">
        <v>0</v>
      </c>
      <c r="F82" s="176">
        <f t="shared" si="11"/>
        <v>0</v>
      </c>
      <c r="G82" s="177"/>
      <c r="H82" s="176">
        <v>0</v>
      </c>
      <c r="I82" s="176">
        <v>0</v>
      </c>
      <c r="J82" s="178">
        <f t="shared" si="12"/>
        <v>0</v>
      </c>
    </row>
    <row r="83" spans="2:10" ht="15.75" thickBot="1" x14ac:dyDescent="0.3">
      <c r="B83" s="119">
        <v>2048</v>
      </c>
      <c r="C83" s="183">
        <v>0</v>
      </c>
      <c r="D83" s="181">
        <v>0</v>
      </c>
      <c r="E83" s="182">
        <v>0</v>
      </c>
      <c r="F83" s="176">
        <f t="shared" si="11"/>
        <v>0</v>
      </c>
      <c r="G83" s="177"/>
      <c r="H83" s="176">
        <v>0</v>
      </c>
      <c r="I83" s="176">
        <v>0</v>
      </c>
      <c r="J83" s="178">
        <f t="shared" si="12"/>
        <v>0</v>
      </c>
    </row>
    <row r="84" spans="2:10" ht="15.75" thickBot="1" x14ac:dyDescent="0.3">
      <c r="B84" s="119">
        <v>2050</v>
      </c>
      <c r="C84" s="183">
        <v>0</v>
      </c>
      <c r="D84" s="181">
        <v>0</v>
      </c>
      <c r="E84" s="176">
        <v>0</v>
      </c>
      <c r="F84" s="176">
        <f t="shared" si="11"/>
        <v>0</v>
      </c>
      <c r="G84" s="177"/>
      <c r="H84" s="176">
        <v>0</v>
      </c>
      <c r="I84" s="181">
        <v>1000000</v>
      </c>
      <c r="J84" s="178">
        <f t="shared" si="12"/>
        <v>1000000</v>
      </c>
    </row>
    <row r="85" spans="2:10" ht="15.75" thickBot="1" x14ac:dyDescent="0.3">
      <c r="B85" s="119">
        <v>2052</v>
      </c>
      <c r="C85" s="183">
        <v>0</v>
      </c>
      <c r="D85" s="181">
        <v>0</v>
      </c>
      <c r="E85" s="176">
        <v>0</v>
      </c>
      <c r="F85" s="176">
        <f t="shared" si="11"/>
        <v>0</v>
      </c>
      <c r="G85" s="177"/>
      <c r="H85" s="176">
        <v>0</v>
      </c>
      <c r="I85" s="181">
        <v>0</v>
      </c>
      <c r="J85" s="178">
        <f t="shared" si="12"/>
        <v>0</v>
      </c>
    </row>
    <row r="86" spans="2:10" ht="15.75" thickBot="1" x14ac:dyDescent="0.3">
      <c r="B86" s="119">
        <v>2054</v>
      </c>
      <c r="C86" s="183">
        <v>0</v>
      </c>
      <c r="D86" s="181">
        <v>0</v>
      </c>
      <c r="E86" s="176">
        <v>0</v>
      </c>
      <c r="F86" s="176">
        <f t="shared" si="11"/>
        <v>0</v>
      </c>
      <c r="G86" s="177"/>
      <c r="H86" s="176">
        <v>0</v>
      </c>
      <c r="I86" s="181">
        <v>0</v>
      </c>
      <c r="J86" s="178">
        <f t="shared" si="12"/>
        <v>0</v>
      </c>
    </row>
    <row r="87" spans="2:10" ht="15.75" thickBot="1" x14ac:dyDescent="0.3">
      <c r="B87" s="119">
        <v>2056</v>
      </c>
      <c r="C87" s="183">
        <v>0</v>
      </c>
      <c r="D87" s="181">
        <v>0</v>
      </c>
      <c r="E87" s="176">
        <v>0</v>
      </c>
      <c r="F87" s="176">
        <f t="shared" si="11"/>
        <v>0</v>
      </c>
      <c r="G87" s="177"/>
      <c r="H87" s="176">
        <v>0</v>
      </c>
      <c r="I87" s="181">
        <v>0</v>
      </c>
      <c r="J87" s="178">
        <f t="shared" si="12"/>
        <v>0</v>
      </c>
    </row>
    <row r="88" spans="2:10" ht="15.75" thickBot="1" x14ac:dyDescent="0.3">
      <c r="B88" s="119">
        <v>2058</v>
      </c>
      <c r="C88" s="183">
        <v>0</v>
      </c>
      <c r="D88" s="181">
        <v>0</v>
      </c>
      <c r="E88" s="176">
        <v>0</v>
      </c>
      <c r="F88" s="176">
        <f t="shared" si="11"/>
        <v>0</v>
      </c>
      <c r="G88" s="177"/>
      <c r="H88" s="176">
        <v>0</v>
      </c>
      <c r="I88" s="181">
        <v>0</v>
      </c>
      <c r="J88" s="178">
        <f t="shared" si="12"/>
        <v>0</v>
      </c>
    </row>
    <row r="89" spans="2:10" ht="15.75" thickBot="1" x14ac:dyDescent="0.3">
      <c r="B89" s="123">
        <v>2060</v>
      </c>
      <c r="C89" s="176">
        <v>0</v>
      </c>
      <c r="D89" s="176">
        <v>0</v>
      </c>
      <c r="E89" s="176">
        <v>0</v>
      </c>
      <c r="F89" s="176">
        <f t="shared" si="11"/>
        <v>0</v>
      </c>
      <c r="G89" s="177"/>
      <c r="H89" s="176">
        <v>0</v>
      </c>
      <c r="I89" s="176">
        <v>1000000</v>
      </c>
      <c r="J89" s="178">
        <f t="shared" si="12"/>
        <v>1000000</v>
      </c>
    </row>
    <row r="90" spans="2:10" ht="16.5" thickBot="1" x14ac:dyDescent="0.3">
      <c r="B90" s="124" t="s">
        <v>135</v>
      </c>
      <c r="C90" s="185">
        <f>SUM(C62:C89)</f>
        <v>147839</v>
      </c>
      <c r="D90" s="185">
        <f t="shared" ref="D90:E90" si="13">SUM(D62:D89)</f>
        <v>0</v>
      </c>
      <c r="E90" s="185">
        <f t="shared" si="13"/>
        <v>0</v>
      </c>
      <c r="F90" s="185">
        <f>SUM(F62:F89)</f>
        <v>147839</v>
      </c>
      <c r="G90" s="186"/>
      <c r="H90" s="185">
        <f t="shared" ref="H90:J90" si="14">SUM(H62:H89)</f>
        <v>17600000</v>
      </c>
      <c r="I90" s="185">
        <f t="shared" si="14"/>
        <v>3000000</v>
      </c>
      <c r="J90" s="185">
        <f t="shared" si="14"/>
        <v>3000000</v>
      </c>
    </row>
    <row r="94" spans="2:10" x14ac:dyDescent="0.25">
      <c r="C94" s="89">
        <f>SUM(C62:C68)/7</f>
        <v>21119.857142857141</v>
      </c>
    </row>
  </sheetData>
  <mergeCells count="9">
    <mergeCell ref="L25:L26"/>
    <mergeCell ref="M25:P25"/>
    <mergeCell ref="R25:T25"/>
    <mergeCell ref="B60:B61"/>
    <mergeCell ref="C60:F60"/>
    <mergeCell ref="H60:J60"/>
    <mergeCell ref="B25:B26"/>
    <mergeCell ref="C25:F25"/>
    <mergeCell ref="H25:J25"/>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5D8F-B6A8-4EAD-B7DD-FDD2B0A9FA4B}">
  <sheetPr>
    <tabColor theme="9" tint="0.59999389629810485"/>
  </sheetPr>
  <dimension ref="B2:I34"/>
  <sheetViews>
    <sheetView workbookViewId="0">
      <selection activeCell="B3" sqref="B3:B4"/>
    </sheetView>
  </sheetViews>
  <sheetFormatPr defaultColWidth="9.140625" defaultRowHeight="15" customHeight="1" x14ac:dyDescent="0.25"/>
  <cols>
    <col min="2" max="2" width="11.7109375" customWidth="1"/>
    <col min="3" max="3" width="11.7109375" hidden="1" customWidth="1"/>
    <col min="4" max="6" width="11.7109375" customWidth="1"/>
    <col min="7" max="7" width="10.7109375" hidden="1" customWidth="1"/>
    <col min="8" max="8" width="15" customWidth="1"/>
    <col min="9" max="9" width="12.42578125" customWidth="1"/>
  </cols>
  <sheetData>
    <row r="2" spans="2:9" x14ac:dyDescent="0.25"/>
    <row r="3" spans="2:9" ht="18.75" x14ac:dyDescent="0.25">
      <c r="B3" s="588" t="s">
        <v>126</v>
      </c>
      <c r="C3" s="590" t="s">
        <v>127</v>
      </c>
      <c r="D3" s="591"/>
      <c r="E3" s="591"/>
      <c r="F3" s="592"/>
      <c r="H3" s="593" t="s">
        <v>51</v>
      </c>
      <c r="I3" s="595"/>
    </row>
    <row r="4" spans="2:9" ht="45" x14ac:dyDescent="0.25">
      <c r="B4" s="596"/>
      <c r="C4" s="115" t="s">
        <v>129</v>
      </c>
      <c r="D4" s="116" t="s">
        <v>130</v>
      </c>
      <c r="E4" s="116" t="s">
        <v>140</v>
      </c>
      <c r="F4" s="117" t="s">
        <v>132</v>
      </c>
      <c r="G4" s="117"/>
      <c r="H4" s="116" t="s">
        <v>141</v>
      </c>
      <c r="I4" s="117" t="s">
        <v>132</v>
      </c>
    </row>
    <row r="5" spans="2:9" x14ac:dyDescent="0.25">
      <c r="B5" s="498">
        <v>2016</v>
      </c>
      <c r="C5" s="125">
        <v>0</v>
      </c>
      <c r="D5" s="125">
        <v>0</v>
      </c>
      <c r="E5" s="125">
        <v>0</v>
      </c>
      <c r="F5" s="125">
        <f>SUM(C5:E5)</f>
        <v>0</v>
      </c>
      <c r="G5" s="125"/>
      <c r="H5" s="125">
        <v>0</v>
      </c>
      <c r="I5" s="127">
        <f t="shared" ref="I5:I32" si="0">SUM(G5+H5)</f>
        <v>0</v>
      </c>
    </row>
    <row r="6" spans="2:9" x14ac:dyDescent="0.25">
      <c r="B6" s="499">
        <v>2017</v>
      </c>
      <c r="C6" s="125">
        <v>0</v>
      </c>
      <c r="D6" s="125">
        <v>0</v>
      </c>
      <c r="E6" s="125">
        <v>9252</v>
      </c>
      <c r="F6" s="125">
        <f t="shared" ref="F6:F32" si="1">SUM(C6:E6)</f>
        <v>9252</v>
      </c>
      <c r="G6" s="125"/>
      <c r="H6" s="125">
        <v>0</v>
      </c>
      <c r="I6" s="127">
        <f t="shared" si="0"/>
        <v>0</v>
      </c>
    </row>
    <row r="7" spans="2:9" x14ac:dyDescent="0.25">
      <c r="B7" s="499">
        <v>2018</v>
      </c>
      <c r="C7" s="125">
        <v>0</v>
      </c>
      <c r="D7" s="125">
        <v>0</v>
      </c>
      <c r="E7" s="125">
        <v>0</v>
      </c>
      <c r="F7" s="125">
        <f t="shared" si="1"/>
        <v>0</v>
      </c>
      <c r="G7" s="125"/>
      <c r="H7" s="125">
        <v>0</v>
      </c>
      <c r="I7" s="127">
        <f t="shared" si="0"/>
        <v>0</v>
      </c>
    </row>
    <row r="8" spans="2:9" x14ac:dyDescent="0.25">
      <c r="B8" s="499">
        <v>2019</v>
      </c>
      <c r="C8" s="125">
        <v>0</v>
      </c>
      <c r="D8" s="125">
        <v>0</v>
      </c>
      <c r="E8" s="125">
        <v>0</v>
      </c>
      <c r="F8" s="125">
        <f t="shared" si="1"/>
        <v>0</v>
      </c>
      <c r="G8" s="125"/>
      <c r="H8" s="125">
        <v>0</v>
      </c>
      <c r="I8" s="127">
        <f t="shared" si="0"/>
        <v>0</v>
      </c>
    </row>
    <row r="9" spans="2:9" x14ac:dyDescent="0.25">
      <c r="B9" s="499">
        <v>2020</v>
      </c>
      <c r="C9" s="125">
        <v>0</v>
      </c>
      <c r="D9" s="125">
        <v>0</v>
      </c>
      <c r="E9" s="125">
        <v>84087</v>
      </c>
      <c r="F9" s="125">
        <f t="shared" si="1"/>
        <v>84087</v>
      </c>
      <c r="G9" s="125"/>
      <c r="H9" s="125">
        <v>0</v>
      </c>
      <c r="I9" s="127">
        <f t="shared" si="0"/>
        <v>0</v>
      </c>
    </row>
    <row r="10" spans="2:9" x14ac:dyDescent="0.25">
      <c r="B10" s="499">
        <v>2021</v>
      </c>
      <c r="C10" s="125">
        <v>0</v>
      </c>
      <c r="D10" s="125">
        <v>0</v>
      </c>
      <c r="E10" s="125">
        <v>50000</v>
      </c>
      <c r="F10" s="125">
        <f t="shared" si="1"/>
        <v>50000</v>
      </c>
      <c r="G10" s="125"/>
      <c r="H10" s="125">
        <v>0</v>
      </c>
      <c r="I10" s="127">
        <f t="shared" si="0"/>
        <v>0</v>
      </c>
    </row>
    <row r="11" spans="2:9" x14ac:dyDescent="0.25">
      <c r="B11" s="499">
        <v>2022</v>
      </c>
      <c r="C11" s="125">
        <v>0</v>
      </c>
      <c r="D11" s="125">
        <v>0</v>
      </c>
      <c r="E11" s="125">
        <v>4500</v>
      </c>
      <c r="F11" s="125">
        <f t="shared" si="1"/>
        <v>4500</v>
      </c>
      <c r="G11" s="125"/>
      <c r="H11" s="125">
        <v>0</v>
      </c>
      <c r="I11" s="127">
        <f t="shared" si="0"/>
        <v>0</v>
      </c>
    </row>
    <row r="12" spans="2:9" x14ac:dyDescent="0.25">
      <c r="B12" s="500">
        <v>2023</v>
      </c>
      <c r="C12" s="125">
        <v>0</v>
      </c>
      <c r="D12" s="125">
        <v>0</v>
      </c>
      <c r="E12" s="125">
        <v>0</v>
      </c>
      <c r="F12" s="125">
        <f t="shared" si="1"/>
        <v>0</v>
      </c>
      <c r="G12" s="125"/>
      <c r="H12" s="125">
        <v>0</v>
      </c>
      <c r="I12" s="127">
        <f t="shared" si="0"/>
        <v>0</v>
      </c>
    </row>
    <row r="13" spans="2:9" x14ac:dyDescent="0.25">
      <c r="B13" s="501">
        <v>2024</v>
      </c>
      <c r="C13" s="125">
        <v>0</v>
      </c>
      <c r="D13" s="125">
        <v>0</v>
      </c>
      <c r="E13" s="125">
        <v>0</v>
      </c>
      <c r="F13" s="125">
        <f t="shared" si="1"/>
        <v>0</v>
      </c>
      <c r="G13" s="128"/>
      <c r="H13" s="125">
        <v>0</v>
      </c>
      <c r="I13" s="127">
        <f t="shared" si="0"/>
        <v>0</v>
      </c>
    </row>
    <row r="14" spans="2:9" x14ac:dyDescent="0.25">
      <c r="B14" s="502">
        <v>2025</v>
      </c>
      <c r="C14" s="125">
        <v>0</v>
      </c>
      <c r="D14" s="125">
        <v>0</v>
      </c>
      <c r="E14" s="129">
        <v>0</v>
      </c>
      <c r="F14" s="125">
        <f t="shared" si="1"/>
        <v>0</v>
      </c>
      <c r="G14" s="128"/>
      <c r="H14" s="125">
        <v>0</v>
      </c>
      <c r="I14" s="127">
        <f t="shared" si="0"/>
        <v>0</v>
      </c>
    </row>
    <row r="15" spans="2:9" x14ac:dyDescent="0.25">
      <c r="B15" s="498">
        <v>2026</v>
      </c>
      <c r="C15" s="125">
        <v>0</v>
      </c>
      <c r="D15" s="131">
        <v>2000000</v>
      </c>
      <c r="E15" s="129">
        <v>0</v>
      </c>
      <c r="F15" s="125">
        <f t="shared" si="1"/>
        <v>2000000</v>
      </c>
      <c r="G15" s="128"/>
      <c r="H15" s="125">
        <v>0</v>
      </c>
      <c r="I15" s="127">
        <f t="shared" si="0"/>
        <v>0</v>
      </c>
    </row>
    <row r="16" spans="2:9" x14ac:dyDescent="0.25">
      <c r="B16" s="499">
        <v>2028</v>
      </c>
      <c r="C16" s="125">
        <v>0</v>
      </c>
      <c r="D16" s="128">
        <v>0</v>
      </c>
      <c r="E16" s="129">
        <v>0</v>
      </c>
      <c r="F16" s="125">
        <f t="shared" si="1"/>
        <v>0</v>
      </c>
      <c r="G16" s="125"/>
      <c r="H16" s="125">
        <v>0</v>
      </c>
      <c r="I16" s="127">
        <f t="shared" si="0"/>
        <v>0</v>
      </c>
    </row>
    <row r="17" spans="2:9" x14ac:dyDescent="0.25">
      <c r="B17" s="499">
        <v>2030</v>
      </c>
      <c r="C17" s="125">
        <v>0</v>
      </c>
      <c r="D17" s="128">
        <v>0</v>
      </c>
      <c r="E17" s="129">
        <v>0</v>
      </c>
      <c r="F17" s="125">
        <f t="shared" si="1"/>
        <v>0</v>
      </c>
      <c r="G17" s="125"/>
      <c r="H17" s="125">
        <v>0</v>
      </c>
      <c r="I17" s="127">
        <f t="shared" si="0"/>
        <v>0</v>
      </c>
    </row>
    <row r="18" spans="2:9" x14ac:dyDescent="0.25">
      <c r="B18" s="499">
        <v>2032</v>
      </c>
      <c r="C18" s="125">
        <v>0</v>
      </c>
      <c r="D18" s="128">
        <v>0</v>
      </c>
      <c r="E18" s="129">
        <v>0</v>
      </c>
      <c r="F18" s="125">
        <f t="shared" si="1"/>
        <v>0</v>
      </c>
      <c r="G18" s="125"/>
      <c r="H18" s="125">
        <v>0</v>
      </c>
      <c r="I18" s="127">
        <f t="shared" si="0"/>
        <v>0</v>
      </c>
    </row>
    <row r="19" spans="2:9" x14ac:dyDescent="0.25">
      <c r="B19" s="499">
        <v>2034</v>
      </c>
      <c r="C19" s="125">
        <v>0</v>
      </c>
      <c r="D19" s="128">
        <v>0</v>
      </c>
      <c r="E19" s="129">
        <v>0</v>
      </c>
      <c r="F19" s="125">
        <f t="shared" si="1"/>
        <v>0</v>
      </c>
      <c r="G19" s="125"/>
      <c r="H19" s="125">
        <v>0</v>
      </c>
      <c r="I19" s="127">
        <f t="shared" si="0"/>
        <v>0</v>
      </c>
    </row>
    <row r="20" spans="2:9" x14ac:dyDescent="0.25">
      <c r="B20" s="499">
        <v>2036</v>
      </c>
      <c r="C20" s="125">
        <v>0</v>
      </c>
      <c r="D20" s="128">
        <v>0</v>
      </c>
      <c r="E20" s="129">
        <v>0</v>
      </c>
      <c r="F20" s="125">
        <f t="shared" si="1"/>
        <v>0</v>
      </c>
      <c r="G20" s="125"/>
      <c r="H20" s="125">
        <v>0</v>
      </c>
      <c r="I20" s="127">
        <f t="shared" si="0"/>
        <v>0</v>
      </c>
    </row>
    <row r="21" spans="2:9" x14ac:dyDescent="0.25">
      <c r="B21" s="499">
        <v>2038</v>
      </c>
      <c r="C21" s="125">
        <v>0</v>
      </c>
      <c r="D21" s="128">
        <v>0</v>
      </c>
      <c r="E21" s="129">
        <v>0</v>
      </c>
      <c r="F21" s="125">
        <f t="shared" si="1"/>
        <v>0</v>
      </c>
      <c r="G21" s="125"/>
      <c r="H21" s="125">
        <v>0</v>
      </c>
      <c r="I21" s="127">
        <f t="shared" si="0"/>
        <v>0</v>
      </c>
    </row>
    <row r="22" spans="2:9" x14ac:dyDescent="0.25">
      <c r="B22" s="499">
        <v>2040</v>
      </c>
      <c r="C22" s="125">
        <v>0</v>
      </c>
      <c r="D22" s="128">
        <v>3000000</v>
      </c>
      <c r="E22" s="129">
        <v>0</v>
      </c>
      <c r="F22" s="125">
        <f t="shared" si="1"/>
        <v>3000000</v>
      </c>
      <c r="G22" s="125"/>
      <c r="H22" s="125">
        <v>0</v>
      </c>
      <c r="I22" s="127">
        <f t="shared" si="0"/>
        <v>0</v>
      </c>
    </row>
    <row r="23" spans="2:9" x14ac:dyDescent="0.25">
      <c r="B23" s="499">
        <v>2042</v>
      </c>
      <c r="C23" s="125">
        <v>0</v>
      </c>
      <c r="D23" s="128">
        <v>0</v>
      </c>
      <c r="E23" s="129">
        <v>0</v>
      </c>
      <c r="F23" s="125">
        <f t="shared" si="1"/>
        <v>0</v>
      </c>
      <c r="G23" s="125"/>
      <c r="H23" s="125">
        <v>0</v>
      </c>
      <c r="I23" s="127">
        <f t="shared" si="0"/>
        <v>0</v>
      </c>
    </row>
    <row r="24" spans="2:9" x14ac:dyDescent="0.25">
      <c r="B24" s="499">
        <v>2044</v>
      </c>
      <c r="C24" s="125">
        <v>0</v>
      </c>
      <c r="D24" s="128">
        <v>0</v>
      </c>
      <c r="E24" s="129">
        <v>0</v>
      </c>
      <c r="F24" s="125">
        <f t="shared" si="1"/>
        <v>0</v>
      </c>
      <c r="G24" s="125"/>
      <c r="H24" s="125">
        <v>0</v>
      </c>
      <c r="I24" s="127">
        <f t="shared" si="0"/>
        <v>0</v>
      </c>
    </row>
    <row r="25" spans="2:9" x14ac:dyDescent="0.25">
      <c r="B25" s="499">
        <v>2046</v>
      </c>
      <c r="C25" s="125">
        <v>0</v>
      </c>
      <c r="D25" s="128">
        <v>0</v>
      </c>
      <c r="E25" s="129">
        <v>0</v>
      </c>
      <c r="F25" s="125">
        <f t="shared" si="1"/>
        <v>0</v>
      </c>
      <c r="G25" s="125"/>
      <c r="H25" s="125">
        <v>0</v>
      </c>
      <c r="I25" s="127">
        <f t="shared" si="0"/>
        <v>0</v>
      </c>
    </row>
    <row r="26" spans="2:9" x14ac:dyDescent="0.25">
      <c r="B26" s="499">
        <v>2048</v>
      </c>
      <c r="C26" s="125">
        <v>0</v>
      </c>
      <c r="D26" s="128">
        <v>0</v>
      </c>
      <c r="E26" s="129">
        <v>0</v>
      </c>
      <c r="F26" s="125">
        <f t="shared" si="1"/>
        <v>0</v>
      </c>
      <c r="G26" s="125"/>
      <c r="H26" s="125">
        <v>0</v>
      </c>
      <c r="I26" s="127">
        <f t="shared" si="0"/>
        <v>0</v>
      </c>
    </row>
    <row r="27" spans="2:9" x14ac:dyDescent="0.25">
      <c r="B27" s="499">
        <v>2050</v>
      </c>
      <c r="C27" s="125">
        <v>0</v>
      </c>
      <c r="D27" s="128">
        <v>0</v>
      </c>
      <c r="E27" s="125">
        <v>0</v>
      </c>
      <c r="F27" s="125">
        <f t="shared" si="1"/>
        <v>0</v>
      </c>
      <c r="G27" s="125"/>
      <c r="H27" s="128">
        <v>1000000</v>
      </c>
      <c r="I27" s="127">
        <f t="shared" si="0"/>
        <v>1000000</v>
      </c>
    </row>
    <row r="28" spans="2:9" x14ac:dyDescent="0.25">
      <c r="B28" s="499">
        <v>2052</v>
      </c>
      <c r="C28" s="125">
        <v>0</v>
      </c>
      <c r="D28" s="128">
        <v>0</v>
      </c>
      <c r="E28" s="125">
        <v>0</v>
      </c>
      <c r="F28" s="125">
        <f t="shared" si="1"/>
        <v>0</v>
      </c>
      <c r="G28" s="125"/>
      <c r="H28" s="125">
        <v>0</v>
      </c>
      <c r="I28" s="127">
        <f t="shared" si="0"/>
        <v>0</v>
      </c>
    </row>
    <row r="29" spans="2:9" x14ac:dyDescent="0.25">
      <c r="B29" s="499">
        <v>2054</v>
      </c>
      <c r="C29" s="125">
        <v>0</v>
      </c>
      <c r="D29" s="128">
        <v>0</v>
      </c>
      <c r="E29" s="125">
        <v>0</v>
      </c>
      <c r="F29" s="125">
        <f t="shared" si="1"/>
        <v>0</v>
      </c>
      <c r="G29" s="125"/>
      <c r="H29" s="125">
        <v>0</v>
      </c>
      <c r="I29" s="127">
        <f t="shared" si="0"/>
        <v>0</v>
      </c>
    </row>
    <row r="30" spans="2:9" x14ac:dyDescent="0.25">
      <c r="B30" s="499">
        <v>2056</v>
      </c>
      <c r="C30" s="125">
        <v>0</v>
      </c>
      <c r="D30" s="128">
        <v>0</v>
      </c>
      <c r="E30" s="125">
        <v>0</v>
      </c>
      <c r="F30" s="125">
        <f t="shared" si="1"/>
        <v>0</v>
      </c>
      <c r="G30" s="125"/>
      <c r="H30" s="125">
        <v>0</v>
      </c>
      <c r="I30" s="127">
        <f t="shared" si="0"/>
        <v>0</v>
      </c>
    </row>
    <row r="31" spans="2:9" x14ac:dyDescent="0.25">
      <c r="B31" s="499">
        <v>2058</v>
      </c>
      <c r="C31" s="125">
        <v>0</v>
      </c>
      <c r="D31" s="128">
        <v>0</v>
      </c>
      <c r="E31" s="125">
        <v>0</v>
      </c>
      <c r="F31" s="125">
        <f t="shared" si="1"/>
        <v>0</v>
      </c>
      <c r="G31" s="125"/>
      <c r="H31" s="125">
        <v>0</v>
      </c>
      <c r="I31" s="127">
        <f t="shared" si="0"/>
        <v>0</v>
      </c>
    </row>
    <row r="32" spans="2:9" x14ac:dyDescent="0.25">
      <c r="B32" s="501">
        <v>2060</v>
      </c>
      <c r="C32" s="125">
        <v>0</v>
      </c>
      <c r="D32" s="125">
        <v>3000000</v>
      </c>
      <c r="E32" s="125">
        <v>0</v>
      </c>
      <c r="F32" s="125">
        <f t="shared" si="1"/>
        <v>3000000</v>
      </c>
      <c r="G32" s="125"/>
      <c r="H32" s="125">
        <v>1000000</v>
      </c>
      <c r="I32" s="127">
        <f t="shared" si="0"/>
        <v>1000000</v>
      </c>
    </row>
    <row r="33" spans="2:9" ht="16.5" thickBot="1" x14ac:dyDescent="0.3">
      <c r="B33" s="497" t="s">
        <v>135</v>
      </c>
      <c r="C33" s="132">
        <f>SUM(C5:C32)</f>
        <v>0</v>
      </c>
      <c r="D33" s="132">
        <f t="shared" ref="D33:E33" si="2">SUM(D5:D32)</f>
        <v>8000000</v>
      </c>
      <c r="E33" s="132">
        <f t="shared" si="2"/>
        <v>147839</v>
      </c>
      <c r="F33" s="132">
        <f>SUM(F5:F32)</f>
        <v>8147839</v>
      </c>
      <c r="G33" s="132"/>
      <c r="H33" s="132">
        <f t="shared" ref="H33:I33" si="3">SUM(H5:H32)</f>
        <v>2000000</v>
      </c>
      <c r="I33" s="132">
        <f t="shared" si="3"/>
        <v>2000000</v>
      </c>
    </row>
    <row r="34" spans="2:9" x14ac:dyDescent="0.25"/>
  </sheetData>
  <mergeCells count="3">
    <mergeCell ref="B3:B4"/>
    <mergeCell ref="C3:F3"/>
    <mergeCell ref="H3:I3"/>
  </mergeCells>
  <pageMargins left="0.7" right="0.7" top="0.75" bottom="0.75" header="0.3" footer="0.3"/>
  <pageSetup orientation="portrait" r:id="rId1"/>
  <ignoredErrors>
    <ignoredError sqref="F5:F3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3E14-5509-443A-9B35-01DEEE673D46}">
  <sheetPr>
    <tabColor theme="5" tint="-0.249977111117893"/>
  </sheetPr>
  <dimension ref="A2"/>
  <sheetViews>
    <sheetView workbookViewId="0">
      <selection activeCell="I17" sqref="I17"/>
    </sheetView>
  </sheetViews>
  <sheetFormatPr defaultColWidth="8.85546875" defaultRowHeight="15" x14ac:dyDescent="0.25"/>
  <sheetData>
    <row r="2" spans="1:1" x14ac:dyDescent="0.25">
      <c r="A2" s="13" t="s">
        <v>142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322D-A662-44AC-9490-AB52EFDDAC5E}">
  <sheetPr>
    <tabColor theme="9" tint="0.59999389629810485"/>
  </sheetPr>
  <dimension ref="A1:U6"/>
  <sheetViews>
    <sheetView workbookViewId="0">
      <selection activeCell="Q15" sqref="Q15"/>
    </sheetView>
  </sheetViews>
  <sheetFormatPr defaultRowHeight="15" x14ac:dyDescent="0.25"/>
  <cols>
    <col min="2" max="2" width="9.5703125" bestFit="1" customWidth="1"/>
  </cols>
  <sheetData>
    <row r="1" spans="1:21" ht="18.75" x14ac:dyDescent="0.3">
      <c r="A1" s="4" t="s">
        <v>143</v>
      </c>
    </row>
    <row r="5" spans="1:21" x14ac:dyDescent="0.25">
      <c r="B5">
        <v>2024</v>
      </c>
      <c r="C5">
        <f>B5+1</f>
        <v>2025</v>
      </c>
      <c r="D5">
        <f t="shared" ref="D5:U5" si="0">C5+1</f>
        <v>2026</v>
      </c>
      <c r="E5">
        <f t="shared" si="0"/>
        <v>2027</v>
      </c>
      <c r="F5">
        <f t="shared" si="0"/>
        <v>2028</v>
      </c>
      <c r="G5">
        <f t="shared" si="0"/>
        <v>2029</v>
      </c>
      <c r="H5">
        <f t="shared" si="0"/>
        <v>2030</v>
      </c>
      <c r="I5">
        <f t="shared" si="0"/>
        <v>2031</v>
      </c>
      <c r="J5">
        <f t="shared" si="0"/>
        <v>2032</v>
      </c>
      <c r="K5">
        <f t="shared" si="0"/>
        <v>2033</v>
      </c>
      <c r="L5">
        <f t="shared" si="0"/>
        <v>2034</v>
      </c>
      <c r="M5">
        <f t="shared" si="0"/>
        <v>2035</v>
      </c>
      <c r="N5">
        <f t="shared" si="0"/>
        <v>2036</v>
      </c>
      <c r="O5">
        <f t="shared" si="0"/>
        <v>2037</v>
      </c>
      <c r="P5" s="30">
        <f t="shared" si="0"/>
        <v>2038</v>
      </c>
      <c r="Q5">
        <f t="shared" si="0"/>
        <v>2039</v>
      </c>
      <c r="R5">
        <f t="shared" si="0"/>
        <v>2040</v>
      </c>
      <c r="S5">
        <f t="shared" si="0"/>
        <v>2041</v>
      </c>
      <c r="T5">
        <f t="shared" si="0"/>
        <v>2042</v>
      </c>
      <c r="U5">
        <f t="shared" si="0"/>
        <v>2043</v>
      </c>
    </row>
    <row r="6" spans="1:21" x14ac:dyDescent="0.25">
      <c r="B6" s="31" t="e">
        <f>#REF!*#REF!</f>
        <v>#REF!</v>
      </c>
      <c r="C6" s="31" t="e">
        <f>B6</f>
        <v>#REF!</v>
      </c>
      <c r="D6" s="31" t="e">
        <f t="shared" ref="D6:U6" si="1">C6</f>
        <v>#REF!</v>
      </c>
      <c r="E6" s="31" t="e">
        <f t="shared" si="1"/>
        <v>#REF!</v>
      </c>
      <c r="F6" s="31" t="e">
        <f t="shared" si="1"/>
        <v>#REF!</v>
      </c>
      <c r="G6" s="31" t="e">
        <f t="shared" si="1"/>
        <v>#REF!</v>
      </c>
      <c r="H6" s="31" t="e">
        <f t="shared" si="1"/>
        <v>#REF!</v>
      </c>
      <c r="I6" s="31" t="e">
        <f t="shared" si="1"/>
        <v>#REF!</v>
      </c>
      <c r="J6" s="31" t="e">
        <f t="shared" si="1"/>
        <v>#REF!</v>
      </c>
      <c r="K6" s="31" t="e">
        <f t="shared" si="1"/>
        <v>#REF!</v>
      </c>
      <c r="L6" s="31" t="e">
        <f t="shared" si="1"/>
        <v>#REF!</v>
      </c>
      <c r="M6" s="31" t="e">
        <f t="shared" si="1"/>
        <v>#REF!</v>
      </c>
      <c r="N6" s="31" t="e">
        <f t="shared" si="1"/>
        <v>#REF!</v>
      </c>
      <c r="O6" s="31" t="e">
        <f t="shared" si="1"/>
        <v>#REF!</v>
      </c>
      <c r="P6" s="31" t="e">
        <f t="shared" si="1"/>
        <v>#REF!</v>
      </c>
      <c r="Q6" s="31" t="e">
        <f t="shared" si="1"/>
        <v>#REF!</v>
      </c>
      <c r="R6" s="31" t="e">
        <f t="shared" si="1"/>
        <v>#REF!</v>
      </c>
      <c r="S6" s="31" t="e">
        <f t="shared" si="1"/>
        <v>#REF!</v>
      </c>
      <c r="T6" s="31" t="e">
        <f t="shared" si="1"/>
        <v>#REF!</v>
      </c>
      <c r="U6" s="31" t="e">
        <f t="shared" si="1"/>
        <v>#REF!</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0E9-75DB-4D8C-BC23-9AC73A49B24C}">
  <sheetPr>
    <tabColor theme="9" tint="0.39997558519241921"/>
  </sheetPr>
  <dimension ref="A1:AG23"/>
  <sheetViews>
    <sheetView topLeftCell="W1" zoomScale="75" zoomScaleNormal="75" workbookViewId="0">
      <selection activeCell="AF18" sqref="AF18"/>
    </sheetView>
  </sheetViews>
  <sheetFormatPr defaultColWidth="8.7109375" defaultRowHeight="15" x14ac:dyDescent="0.25"/>
  <cols>
    <col min="1" max="1" width="30.5703125" customWidth="1"/>
    <col min="2" max="13" width="11.5703125" customWidth="1"/>
    <col min="14" max="33" width="12.5703125" customWidth="1"/>
  </cols>
  <sheetData>
    <row r="1" spans="1:33" ht="21" x14ac:dyDescent="0.35">
      <c r="A1" s="174" t="s">
        <v>144</v>
      </c>
      <c r="B1" s="22"/>
      <c r="C1" s="22"/>
      <c r="D1" s="22"/>
      <c r="E1" s="22"/>
      <c r="F1" s="22"/>
    </row>
    <row r="2" spans="1:33" ht="29.1" customHeight="1" x14ac:dyDescent="0.25">
      <c r="B2" s="106"/>
      <c r="C2" s="106"/>
      <c r="D2" s="106"/>
      <c r="E2" s="106"/>
      <c r="F2" s="106"/>
    </row>
    <row r="3" spans="1:33" x14ac:dyDescent="0.25">
      <c r="A3" s="1" t="s">
        <v>47</v>
      </c>
      <c r="B3" s="1"/>
      <c r="C3" s="1"/>
      <c r="D3" s="1"/>
      <c r="E3" s="1"/>
      <c r="F3" s="1"/>
      <c r="N3">
        <v>1</v>
      </c>
      <c r="O3">
        <f t="shared" ref="O3:AC4" si="0">N3+1</f>
        <v>2</v>
      </c>
      <c r="P3">
        <f t="shared" si="0"/>
        <v>3</v>
      </c>
      <c r="Q3">
        <f t="shared" si="0"/>
        <v>4</v>
      </c>
      <c r="R3">
        <f t="shared" si="0"/>
        <v>5</v>
      </c>
      <c r="S3">
        <f t="shared" si="0"/>
        <v>6</v>
      </c>
      <c r="T3">
        <f t="shared" si="0"/>
        <v>7</v>
      </c>
      <c r="U3">
        <f t="shared" si="0"/>
        <v>8</v>
      </c>
      <c r="V3">
        <f t="shared" si="0"/>
        <v>9</v>
      </c>
      <c r="W3">
        <f t="shared" si="0"/>
        <v>10</v>
      </c>
      <c r="X3">
        <f t="shared" si="0"/>
        <v>11</v>
      </c>
      <c r="Y3">
        <f t="shared" si="0"/>
        <v>12</v>
      </c>
      <c r="Z3">
        <f t="shared" si="0"/>
        <v>13</v>
      </c>
      <c r="AA3">
        <f t="shared" si="0"/>
        <v>14</v>
      </c>
      <c r="AB3">
        <f t="shared" si="0"/>
        <v>15</v>
      </c>
      <c r="AC3">
        <f t="shared" si="0"/>
        <v>16</v>
      </c>
      <c r="AD3">
        <f t="shared" ref="AD3:AD4" si="1">AC3+1</f>
        <v>17</v>
      </c>
      <c r="AE3">
        <f t="shared" ref="AE3:AE4" si="2">AD3+1</f>
        <v>18</v>
      </c>
      <c r="AF3">
        <f t="shared" ref="AF3:AF4" si="3">AE3+1</f>
        <v>19</v>
      </c>
      <c r="AG3">
        <f t="shared" ref="AG3:AG4" si="4">AF3+1</f>
        <v>20</v>
      </c>
    </row>
    <row r="4" spans="1:33" x14ac:dyDescent="0.25">
      <c r="N4">
        <v>2030</v>
      </c>
      <c r="O4">
        <f t="shared" ref="O4:AB4" si="5">N4+1</f>
        <v>2031</v>
      </c>
      <c r="P4">
        <f t="shared" si="5"/>
        <v>2032</v>
      </c>
      <c r="Q4">
        <f t="shared" si="5"/>
        <v>2033</v>
      </c>
      <c r="R4">
        <f t="shared" si="5"/>
        <v>2034</v>
      </c>
      <c r="S4">
        <f t="shared" si="5"/>
        <v>2035</v>
      </c>
      <c r="T4">
        <f t="shared" si="5"/>
        <v>2036</v>
      </c>
      <c r="U4">
        <f t="shared" si="5"/>
        <v>2037</v>
      </c>
      <c r="V4">
        <f t="shared" si="5"/>
        <v>2038</v>
      </c>
      <c r="W4">
        <f t="shared" si="5"/>
        <v>2039</v>
      </c>
      <c r="X4">
        <f t="shared" si="5"/>
        <v>2040</v>
      </c>
      <c r="Y4">
        <f t="shared" si="5"/>
        <v>2041</v>
      </c>
      <c r="Z4">
        <f t="shared" si="5"/>
        <v>2042</v>
      </c>
      <c r="AA4">
        <f t="shared" si="5"/>
        <v>2043</v>
      </c>
      <c r="AB4">
        <f t="shared" si="5"/>
        <v>2044</v>
      </c>
      <c r="AC4">
        <f t="shared" si="0"/>
        <v>2045</v>
      </c>
      <c r="AD4">
        <f t="shared" si="1"/>
        <v>2046</v>
      </c>
      <c r="AE4">
        <f t="shared" si="2"/>
        <v>2047</v>
      </c>
      <c r="AF4">
        <f t="shared" si="3"/>
        <v>2048</v>
      </c>
      <c r="AG4">
        <f t="shared" si="4"/>
        <v>2049</v>
      </c>
    </row>
    <row r="5" spans="1:33" x14ac:dyDescent="0.25">
      <c r="B5" s="22"/>
      <c r="C5" s="22"/>
      <c r="D5" s="22"/>
      <c r="E5" s="22"/>
      <c r="F5" s="22"/>
    </row>
    <row r="6" spans="1:33" x14ac:dyDescent="0.25">
      <c r="A6" t="s">
        <v>145</v>
      </c>
      <c r="H6" s="15"/>
      <c r="I6" s="15"/>
      <c r="J6" s="15"/>
      <c r="K6" s="15"/>
      <c r="L6" s="15"/>
      <c r="M6" s="15"/>
      <c r="N6" s="15"/>
      <c r="O6" s="15"/>
      <c r="P6" s="15"/>
      <c r="Q6" s="15"/>
      <c r="R6" s="15"/>
      <c r="S6" s="15"/>
      <c r="T6" s="15"/>
      <c r="U6" s="15"/>
      <c r="V6" s="15"/>
      <c r="W6" s="15"/>
      <c r="X6" s="15"/>
      <c r="Y6" s="15"/>
      <c r="Z6" s="15"/>
      <c r="AA6" s="15"/>
      <c r="AB6" s="15"/>
      <c r="AC6" s="15"/>
      <c r="AD6" s="15"/>
    </row>
    <row r="7" spans="1:33" x14ac:dyDescent="0.25">
      <c r="A7" s="1" t="s">
        <v>146</v>
      </c>
      <c r="B7" s="7">
        <f>SUM(K7:AG7)</f>
        <v>3919842.1608080845</v>
      </c>
      <c r="C7" s="7"/>
      <c r="D7" s="7"/>
      <c r="E7" s="7"/>
      <c r="F7" s="7"/>
      <c r="G7" s="6"/>
      <c r="H7" s="6"/>
      <c r="I7" s="6"/>
      <c r="J7" s="6"/>
      <c r="K7" s="6"/>
      <c r="L7" s="6"/>
      <c r="M7" s="6"/>
      <c r="N7" s="6">
        <f>($D17+$F17+$H17+$J17)*M17/60*'Look Up Data'!B8*'Look Up Data'!$B$9</f>
        <v>175720.5826609052</v>
      </c>
      <c r="O7" s="6">
        <f>N7*(1+'Look Up Data'!$B$24)</f>
        <v>178355.43833577167</v>
      </c>
      <c r="P7" s="6">
        <f>O7*(1+'Look Up Data'!$B$24)</f>
        <v>181029.80255495463</v>
      </c>
      <c r="Q7" s="6">
        <f>P7*(1+'Look Up Data'!$B$24)</f>
        <v>183744.26773233421</v>
      </c>
      <c r="R7" s="6">
        <f>Q7*(1+'Look Up Data'!$B$24)</f>
        <v>186499.43516478568</v>
      </c>
      <c r="S7" s="6">
        <f>R7*(1+'Look Up Data'!$B$24)</f>
        <v>189295.91516537615</v>
      </c>
      <c r="T7" s="6">
        <f>S7*(1+'Look Up Data'!$B$24)</f>
        <v>192134.32719855855</v>
      </c>
      <c r="U7" s="6">
        <f>T7*(1+'Look Up Data'!$B$24)</f>
        <v>195015.30001739273</v>
      </c>
      <c r="V7" s="6">
        <f>U7*(1+'Look Up Data'!$B$24)</f>
        <v>197939.47180282429</v>
      </c>
      <c r="W7" s="6">
        <f>V7*(1+'Look Up Data'!$B$24)</f>
        <v>200907.49030505167</v>
      </c>
      <c r="X7" s="6">
        <f>W7*(1+'Look Up Data'!$B$24)</f>
        <v>203920.01298701303</v>
      </c>
      <c r="Y7" s="6">
        <f>X7</f>
        <v>203920.01298701303</v>
      </c>
      <c r="Z7" s="6">
        <f t="shared" ref="Z7:AG7" si="6">Y7</f>
        <v>203920.01298701303</v>
      </c>
      <c r="AA7" s="6">
        <f t="shared" si="6"/>
        <v>203920.01298701303</v>
      </c>
      <c r="AB7" s="6">
        <f t="shared" si="6"/>
        <v>203920.01298701303</v>
      </c>
      <c r="AC7" s="6">
        <f t="shared" si="6"/>
        <v>203920.01298701303</v>
      </c>
      <c r="AD7" s="6">
        <f t="shared" si="6"/>
        <v>203920.01298701303</v>
      </c>
      <c r="AE7" s="6">
        <f t="shared" si="6"/>
        <v>203920.01298701303</v>
      </c>
      <c r="AF7" s="6">
        <f t="shared" si="6"/>
        <v>203920.01298701303</v>
      </c>
      <c r="AG7" s="6">
        <f t="shared" si="6"/>
        <v>203920.01298701303</v>
      </c>
    </row>
    <row r="8" spans="1:33" x14ac:dyDescent="0.25">
      <c r="A8" s="1" t="s">
        <v>23</v>
      </c>
      <c r="B8" s="7">
        <f>SUM(K8:AG8)</f>
        <v>164304.76123147667</v>
      </c>
      <c r="C8" s="7"/>
      <c r="D8" s="7"/>
      <c r="E8" s="7"/>
      <c r="F8" s="7"/>
      <c r="G8" s="6"/>
      <c r="H8" s="6"/>
      <c r="I8" s="6"/>
      <c r="J8" s="6"/>
      <c r="K8" s="6"/>
      <c r="L8" s="6"/>
      <c r="M8" s="6"/>
      <c r="N8" s="6">
        <f>($D18+$F18+$H18+$J18)*M17/60*'Look Up Data'!$B$8</f>
        <v>7365.5334049481235</v>
      </c>
      <c r="O8" s="6">
        <f>N8*(1+'Look Up Data'!$B$24)</f>
        <v>7475.9764571880351</v>
      </c>
      <c r="P8" s="6">
        <f>O8*(1+'Look Up Data'!$B$24)</f>
        <v>7588.0755561957039</v>
      </c>
      <c r="Q8" s="6">
        <f>P8*(1+'Look Up Data'!$B$24)</f>
        <v>7701.8555336906566</v>
      </c>
      <c r="R8" s="6">
        <f>Q8*(1+'Look Up Data'!$B$24)</f>
        <v>7817.341593733533</v>
      </c>
      <c r="S8" s="6">
        <f>R8*(1+'Look Up Data'!$B$24)</f>
        <v>7934.5593183091814</v>
      </c>
      <c r="T8" s="6">
        <f>S8*(1+'Look Up Data'!$B$24)</f>
        <v>8053.5346729934727</v>
      </c>
      <c r="U8" s="6">
        <f>T8*(1+'Look Up Data'!$B$24)</f>
        <v>8174.2940127050852</v>
      </c>
      <c r="V8" s="6">
        <f>U8*(1+'Look Up Data'!$B$24)</f>
        <v>8296.864087543534</v>
      </c>
      <c r="W8" s="6">
        <f>V8*(1+'Look Up Data'!$B$24)</f>
        <v>8421.2720487147417</v>
      </c>
      <c r="X8" s="6">
        <f>W8*(1+'Look Up Data'!$B$24)</f>
        <v>8547.5454545454577</v>
      </c>
      <c r="Y8" s="6">
        <f>X8</f>
        <v>8547.5454545454577</v>
      </c>
      <c r="Z8" s="6">
        <f t="shared" ref="Z8:AG8" si="7">Y8</f>
        <v>8547.5454545454577</v>
      </c>
      <c r="AA8" s="6">
        <f t="shared" si="7"/>
        <v>8547.5454545454577</v>
      </c>
      <c r="AB8" s="6">
        <f t="shared" si="7"/>
        <v>8547.5454545454577</v>
      </c>
      <c r="AC8" s="6">
        <f t="shared" si="7"/>
        <v>8547.5454545454577</v>
      </c>
      <c r="AD8" s="6">
        <f t="shared" si="7"/>
        <v>8547.5454545454577</v>
      </c>
      <c r="AE8" s="6">
        <f t="shared" si="7"/>
        <v>8547.5454545454577</v>
      </c>
      <c r="AF8" s="6">
        <f t="shared" si="7"/>
        <v>8547.5454545454577</v>
      </c>
      <c r="AG8" s="6">
        <f t="shared" si="7"/>
        <v>8547.5454545454577</v>
      </c>
    </row>
    <row r="9" spans="1:33" x14ac:dyDescent="0.25">
      <c r="H9" s="15"/>
      <c r="I9" s="15"/>
      <c r="J9" s="15"/>
      <c r="K9" s="15"/>
      <c r="L9" s="15"/>
      <c r="M9" s="15"/>
      <c r="N9" s="15"/>
      <c r="O9" s="15"/>
      <c r="P9" s="15"/>
      <c r="Q9" s="15"/>
      <c r="R9" s="15"/>
      <c r="S9" s="15"/>
      <c r="T9" s="15"/>
      <c r="U9" s="15"/>
      <c r="V9" s="15"/>
      <c r="W9" s="15"/>
      <c r="X9" s="15"/>
      <c r="Y9" s="15"/>
      <c r="Z9" s="15"/>
      <c r="AA9" s="15"/>
      <c r="AB9" s="15"/>
      <c r="AC9" s="15"/>
      <c r="AD9" s="15"/>
    </row>
    <row r="10" spans="1:33" x14ac:dyDescent="0.25">
      <c r="H10" s="15"/>
      <c r="I10" s="15"/>
      <c r="J10" s="15"/>
      <c r="K10" s="15"/>
      <c r="L10" s="15"/>
      <c r="M10" s="15"/>
      <c r="N10" s="15"/>
      <c r="O10" s="15"/>
      <c r="P10" s="15"/>
      <c r="Q10" s="15"/>
      <c r="R10" s="15"/>
      <c r="S10" s="15"/>
      <c r="T10" s="15"/>
      <c r="U10" s="15"/>
      <c r="V10" s="15"/>
      <c r="W10" s="15"/>
      <c r="X10" s="15"/>
      <c r="Y10" s="15"/>
      <c r="Z10" s="15"/>
      <c r="AA10" s="15"/>
      <c r="AB10" s="15"/>
      <c r="AC10" s="15"/>
      <c r="AD10" s="15"/>
    </row>
    <row r="11" spans="1:33" ht="15.75" thickBot="1" x14ac:dyDescent="0.3">
      <c r="A11" s="13" t="s">
        <v>147</v>
      </c>
      <c r="H11" s="15"/>
      <c r="I11" s="15"/>
      <c r="J11" s="15"/>
      <c r="K11" s="15"/>
      <c r="L11" s="15"/>
      <c r="M11" s="15"/>
      <c r="N11" s="15"/>
      <c r="O11" s="15"/>
      <c r="P11" s="15"/>
      <c r="Q11" s="15"/>
      <c r="R11" s="15"/>
      <c r="S11" s="15"/>
      <c r="T11" s="15"/>
      <c r="U11" s="15"/>
      <c r="V11" s="15"/>
      <c r="W11" s="15"/>
      <c r="X11" s="15"/>
      <c r="Y11" s="15"/>
      <c r="Z11" s="15"/>
      <c r="AA11" s="15"/>
      <c r="AB11" s="15"/>
      <c r="AC11" s="15"/>
      <c r="AD11" s="15"/>
    </row>
    <row r="12" spans="1:33" ht="15.75" thickBot="1" x14ac:dyDescent="0.3">
      <c r="A12" s="45"/>
      <c r="B12" s="28"/>
      <c r="C12" s="350" t="s">
        <v>148</v>
      </c>
      <c r="D12" s="597" t="s">
        <v>149</v>
      </c>
      <c r="E12" s="597"/>
      <c r="F12" s="598"/>
      <c r="G12" s="345" t="s">
        <v>148</v>
      </c>
      <c r="H12" s="599" t="s">
        <v>150</v>
      </c>
      <c r="I12" s="599"/>
      <c r="J12" s="600"/>
      <c r="K12" s="63"/>
      <c r="L12" s="63"/>
      <c r="M12" s="332"/>
      <c r="N12" s="15"/>
      <c r="O12" s="15"/>
      <c r="P12" s="15"/>
      <c r="Q12" s="15"/>
      <c r="R12" s="15"/>
      <c r="S12" s="15"/>
      <c r="T12" s="15"/>
      <c r="U12" s="15"/>
      <c r="V12" s="15"/>
      <c r="W12" s="15"/>
      <c r="X12" s="15"/>
      <c r="Y12" s="15"/>
      <c r="Z12" s="15"/>
      <c r="AA12" s="15"/>
      <c r="AB12" s="15"/>
      <c r="AC12" s="15"/>
      <c r="AD12" s="15"/>
    </row>
    <row r="13" spans="1:33" ht="60.75" thickBot="1" x14ac:dyDescent="0.3">
      <c r="A13" s="39"/>
      <c r="C13" s="339" t="s">
        <v>151</v>
      </c>
      <c r="D13" s="347" t="s">
        <v>152</v>
      </c>
      <c r="E13" s="348" t="s">
        <v>153</v>
      </c>
      <c r="F13" s="349" t="s">
        <v>154</v>
      </c>
      <c r="G13" s="343" t="s">
        <v>155</v>
      </c>
      <c r="H13" s="340" t="s">
        <v>156</v>
      </c>
      <c r="I13" s="341" t="s">
        <v>157</v>
      </c>
      <c r="J13" s="342" t="s">
        <v>158</v>
      </c>
      <c r="K13" s="375" t="s">
        <v>159</v>
      </c>
      <c r="L13" s="375" t="s">
        <v>160</v>
      </c>
      <c r="M13" s="377" t="s">
        <v>161</v>
      </c>
      <c r="N13" s="15"/>
      <c r="O13" s="15"/>
      <c r="P13" s="15"/>
      <c r="Q13" s="15"/>
      <c r="R13" s="15"/>
      <c r="S13" s="15"/>
      <c r="T13" s="15"/>
      <c r="U13" s="15"/>
      <c r="V13" s="15"/>
      <c r="W13" s="15"/>
      <c r="X13" s="15"/>
      <c r="Y13" s="15"/>
      <c r="Z13" s="15"/>
      <c r="AA13" s="15"/>
      <c r="AB13" s="15"/>
      <c r="AC13" s="15"/>
      <c r="AD13" s="15"/>
    </row>
    <row r="14" spans="1:33" x14ac:dyDescent="0.25">
      <c r="A14" s="334"/>
      <c r="C14" s="55"/>
      <c r="D14" s="55"/>
      <c r="E14" s="55"/>
      <c r="F14" s="55"/>
      <c r="G14" s="335"/>
      <c r="H14" s="55"/>
      <c r="I14" s="55"/>
      <c r="J14" s="55"/>
      <c r="K14" s="15"/>
      <c r="L14" s="15"/>
      <c r="M14" s="333"/>
      <c r="N14" s="15"/>
      <c r="O14" s="15"/>
      <c r="P14" s="15"/>
      <c r="Q14" s="15"/>
      <c r="R14" s="15"/>
      <c r="S14" s="15"/>
      <c r="T14" s="15"/>
      <c r="U14" s="15"/>
      <c r="V14" s="15"/>
      <c r="W14" s="15"/>
      <c r="X14" s="15"/>
      <c r="Y14" s="15"/>
      <c r="Z14" s="15"/>
      <c r="AA14" s="15"/>
      <c r="AB14" s="15"/>
      <c r="AC14" s="15"/>
      <c r="AD14" s="15"/>
    </row>
    <row r="15" spans="1:33" ht="20.100000000000001" customHeight="1" x14ac:dyDescent="0.25">
      <c r="A15" s="601" t="s">
        <v>162</v>
      </c>
      <c r="B15" s="329" t="s">
        <v>163</v>
      </c>
      <c r="C15" s="551">
        <f>69230*(1-$B$22)</f>
        <v>64383.899999999994</v>
      </c>
      <c r="D15" s="338">
        <f>C15*(1/24)*1.5</f>
        <v>4023.9937499999992</v>
      </c>
      <c r="E15" s="551">
        <f>59670*(1-$B$22)</f>
        <v>55493.1</v>
      </c>
      <c r="F15" s="338">
        <f>E15*(1/24)*1.5</f>
        <v>3468.3187499999995</v>
      </c>
      <c r="G15" s="551">
        <f>69230*(1-$B$22)</f>
        <v>64383.899999999994</v>
      </c>
      <c r="H15" s="338">
        <f>G15*(1/24)*1.5</f>
        <v>4023.9937499999992</v>
      </c>
      <c r="I15" s="551">
        <f>59670*(1-$B$22)</f>
        <v>55493.1</v>
      </c>
      <c r="J15" s="338">
        <f>I15*(1/24)*1.5</f>
        <v>3468.3187499999995</v>
      </c>
      <c r="K15" s="330"/>
      <c r="L15" s="330"/>
      <c r="M15" s="336"/>
      <c r="N15" s="330"/>
      <c r="P15">
        <v>59670</v>
      </c>
    </row>
    <row r="16" spans="1:33" ht="20.100000000000001" customHeight="1" thickBot="1" x14ac:dyDescent="0.3">
      <c r="A16" s="601"/>
      <c r="B16" s="329" t="s">
        <v>164</v>
      </c>
      <c r="C16" s="551">
        <f>C15/0.93*$B$22</f>
        <v>4846.0999999999995</v>
      </c>
      <c r="D16" s="338">
        <f>D15*B22</f>
        <v>281.67956249999997</v>
      </c>
      <c r="E16" s="551">
        <f>E15/0.93*$B$22</f>
        <v>4176.8999999999996</v>
      </c>
      <c r="F16" s="338">
        <f>F15*B22</f>
        <v>242.78231249999999</v>
      </c>
      <c r="G16" s="551">
        <f>G15/0.93*$B$22</f>
        <v>4846.0999999999995</v>
      </c>
      <c r="H16" s="338">
        <f>H15*B22</f>
        <v>281.67956249999997</v>
      </c>
      <c r="I16" s="551">
        <f>I15/0.93*$B$22</f>
        <v>4176.8999999999996</v>
      </c>
      <c r="J16" s="346">
        <f>J15*B22</f>
        <v>242.78231249999999</v>
      </c>
      <c r="K16" s="331"/>
      <c r="L16" s="331"/>
      <c r="M16" s="337"/>
      <c r="N16" s="331"/>
    </row>
    <row r="17" spans="1:24" ht="20.100000000000001" customHeight="1" x14ac:dyDescent="0.25">
      <c r="A17" s="601" t="s">
        <v>165</v>
      </c>
      <c r="B17" s="329" t="s">
        <v>166</v>
      </c>
      <c r="C17" s="338">
        <f>C15*(1+'Look Up Data'!$B$24)^8</f>
        <v>72524.885620250119</v>
      </c>
      <c r="D17" s="338">
        <f>D15*(1+'Look Up Data'!$B$24)^8</f>
        <v>4532.8053512656325</v>
      </c>
      <c r="E17" s="338">
        <f>E15*(1+'Look Up Data'!$B$24)^8</f>
        <v>62509.893470465482</v>
      </c>
      <c r="F17" s="338">
        <f>F15*(1+'Look Up Data'!$B$24)^8</f>
        <v>3906.8683419040922</v>
      </c>
      <c r="G17" s="338">
        <f>G15*(1+'Look Up Data'!$B$24)^8</f>
        <v>72524.885620250119</v>
      </c>
      <c r="H17" s="338">
        <f>H15*(1+'Look Up Data'!$B$24)^8</f>
        <v>4532.8053512656325</v>
      </c>
      <c r="I17" s="338">
        <f>I15*(1+'Look Up Data'!$B$24)^8</f>
        <v>62509.893470465482</v>
      </c>
      <c r="J17" s="338">
        <f>J15*(1+'Look Up Data'!$B$24)^8</f>
        <v>3906.8683419040922</v>
      </c>
      <c r="K17" s="376">
        <f>2/35*60</f>
        <v>3.4285714285714284</v>
      </c>
      <c r="L17" s="376">
        <f>2/55*60</f>
        <v>2.1818181818181817</v>
      </c>
      <c r="M17" s="378">
        <f>(K17-L17)</f>
        <v>1.2467532467532467</v>
      </c>
      <c r="N17" s="330"/>
      <c r="U17" s="2"/>
      <c r="V17" s="2"/>
      <c r="W17" s="15"/>
      <c r="X17" s="15"/>
    </row>
    <row r="18" spans="1:24" ht="20.100000000000001" customHeight="1" x14ac:dyDescent="0.25">
      <c r="A18" s="601"/>
      <c r="B18" s="329" t="s">
        <v>164</v>
      </c>
      <c r="C18" s="338">
        <f>C17*$B$22</f>
        <v>5076.7419934175086</v>
      </c>
      <c r="D18" s="338">
        <f t="shared" ref="D18:J18" si="8">D17*$B$22</f>
        <v>317.29637458859429</v>
      </c>
      <c r="E18" s="338">
        <f t="shared" si="8"/>
        <v>4375.6925429325838</v>
      </c>
      <c r="F18" s="338">
        <f t="shared" si="8"/>
        <v>273.48078393328649</v>
      </c>
      <c r="G18" s="338">
        <f t="shared" si="8"/>
        <v>5076.7419934175086</v>
      </c>
      <c r="H18" s="338">
        <f t="shared" si="8"/>
        <v>317.29637458859429</v>
      </c>
      <c r="I18" s="338">
        <f t="shared" si="8"/>
        <v>4375.6925429325838</v>
      </c>
      <c r="J18" s="338">
        <f t="shared" si="8"/>
        <v>273.48078393328649</v>
      </c>
      <c r="K18" s="331"/>
      <c r="L18" s="331"/>
      <c r="M18" s="379"/>
      <c r="N18" s="331"/>
      <c r="O18" s="552">
        <f>((I19+I20+G19+G20)/(I15+I16+G15+G16))^(1/18)</f>
        <v>1.0149945762469446</v>
      </c>
      <c r="U18" s="15"/>
      <c r="V18" s="15"/>
      <c r="W18" s="15"/>
      <c r="X18" s="15"/>
    </row>
    <row r="19" spans="1:24" ht="20.100000000000001" customHeight="1" thickBot="1" x14ac:dyDescent="0.3">
      <c r="A19" s="601" t="s">
        <v>167</v>
      </c>
      <c r="B19" s="329" t="s">
        <v>163</v>
      </c>
      <c r="C19" s="551">
        <f>90500*(1-$B$22)</f>
        <v>84165</v>
      </c>
      <c r="D19" s="338">
        <f>C19*(1/24)*1.5</f>
        <v>5260.3125</v>
      </c>
      <c r="E19" s="551">
        <f>78000*(1-$B$22)</f>
        <v>72540</v>
      </c>
      <c r="F19" s="338">
        <f>E19*(1/24)*1.5</f>
        <v>4533.75</v>
      </c>
      <c r="G19" s="551">
        <f>90500*(1-$B$22)</f>
        <v>84165</v>
      </c>
      <c r="H19" s="338">
        <f>G19*(1/24)*1.5</f>
        <v>5260.3125</v>
      </c>
      <c r="I19" s="551">
        <f>78000*(1-$B$22)</f>
        <v>72540</v>
      </c>
      <c r="J19" s="338">
        <f>I19*(1/24)*1.5</f>
        <v>4533.75</v>
      </c>
      <c r="K19" s="376">
        <f>2/30*60</f>
        <v>4</v>
      </c>
      <c r="L19" s="376">
        <f>2/55*60</f>
        <v>2.1818181818181817</v>
      </c>
      <c r="M19" s="380">
        <f>(K19-L19)</f>
        <v>1.8181818181818183</v>
      </c>
      <c r="N19" s="330"/>
      <c r="T19" t="s">
        <v>12</v>
      </c>
      <c r="U19" s="15"/>
      <c r="V19" s="15"/>
      <c r="W19" s="15"/>
      <c r="X19" s="15"/>
    </row>
    <row r="20" spans="1:24" ht="20.100000000000001" customHeight="1" x14ac:dyDescent="0.25">
      <c r="A20" s="601"/>
      <c r="B20" s="329" t="s">
        <v>164</v>
      </c>
      <c r="C20" s="551">
        <f>C19/0.93*$B$22</f>
        <v>6335.0000000000009</v>
      </c>
      <c r="D20" s="338">
        <f>D19*B22</f>
        <v>368.22187500000001</v>
      </c>
      <c r="E20" s="551">
        <f>E19/0.93*$B$22</f>
        <v>5460.0000000000009</v>
      </c>
      <c r="F20" s="338">
        <f>F19*B22</f>
        <v>317.36250000000001</v>
      </c>
      <c r="G20" s="551">
        <f>G19/0.93*$B$22</f>
        <v>6335.0000000000009</v>
      </c>
      <c r="H20" s="346">
        <f>H19*B22</f>
        <v>368.22187500000001</v>
      </c>
      <c r="I20" s="551">
        <f>I19/0.93*$B$22</f>
        <v>5460.0000000000009</v>
      </c>
      <c r="J20" s="346">
        <f>J19*B22</f>
        <v>317.36250000000001</v>
      </c>
      <c r="K20" s="331"/>
      <c r="L20" s="331"/>
      <c r="M20" s="337"/>
      <c r="N20" s="331"/>
      <c r="T20" s="61"/>
      <c r="W20" s="6"/>
      <c r="X20" s="6"/>
    </row>
    <row r="21" spans="1:24" x14ac:dyDescent="0.25">
      <c r="A21" s="39"/>
      <c r="M21" s="46"/>
      <c r="O21" t="s">
        <v>12</v>
      </c>
    </row>
    <row r="22" spans="1:24" x14ac:dyDescent="0.25">
      <c r="A22" s="39" t="s">
        <v>168</v>
      </c>
      <c r="B22" s="344">
        <v>7.0000000000000007E-2</v>
      </c>
      <c r="M22" s="46"/>
    </row>
    <row r="23" spans="1:24" ht="15.75" thickBot="1" x14ac:dyDescent="0.3">
      <c r="A23" s="43"/>
      <c r="B23" s="47"/>
      <c r="C23" s="47"/>
      <c r="D23" s="47"/>
      <c r="E23" s="47"/>
      <c r="F23" s="47"/>
      <c r="G23" s="47"/>
      <c r="H23" s="47"/>
      <c r="I23" s="47"/>
      <c r="J23" s="47"/>
      <c r="K23" s="47"/>
      <c r="L23" s="47"/>
      <c r="M23" s="48"/>
    </row>
  </sheetData>
  <mergeCells count="5">
    <mergeCell ref="D12:F12"/>
    <mergeCell ref="H12:J12"/>
    <mergeCell ref="A15:A16"/>
    <mergeCell ref="A17:A18"/>
    <mergeCell ref="A19:A20"/>
  </mergeCells>
  <pageMargins left="0.7" right="0.7" top="0.75" bottom="0.75" header="0.3" footer="0.3"/>
  <pageSetup paperSize="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B9A3-E6B2-43E7-856E-71193CA79F4E}">
  <sheetPr>
    <tabColor theme="9" tint="0.39997558519241921"/>
  </sheetPr>
  <dimension ref="A1:V29"/>
  <sheetViews>
    <sheetView topLeftCell="M1" zoomScale="75" zoomScaleNormal="75" workbookViewId="0">
      <selection activeCell="S26" sqref="S26"/>
    </sheetView>
  </sheetViews>
  <sheetFormatPr defaultColWidth="8.7109375" defaultRowHeight="15" x14ac:dyDescent="0.25"/>
  <cols>
    <col min="1" max="1" width="32.5703125" customWidth="1"/>
    <col min="2" max="2" width="9.5703125" customWidth="1"/>
    <col min="3" max="22" width="12.5703125" customWidth="1"/>
  </cols>
  <sheetData>
    <row r="1" spans="1:22" ht="21" x14ac:dyDescent="0.35">
      <c r="A1" s="174" t="s">
        <v>169</v>
      </c>
      <c r="B1" s="22"/>
    </row>
    <row r="2" spans="1:22" x14ac:dyDescent="0.25">
      <c r="B2" s="22"/>
    </row>
    <row r="3" spans="1:22" x14ac:dyDescent="0.25">
      <c r="A3" s="1" t="s">
        <v>47</v>
      </c>
      <c r="B3" s="1"/>
      <c r="C3">
        <v>1</v>
      </c>
      <c r="D3">
        <f t="shared" ref="D3:R4" si="0">C3+1</f>
        <v>2</v>
      </c>
      <c r="E3">
        <f t="shared" si="0"/>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ref="S3:S4" si="1">R3+1</f>
        <v>17</v>
      </c>
      <c r="T3">
        <f t="shared" ref="T3:T4" si="2">S3+1</f>
        <v>18</v>
      </c>
      <c r="U3">
        <f t="shared" ref="U3:U4" si="3">T3+1</f>
        <v>19</v>
      </c>
      <c r="V3">
        <f t="shared" ref="V3:V4" si="4">U3+1</f>
        <v>20</v>
      </c>
    </row>
    <row r="4" spans="1:22" x14ac:dyDescent="0.25">
      <c r="C4">
        <v>2030</v>
      </c>
      <c r="D4">
        <f t="shared" ref="D4:Q4" si="5">C4+1</f>
        <v>2031</v>
      </c>
      <c r="E4">
        <f t="shared" si="5"/>
        <v>2032</v>
      </c>
      <c r="F4">
        <f t="shared" si="5"/>
        <v>2033</v>
      </c>
      <c r="G4">
        <f t="shared" si="5"/>
        <v>2034</v>
      </c>
      <c r="H4">
        <f t="shared" si="5"/>
        <v>2035</v>
      </c>
      <c r="I4">
        <f t="shared" si="5"/>
        <v>2036</v>
      </c>
      <c r="J4">
        <f t="shared" si="5"/>
        <v>2037</v>
      </c>
      <c r="K4">
        <f t="shared" si="5"/>
        <v>2038</v>
      </c>
      <c r="L4">
        <f t="shared" si="5"/>
        <v>2039</v>
      </c>
      <c r="M4">
        <f t="shared" si="5"/>
        <v>2040</v>
      </c>
      <c r="N4">
        <f t="shared" si="5"/>
        <v>2041</v>
      </c>
      <c r="O4">
        <f t="shared" si="5"/>
        <v>2042</v>
      </c>
      <c r="P4">
        <f t="shared" si="5"/>
        <v>2043</v>
      </c>
      <c r="Q4">
        <f t="shared" si="5"/>
        <v>2044</v>
      </c>
      <c r="R4">
        <f t="shared" si="0"/>
        <v>2045</v>
      </c>
      <c r="S4">
        <f t="shared" si="1"/>
        <v>2046</v>
      </c>
      <c r="T4">
        <f t="shared" si="2"/>
        <v>2047</v>
      </c>
      <c r="U4">
        <f t="shared" si="3"/>
        <v>2048</v>
      </c>
      <c r="V4">
        <f t="shared" si="4"/>
        <v>2049</v>
      </c>
    </row>
    <row r="5" spans="1:22" ht="15.75" x14ac:dyDescent="0.25">
      <c r="A5" s="91"/>
      <c r="B5" s="22"/>
    </row>
    <row r="6" spans="1:22" x14ac:dyDescent="0.25">
      <c r="A6" t="s">
        <v>170</v>
      </c>
      <c r="C6" s="96">
        <f>'Travel Time Savings - Hours'!N7*'Look Up Data'!N117</f>
        <v>3303546.954025018</v>
      </c>
      <c r="D6" s="96">
        <f>'Travel Time Savings - Hours'!O7*'Look Up Data'!O117</f>
        <v>3353082.2407125076</v>
      </c>
      <c r="E6" s="96">
        <f>'Travel Time Savings - Hours'!P7*'Look Up Data'!P117</f>
        <v>3403360.2880331473</v>
      </c>
      <c r="F6" s="96">
        <f>'Travel Time Savings - Hours'!Q7*'Look Up Data'!Q117</f>
        <v>3454392.2333678831</v>
      </c>
      <c r="G6" s="96">
        <f>'Travel Time Savings - Hours'!R7*'Look Up Data'!R117</f>
        <v>3506189.381097971</v>
      </c>
      <c r="H6" s="96">
        <f>'Travel Time Savings - Hours'!S7*'Look Up Data'!S117</f>
        <v>3558763.2051090719</v>
      </c>
      <c r="I6" s="96">
        <f>'Travel Time Savings - Hours'!T7*'Look Up Data'!T117</f>
        <v>3612125.3513329006</v>
      </c>
      <c r="J6" s="96">
        <f>'Travel Time Savings - Hours'!U7*'Look Up Data'!U117</f>
        <v>3666287.6403269833</v>
      </c>
      <c r="K6" s="96">
        <f>'Travel Time Savings - Hours'!V7*'Look Up Data'!V117</f>
        <v>3721262.069893097</v>
      </c>
      <c r="L6" s="96">
        <f>'Travel Time Savings - Hours'!W7*'Look Up Data'!W117</f>
        <v>3777060.8177349716</v>
      </c>
      <c r="M6" s="96">
        <f>'Travel Time Savings - Hours'!X7*'Look Up Data'!X117</f>
        <v>3833696.2441558451</v>
      </c>
      <c r="N6" s="96">
        <f>'Travel Time Savings - Hours'!Y7*'Look Up Data'!Y117</f>
        <v>3833696.2441558451</v>
      </c>
      <c r="O6" s="96">
        <f>'Travel Time Savings - Hours'!Z7*'Look Up Data'!Z117</f>
        <v>3833696.2441558451</v>
      </c>
      <c r="P6" s="96">
        <f>'Travel Time Savings - Hours'!AA7*'Look Up Data'!AA117</f>
        <v>3833696.2441558451</v>
      </c>
      <c r="Q6" s="96">
        <f>'Travel Time Savings - Hours'!AB7*'Look Up Data'!AB117</f>
        <v>3833696.2441558451</v>
      </c>
      <c r="R6" s="96">
        <f>'Travel Time Savings - Hours'!AC7*'Look Up Data'!AC117</f>
        <v>3833696.2441558451</v>
      </c>
      <c r="S6" s="96">
        <f>'Travel Time Savings - Hours'!AD7*'Look Up Data'!AD117</f>
        <v>3833696.2441558451</v>
      </c>
      <c r="T6" s="96">
        <f>'Travel Time Savings - Hours'!AE7*'Look Up Data'!AE117</f>
        <v>3833696.2441558451</v>
      </c>
      <c r="U6" s="96">
        <f>'Travel Time Savings - Hours'!AF7*'Look Up Data'!AF117</f>
        <v>3833696.2441558451</v>
      </c>
      <c r="V6" s="96">
        <f>'Travel Time Savings - Hours'!AG7*'Look Up Data'!AG117</f>
        <v>3833696.2441558451</v>
      </c>
    </row>
    <row r="7" spans="1:22" x14ac:dyDescent="0.25">
      <c r="A7" t="s">
        <v>171</v>
      </c>
      <c r="C7" s="96">
        <f>'Travel Time Savings - Hours'!N8*'Look Up Data'!N119</f>
        <v>238643.28232031918</v>
      </c>
      <c r="D7" s="96">
        <f>'Travel Time Savings - Hours'!O8*'Look Up Data'!O118</f>
        <v>254183.1995443932</v>
      </c>
      <c r="E7" s="96">
        <f>'Travel Time Savings - Hours'!P8*'Look Up Data'!P118</f>
        <v>257994.56891065394</v>
      </c>
      <c r="F7" s="96">
        <f>'Travel Time Savings - Hours'!Q8*'Look Up Data'!Q118</f>
        <v>261863.08814548232</v>
      </c>
      <c r="G7" s="96">
        <f>'Travel Time Savings - Hours'!R8*'Look Up Data'!R118</f>
        <v>265789.61418694013</v>
      </c>
      <c r="H7" s="96">
        <f>'Travel Time Savings - Hours'!S8*'Look Up Data'!S118</f>
        <v>269775.01682251215</v>
      </c>
      <c r="I7" s="96">
        <f>'Travel Time Savings - Hours'!T8*'Look Up Data'!T118</f>
        <v>273820.17888177809</v>
      </c>
      <c r="J7" s="96">
        <f>'Travel Time Savings - Hours'!U8*'Look Up Data'!U118</f>
        <v>277925.99643197289</v>
      </c>
      <c r="K7" s="96">
        <f>'Travel Time Savings - Hours'!V8*'Look Up Data'!V118</f>
        <v>282093.37897648016</v>
      </c>
      <c r="L7" s="96">
        <f>'Travel Time Savings - Hours'!W8*'Look Up Data'!W118</f>
        <v>286323.24965630122</v>
      </c>
      <c r="M7" s="96">
        <f>'Travel Time Savings - Hours'!X8*'Look Up Data'!X118</f>
        <v>290616.54545454559</v>
      </c>
      <c r="N7" s="96">
        <f>'Travel Time Savings - Hours'!Y8*'Look Up Data'!Y118</f>
        <v>290616.54545454559</v>
      </c>
      <c r="O7" s="96">
        <f>'Travel Time Savings - Hours'!Z8*'Look Up Data'!Z118</f>
        <v>290616.54545454559</v>
      </c>
      <c r="P7" s="96">
        <f>'Travel Time Savings - Hours'!AA8*'Look Up Data'!AA118</f>
        <v>290616.54545454559</v>
      </c>
      <c r="Q7" s="96">
        <f>'Travel Time Savings - Hours'!AB8*'Look Up Data'!AB118</f>
        <v>290616.54545454559</v>
      </c>
      <c r="R7" s="96">
        <f>'Travel Time Savings - Hours'!AC8*'Look Up Data'!AC118</f>
        <v>290616.54545454559</v>
      </c>
      <c r="S7" s="96">
        <f>'Travel Time Savings - Hours'!AD8*'Look Up Data'!AD118</f>
        <v>290616.54545454559</v>
      </c>
      <c r="T7" s="96">
        <f>'Travel Time Savings - Hours'!AE8*'Look Up Data'!AE118</f>
        <v>290616.54545454559</v>
      </c>
      <c r="U7" s="96">
        <f>'Travel Time Savings - Hours'!AF8*'Look Up Data'!AF118</f>
        <v>290616.54545454559</v>
      </c>
      <c r="V7" s="96">
        <f>'Travel Time Savings - Hours'!AG8*'Look Up Data'!AG118</f>
        <v>290616.54545454559</v>
      </c>
    </row>
    <row r="19" spans="1:7" x14ac:dyDescent="0.25">
      <c r="G19" t="s">
        <v>12</v>
      </c>
    </row>
    <row r="23" spans="1:7" x14ac:dyDescent="0.25">
      <c r="A23" s="22"/>
    </row>
    <row r="25" spans="1:7" x14ac:dyDescent="0.25">
      <c r="B25" s="15"/>
    </row>
    <row r="27" spans="1:7" x14ac:dyDescent="0.25">
      <c r="B27" s="62"/>
    </row>
    <row r="29" spans="1:7" x14ac:dyDescent="0.25">
      <c r="B29" s="5"/>
    </row>
  </sheetData>
  <pageMargins left="0.7" right="0.7" top="0.75" bottom="0.75" header="0.3" footer="0.3"/>
  <pageSetup paperSize="3" orientation="landscape"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8EB6-6330-420A-A65F-A7BE5EC2B770}">
  <sheetPr>
    <tabColor theme="9" tint="0.39997558519241921"/>
  </sheetPr>
  <dimension ref="A1:AH71"/>
  <sheetViews>
    <sheetView topLeftCell="A28" zoomScale="75" zoomScaleNormal="75" workbookViewId="0">
      <selection activeCell="V35" sqref="V35"/>
    </sheetView>
  </sheetViews>
  <sheetFormatPr defaultRowHeight="15" x14ac:dyDescent="0.25"/>
  <cols>
    <col min="1" max="1" width="40.5703125" customWidth="1"/>
    <col min="2" max="5" width="11.5703125" customWidth="1"/>
    <col min="6" max="9" width="13.5703125" hidden="1" customWidth="1"/>
    <col min="10" max="10" width="13.85546875" hidden="1" customWidth="1"/>
    <col min="11" max="14" width="13.5703125" hidden="1" customWidth="1"/>
    <col min="15" max="19" width="13.5703125" bestFit="1" customWidth="1"/>
    <col min="20" max="20" width="13.42578125" customWidth="1"/>
    <col min="21" max="34" width="13.5703125" bestFit="1" customWidth="1"/>
  </cols>
  <sheetData>
    <row r="1" spans="1:5" ht="21" x14ac:dyDescent="0.35">
      <c r="A1" s="174" t="s">
        <v>172</v>
      </c>
    </row>
    <row r="2" spans="1:5" x14ac:dyDescent="0.25">
      <c r="A2" s="68"/>
    </row>
    <row r="3" spans="1:5" x14ac:dyDescent="0.25">
      <c r="A3" s="1"/>
    </row>
    <row r="4" spans="1:5" ht="19.5" thickBot="1" x14ac:dyDescent="0.35">
      <c r="A4" s="326" t="s">
        <v>173</v>
      </c>
    </row>
    <row r="5" spans="1:5" ht="31.5" x14ac:dyDescent="0.25">
      <c r="A5" s="311" t="s">
        <v>174</v>
      </c>
      <c r="B5" s="312" t="s">
        <v>175</v>
      </c>
      <c r="C5" s="312" t="s">
        <v>176</v>
      </c>
      <c r="D5" s="312" t="s">
        <v>177</v>
      </c>
      <c r="E5" s="313" t="s">
        <v>99</v>
      </c>
    </row>
    <row r="6" spans="1:5" ht="15.75" x14ac:dyDescent="0.25">
      <c r="A6" s="314" t="s">
        <v>178</v>
      </c>
      <c r="B6" s="307">
        <v>3</v>
      </c>
      <c r="C6" s="307">
        <v>646</v>
      </c>
      <c r="D6" s="308">
        <v>1656</v>
      </c>
      <c r="E6" s="315">
        <v>2305</v>
      </c>
    </row>
    <row r="7" spans="1:5" ht="15.75" x14ac:dyDescent="0.25">
      <c r="A7" s="314" t="s">
        <v>179</v>
      </c>
      <c r="B7" s="307">
        <v>4</v>
      </c>
      <c r="C7" s="307">
        <v>4</v>
      </c>
      <c r="D7" s="307">
        <v>1</v>
      </c>
      <c r="E7" s="316">
        <v>9</v>
      </c>
    </row>
    <row r="8" spans="1:5" x14ac:dyDescent="0.25">
      <c r="A8" s="317"/>
      <c r="B8" s="108"/>
      <c r="C8" s="108"/>
      <c r="D8" s="108"/>
      <c r="E8" s="318"/>
    </row>
    <row r="9" spans="1:5" x14ac:dyDescent="0.25">
      <c r="A9" s="317"/>
      <c r="B9" s="108"/>
      <c r="C9" s="108"/>
      <c r="D9" s="108"/>
      <c r="E9" s="318"/>
    </row>
    <row r="10" spans="1:5" x14ac:dyDescent="0.25">
      <c r="A10" s="317"/>
      <c r="B10" s="108"/>
      <c r="C10" s="108"/>
      <c r="D10" s="108"/>
      <c r="E10" s="318"/>
    </row>
    <row r="11" spans="1:5" x14ac:dyDescent="0.25">
      <c r="A11" s="317"/>
      <c r="B11" s="108"/>
      <c r="C11" s="108"/>
      <c r="D11" s="108"/>
      <c r="E11" s="318"/>
    </row>
    <row r="12" spans="1:5" ht="15.75" x14ac:dyDescent="0.25">
      <c r="A12" s="314" t="s">
        <v>180</v>
      </c>
      <c r="B12" s="307">
        <v>1</v>
      </c>
      <c r="C12" s="307">
        <v>5</v>
      </c>
      <c r="D12" s="307">
        <v>4</v>
      </c>
      <c r="E12" s="316">
        <v>10</v>
      </c>
    </row>
    <row r="13" spans="1:5" ht="15.75" x14ac:dyDescent="0.25">
      <c r="A13" s="314" t="s">
        <v>181</v>
      </c>
      <c r="B13" s="307">
        <v>6</v>
      </c>
      <c r="C13" s="307">
        <v>143</v>
      </c>
      <c r="D13" s="307">
        <v>226</v>
      </c>
      <c r="E13" s="316">
        <v>375</v>
      </c>
    </row>
    <row r="14" spans="1:5" ht="15.75" x14ac:dyDescent="0.25">
      <c r="A14" s="314" t="s">
        <v>34</v>
      </c>
      <c r="B14" s="307">
        <v>2</v>
      </c>
      <c r="C14" s="307">
        <v>6</v>
      </c>
      <c r="D14" s="307"/>
      <c r="E14" s="316">
        <v>8</v>
      </c>
    </row>
    <row r="15" spans="1:5" x14ac:dyDescent="0.25">
      <c r="A15" s="317"/>
      <c r="B15" s="108"/>
      <c r="C15" s="108"/>
      <c r="D15" s="108"/>
      <c r="E15" s="318"/>
    </row>
    <row r="16" spans="1:5" x14ac:dyDescent="0.25">
      <c r="A16" s="317"/>
      <c r="B16" s="108"/>
      <c r="C16" s="108"/>
      <c r="D16" s="108"/>
      <c r="E16" s="318"/>
    </row>
    <row r="17" spans="1:34" ht="15.75" x14ac:dyDescent="0.25">
      <c r="A17" s="314" t="s">
        <v>182</v>
      </c>
      <c r="B17" s="307">
        <v>1</v>
      </c>
      <c r="C17" s="307">
        <v>38</v>
      </c>
      <c r="D17" s="307">
        <v>23</v>
      </c>
      <c r="E17" s="316">
        <v>62</v>
      </c>
    </row>
    <row r="18" spans="1:34" ht="15.75" x14ac:dyDescent="0.25">
      <c r="A18" s="314" t="s">
        <v>183</v>
      </c>
      <c r="B18" s="307"/>
      <c r="C18" s="307">
        <v>7</v>
      </c>
      <c r="D18" s="307">
        <v>29</v>
      </c>
      <c r="E18" s="316">
        <v>36</v>
      </c>
    </row>
    <row r="19" spans="1:34" ht="15.75" x14ac:dyDescent="0.25">
      <c r="A19" s="314" t="s">
        <v>184</v>
      </c>
      <c r="B19" s="307"/>
      <c r="C19" s="307">
        <v>24</v>
      </c>
      <c r="D19" s="307">
        <v>114</v>
      </c>
      <c r="E19" s="316">
        <v>138</v>
      </c>
    </row>
    <row r="20" spans="1:34" ht="15.75" x14ac:dyDescent="0.25">
      <c r="A20" s="319" t="s">
        <v>99</v>
      </c>
      <c r="B20" s="309">
        <v>20</v>
      </c>
      <c r="C20" s="310">
        <v>1130</v>
      </c>
      <c r="D20" s="310">
        <v>3221</v>
      </c>
      <c r="E20" s="320">
        <v>4371</v>
      </c>
    </row>
    <row r="21" spans="1:34" ht="15.75" thickBot="1" x14ac:dyDescent="0.3">
      <c r="A21" s="321" t="s">
        <v>185</v>
      </c>
      <c r="B21" s="322">
        <f>B20/10</f>
        <v>2</v>
      </c>
      <c r="C21" s="322">
        <f t="shared" ref="C21:E21" si="0">C20/10</f>
        <v>113</v>
      </c>
      <c r="D21" s="322">
        <f t="shared" si="0"/>
        <v>322.10000000000002</v>
      </c>
      <c r="E21" s="322">
        <f t="shared" si="0"/>
        <v>437.1</v>
      </c>
    </row>
    <row r="22" spans="1:34" x14ac:dyDescent="0.25">
      <c r="A22" s="84" t="s">
        <v>186</v>
      </c>
    </row>
    <row r="23" spans="1:34" x14ac:dyDescent="0.25">
      <c r="A23" s="1"/>
    </row>
    <row r="24" spans="1:34" x14ac:dyDescent="0.25">
      <c r="A24" s="104"/>
    </row>
    <row r="25" spans="1:34" x14ac:dyDescent="0.25">
      <c r="A25" s="42" t="s">
        <v>5</v>
      </c>
      <c r="F25">
        <f t="shared" ref="F25:I25" si="1">G25-1</f>
        <v>2021</v>
      </c>
      <c r="G25">
        <f t="shared" si="1"/>
        <v>2022</v>
      </c>
      <c r="H25">
        <f t="shared" si="1"/>
        <v>2023</v>
      </c>
      <c r="I25">
        <f t="shared" si="1"/>
        <v>2024</v>
      </c>
      <c r="J25">
        <f>K25-1</f>
        <v>2025</v>
      </c>
      <c r="K25">
        <f>L25-1</f>
        <v>2026</v>
      </c>
      <c r="L25">
        <v>2027</v>
      </c>
      <c r="M25">
        <f t="shared" ref="M25:AH25" si="2">L25+1</f>
        <v>2028</v>
      </c>
      <c r="N25">
        <f t="shared" si="2"/>
        <v>2029</v>
      </c>
      <c r="O25">
        <f t="shared" si="2"/>
        <v>2030</v>
      </c>
      <c r="P25">
        <f t="shared" si="2"/>
        <v>2031</v>
      </c>
      <c r="Q25">
        <f t="shared" si="2"/>
        <v>2032</v>
      </c>
      <c r="R25">
        <f t="shared" si="2"/>
        <v>2033</v>
      </c>
      <c r="S25">
        <f t="shared" si="2"/>
        <v>2034</v>
      </c>
      <c r="T25">
        <f t="shared" si="2"/>
        <v>2035</v>
      </c>
      <c r="U25">
        <f t="shared" si="2"/>
        <v>2036</v>
      </c>
      <c r="V25">
        <f t="shared" si="2"/>
        <v>2037</v>
      </c>
      <c r="W25">
        <f t="shared" si="2"/>
        <v>2038</v>
      </c>
      <c r="X25">
        <f t="shared" si="2"/>
        <v>2039</v>
      </c>
      <c r="Y25">
        <f t="shared" si="2"/>
        <v>2040</v>
      </c>
      <c r="Z25">
        <f t="shared" si="2"/>
        <v>2041</v>
      </c>
      <c r="AA25">
        <f t="shared" si="2"/>
        <v>2042</v>
      </c>
      <c r="AB25">
        <f t="shared" si="2"/>
        <v>2043</v>
      </c>
      <c r="AC25">
        <f t="shared" si="2"/>
        <v>2044</v>
      </c>
      <c r="AD25">
        <f t="shared" si="2"/>
        <v>2045</v>
      </c>
      <c r="AE25">
        <f t="shared" si="2"/>
        <v>2046</v>
      </c>
      <c r="AF25">
        <f t="shared" si="2"/>
        <v>2047</v>
      </c>
      <c r="AG25">
        <f t="shared" si="2"/>
        <v>2048</v>
      </c>
      <c r="AH25">
        <f t="shared" si="2"/>
        <v>2049</v>
      </c>
    </row>
    <row r="26" spans="1:34" x14ac:dyDescent="0.25">
      <c r="A26" t="s">
        <v>187</v>
      </c>
      <c r="O26">
        <v>1</v>
      </c>
      <c r="P26">
        <f t="shared" ref="P26:AH26" si="3">O26+1</f>
        <v>2</v>
      </c>
      <c r="Q26">
        <f t="shared" si="3"/>
        <v>3</v>
      </c>
      <c r="R26">
        <f t="shared" si="3"/>
        <v>4</v>
      </c>
      <c r="S26">
        <f t="shared" si="3"/>
        <v>5</v>
      </c>
      <c r="T26">
        <f t="shared" si="3"/>
        <v>6</v>
      </c>
      <c r="U26">
        <f t="shared" si="3"/>
        <v>7</v>
      </c>
      <c r="V26">
        <f t="shared" si="3"/>
        <v>8</v>
      </c>
      <c r="W26">
        <f t="shared" si="3"/>
        <v>9</v>
      </c>
      <c r="X26">
        <f t="shared" si="3"/>
        <v>10</v>
      </c>
      <c r="Y26">
        <f t="shared" si="3"/>
        <v>11</v>
      </c>
      <c r="Z26">
        <f t="shared" si="3"/>
        <v>12</v>
      </c>
      <c r="AA26">
        <f t="shared" si="3"/>
        <v>13</v>
      </c>
      <c r="AB26">
        <f t="shared" si="3"/>
        <v>14</v>
      </c>
      <c r="AC26">
        <f t="shared" si="3"/>
        <v>15</v>
      </c>
      <c r="AD26">
        <f t="shared" si="3"/>
        <v>16</v>
      </c>
      <c r="AE26">
        <f t="shared" si="3"/>
        <v>17</v>
      </c>
      <c r="AF26">
        <f t="shared" si="3"/>
        <v>18</v>
      </c>
      <c r="AG26">
        <f t="shared" si="3"/>
        <v>19</v>
      </c>
      <c r="AH26">
        <f t="shared" si="3"/>
        <v>20</v>
      </c>
    </row>
    <row r="27" spans="1:34" x14ac:dyDescent="0.25">
      <c r="A27" t="s">
        <v>188</v>
      </c>
      <c r="O27" s="2">
        <f>(1+'Look Up Data'!$B$24)^(O26-$O$26)</f>
        <v>1</v>
      </c>
      <c r="P27" s="2">
        <f>(1+'Look Up Data'!$B$24)^(P26-$O$26)</f>
        <v>1.0149945762469446</v>
      </c>
      <c r="Q27" s="2">
        <f>(1+'Look Up Data'!$B$24)^(Q26-$O$26)</f>
        <v>1.0302139898107145</v>
      </c>
      <c r="R27" s="2">
        <f>(1+'Look Up Data'!$B$24)^(R26-$O$26)</f>
        <v>1.0456616120316002</v>
      </c>
      <c r="S27" s="2">
        <f>(1+'Look Up Data'!$B$24)^(S26-$O$26)</f>
        <v>1.0613408648017111</v>
      </c>
      <c r="T27" s="2">
        <f>(1+'Look Up Data'!$B$24)^(T26-$O$26)</f>
        <v>1.0772552213229785</v>
      </c>
      <c r="U27" s="2">
        <f>(1+'Look Up Data'!$B$24)^(U26-$O$26)</f>
        <v>1.093408206876525</v>
      </c>
      <c r="V27" s="2">
        <f>(1+'Look Up Data'!$B$24)^(V26-$O$26)</f>
        <v>1.1098033996035699</v>
      </c>
      <c r="W27" s="2">
        <f>(1+'Look Up Data'!$B$24)^(W26-$O$26)</f>
        <v>1.1264444312980439</v>
      </c>
      <c r="X27" s="2">
        <f>(1+'Look Up Data'!$B$24)^(X26-$O$26)</f>
        <v>1.1433349882110886</v>
      </c>
      <c r="Y27" s="2">
        <f>(1+'Look Up Data'!$B$24)^(Y26-$O$26)</f>
        <v>1.1604788118676193</v>
      </c>
      <c r="Z27" s="2">
        <f>Y27</f>
        <v>1.1604788118676193</v>
      </c>
      <c r="AA27" s="2">
        <f t="shared" ref="AA27:AH27" si="4">Z27</f>
        <v>1.1604788118676193</v>
      </c>
      <c r="AB27" s="2">
        <f t="shared" si="4"/>
        <v>1.1604788118676193</v>
      </c>
      <c r="AC27" s="2">
        <f t="shared" si="4"/>
        <v>1.1604788118676193</v>
      </c>
      <c r="AD27" s="2">
        <f t="shared" si="4"/>
        <v>1.1604788118676193</v>
      </c>
      <c r="AE27" s="2">
        <f t="shared" si="4"/>
        <v>1.1604788118676193</v>
      </c>
      <c r="AF27" s="2">
        <f t="shared" si="4"/>
        <v>1.1604788118676193</v>
      </c>
      <c r="AG27" s="2">
        <f t="shared" si="4"/>
        <v>1.1604788118676193</v>
      </c>
      <c r="AH27" s="2">
        <f t="shared" si="4"/>
        <v>1.1604788118676193</v>
      </c>
    </row>
    <row r="29" spans="1:34" ht="30" customHeight="1" x14ac:dyDescent="0.25">
      <c r="A29" s="325" t="s">
        <v>189</v>
      </c>
    </row>
    <row r="30" spans="1:34" x14ac:dyDescent="0.25">
      <c r="A30" s="1" t="s">
        <v>190</v>
      </c>
      <c r="B30" s="97"/>
      <c r="C30" s="97"/>
      <c r="D30" s="97"/>
      <c r="E30" s="97"/>
      <c r="F30" s="2" t="e">
        <f>(#REF!+#REF!+#REF!+#REF!)*((#REF!)^0)</f>
        <v>#REF!</v>
      </c>
      <c r="G30" s="2" t="e">
        <f>(#REF!+#REF!+#REF!+#REF!)*((#REF!)^1)</f>
        <v>#REF!</v>
      </c>
      <c r="H30" s="2" t="e">
        <f>(#REF!+#REF!+#REF!+#REF!)*((#REF!)^2)</f>
        <v>#REF!</v>
      </c>
      <c r="I30" s="2" t="e">
        <f>(#REF!+#REF!+#REF!+#REF!)*((#REF!)^3)</f>
        <v>#REF!</v>
      </c>
      <c r="J30" s="2" t="e">
        <f>(#REF!+#REF!+#REF!+#REF!)*((#REF!)^4)</f>
        <v>#REF!</v>
      </c>
      <c r="K30" s="2" t="e">
        <f>(#REF!+#REF!+#REF!+#REF!)*((#REF!)^5)</f>
        <v>#REF!</v>
      </c>
      <c r="L30" s="2" t="e">
        <f>(#REF!+#REF!+#REF!+#REF!)*((#REF!)^6)</f>
        <v>#REF!</v>
      </c>
      <c r="M30" s="2" t="e">
        <f>L30*#REF!</f>
        <v>#REF!</v>
      </c>
      <c r="N30" s="2" t="e">
        <f>M30*#REF!</f>
        <v>#REF!</v>
      </c>
      <c r="O30" s="2">
        <f>$D21*O27</f>
        <v>322.10000000000002</v>
      </c>
      <c r="P30" s="2">
        <f t="shared" ref="P30:AH30" si="5">$D21*P27</f>
        <v>326.92975300914088</v>
      </c>
      <c r="Q30" s="2">
        <f t="shared" si="5"/>
        <v>331.83192611803116</v>
      </c>
      <c r="R30" s="2">
        <f t="shared" si="5"/>
        <v>336.80760523537845</v>
      </c>
      <c r="S30" s="2">
        <f t="shared" si="5"/>
        <v>341.85789255263114</v>
      </c>
      <c r="T30" s="2">
        <f t="shared" si="5"/>
        <v>346.98390678813138</v>
      </c>
      <c r="U30" s="2">
        <f t="shared" si="5"/>
        <v>352.18678343492871</v>
      </c>
      <c r="V30" s="2">
        <f t="shared" si="5"/>
        <v>357.46767501230988</v>
      </c>
      <c r="W30" s="2">
        <f t="shared" si="5"/>
        <v>362.82775132109998</v>
      </c>
      <c r="X30" s="2">
        <f t="shared" si="5"/>
        <v>368.26819970279166</v>
      </c>
      <c r="Y30" s="2">
        <f t="shared" si="5"/>
        <v>373.7902253025602</v>
      </c>
      <c r="Z30" s="2">
        <f t="shared" si="5"/>
        <v>373.7902253025602</v>
      </c>
      <c r="AA30" s="2">
        <f t="shared" si="5"/>
        <v>373.7902253025602</v>
      </c>
      <c r="AB30" s="2">
        <f t="shared" si="5"/>
        <v>373.7902253025602</v>
      </c>
      <c r="AC30" s="2">
        <f t="shared" si="5"/>
        <v>373.7902253025602</v>
      </c>
      <c r="AD30" s="2">
        <f t="shared" si="5"/>
        <v>373.7902253025602</v>
      </c>
      <c r="AE30" s="2">
        <f t="shared" si="5"/>
        <v>373.7902253025602</v>
      </c>
      <c r="AF30" s="2">
        <f t="shared" si="5"/>
        <v>373.7902253025602</v>
      </c>
      <c r="AG30" s="2">
        <f t="shared" si="5"/>
        <v>373.7902253025602</v>
      </c>
      <c r="AH30" s="2">
        <f t="shared" si="5"/>
        <v>373.7902253025602</v>
      </c>
    </row>
    <row r="31" spans="1:34" x14ac:dyDescent="0.25">
      <c r="A31" s="1" t="s">
        <v>191</v>
      </c>
      <c r="B31" s="97"/>
      <c r="C31" s="97"/>
      <c r="D31" s="97"/>
      <c r="E31" s="97"/>
      <c r="F31" s="2" t="e">
        <f>SUM(#REF!,#REF!,#REF!,#REF!)*((#REF!)^0)</f>
        <v>#REF!</v>
      </c>
      <c r="G31" s="2" t="e">
        <f>SUM(#REF!,#REF!,#REF!,#REF!)*((#REF!)^1)</f>
        <v>#REF!</v>
      </c>
      <c r="H31" s="2" t="e">
        <f>SUM(#REF!,#REF!,#REF!,#REF!)*((#REF!)^2)</f>
        <v>#REF!</v>
      </c>
      <c r="I31" s="2" t="e">
        <f>SUM(#REF!,#REF!,#REF!,#REF!)*((#REF!)^3)</f>
        <v>#REF!</v>
      </c>
      <c r="J31" s="2" t="e">
        <f>SUM(#REF!,#REF!,#REF!,#REF!)*((#REF!)^4)</f>
        <v>#REF!</v>
      </c>
      <c r="K31" s="2" t="e">
        <f>SUM(#REF!,#REF!,#REF!,#REF!)*((#REF!)^5)</f>
        <v>#REF!</v>
      </c>
      <c r="L31" s="2" t="e">
        <f>SUM(#REF!,#REF!,#REF!,#REF!)*((#REF!)^6)</f>
        <v>#REF!</v>
      </c>
      <c r="M31" s="2" t="e">
        <f>L31*(#REF!)</f>
        <v>#REF!</v>
      </c>
      <c r="N31" s="2" t="e">
        <f>M31*(#REF!)</f>
        <v>#REF!</v>
      </c>
      <c r="O31" s="2">
        <f>$C$21*0.1*O27</f>
        <v>11.3</v>
      </c>
      <c r="P31" s="2">
        <f t="shared" ref="P31:AH31" si="6">$C$21*0.1*P27</f>
        <v>11.469438711590474</v>
      </c>
      <c r="Q31" s="2">
        <f t="shared" si="6"/>
        <v>11.641418084861074</v>
      </c>
      <c r="R31" s="2">
        <f t="shared" si="6"/>
        <v>11.815976215957084</v>
      </c>
      <c r="S31" s="2">
        <f t="shared" si="6"/>
        <v>11.993151772259337</v>
      </c>
      <c r="T31" s="2">
        <f t="shared" si="6"/>
        <v>12.172984000949658</v>
      </c>
      <c r="U31" s="2">
        <f t="shared" si="6"/>
        <v>12.355512737704732</v>
      </c>
      <c r="V31" s="2">
        <f t="shared" si="6"/>
        <v>12.540778415520341</v>
      </c>
      <c r="W31" s="2">
        <f t="shared" si="6"/>
        <v>12.728822073667898</v>
      </c>
      <c r="X31" s="2">
        <f t="shared" si="6"/>
        <v>12.919685366785302</v>
      </c>
      <c r="Y31" s="2">
        <f t="shared" si="6"/>
        <v>13.113410574104098</v>
      </c>
      <c r="Z31" s="2">
        <f t="shared" si="6"/>
        <v>13.113410574104098</v>
      </c>
      <c r="AA31" s="2">
        <f t="shared" si="6"/>
        <v>13.113410574104098</v>
      </c>
      <c r="AB31" s="2">
        <f t="shared" si="6"/>
        <v>13.113410574104098</v>
      </c>
      <c r="AC31" s="2">
        <f t="shared" si="6"/>
        <v>13.113410574104098</v>
      </c>
      <c r="AD31" s="2">
        <f t="shared" si="6"/>
        <v>13.113410574104098</v>
      </c>
      <c r="AE31" s="2">
        <f t="shared" si="6"/>
        <v>13.113410574104098</v>
      </c>
      <c r="AF31" s="2">
        <f t="shared" si="6"/>
        <v>13.113410574104098</v>
      </c>
      <c r="AG31" s="2">
        <f t="shared" si="6"/>
        <v>13.113410574104098</v>
      </c>
      <c r="AH31" s="2">
        <f t="shared" si="6"/>
        <v>13.113410574104098</v>
      </c>
    </row>
    <row r="32" spans="1:34" x14ac:dyDescent="0.25">
      <c r="A32" s="1" t="s">
        <v>192</v>
      </c>
      <c r="B32" s="97"/>
      <c r="C32" s="97"/>
      <c r="D32" s="97"/>
      <c r="E32" s="97"/>
      <c r="F32" s="2" t="e">
        <f>SUM(#REF!,#REF!,#REF!,#REF!)*((#REF!)^0)</f>
        <v>#REF!</v>
      </c>
      <c r="G32" s="2" t="e">
        <f>SUM(#REF!,#REF!,#REF!,#REF!)*((#REF!)^1)</f>
        <v>#REF!</v>
      </c>
      <c r="H32" s="2" t="e">
        <f>SUM(#REF!,#REF!,#REF!,#REF!)*((#REF!)^2)</f>
        <v>#REF!</v>
      </c>
      <c r="I32" s="2" t="e">
        <f>SUM(#REF!,#REF!,#REF!,#REF!)*((#REF!)^3)</f>
        <v>#REF!</v>
      </c>
      <c r="J32" s="2" t="e">
        <f>SUM(#REF!,#REF!,#REF!,#REF!)*((#REF!)^4)</f>
        <v>#REF!</v>
      </c>
      <c r="K32" s="2" t="e">
        <f>SUM(#REF!,#REF!,#REF!,#REF!)*((#REF!)^5)</f>
        <v>#REF!</v>
      </c>
      <c r="L32" s="2" t="e">
        <f>SUM(#REF!,#REF!,#REF!,#REF!)*((#REF!)^6)</f>
        <v>#REF!</v>
      </c>
      <c r="M32" s="2" t="e">
        <f>L32*#REF!</f>
        <v>#REF!</v>
      </c>
      <c r="N32" s="2" t="e">
        <f>M32*#REF!</f>
        <v>#REF!</v>
      </c>
      <c r="O32" s="2">
        <f>$C$21*0.3*O27</f>
        <v>33.9</v>
      </c>
      <c r="P32" s="2">
        <f t="shared" ref="P32:AH32" si="7">$C$21*0.3*P27</f>
        <v>34.408316134771418</v>
      </c>
      <c r="Q32" s="2">
        <f t="shared" si="7"/>
        <v>34.924254254583225</v>
      </c>
      <c r="R32" s="2">
        <f t="shared" si="7"/>
        <v>35.447928647871244</v>
      </c>
      <c r="S32" s="2">
        <f t="shared" si="7"/>
        <v>35.979455316778001</v>
      </c>
      <c r="T32" s="2">
        <f t="shared" si="7"/>
        <v>36.51895200284897</v>
      </c>
      <c r="U32" s="2">
        <f t="shared" si="7"/>
        <v>37.066538213114193</v>
      </c>
      <c r="V32" s="2">
        <f t="shared" si="7"/>
        <v>37.622335246561015</v>
      </c>
      <c r="W32" s="2">
        <f t="shared" si="7"/>
        <v>38.186466221003691</v>
      </c>
      <c r="X32" s="2">
        <f t="shared" si="7"/>
        <v>38.759056100355899</v>
      </c>
      <c r="Y32" s="2">
        <f t="shared" si="7"/>
        <v>39.340231722312289</v>
      </c>
      <c r="Z32" s="2">
        <f t="shared" si="7"/>
        <v>39.340231722312289</v>
      </c>
      <c r="AA32" s="2">
        <f t="shared" si="7"/>
        <v>39.340231722312289</v>
      </c>
      <c r="AB32" s="2">
        <f t="shared" si="7"/>
        <v>39.340231722312289</v>
      </c>
      <c r="AC32" s="2">
        <f t="shared" si="7"/>
        <v>39.340231722312289</v>
      </c>
      <c r="AD32" s="2">
        <f t="shared" si="7"/>
        <v>39.340231722312289</v>
      </c>
      <c r="AE32" s="2">
        <f t="shared" si="7"/>
        <v>39.340231722312289</v>
      </c>
      <c r="AF32" s="2">
        <f t="shared" si="7"/>
        <v>39.340231722312289</v>
      </c>
      <c r="AG32" s="2">
        <f t="shared" si="7"/>
        <v>39.340231722312289</v>
      </c>
      <c r="AH32" s="2">
        <f t="shared" si="7"/>
        <v>39.340231722312289</v>
      </c>
    </row>
    <row r="33" spans="1:34" x14ac:dyDescent="0.25">
      <c r="A33" s="1" t="s">
        <v>193</v>
      </c>
      <c r="B33" s="97"/>
      <c r="C33" s="97"/>
      <c r="D33" s="97"/>
      <c r="E33" s="97"/>
      <c r="F33" s="2" t="e">
        <f>SUM(#REF!,#REF!,#REF!,#REF!)*((#REF!)^0)</f>
        <v>#REF!</v>
      </c>
      <c r="G33" s="2" t="e">
        <f>SUM(#REF!,#REF!,#REF!,#REF!)*((#REF!)^1)</f>
        <v>#REF!</v>
      </c>
      <c r="H33" s="2" t="e">
        <f>SUM(#REF!,#REF!,#REF!,#REF!)*((#REF!)^2)</f>
        <v>#REF!</v>
      </c>
      <c r="I33" s="2" t="e">
        <f>SUM(#REF!,#REF!,#REF!,#REF!)*((#REF!)^3)</f>
        <v>#REF!</v>
      </c>
      <c r="J33" s="2" t="e">
        <f>SUM(#REF!,#REF!,#REF!,#REF!)*((#REF!)^4)</f>
        <v>#REF!</v>
      </c>
      <c r="K33" s="2" t="e">
        <f>SUM(#REF!,#REF!,#REF!,#REF!)*((#REF!)^5)</f>
        <v>#REF!</v>
      </c>
      <c r="L33" s="2" t="e">
        <f>SUM(#REF!,#REF!,#REF!,#REF!)*((#REF!)^6)</f>
        <v>#REF!</v>
      </c>
      <c r="M33" s="2" t="e">
        <f>L33*#REF!</f>
        <v>#REF!</v>
      </c>
      <c r="N33" s="2" t="e">
        <f>M33*#REF!</f>
        <v>#REF!</v>
      </c>
      <c r="O33" s="2">
        <f>$C$21*0.6*O27</f>
        <v>67.8</v>
      </c>
      <c r="P33" s="2">
        <f t="shared" ref="P33:AH33" si="8">$C$21*0.6*P27</f>
        <v>68.816632269542836</v>
      </c>
      <c r="Q33" s="2">
        <f t="shared" si="8"/>
        <v>69.84850850916645</v>
      </c>
      <c r="R33" s="2">
        <f t="shared" si="8"/>
        <v>70.895857295742488</v>
      </c>
      <c r="S33" s="2">
        <f t="shared" si="8"/>
        <v>71.958910633556002</v>
      </c>
      <c r="T33" s="2">
        <f t="shared" si="8"/>
        <v>73.037904005697939</v>
      </c>
      <c r="U33" s="2">
        <f t="shared" si="8"/>
        <v>74.133076426228385</v>
      </c>
      <c r="V33" s="2">
        <f t="shared" si="8"/>
        <v>75.24467049312203</v>
      </c>
      <c r="W33" s="2">
        <f t="shared" si="8"/>
        <v>76.372932442007382</v>
      </c>
      <c r="X33" s="2">
        <f t="shared" si="8"/>
        <v>77.518112200711798</v>
      </c>
      <c r="Y33" s="2">
        <f t="shared" si="8"/>
        <v>78.680463444624579</v>
      </c>
      <c r="Z33" s="2">
        <f t="shared" si="8"/>
        <v>78.680463444624579</v>
      </c>
      <c r="AA33" s="2">
        <f t="shared" si="8"/>
        <v>78.680463444624579</v>
      </c>
      <c r="AB33" s="2">
        <f t="shared" si="8"/>
        <v>78.680463444624579</v>
      </c>
      <c r="AC33" s="2">
        <f t="shared" si="8"/>
        <v>78.680463444624579</v>
      </c>
      <c r="AD33" s="2">
        <f t="shared" si="8"/>
        <v>78.680463444624579</v>
      </c>
      <c r="AE33" s="2">
        <f t="shared" si="8"/>
        <v>78.680463444624579</v>
      </c>
      <c r="AF33" s="2">
        <f t="shared" si="8"/>
        <v>78.680463444624579</v>
      </c>
      <c r="AG33" s="2">
        <f t="shared" si="8"/>
        <v>78.680463444624579</v>
      </c>
      <c r="AH33" s="2">
        <f t="shared" si="8"/>
        <v>78.680463444624579</v>
      </c>
    </row>
    <row r="34" spans="1:34" x14ac:dyDescent="0.25">
      <c r="A34" s="1" t="s">
        <v>194</v>
      </c>
      <c r="B34" s="97"/>
      <c r="C34" s="97"/>
      <c r="D34" s="97"/>
      <c r="E34" s="97"/>
      <c r="F34" s="2" t="e">
        <f>SUM(#REF!,#REF!,#REF!,#REF!)*((#REF!)^0)</f>
        <v>#REF!</v>
      </c>
      <c r="G34" s="2" t="e">
        <f>SUM(#REF!,#REF!,#REF!,#REF!)*((#REF!)^1)</f>
        <v>#REF!</v>
      </c>
      <c r="H34" s="2" t="e">
        <f>SUM(#REF!,#REF!,#REF!,#REF!)*((#REF!)^2)</f>
        <v>#REF!</v>
      </c>
      <c r="I34" s="2" t="e">
        <f>SUM(#REF!,#REF!,#REF!,#REF!)*((#REF!)^3)</f>
        <v>#REF!</v>
      </c>
      <c r="J34" s="2" t="e">
        <f>SUM(#REF!,#REF!,#REF!,#REF!)*((#REF!)^4)</f>
        <v>#REF!</v>
      </c>
      <c r="K34" s="2" t="e">
        <f>SUM(#REF!,#REF!,#REF!,#REF!)*((#REF!)^5)</f>
        <v>#REF!</v>
      </c>
      <c r="L34" s="2" t="e">
        <f>SUM(#REF!,#REF!,#REF!,#REF!)*((#REF!)^6)</f>
        <v>#REF!</v>
      </c>
      <c r="M34" s="2" t="e">
        <f>L34*#REF!</f>
        <v>#REF!</v>
      </c>
      <c r="N34" s="2" t="e">
        <f>M34*#REF!</f>
        <v>#REF!</v>
      </c>
      <c r="O34" s="2">
        <f>$B21*O27</f>
        <v>2</v>
      </c>
      <c r="P34" s="2">
        <f t="shared" ref="P34:AH34" si="9">$B21*P27</f>
        <v>2.0299891524938891</v>
      </c>
      <c r="Q34" s="2">
        <f t="shared" si="9"/>
        <v>2.0604279796214291</v>
      </c>
      <c r="R34" s="2">
        <f t="shared" si="9"/>
        <v>2.0913232240632005</v>
      </c>
      <c r="S34" s="2">
        <f t="shared" si="9"/>
        <v>2.1226817296034222</v>
      </c>
      <c r="T34" s="2">
        <f t="shared" si="9"/>
        <v>2.1545104426459569</v>
      </c>
      <c r="U34" s="2">
        <f t="shared" si="9"/>
        <v>2.1868164137530499</v>
      </c>
      <c r="V34" s="2">
        <f t="shared" si="9"/>
        <v>2.2196067992071398</v>
      </c>
      <c r="W34" s="2">
        <f t="shared" si="9"/>
        <v>2.2528888625960879</v>
      </c>
      <c r="X34" s="2">
        <f t="shared" si="9"/>
        <v>2.2866699764221772</v>
      </c>
      <c r="Y34" s="2">
        <f t="shared" si="9"/>
        <v>2.3209576237352385</v>
      </c>
      <c r="Z34" s="2">
        <f t="shared" si="9"/>
        <v>2.3209576237352385</v>
      </c>
      <c r="AA34" s="2">
        <f t="shared" si="9"/>
        <v>2.3209576237352385</v>
      </c>
      <c r="AB34" s="2">
        <f t="shared" si="9"/>
        <v>2.3209576237352385</v>
      </c>
      <c r="AC34" s="2">
        <f t="shared" si="9"/>
        <v>2.3209576237352385</v>
      </c>
      <c r="AD34" s="2">
        <f t="shared" si="9"/>
        <v>2.3209576237352385</v>
      </c>
      <c r="AE34" s="2">
        <f t="shared" si="9"/>
        <v>2.3209576237352385</v>
      </c>
      <c r="AF34" s="2">
        <f t="shared" si="9"/>
        <v>2.3209576237352385</v>
      </c>
      <c r="AG34" s="2">
        <f t="shared" si="9"/>
        <v>2.3209576237352385</v>
      </c>
      <c r="AH34" s="2">
        <f t="shared" si="9"/>
        <v>2.3209576237352385</v>
      </c>
    </row>
    <row r="35" spans="1:34" x14ac:dyDescent="0.25">
      <c r="A35" s="1"/>
      <c r="B35" s="97"/>
      <c r="C35" s="97"/>
      <c r="D35" s="97"/>
      <c r="E35" s="97"/>
      <c r="F35" s="97"/>
      <c r="G35" s="97"/>
      <c r="H35" s="97"/>
      <c r="I35" s="97"/>
      <c r="J35" s="98"/>
    </row>
    <row r="37" spans="1:34" ht="30" customHeight="1" x14ac:dyDescent="0.25">
      <c r="A37" s="324" t="s">
        <v>195</v>
      </c>
      <c r="J37" s="37"/>
      <c r="K37" s="37"/>
      <c r="L37" s="92"/>
    </row>
    <row r="38" spans="1:34" x14ac:dyDescent="0.25">
      <c r="A38" s="1" t="s">
        <v>196</v>
      </c>
      <c r="O38" s="110">
        <f>O30*$B$71</f>
        <v>209.36500000000001</v>
      </c>
      <c r="P38" s="110">
        <f t="shared" ref="P38:AH38" si="10">P30*$B$71</f>
        <v>212.50433945594159</v>
      </c>
      <c r="Q38" s="110">
        <f t="shared" si="10"/>
        <v>215.69075197672026</v>
      </c>
      <c r="R38" s="110">
        <f t="shared" si="10"/>
        <v>218.92494340299601</v>
      </c>
      <c r="S38" s="110">
        <f t="shared" si="10"/>
        <v>222.20763015921025</v>
      </c>
      <c r="T38" s="110">
        <f t="shared" si="10"/>
        <v>225.53953941228539</v>
      </c>
      <c r="U38" s="110">
        <f t="shared" si="10"/>
        <v>228.92140923270367</v>
      </c>
      <c r="V38" s="110">
        <f t="shared" si="10"/>
        <v>232.35398875800144</v>
      </c>
      <c r="W38" s="110">
        <f t="shared" si="10"/>
        <v>235.83803835871498</v>
      </c>
      <c r="X38" s="110">
        <f t="shared" si="10"/>
        <v>239.37432980681459</v>
      </c>
      <c r="Y38" s="110">
        <f t="shared" si="10"/>
        <v>242.96364644666414</v>
      </c>
      <c r="Z38" s="110">
        <f t="shared" si="10"/>
        <v>242.96364644666414</v>
      </c>
      <c r="AA38" s="110">
        <f t="shared" si="10"/>
        <v>242.96364644666414</v>
      </c>
      <c r="AB38" s="110">
        <f t="shared" si="10"/>
        <v>242.96364644666414</v>
      </c>
      <c r="AC38" s="110">
        <f t="shared" si="10"/>
        <v>242.96364644666414</v>
      </c>
      <c r="AD38" s="110">
        <f t="shared" si="10"/>
        <v>242.96364644666414</v>
      </c>
      <c r="AE38" s="110">
        <f t="shared" si="10"/>
        <v>242.96364644666414</v>
      </c>
      <c r="AF38" s="110">
        <f t="shared" si="10"/>
        <v>242.96364644666414</v>
      </c>
      <c r="AG38" s="110">
        <f t="shared" si="10"/>
        <v>242.96364644666414</v>
      </c>
      <c r="AH38" s="110">
        <f t="shared" si="10"/>
        <v>242.96364644666414</v>
      </c>
    </row>
    <row r="39" spans="1:34" x14ac:dyDescent="0.25">
      <c r="A39" s="1" t="s">
        <v>191</v>
      </c>
      <c r="B39" s="37"/>
      <c r="C39" s="37"/>
      <c r="D39" s="37"/>
      <c r="E39" s="37"/>
      <c r="F39" s="110"/>
      <c r="G39" s="110"/>
      <c r="H39" s="110"/>
      <c r="I39" s="110"/>
      <c r="J39" s="110"/>
      <c r="K39" s="110" t="e">
        <f>K31*(1-#REF!)</f>
        <v>#REF!</v>
      </c>
      <c r="L39" s="110" t="e">
        <f>L31*(1-#REF!)</f>
        <v>#REF!</v>
      </c>
      <c r="M39" s="110" t="e">
        <f>M31*(1-#REF!)</f>
        <v>#REF!</v>
      </c>
      <c r="N39" s="110" t="e">
        <f>N31*(1-#REF!)</f>
        <v>#REF!</v>
      </c>
      <c r="O39" s="110">
        <f>O31*$B$71</f>
        <v>7.3450000000000006</v>
      </c>
      <c r="P39" s="110">
        <f t="shared" ref="P39:AH39" si="11">P31*$B$71</f>
        <v>7.455135162533808</v>
      </c>
      <c r="Q39" s="110">
        <f t="shared" si="11"/>
        <v>7.566921755159699</v>
      </c>
      <c r="R39" s="110">
        <f t="shared" si="11"/>
        <v>7.6803845403721054</v>
      </c>
      <c r="S39" s="110">
        <f t="shared" si="11"/>
        <v>7.7955486519685691</v>
      </c>
      <c r="T39" s="110">
        <f t="shared" si="11"/>
        <v>7.9124396006172777</v>
      </c>
      <c r="U39" s="110">
        <f t="shared" si="11"/>
        <v>8.031083279508076</v>
      </c>
      <c r="V39" s="110">
        <f t="shared" si="11"/>
        <v>8.1515059700882215</v>
      </c>
      <c r="W39" s="110">
        <f t="shared" si="11"/>
        <v>8.2737343478841332</v>
      </c>
      <c r="X39" s="110">
        <f t="shared" si="11"/>
        <v>8.3977954884104467</v>
      </c>
      <c r="Y39" s="110">
        <f t="shared" si="11"/>
        <v>8.5237168731676629</v>
      </c>
      <c r="Z39" s="110">
        <f t="shared" si="11"/>
        <v>8.5237168731676629</v>
      </c>
      <c r="AA39" s="110">
        <f t="shared" si="11"/>
        <v>8.5237168731676629</v>
      </c>
      <c r="AB39" s="110">
        <f t="shared" si="11"/>
        <v>8.5237168731676629</v>
      </c>
      <c r="AC39" s="110">
        <f t="shared" si="11"/>
        <v>8.5237168731676629</v>
      </c>
      <c r="AD39" s="110">
        <f t="shared" si="11"/>
        <v>8.5237168731676629</v>
      </c>
      <c r="AE39" s="110">
        <f t="shared" si="11"/>
        <v>8.5237168731676629</v>
      </c>
      <c r="AF39" s="110">
        <f t="shared" si="11"/>
        <v>8.5237168731676629</v>
      </c>
      <c r="AG39" s="110">
        <f t="shared" si="11"/>
        <v>8.5237168731676629</v>
      </c>
      <c r="AH39" s="110">
        <f t="shared" si="11"/>
        <v>8.5237168731676629</v>
      </c>
    </row>
    <row r="40" spans="1:34" x14ac:dyDescent="0.25">
      <c r="A40" s="1" t="s">
        <v>192</v>
      </c>
      <c r="B40" s="37"/>
      <c r="C40" s="37"/>
      <c r="D40" s="37"/>
      <c r="E40" s="37"/>
      <c r="F40" s="110"/>
      <c r="G40" s="110"/>
      <c r="H40" s="110"/>
      <c r="I40" s="110"/>
      <c r="J40" s="110"/>
      <c r="K40" s="110" t="e">
        <f>K32*(1-#REF!)</f>
        <v>#REF!</v>
      </c>
      <c r="L40" s="110" t="e">
        <f>L32*(1-#REF!)</f>
        <v>#REF!</v>
      </c>
      <c r="M40" s="110" t="e">
        <f>M32*(1-#REF!)</f>
        <v>#REF!</v>
      </c>
      <c r="N40" s="110" t="e">
        <f>N32*(1-#REF!)</f>
        <v>#REF!</v>
      </c>
      <c r="O40" s="110">
        <f>O32*$B$71</f>
        <v>22.035</v>
      </c>
      <c r="P40" s="110">
        <f t="shared" ref="P40:AH40" si="12">P32*$B$71</f>
        <v>22.365405487601421</v>
      </c>
      <c r="Q40" s="110">
        <f t="shared" si="12"/>
        <v>22.700765265479099</v>
      </c>
      <c r="R40" s="110">
        <f t="shared" si="12"/>
        <v>23.041153621116308</v>
      </c>
      <c r="S40" s="110">
        <f t="shared" si="12"/>
        <v>23.386645955905703</v>
      </c>
      <c r="T40" s="110">
        <f t="shared" si="12"/>
        <v>23.737318801851831</v>
      </c>
      <c r="U40" s="110">
        <f t="shared" si="12"/>
        <v>24.093249838524226</v>
      </c>
      <c r="V40" s="110">
        <f t="shared" si="12"/>
        <v>24.454517910264659</v>
      </c>
      <c r="W40" s="110">
        <f t="shared" si="12"/>
        <v>24.8212030436524</v>
      </c>
      <c r="X40" s="110">
        <f t="shared" si="12"/>
        <v>25.193386465231335</v>
      </c>
      <c r="Y40" s="110">
        <f t="shared" si="12"/>
        <v>25.571150619502991</v>
      </c>
      <c r="Z40" s="110">
        <f t="shared" si="12"/>
        <v>25.571150619502991</v>
      </c>
      <c r="AA40" s="110">
        <f t="shared" si="12"/>
        <v>25.571150619502991</v>
      </c>
      <c r="AB40" s="110">
        <f t="shared" si="12"/>
        <v>25.571150619502991</v>
      </c>
      <c r="AC40" s="110">
        <f t="shared" si="12"/>
        <v>25.571150619502991</v>
      </c>
      <c r="AD40" s="110">
        <f t="shared" si="12"/>
        <v>25.571150619502991</v>
      </c>
      <c r="AE40" s="110">
        <f t="shared" si="12"/>
        <v>25.571150619502991</v>
      </c>
      <c r="AF40" s="110">
        <f t="shared" si="12"/>
        <v>25.571150619502991</v>
      </c>
      <c r="AG40" s="110">
        <f t="shared" si="12"/>
        <v>25.571150619502991</v>
      </c>
      <c r="AH40" s="110">
        <f t="shared" si="12"/>
        <v>25.571150619502991</v>
      </c>
    </row>
    <row r="41" spans="1:34" x14ac:dyDescent="0.25">
      <c r="A41" s="1" t="s">
        <v>193</v>
      </c>
      <c r="B41" s="37"/>
      <c r="C41" s="37"/>
      <c r="D41" s="37"/>
      <c r="E41" s="37"/>
      <c r="F41" s="110"/>
      <c r="G41" s="110"/>
      <c r="H41" s="110"/>
      <c r="I41" s="110"/>
      <c r="J41" s="110"/>
      <c r="K41" s="110" t="e">
        <f>K33*(1-#REF!)</f>
        <v>#REF!</v>
      </c>
      <c r="L41" s="110" t="e">
        <f>L33*(1-#REF!)</f>
        <v>#REF!</v>
      </c>
      <c r="M41" s="110" t="e">
        <f>M33*(1-#REF!)</f>
        <v>#REF!</v>
      </c>
      <c r="N41" s="110" t="e">
        <f>N33*(1-#REF!)</f>
        <v>#REF!</v>
      </c>
      <c r="O41" s="110">
        <f t="shared" ref="O41" si="13">O33*$B$68</f>
        <v>35.256</v>
      </c>
      <c r="P41" s="110">
        <f t="shared" ref="P41:AH41" si="14">P33*$B$68</f>
        <v>35.784648780162279</v>
      </c>
      <c r="Q41" s="110">
        <f t="shared" si="14"/>
        <v>36.321224424766555</v>
      </c>
      <c r="R41" s="110">
        <f t="shared" si="14"/>
        <v>36.865845793786093</v>
      </c>
      <c r="S41" s="110">
        <f t="shared" si="14"/>
        <v>37.418633529449124</v>
      </c>
      <c r="T41" s="110">
        <f t="shared" si="14"/>
        <v>37.979710082962931</v>
      </c>
      <c r="U41" s="110">
        <f t="shared" si="14"/>
        <v>38.549199741638759</v>
      </c>
      <c r="V41" s="110">
        <f t="shared" si="14"/>
        <v>39.127228656423455</v>
      </c>
      <c r="W41" s="110">
        <f t="shared" si="14"/>
        <v>39.713924869843844</v>
      </c>
      <c r="X41" s="110">
        <f t="shared" si="14"/>
        <v>40.309418344370137</v>
      </c>
      <c r="Y41" s="110">
        <f t="shared" si="14"/>
        <v>40.913840991204779</v>
      </c>
      <c r="Z41" s="110">
        <f t="shared" si="14"/>
        <v>40.913840991204779</v>
      </c>
      <c r="AA41" s="110">
        <f t="shared" si="14"/>
        <v>40.913840991204779</v>
      </c>
      <c r="AB41" s="110">
        <f t="shared" si="14"/>
        <v>40.913840991204779</v>
      </c>
      <c r="AC41" s="110">
        <f t="shared" si="14"/>
        <v>40.913840991204779</v>
      </c>
      <c r="AD41" s="110">
        <f t="shared" si="14"/>
        <v>40.913840991204779</v>
      </c>
      <c r="AE41" s="110">
        <f t="shared" si="14"/>
        <v>40.913840991204779</v>
      </c>
      <c r="AF41" s="110">
        <f t="shared" si="14"/>
        <v>40.913840991204779</v>
      </c>
      <c r="AG41" s="110">
        <f t="shared" si="14"/>
        <v>40.913840991204779</v>
      </c>
      <c r="AH41" s="110">
        <f t="shared" si="14"/>
        <v>40.913840991204779</v>
      </c>
    </row>
    <row r="42" spans="1:34" x14ac:dyDescent="0.25">
      <c r="A42" s="1" t="s">
        <v>194</v>
      </c>
      <c r="B42" s="37"/>
      <c r="C42" s="37"/>
      <c r="D42" s="37"/>
      <c r="E42" s="37"/>
      <c r="F42" s="110"/>
      <c r="G42" s="110"/>
      <c r="H42" s="110"/>
      <c r="I42" s="110"/>
      <c r="J42" s="110"/>
      <c r="K42" s="110" t="e">
        <f>K34*(1-#REF!)</f>
        <v>#REF!</v>
      </c>
      <c r="L42" s="110" t="e">
        <f>L34*(1-#REF!)</f>
        <v>#REF!</v>
      </c>
      <c r="M42" s="110" t="e">
        <f>M34*(1-#REF!)</f>
        <v>#REF!</v>
      </c>
      <c r="N42" s="110" t="e">
        <f>N34*(1-#REF!)</f>
        <v>#REF!</v>
      </c>
      <c r="O42" s="110">
        <f>O34*$B$71</f>
        <v>1.3</v>
      </c>
      <c r="P42" s="110">
        <f t="shared" ref="P42:AH42" si="15">P34*$B$71</f>
        <v>1.3194929491210279</v>
      </c>
      <c r="Q42" s="110">
        <f t="shared" si="15"/>
        <v>1.339278186753929</v>
      </c>
      <c r="R42" s="110">
        <f t="shared" si="15"/>
        <v>1.3593600956410803</v>
      </c>
      <c r="S42" s="110">
        <f t="shared" si="15"/>
        <v>1.3797431242422245</v>
      </c>
      <c r="T42" s="110">
        <f t="shared" si="15"/>
        <v>1.400431787719872</v>
      </c>
      <c r="U42" s="110">
        <f t="shared" si="15"/>
        <v>1.4214306689394824</v>
      </c>
      <c r="V42" s="110">
        <f t="shared" si="15"/>
        <v>1.4427444194846408</v>
      </c>
      <c r="W42" s="110">
        <f t="shared" si="15"/>
        <v>1.4643777606874573</v>
      </c>
      <c r="X42" s="110">
        <f t="shared" si="15"/>
        <v>1.4863354846744152</v>
      </c>
      <c r="Y42" s="110">
        <f t="shared" si="15"/>
        <v>1.5086224554279051</v>
      </c>
      <c r="Z42" s="110">
        <f t="shared" si="15"/>
        <v>1.5086224554279051</v>
      </c>
      <c r="AA42" s="110">
        <f t="shared" si="15"/>
        <v>1.5086224554279051</v>
      </c>
      <c r="AB42" s="110">
        <f t="shared" si="15"/>
        <v>1.5086224554279051</v>
      </c>
      <c r="AC42" s="110">
        <f t="shared" si="15"/>
        <v>1.5086224554279051</v>
      </c>
      <c r="AD42" s="110">
        <f t="shared" si="15"/>
        <v>1.5086224554279051</v>
      </c>
      <c r="AE42" s="110">
        <f t="shared" si="15"/>
        <v>1.5086224554279051</v>
      </c>
      <c r="AF42" s="110">
        <f t="shared" si="15"/>
        <v>1.5086224554279051</v>
      </c>
      <c r="AG42" s="110">
        <f t="shared" si="15"/>
        <v>1.5086224554279051</v>
      </c>
      <c r="AH42" s="110">
        <f t="shared" si="15"/>
        <v>1.5086224554279051</v>
      </c>
    </row>
    <row r="43" spans="1:34" x14ac:dyDescent="0.25">
      <c r="A43" s="37"/>
      <c r="B43" s="100"/>
      <c r="C43" s="100"/>
      <c r="D43" s="100"/>
      <c r="E43" s="100"/>
      <c r="F43" s="100"/>
      <c r="G43" s="100"/>
      <c r="H43" s="100"/>
      <c r="I43" s="100"/>
      <c r="J43" s="101"/>
      <c r="K43" s="99"/>
      <c r="L43" s="99"/>
    </row>
    <row r="44" spans="1:34" ht="15.75" x14ac:dyDescent="0.25">
      <c r="A44" s="323" t="s">
        <v>197</v>
      </c>
    </row>
    <row r="45" spans="1:34" x14ac:dyDescent="0.25">
      <c r="A45" s="1" t="s">
        <v>196</v>
      </c>
      <c r="B45" s="16"/>
      <c r="C45" s="16"/>
      <c r="D45" s="16"/>
      <c r="E45" s="2"/>
      <c r="F45" s="112"/>
      <c r="G45" s="16"/>
      <c r="H45" s="16"/>
      <c r="I45" s="16"/>
      <c r="O45" s="2">
        <f>O30-O38</f>
        <v>112.73500000000001</v>
      </c>
      <c r="P45" s="2">
        <f t="shared" ref="P45:AH49" si="16">P30-P38</f>
        <v>114.42541355319929</v>
      </c>
      <c r="Q45" s="2">
        <f t="shared" si="16"/>
        <v>116.1411741413109</v>
      </c>
      <c r="R45" s="2">
        <f t="shared" si="16"/>
        <v>117.88266183238244</v>
      </c>
      <c r="S45" s="2">
        <f t="shared" si="16"/>
        <v>119.65026239342089</v>
      </c>
      <c r="T45" s="2">
        <f t="shared" si="16"/>
        <v>121.44436737584599</v>
      </c>
      <c r="U45" s="2">
        <f t="shared" si="16"/>
        <v>123.26537420222505</v>
      </c>
      <c r="V45" s="2">
        <f t="shared" si="16"/>
        <v>125.11368625430845</v>
      </c>
      <c r="W45" s="2">
        <f t="shared" si="16"/>
        <v>126.989712962385</v>
      </c>
      <c r="X45" s="2">
        <f t="shared" si="16"/>
        <v>128.89386989597708</v>
      </c>
      <c r="Y45" s="2">
        <f t="shared" si="16"/>
        <v>130.82657885589606</v>
      </c>
      <c r="Z45" s="2">
        <f t="shared" si="16"/>
        <v>130.82657885589606</v>
      </c>
      <c r="AA45" s="2">
        <f t="shared" si="16"/>
        <v>130.82657885589606</v>
      </c>
      <c r="AB45" s="2">
        <f t="shared" si="16"/>
        <v>130.82657885589606</v>
      </c>
      <c r="AC45" s="2">
        <f t="shared" si="16"/>
        <v>130.82657885589606</v>
      </c>
      <c r="AD45" s="2">
        <f t="shared" si="16"/>
        <v>130.82657885589606</v>
      </c>
      <c r="AE45" s="2">
        <f t="shared" si="16"/>
        <v>130.82657885589606</v>
      </c>
      <c r="AF45" s="2">
        <f t="shared" si="16"/>
        <v>130.82657885589606</v>
      </c>
      <c r="AG45" s="2">
        <f t="shared" si="16"/>
        <v>130.82657885589606</v>
      </c>
      <c r="AH45" s="2">
        <f t="shared" si="16"/>
        <v>130.82657885589606</v>
      </c>
    </row>
    <row r="46" spans="1:34" x14ac:dyDescent="0.25">
      <c r="A46" s="1" t="s">
        <v>191</v>
      </c>
      <c r="B46" s="16"/>
      <c r="C46" s="16"/>
      <c r="D46" s="16"/>
      <c r="F46" s="112"/>
      <c r="G46" s="16"/>
      <c r="H46" s="16"/>
      <c r="I46" s="16"/>
      <c r="O46" s="2">
        <f t="shared" ref="O46:AD49" si="17">O31-O39</f>
        <v>3.9550000000000001</v>
      </c>
      <c r="P46" s="2">
        <f t="shared" si="17"/>
        <v>4.0143035490566659</v>
      </c>
      <c r="Q46" s="2">
        <f t="shared" si="17"/>
        <v>4.0744963297013754</v>
      </c>
      <c r="R46" s="2">
        <f t="shared" si="17"/>
        <v>4.1355916755849789</v>
      </c>
      <c r="S46" s="2">
        <f t="shared" si="17"/>
        <v>4.1976031202907675</v>
      </c>
      <c r="T46" s="2">
        <f t="shared" si="17"/>
        <v>4.26054440033238</v>
      </c>
      <c r="U46" s="2">
        <f t="shared" si="17"/>
        <v>4.324429458196656</v>
      </c>
      <c r="V46" s="2">
        <f t="shared" si="17"/>
        <v>4.3892724454321197</v>
      </c>
      <c r="W46" s="2">
        <f t="shared" si="17"/>
        <v>4.4550877257837644</v>
      </c>
      <c r="X46" s="2">
        <f t="shared" si="17"/>
        <v>4.5218898783748553</v>
      </c>
      <c r="Y46" s="2">
        <f t="shared" si="17"/>
        <v>4.5896937009364347</v>
      </c>
      <c r="Z46" s="2">
        <f t="shared" si="17"/>
        <v>4.5896937009364347</v>
      </c>
      <c r="AA46" s="2">
        <f t="shared" si="17"/>
        <v>4.5896937009364347</v>
      </c>
      <c r="AB46" s="2">
        <f t="shared" si="17"/>
        <v>4.5896937009364347</v>
      </c>
      <c r="AC46" s="2">
        <f t="shared" si="17"/>
        <v>4.5896937009364347</v>
      </c>
      <c r="AD46" s="2">
        <f t="shared" si="17"/>
        <v>4.5896937009364347</v>
      </c>
      <c r="AE46" s="2">
        <f t="shared" si="16"/>
        <v>4.5896937009364347</v>
      </c>
      <c r="AF46" s="2">
        <f t="shared" si="16"/>
        <v>4.5896937009364347</v>
      </c>
      <c r="AG46" s="2">
        <f t="shared" si="16"/>
        <v>4.5896937009364347</v>
      </c>
      <c r="AH46" s="2">
        <f t="shared" si="16"/>
        <v>4.5896937009364347</v>
      </c>
    </row>
    <row r="47" spans="1:34" x14ac:dyDescent="0.25">
      <c r="A47" s="1" t="s">
        <v>192</v>
      </c>
      <c r="B47" s="16"/>
      <c r="C47" s="16"/>
      <c r="D47" s="16"/>
      <c r="E47" s="2"/>
      <c r="F47" s="112"/>
      <c r="G47" s="16"/>
      <c r="H47" s="16"/>
      <c r="I47" s="16"/>
      <c r="O47" s="2">
        <f t="shared" si="17"/>
        <v>11.864999999999998</v>
      </c>
      <c r="P47" s="2">
        <f t="shared" si="16"/>
        <v>12.042910647169997</v>
      </c>
      <c r="Q47" s="2">
        <f t="shared" si="16"/>
        <v>12.223488989104126</v>
      </c>
      <c r="R47" s="2">
        <f t="shared" si="16"/>
        <v>12.406775026754936</v>
      </c>
      <c r="S47" s="2">
        <f t="shared" si="16"/>
        <v>12.592809360872298</v>
      </c>
      <c r="T47" s="2">
        <f t="shared" si="16"/>
        <v>12.781633200997138</v>
      </c>
      <c r="U47" s="2">
        <f t="shared" si="16"/>
        <v>12.973288374589966</v>
      </c>
      <c r="V47" s="2">
        <f t="shared" si="16"/>
        <v>13.167817336296356</v>
      </c>
      <c r="W47" s="2">
        <f t="shared" si="16"/>
        <v>13.365263177351292</v>
      </c>
      <c r="X47" s="2">
        <f t="shared" si="16"/>
        <v>13.565669635124564</v>
      </c>
      <c r="Y47" s="2">
        <f t="shared" si="16"/>
        <v>13.769081102809299</v>
      </c>
      <c r="Z47" s="2">
        <f t="shared" si="16"/>
        <v>13.769081102809299</v>
      </c>
      <c r="AA47" s="2">
        <f t="shared" si="16"/>
        <v>13.769081102809299</v>
      </c>
      <c r="AB47" s="2">
        <f t="shared" si="16"/>
        <v>13.769081102809299</v>
      </c>
      <c r="AC47" s="2">
        <f t="shared" si="16"/>
        <v>13.769081102809299</v>
      </c>
      <c r="AD47" s="2">
        <f t="shared" si="16"/>
        <v>13.769081102809299</v>
      </c>
      <c r="AE47" s="2">
        <f t="shared" si="16"/>
        <v>13.769081102809299</v>
      </c>
      <c r="AF47" s="2">
        <f t="shared" si="16"/>
        <v>13.769081102809299</v>
      </c>
      <c r="AG47" s="2">
        <f t="shared" si="16"/>
        <v>13.769081102809299</v>
      </c>
      <c r="AH47" s="2">
        <f t="shared" si="16"/>
        <v>13.769081102809299</v>
      </c>
    </row>
    <row r="48" spans="1:34" x14ac:dyDescent="0.25">
      <c r="A48" s="1" t="s">
        <v>193</v>
      </c>
      <c r="B48" s="16"/>
      <c r="C48" s="16"/>
      <c r="D48" s="16"/>
      <c r="E48" s="2"/>
      <c r="F48" s="112"/>
      <c r="G48" s="16"/>
      <c r="H48" s="16"/>
      <c r="I48" s="16"/>
      <c r="O48" s="2">
        <f t="shared" si="17"/>
        <v>32.543999999999997</v>
      </c>
      <c r="P48" s="2">
        <f t="shared" si="16"/>
        <v>33.031983489380558</v>
      </c>
      <c r="Q48" s="2">
        <f t="shared" si="16"/>
        <v>33.527284084399895</v>
      </c>
      <c r="R48" s="2">
        <f t="shared" si="16"/>
        <v>34.030011501956395</v>
      </c>
      <c r="S48" s="2">
        <f t="shared" si="16"/>
        <v>34.540277104106877</v>
      </c>
      <c r="T48" s="2">
        <f t="shared" si="16"/>
        <v>35.058193922735008</v>
      </c>
      <c r="U48" s="2">
        <f t="shared" si="16"/>
        <v>35.583876684589626</v>
      </c>
      <c r="V48" s="2">
        <f t="shared" si="16"/>
        <v>36.117441836698575</v>
      </c>
      <c r="W48" s="2">
        <f t="shared" si="16"/>
        <v>36.659007572163539</v>
      </c>
      <c r="X48" s="2">
        <f t="shared" si="16"/>
        <v>37.208693856341661</v>
      </c>
      <c r="Y48" s="2">
        <f t="shared" si="16"/>
        <v>37.766622453419799</v>
      </c>
      <c r="Z48" s="2">
        <f t="shared" si="16"/>
        <v>37.766622453419799</v>
      </c>
      <c r="AA48" s="2">
        <f t="shared" si="16"/>
        <v>37.766622453419799</v>
      </c>
      <c r="AB48" s="2">
        <f t="shared" si="16"/>
        <v>37.766622453419799</v>
      </c>
      <c r="AC48" s="2">
        <f t="shared" si="16"/>
        <v>37.766622453419799</v>
      </c>
      <c r="AD48" s="2">
        <f t="shared" si="16"/>
        <v>37.766622453419799</v>
      </c>
      <c r="AE48" s="2">
        <f t="shared" si="16"/>
        <v>37.766622453419799</v>
      </c>
      <c r="AF48" s="2">
        <f t="shared" si="16"/>
        <v>37.766622453419799</v>
      </c>
      <c r="AG48" s="2">
        <f t="shared" si="16"/>
        <v>37.766622453419799</v>
      </c>
      <c r="AH48" s="2">
        <f t="shared" si="16"/>
        <v>37.766622453419799</v>
      </c>
    </row>
    <row r="49" spans="1:34" x14ac:dyDescent="0.25">
      <c r="A49" s="1" t="s">
        <v>194</v>
      </c>
      <c r="E49" s="2"/>
      <c r="O49" s="2">
        <f t="shared" si="17"/>
        <v>0.7</v>
      </c>
      <c r="P49" s="2">
        <f t="shared" si="16"/>
        <v>0.71049620337286123</v>
      </c>
      <c r="Q49" s="2">
        <f t="shared" si="16"/>
        <v>0.72114979286750014</v>
      </c>
      <c r="R49" s="2">
        <f t="shared" si="16"/>
        <v>0.73196312842212019</v>
      </c>
      <c r="S49" s="2">
        <f t="shared" si="16"/>
        <v>0.74293860536119771</v>
      </c>
      <c r="T49" s="2">
        <f t="shared" si="16"/>
        <v>0.75407865492608495</v>
      </c>
      <c r="U49" s="2">
        <f t="shared" si="16"/>
        <v>0.76538574481356747</v>
      </c>
      <c r="V49" s="2">
        <f t="shared" si="16"/>
        <v>0.77686237972249894</v>
      </c>
      <c r="W49" s="2">
        <f t="shared" si="16"/>
        <v>0.78851110190863061</v>
      </c>
      <c r="X49" s="2">
        <f t="shared" si="16"/>
        <v>0.80033449174776194</v>
      </c>
      <c r="Y49" s="2">
        <f t="shared" si="16"/>
        <v>0.81233516830733343</v>
      </c>
      <c r="Z49" s="2">
        <f t="shared" si="16"/>
        <v>0.81233516830733343</v>
      </c>
      <c r="AA49" s="2">
        <f t="shared" si="16"/>
        <v>0.81233516830733343</v>
      </c>
      <c r="AB49" s="2">
        <f t="shared" si="16"/>
        <v>0.81233516830733343</v>
      </c>
      <c r="AC49" s="2">
        <f t="shared" si="16"/>
        <v>0.81233516830733343</v>
      </c>
      <c r="AD49" s="2">
        <f t="shared" si="16"/>
        <v>0.81233516830733343</v>
      </c>
      <c r="AE49" s="2">
        <f t="shared" si="16"/>
        <v>0.81233516830733343</v>
      </c>
      <c r="AF49" s="2">
        <f t="shared" si="16"/>
        <v>0.81233516830733343</v>
      </c>
      <c r="AG49" s="2">
        <f t="shared" si="16"/>
        <v>0.81233516830733343</v>
      </c>
      <c r="AH49" s="2">
        <f t="shared" si="16"/>
        <v>0.81233516830733343</v>
      </c>
    </row>
    <row r="51" spans="1:34" ht="15.75" x14ac:dyDescent="0.25">
      <c r="A51" s="323" t="s">
        <v>172</v>
      </c>
    </row>
    <row r="52" spans="1:34" x14ac:dyDescent="0.25">
      <c r="A52" s="1" t="s">
        <v>196</v>
      </c>
      <c r="O52" s="19">
        <f>O45*'Look Up Data'!N109</f>
        <v>450940.00000000006</v>
      </c>
      <c r="P52" s="19">
        <f>P45*'Look Up Data'!O109</f>
        <v>457701.65421279718</v>
      </c>
      <c r="Q52" s="19">
        <f>Q45*'Look Up Data'!P109</f>
        <v>464564.69656524359</v>
      </c>
      <c r="R52" s="19">
        <f>R45*'Look Up Data'!Q109</f>
        <v>471530.64732952975</v>
      </c>
      <c r="S52" s="19">
        <f>S45*'Look Up Data'!R109</f>
        <v>478601.04957368353</v>
      </c>
      <c r="T52" s="19">
        <f>T45*'Look Up Data'!S109</f>
        <v>485777.46950338397</v>
      </c>
      <c r="U52" s="19">
        <f>U45*'Look Up Data'!T109</f>
        <v>493061.49680890021</v>
      </c>
      <c r="V52" s="19">
        <f>V45*'Look Up Data'!U109</f>
        <v>500454.74501723377</v>
      </c>
      <c r="W52" s="19">
        <f>W45*'Look Up Data'!V109</f>
        <v>507958.85184954002</v>
      </c>
      <c r="X52" s="19">
        <f>X45*'Look Up Data'!W109</f>
        <v>515575.47958390828</v>
      </c>
      <c r="Y52" s="19">
        <f>Y45*'Look Up Data'!X109</f>
        <v>523306.31542358425</v>
      </c>
      <c r="Z52" s="19">
        <f>Z45*'Look Up Data'!Y109</f>
        <v>523306.31542358425</v>
      </c>
      <c r="AA52" s="19">
        <f>AA45*'Look Up Data'!Z109</f>
        <v>523306.31542358425</v>
      </c>
      <c r="AB52" s="19">
        <f>AB45*'Look Up Data'!AA109</f>
        <v>523306.31542358425</v>
      </c>
      <c r="AC52" s="19">
        <f>AC45*'Look Up Data'!AB109</f>
        <v>523306.31542358425</v>
      </c>
      <c r="AD52" s="19">
        <f>AD45*'Look Up Data'!AC109</f>
        <v>523306.31542358425</v>
      </c>
      <c r="AE52" s="19">
        <f>AE45*'Look Up Data'!AD109</f>
        <v>523306.31542358425</v>
      </c>
      <c r="AF52" s="19">
        <f>AF45*'Look Up Data'!AE109</f>
        <v>523306.31542358425</v>
      </c>
      <c r="AG52" s="19">
        <f>AG45*'Look Up Data'!AF109</f>
        <v>523306.31542358425</v>
      </c>
      <c r="AH52" s="19">
        <f>AH45*'Look Up Data'!AG109</f>
        <v>523306.31542358425</v>
      </c>
    </row>
    <row r="53" spans="1:34" x14ac:dyDescent="0.25">
      <c r="A53" s="1" t="s">
        <v>191</v>
      </c>
      <c r="O53" s="19">
        <f>O46*'Look Up Data'!E112</f>
        <v>2194234</v>
      </c>
      <c r="P53" s="19">
        <f>P46*'Look Up Data'!F112</f>
        <v>2265271.4927326767</v>
      </c>
      <c r="Q53" s="19">
        <f>Q46*'Look Up Data'!G112</f>
        <v>2299238.278850486</v>
      </c>
      <c r="R53" s="19">
        <f>R46*'Look Up Data'!H112</f>
        <v>2333714.3825326036</v>
      </c>
      <c r="S53" s="19">
        <f>S46*'Look Up Data'!I112</f>
        <v>2368707.4407800799</v>
      </c>
      <c r="T53" s="19">
        <f>T46*'Look Up Data'!J112</f>
        <v>2404225.2051075622</v>
      </c>
      <c r="U53" s="19">
        <f>U46*'Look Up Data'!K112</f>
        <v>2440275.5432603732</v>
      </c>
      <c r="V53" s="19">
        <f>V46*'Look Up Data'!L112</f>
        <v>2476866.4409573451</v>
      </c>
      <c r="W53" s="19">
        <f>W46*'Look Up Data'!M112</f>
        <v>2514006.0036597783</v>
      </c>
      <c r="X53" s="19">
        <f>X46*'Look Up Data'!N112</f>
        <v>2551702.458366931</v>
      </c>
      <c r="Y53" s="19">
        <f>Y46*'Look Up Data'!O112</f>
        <v>2589964.1554384301</v>
      </c>
      <c r="Z53" s="19">
        <f>Z46*'Look Up Data'!P112</f>
        <v>2589964.1554384301</v>
      </c>
      <c r="AA53" s="19">
        <f>AA46*'Look Up Data'!Q112</f>
        <v>2589964.1554384301</v>
      </c>
      <c r="AB53" s="19">
        <f>AB46*'Look Up Data'!R112</f>
        <v>2589964.1554384301</v>
      </c>
      <c r="AC53" s="19">
        <f>AC46*'Look Up Data'!S112</f>
        <v>2589964.1554384301</v>
      </c>
      <c r="AD53" s="19">
        <f>AD46*'Look Up Data'!T112</f>
        <v>2589964.1554384301</v>
      </c>
      <c r="AE53" s="19">
        <f>AE46*'Look Up Data'!U112</f>
        <v>2589964.1554384301</v>
      </c>
      <c r="AF53" s="19">
        <f>AF46*'Look Up Data'!V112</f>
        <v>2589964.1554384301</v>
      </c>
      <c r="AG53" s="19">
        <f>AG46*'Look Up Data'!W112</f>
        <v>2589964.1554384301</v>
      </c>
      <c r="AH53" s="19">
        <f>AH46*'Look Up Data'!X112</f>
        <v>2589964.1554384301</v>
      </c>
    </row>
    <row r="54" spans="1:34" x14ac:dyDescent="0.25">
      <c r="A54" s="1" t="s">
        <v>192</v>
      </c>
      <c r="B54" s="37"/>
      <c r="C54" s="37"/>
      <c r="D54" s="37"/>
      <c r="E54" s="37"/>
      <c r="F54" s="111"/>
      <c r="G54" s="111"/>
      <c r="H54" s="111"/>
      <c r="I54" s="111"/>
      <c r="J54" s="111"/>
      <c r="K54" s="163" t="e">
        <f>K40*#REF!</f>
        <v>#REF!</v>
      </c>
      <c r="L54" s="163" t="e">
        <f>L40*#REF!</f>
        <v>#REF!</v>
      </c>
      <c r="M54" s="163" t="e">
        <f>M40*#REF!</f>
        <v>#REF!</v>
      </c>
      <c r="N54" s="163" t="e">
        <f>N40*#REF!</f>
        <v>#REF!</v>
      </c>
      <c r="O54" s="163">
        <f>O47*'Look Up Data'!N111</f>
        <v>1823650.4999999998</v>
      </c>
      <c r="P54" s="163">
        <f>P47*'Look Up Data'!O111</f>
        <v>1850995.3664700284</v>
      </c>
      <c r="Q54" s="163">
        <f>Q47*'Look Up Data'!P111</f>
        <v>1878750.2576253042</v>
      </c>
      <c r="R54" s="163">
        <f>R47*'Look Up Data'!Q111</f>
        <v>1906921.3216122335</v>
      </c>
      <c r="S54" s="163">
        <f>S47*'Look Up Data'!R111</f>
        <v>1935514.7987660721</v>
      </c>
      <c r="T54" s="163">
        <f>T47*'Look Up Data'!S111</f>
        <v>1964537.0229932601</v>
      </c>
      <c r="U54" s="163">
        <f>U47*'Look Up Data'!T111</f>
        <v>1993994.4231744779</v>
      </c>
      <c r="V54" s="163">
        <f>V47*'Look Up Data'!U111</f>
        <v>2023893.5245887497</v>
      </c>
      <c r="W54" s="163">
        <f>W47*'Look Up Data'!V111</f>
        <v>2054240.9503588935</v>
      </c>
      <c r="X54" s="163">
        <f>X47*'Look Up Data'!W111</f>
        <v>2085043.4229186454</v>
      </c>
      <c r="Y54" s="163">
        <f>Y47*'Look Up Data'!X111</f>
        <v>2116307.7655017893</v>
      </c>
      <c r="Z54" s="163">
        <f>Z47*'Look Up Data'!Y111</f>
        <v>2116307.7655017893</v>
      </c>
      <c r="AA54" s="163">
        <f>AA47*'Look Up Data'!Z111</f>
        <v>2116307.7655017893</v>
      </c>
      <c r="AB54" s="163">
        <f>AB47*'Look Up Data'!AA111</f>
        <v>2116307.7655017893</v>
      </c>
      <c r="AC54" s="163">
        <f>AC47*'Look Up Data'!AB111</f>
        <v>2116307.7655017893</v>
      </c>
      <c r="AD54" s="163">
        <f>AD47*'Look Up Data'!AC111</f>
        <v>2116307.7655017893</v>
      </c>
      <c r="AE54" s="163">
        <f>AE47*'Look Up Data'!AD111</f>
        <v>2116307.7655017893</v>
      </c>
      <c r="AF54" s="163">
        <f>AF47*'Look Up Data'!AE111</f>
        <v>2116307.7655017893</v>
      </c>
      <c r="AG54" s="163">
        <f>AG47*'Look Up Data'!AF111</f>
        <v>2116307.7655017893</v>
      </c>
      <c r="AH54" s="163">
        <f>AH47*'Look Up Data'!AG111</f>
        <v>2116307.7655017893</v>
      </c>
    </row>
    <row r="55" spans="1:34" x14ac:dyDescent="0.25">
      <c r="A55" s="1" t="s">
        <v>193</v>
      </c>
      <c r="B55" s="37"/>
      <c r="C55" s="37"/>
      <c r="D55" s="37"/>
      <c r="E55" s="37"/>
      <c r="F55" s="111"/>
      <c r="G55" s="111"/>
      <c r="H55" s="111"/>
      <c r="I55" s="111"/>
      <c r="J55" s="111"/>
      <c r="K55" s="163" t="e">
        <f>K41*#REF!</f>
        <v>#REF!</v>
      </c>
      <c r="L55" s="163" t="e">
        <f>L41*#REF!</f>
        <v>#REF!</v>
      </c>
      <c r="M55" s="163" t="e">
        <f>M41*#REF!</f>
        <v>#REF!</v>
      </c>
      <c r="N55" s="163" t="e">
        <f>N41*#REF!</f>
        <v>#REF!</v>
      </c>
      <c r="O55" s="163">
        <f>O48*'Look Up Data'!N110</f>
        <v>2554703.9999999995</v>
      </c>
      <c r="P55" s="163">
        <f>P48*'Look Up Data'!O110</f>
        <v>2593010.7039163737</v>
      </c>
      <c r="Q55" s="163">
        <f>Q48*'Look Up Data'!P110</f>
        <v>2631891.8006253918</v>
      </c>
      <c r="R55" s="163">
        <f>R48*'Look Up Data'!Q110</f>
        <v>2671355.9029035768</v>
      </c>
      <c r="S55" s="163">
        <f>S48*'Look Up Data'!R110</f>
        <v>2711411.7526723901</v>
      </c>
      <c r="T55" s="163">
        <f>T48*'Look Up Data'!S110</f>
        <v>2752068.2229346982</v>
      </c>
      <c r="U55" s="163">
        <f>U48*'Look Up Data'!T110</f>
        <v>2793334.3197402856</v>
      </c>
      <c r="V55" s="163">
        <f>V48*'Look Up Data'!U110</f>
        <v>2835219.1841808381</v>
      </c>
      <c r="W55" s="163">
        <f>W48*'Look Up Data'!V110</f>
        <v>2877732.0944148377</v>
      </c>
      <c r="X55" s="163">
        <f>X48*'Look Up Data'!W110</f>
        <v>2920882.4677228206</v>
      </c>
      <c r="Y55" s="163">
        <f>Y48*'Look Up Data'!X110</f>
        <v>2964679.8625934543</v>
      </c>
      <c r="Z55" s="163">
        <f>Z48*'Look Up Data'!Y110</f>
        <v>2964679.8625934543</v>
      </c>
      <c r="AA55" s="163">
        <f>AA48*'Look Up Data'!Z110</f>
        <v>2964679.8625934543</v>
      </c>
      <c r="AB55" s="163">
        <f>AB48*'Look Up Data'!AA110</f>
        <v>2964679.8625934543</v>
      </c>
      <c r="AC55" s="163">
        <f>AC48*'Look Up Data'!AB110</f>
        <v>2964679.8625934543</v>
      </c>
      <c r="AD55" s="163">
        <f>AD48*'Look Up Data'!AC110</f>
        <v>2964679.8625934543</v>
      </c>
      <c r="AE55" s="163">
        <f>AE48*'Look Up Data'!AD110</f>
        <v>2964679.8625934543</v>
      </c>
      <c r="AF55" s="163">
        <f>AF48*'Look Up Data'!AE110</f>
        <v>2964679.8625934543</v>
      </c>
      <c r="AG55" s="163">
        <f>AG48*'Look Up Data'!AF110</f>
        <v>2964679.8625934543</v>
      </c>
      <c r="AH55" s="163">
        <f>AH48*'Look Up Data'!AG110</f>
        <v>2964679.8625934543</v>
      </c>
    </row>
    <row r="56" spans="1:34" x14ac:dyDescent="0.25">
      <c r="A56" s="1" t="s">
        <v>194</v>
      </c>
      <c r="B56" s="37"/>
      <c r="C56" s="37"/>
      <c r="D56" s="37"/>
      <c r="E56" s="37"/>
      <c r="F56" s="111"/>
      <c r="G56" s="111"/>
      <c r="H56" s="111"/>
      <c r="I56" s="111"/>
      <c r="J56" s="111"/>
      <c r="K56" s="163" t="e">
        <f>K42*#REF!</f>
        <v>#REF!</v>
      </c>
      <c r="L56" s="163" t="e">
        <f>L42*#REF!</f>
        <v>#REF!</v>
      </c>
      <c r="M56" s="163" t="e">
        <f>M42*#REF!</f>
        <v>#REF!</v>
      </c>
      <c r="N56" s="163" t="e">
        <f>N42*#REF!</f>
        <v>#REF!</v>
      </c>
      <c r="O56" s="163">
        <f>O49*'Look Up Data'!N113</f>
        <v>8259999.9999999991</v>
      </c>
      <c r="P56" s="163">
        <f>P49*'Look Up Data'!O113</f>
        <v>8383855.1997997621</v>
      </c>
      <c r="Q56" s="163">
        <f>Q49*'Look Up Data'!P113</f>
        <v>8509567.5558365025</v>
      </c>
      <c r="R56" s="163">
        <f>R49*'Look Up Data'!Q113</f>
        <v>8637164.9153810181</v>
      </c>
      <c r="S56" s="163">
        <f>S49*'Look Up Data'!R113</f>
        <v>8766675.5432621334</v>
      </c>
      <c r="T56" s="163">
        <f>T49*'Look Up Data'!S113</f>
        <v>8898128.1281278022</v>
      </c>
      <c r="U56" s="163">
        <f>U49*'Look Up Data'!T113</f>
        <v>9031551.7888000961</v>
      </c>
      <c r="V56" s="163">
        <f>V49*'Look Up Data'!U113</f>
        <v>9166976.0807254873</v>
      </c>
      <c r="W56" s="163">
        <f>W49*'Look Up Data'!V113</f>
        <v>9304431.0025218409</v>
      </c>
      <c r="X56" s="163">
        <f>X49*'Look Up Data'!W113</f>
        <v>9443947.0026235916</v>
      </c>
      <c r="Y56" s="163">
        <f>Y49*'Look Up Data'!X113</f>
        <v>9585554.9860265348</v>
      </c>
      <c r="Z56" s="163">
        <f>Z49*'Look Up Data'!Y113</f>
        <v>9585554.9860265348</v>
      </c>
      <c r="AA56" s="163">
        <f>AA49*'Look Up Data'!Z113</f>
        <v>9585554.9860265348</v>
      </c>
      <c r="AB56" s="163">
        <f>AB49*'Look Up Data'!AA113</f>
        <v>9585554.9860265348</v>
      </c>
      <c r="AC56" s="163">
        <f>AC49*'Look Up Data'!AB113</f>
        <v>9585554.9860265348</v>
      </c>
      <c r="AD56" s="163">
        <f>AD49*'Look Up Data'!AC113</f>
        <v>9585554.9860265348</v>
      </c>
      <c r="AE56" s="163">
        <f>AE49*'Look Up Data'!AD113</f>
        <v>9585554.9860265348</v>
      </c>
      <c r="AF56" s="163">
        <f>AF49*'Look Up Data'!AE113</f>
        <v>9585554.9860265348</v>
      </c>
      <c r="AG56" s="163">
        <f>AG49*'Look Up Data'!AF113</f>
        <v>9585554.9860265348</v>
      </c>
      <c r="AH56" s="163">
        <f>AH49*'Look Up Data'!AG113</f>
        <v>9585554.9860265348</v>
      </c>
    </row>
    <row r="57" spans="1:34" x14ac:dyDescent="0.25">
      <c r="A57" s="102" t="s">
        <v>99</v>
      </c>
      <c r="B57" s="102"/>
      <c r="C57" s="102"/>
      <c r="D57" s="102"/>
      <c r="E57" s="102"/>
      <c r="F57" s="327"/>
      <c r="G57" s="327"/>
      <c r="H57" s="327"/>
      <c r="I57" s="327"/>
      <c r="J57" s="327"/>
      <c r="K57" s="328" t="e">
        <f t="shared" ref="K57:O57" si="18">SUM(K51:K56)</f>
        <v>#REF!</v>
      </c>
      <c r="L57" s="328" t="e">
        <f t="shared" si="18"/>
        <v>#REF!</v>
      </c>
      <c r="M57" s="328" t="e">
        <f t="shared" si="18"/>
        <v>#REF!</v>
      </c>
      <c r="N57" s="328" t="e">
        <f t="shared" si="18"/>
        <v>#REF!</v>
      </c>
      <c r="O57" s="328">
        <f t="shared" si="18"/>
        <v>15283528.5</v>
      </c>
      <c r="P57" s="328">
        <f t="shared" ref="P57:AH57" si="19">SUM(P51:P56)</f>
        <v>15550834.417131638</v>
      </c>
      <c r="Q57" s="328">
        <f t="shared" si="19"/>
        <v>15784012.589502927</v>
      </c>
      <c r="R57" s="328">
        <f t="shared" si="19"/>
        <v>16020687.169758962</v>
      </c>
      <c r="S57" s="328">
        <f t="shared" si="19"/>
        <v>16260910.58505436</v>
      </c>
      <c r="T57" s="328">
        <f t="shared" si="19"/>
        <v>16504736.048666706</v>
      </c>
      <c r="U57" s="328">
        <f t="shared" si="19"/>
        <v>16752217.571784133</v>
      </c>
      <c r="V57" s="328">
        <f t="shared" si="19"/>
        <v>17003409.975469653</v>
      </c>
      <c r="W57" s="328">
        <f t="shared" si="19"/>
        <v>17258368.902804889</v>
      </c>
      <c r="X57" s="328">
        <f t="shared" si="19"/>
        <v>17517150.831215896</v>
      </c>
      <c r="Y57" s="328">
        <f t="shared" si="19"/>
        <v>17779813.084983792</v>
      </c>
      <c r="Z57" s="328">
        <f t="shared" si="19"/>
        <v>17779813.084983792</v>
      </c>
      <c r="AA57" s="328">
        <f t="shared" si="19"/>
        <v>17779813.084983792</v>
      </c>
      <c r="AB57" s="328">
        <f t="shared" si="19"/>
        <v>17779813.084983792</v>
      </c>
      <c r="AC57" s="328">
        <f t="shared" si="19"/>
        <v>17779813.084983792</v>
      </c>
      <c r="AD57" s="328">
        <f t="shared" si="19"/>
        <v>17779813.084983792</v>
      </c>
      <c r="AE57" s="328">
        <f t="shared" si="19"/>
        <v>17779813.084983792</v>
      </c>
      <c r="AF57" s="328">
        <f t="shared" si="19"/>
        <v>17779813.084983792</v>
      </c>
      <c r="AG57" s="328">
        <f t="shared" si="19"/>
        <v>17779813.084983792</v>
      </c>
      <c r="AH57" s="328">
        <f t="shared" si="19"/>
        <v>17779813.084983792</v>
      </c>
    </row>
    <row r="63" spans="1:34" ht="16.5" thickBot="1" x14ac:dyDescent="0.3">
      <c r="A63" s="305"/>
      <c r="B63" s="306"/>
      <c r="C63" s="306"/>
      <c r="D63" s="306"/>
      <c r="E63" s="306"/>
    </row>
    <row r="64" spans="1:34" ht="15.75" thickTop="1" x14ac:dyDescent="0.25"/>
    <row r="65" spans="1:2" ht="15.75" x14ac:dyDescent="0.25">
      <c r="A65" s="41"/>
    </row>
    <row r="68" spans="1:2" x14ac:dyDescent="0.25">
      <c r="A68" s="13" t="s">
        <v>198</v>
      </c>
      <c r="B68" s="553">
        <f>0.65*0.8</f>
        <v>0.52</v>
      </c>
    </row>
    <row r="71" spans="1:2" x14ac:dyDescent="0.25">
      <c r="A71" t="s">
        <v>199</v>
      </c>
      <c r="B71" s="553">
        <v>0.65</v>
      </c>
    </row>
  </sheetData>
  <pageMargins left="0.7" right="0.7" top="0.75" bottom="0.75" header="0.3" footer="0.3"/>
  <pageSetup orientation="portrait" r:id="rId1"/>
  <ignoredErrors>
    <ignoredError sqref="O54:O5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e5a68-e118-41f0-846f-ee9e996b8841">
      <Terms xmlns="http://schemas.microsoft.com/office/infopath/2007/PartnerControls"/>
    </lcf76f155ced4ddcb4097134ff3c332f>
    <TaxCatchAll xmlns="0ebe6cc0-f81d-40a7-a804-743caf92df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5FF1EC57D98247AABFA36B96DF1AAC" ma:contentTypeVersion="13" ma:contentTypeDescription="Create a new document." ma:contentTypeScope="" ma:versionID="1b8e849ea1b06a89a4931f51cc9a1d22">
  <xsd:schema xmlns:xsd="http://www.w3.org/2001/XMLSchema" xmlns:xs="http://www.w3.org/2001/XMLSchema" xmlns:p="http://schemas.microsoft.com/office/2006/metadata/properties" xmlns:ns2="e9be5a68-e118-41f0-846f-ee9e996b8841" xmlns:ns3="0ebe6cc0-f81d-40a7-a804-743caf92dfd1" targetNamespace="http://schemas.microsoft.com/office/2006/metadata/properties" ma:root="true" ma:fieldsID="7541afac808cb9caa6d72e96eae392a8" ns2:_="" ns3:_="">
    <xsd:import namespace="e9be5a68-e118-41f0-846f-ee9e996b8841"/>
    <xsd:import namespace="0ebe6cc0-f81d-40a7-a804-743caf92df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e5a68-e118-41f0-846f-ee9e996b8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0f90c05-606b-48f3-b61d-f3cfbc761ca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e6cc0-f81d-40a7-a804-743caf92df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fdcbdf9-7d1e-4115-8565-cb61a13c94dc}" ma:internalName="TaxCatchAll" ma:showField="CatchAllData" ma:web="0ebe6cc0-f81d-40a7-a804-743caf92df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71D9DE-7E29-426F-8C93-5191A37BEACC}">
  <ds:schemaRefs>
    <ds:schemaRef ds:uri="http://schemas.microsoft.com/office/2006/metadata/properties"/>
    <ds:schemaRef ds:uri="http://schemas.microsoft.com/office/infopath/2007/PartnerControls"/>
    <ds:schemaRef ds:uri="e9be5a68-e118-41f0-846f-ee9e996b8841"/>
    <ds:schemaRef ds:uri="0ebe6cc0-f81d-40a7-a804-743caf92dfd1"/>
  </ds:schemaRefs>
</ds:datastoreItem>
</file>

<file path=customXml/itemProps2.xml><?xml version="1.0" encoding="utf-8"?>
<ds:datastoreItem xmlns:ds="http://schemas.openxmlformats.org/officeDocument/2006/customXml" ds:itemID="{F17A0DCE-1A1A-4DBC-AE22-18A9FA03A303}">
  <ds:schemaRefs>
    <ds:schemaRef ds:uri="http://schemas.microsoft.com/sharepoint/v3/contenttype/forms"/>
  </ds:schemaRefs>
</ds:datastoreItem>
</file>

<file path=customXml/itemProps3.xml><?xml version="1.0" encoding="utf-8"?>
<ds:datastoreItem xmlns:ds="http://schemas.openxmlformats.org/officeDocument/2006/customXml" ds:itemID="{75F64067-0CB3-4D9A-8BB4-4621096CC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e5a68-e118-41f0-846f-ee9e996b8841"/>
    <ds:schemaRef ds:uri="0ebe6cc0-f81d-40a7-a804-743caf92d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Results</vt:lpstr>
      <vt:lpstr>Capital Costs</vt:lpstr>
      <vt:lpstr>Maintenance $ Cost Savings</vt:lpstr>
      <vt:lpstr>Maintenance Saving Table</vt:lpstr>
      <vt:lpstr>Land Productivity Benefits</vt:lpstr>
      <vt:lpstr>Reduced Pavement Damage</vt:lpstr>
      <vt:lpstr>Travel Time Savings - Hours</vt:lpstr>
      <vt:lpstr>TT $ Benefits </vt:lpstr>
      <vt:lpstr>Crash Reduction $ Benefit</vt:lpstr>
      <vt:lpstr>Fuel Savings $ Benefits </vt:lpstr>
      <vt:lpstr>Supply Chain $ Benefits</vt:lpstr>
      <vt:lpstr>Emission $ Benefits</vt:lpstr>
      <vt:lpstr>Bike and Ped Lane Benefits</vt:lpstr>
      <vt:lpstr>Look Up Data</vt:lpstr>
      <vt:lpstr>Active Transportation Tables</vt:lpstr>
      <vt:lpstr>Active Data</vt:lpstr>
      <vt:lpstr>Pedestrian Benefits</vt:lpstr>
      <vt:lpstr>Cyclist Benefits</vt:lpstr>
      <vt:lpstr>Parameters</vt:lpstr>
      <vt:lpstr>Age</vt:lpstr>
      <vt:lpstr>Commute Characteristics</vt:lpstr>
      <vt:lpstr>Export Table</vt:lpstr>
      <vt:lpstr>Sheet2</vt:lpstr>
      <vt:lpstr>Avoided Emissions Summary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Gary Flynn</cp:lastModifiedBy>
  <cp:revision/>
  <dcterms:created xsi:type="dcterms:W3CDTF">2019-10-06T09:35:23Z</dcterms:created>
  <dcterms:modified xsi:type="dcterms:W3CDTF">2023-08-18T20:37:45Z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0x010100B85FF1EC57D98247AABFA36B96DF1AAC</vt:lpwstr>
  </property>
  <property fmtid="{D5CDD505-2E9C-101B-9397-08002B2CF9AE}" pid="3" name="MediaServiceImageTags">
    <vt:lpwstr/>
  </property>
  <property fmtid="{D5CDD505-2E9C-101B-9397-08002B2CF9AE}" pid="4" name="WorkbookGuid">
    <vt:lpwstr>0f40aebe-d5c9-4811-9710-7b5360a0b6d1</vt:lpwstr>
  </property>
</Properties>
</file>