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sys-my.sharepoint.com/personal/parmstrong_camsys_com/Documents/Documents/Oklahoma/OKDOT/Rural Grant Application/ODOT Submission 2020.05.19/"/>
    </mc:Choice>
  </mc:AlternateContent>
  <xr:revisionPtr revIDLastSave="0" documentId="13_ncr:1_{FE161E2C-2836-4073-A260-71D35040FFE6}" xr6:coauthVersionLast="47" xr6:coauthVersionMax="47" xr10:uidLastSave="{00000000-0000-0000-0000-000000000000}"/>
  <bookViews>
    <workbookView xWindow="-110" yWindow="-110" windowWidth="19420" windowHeight="10420" xr2:uid="{1EECC855-363B-436E-AD0C-A29D5F4F586D}"/>
  </bookViews>
  <sheets>
    <sheet name="Title Page" sheetId="11" r:id="rId1"/>
    <sheet name="About the Spreadsheets" sheetId="14" r:id="rId2"/>
    <sheet name="Default Values" sheetId="12" r:id="rId3"/>
    <sheet name="BCA Summary" sheetId="13" r:id="rId4"/>
    <sheet name="BCA Summary Nominal" sheetId="16" r:id="rId5"/>
    <sheet name="BCA Summary Discounted" sheetId="17" r:id="rId6"/>
    <sheet name="Construction Costs" sheetId="15" r:id="rId7"/>
    <sheet name="O&amp;M Costs" sheetId="4" r:id="rId8"/>
    <sheet name="Residual Value of Assets " sheetId="9" r:id="rId9"/>
    <sheet name="Crash Rates" sheetId="18" r:id="rId10"/>
    <sheet name="Safety Benefits" sheetId="1" r:id="rId11"/>
  </sheets>
  <definedNames>
    <definedName name="ValueUpdat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4" i="1" l="1"/>
  <c r="O34" i="1"/>
  <c r="N34" i="1"/>
  <c r="P33" i="1"/>
  <c r="O33" i="1"/>
  <c r="N33" i="1"/>
  <c r="P32" i="1"/>
  <c r="O32" i="1"/>
  <c r="N32" i="1"/>
  <c r="P31" i="1"/>
  <c r="O31" i="1"/>
  <c r="N31" i="1"/>
  <c r="P30" i="1"/>
  <c r="O30" i="1"/>
  <c r="N30" i="1"/>
  <c r="P29" i="1"/>
  <c r="O29" i="1"/>
  <c r="N29" i="1"/>
  <c r="P28" i="1"/>
  <c r="O28" i="1"/>
  <c r="N28" i="1"/>
  <c r="P27" i="1"/>
  <c r="O27" i="1"/>
  <c r="N27" i="1"/>
  <c r="P26" i="1"/>
  <c r="O26" i="1"/>
  <c r="N26" i="1"/>
  <c r="P25" i="1"/>
  <c r="O25" i="1"/>
  <c r="N25" i="1"/>
  <c r="P24" i="1"/>
  <c r="O24" i="1"/>
  <c r="N24" i="1"/>
  <c r="P23" i="1"/>
  <c r="O23" i="1"/>
  <c r="N23" i="1"/>
  <c r="P22" i="1"/>
  <c r="O22" i="1"/>
  <c r="N22" i="1"/>
  <c r="P21" i="1"/>
  <c r="O21" i="1"/>
  <c r="N21" i="1"/>
  <c r="P20" i="1"/>
  <c r="O20" i="1"/>
  <c r="N20" i="1"/>
  <c r="P19" i="1"/>
  <c r="O19" i="1"/>
  <c r="N19" i="1"/>
  <c r="P18" i="1"/>
  <c r="O18" i="1"/>
  <c r="N18" i="1"/>
  <c r="P17" i="1"/>
  <c r="O17" i="1"/>
  <c r="N17" i="1"/>
  <c r="P16" i="1"/>
  <c r="O16" i="1"/>
  <c r="N16" i="1"/>
  <c r="P15" i="1"/>
  <c r="O15" i="1"/>
  <c r="N15" i="1"/>
  <c r="P14" i="1"/>
  <c r="O14" i="1"/>
  <c r="N14" i="1"/>
  <c r="P13" i="1"/>
  <c r="O13" i="1"/>
  <c r="N13" i="1"/>
  <c r="P12" i="1"/>
  <c r="O12" i="1"/>
  <c r="N12" i="1"/>
  <c r="P11" i="1"/>
  <c r="O11" i="1"/>
  <c r="N11" i="1"/>
  <c r="P10" i="1"/>
  <c r="O10" i="1"/>
  <c r="N10" i="1"/>
  <c r="P9" i="1"/>
  <c r="O9" i="1"/>
  <c r="N9" i="1"/>
  <c r="P8" i="1"/>
  <c r="O8" i="1"/>
  <c r="N8" i="1"/>
  <c r="P7" i="1"/>
  <c r="O7" i="1"/>
  <c r="N7" i="1"/>
  <c r="P6" i="1"/>
  <c r="O6" i="1"/>
  <c r="N6" i="1"/>
  <c r="P5" i="1"/>
  <c r="O5" i="1"/>
  <c r="N5" i="1"/>
  <c r="B8" i="13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I6" i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D27" i="18" l="1"/>
  <c r="C27" i="18"/>
  <c r="B27" i="18"/>
  <c r="E27" i="18" s="1"/>
  <c r="G40" i="17"/>
  <c r="E40" i="17"/>
  <c r="C40" i="17"/>
  <c r="G6" i="17"/>
  <c r="G6" i="16"/>
  <c r="G40" i="16" s="1"/>
  <c r="E40" i="16"/>
  <c r="C40" i="16"/>
  <c r="C6" i="17"/>
  <c r="C6" i="16"/>
  <c r="D11" i="15"/>
  <c r="C11" i="15"/>
  <c r="E39" i="16" l="1"/>
  <c r="E16" i="9"/>
  <c r="E15" i="9"/>
  <c r="E14" i="9"/>
  <c r="E13" i="9"/>
  <c r="E12" i="9"/>
  <c r="E11" i="9"/>
  <c r="E10" i="9"/>
  <c r="E9" i="9"/>
  <c r="D18" i="9"/>
  <c r="D19" i="9" s="1"/>
  <c r="D20" i="9" s="1"/>
  <c r="C18" i="9"/>
  <c r="C19" i="9" s="1"/>
  <c r="C20" i="9" s="1"/>
  <c r="E20" i="9" s="1"/>
  <c r="B7" i="13" s="1"/>
  <c r="A10" i="17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B8" i="17"/>
  <c r="B4" i="17"/>
  <c r="A2" i="17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D9" i="16"/>
  <c r="H9" i="16" s="1"/>
  <c r="D8" i="16"/>
  <c r="H8" i="16" s="1"/>
  <c r="D7" i="16"/>
  <c r="H7" i="16" s="1"/>
  <c r="G39" i="16"/>
  <c r="G38" i="16"/>
  <c r="G37" i="16"/>
  <c r="G36" i="16"/>
  <c r="G35" i="16"/>
  <c r="G34" i="16"/>
  <c r="G33" i="16"/>
  <c r="G32" i="16"/>
  <c r="G31" i="16"/>
  <c r="G30" i="16"/>
  <c r="G29" i="16"/>
  <c r="G28" i="16"/>
  <c r="G27" i="16"/>
  <c r="G26" i="16"/>
  <c r="G25" i="16"/>
  <c r="G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E18" i="9" l="1"/>
  <c r="E19" i="9"/>
  <c r="B17" i="13" s="1"/>
  <c r="D8" i="17"/>
  <c r="B9" i="17"/>
  <c r="D9" i="17" s="1"/>
  <c r="E8" i="17"/>
  <c r="F8" i="17"/>
  <c r="B7" i="17"/>
  <c r="E9" i="17" l="1"/>
  <c r="B10" i="17"/>
  <c r="F9" i="17"/>
  <c r="H9" i="17" s="1"/>
  <c r="H8" i="17"/>
  <c r="B11" i="17"/>
  <c r="E10" i="17"/>
  <c r="C10" i="17"/>
  <c r="G10" i="17" s="1"/>
  <c r="F7" i="17"/>
  <c r="E7" i="17"/>
  <c r="D7" i="17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8" i="4"/>
  <c r="L7" i="4"/>
  <c r="L6" i="4"/>
  <c r="K26" i="4"/>
  <c r="K27" i="4" s="1"/>
  <c r="K28" i="4" s="1"/>
  <c r="K29" i="4" s="1"/>
  <c r="K30" i="4" s="1"/>
  <c r="K31" i="4" s="1"/>
  <c r="K32" i="4" s="1"/>
  <c r="K33" i="4" s="1"/>
  <c r="K34" i="4" s="1"/>
  <c r="K35" i="4" s="1"/>
  <c r="K36" i="4" s="1"/>
  <c r="K37" i="4" s="1"/>
  <c r="K38" i="4" s="1"/>
  <c r="S30" i="4"/>
  <c r="S31" i="4" s="1"/>
  <c r="S32" i="4" s="1"/>
  <c r="S33" i="4" s="1"/>
  <c r="S34" i="4" s="1"/>
  <c r="S35" i="4" s="1"/>
  <c r="S36" i="4" s="1"/>
  <c r="S37" i="4" s="1"/>
  <c r="S38" i="4" s="1"/>
  <c r="S6" i="4"/>
  <c r="N26" i="4"/>
  <c r="N27" i="4" s="1"/>
  <c r="N28" i="4" s="1"/>
  <c r="N29" i="4" s="1"/>
  <c r="N30" i="4" s="1"/>
  <c r="N31" i="4" s="1"/>
  <c r="N32" i="4" s="1"/>
  <c r="N33" i="4" s="1"/>
  <c r="N34" i="4" s="1"/>
  <c r="N35" i="4" s="1"/>
  <c r="N36" i="4" s="1"/>
  <c r="N37" i="4" s="1"/>
  <c r="N38" i="4" s="1"/>
  <c r="H39" i="4"/>
  <c r="C39" i="4"/>
  <c r="D38" i="4"/>
  <c r="D37" i="4"/>
  <c r="D36" i="4"/>
  <c r="D35" i="4"/>
  <c r="D34" i="4"/>
  <c r="D33" i="4"/>
  <c r="D32" i="4"/>
  <c r="D31" i="4"/>
  <c r="D30" i="4"/>
  <c r="D29" i="4"/>
  <c r="O29" i="4" s="1"/>
  <c r="D28" i="4"/>
  <c r="O28" i="4" s="1"/>
  <c r="D27" i="4"/>
  <c r="O27" i="4" s="1"/>
  <c r="D26" i="4"/>
  <c r="O26" i="4" s="1"/>
  <c r="D25" i="4"/>
  <c r="O25" i="4" s="1"/>
  <c r="D24" i="4"/>
  <c r="O24" i="4" s="1"/>
  <c r="D23" i="4"/>
  <c r="O23" i="4" s="1"/>
  <c r="D22" i="4"/>
  <c r="O22" i="4" s="1"/>
  <c r="D21" i="4"/>
  <c r="O21" i="4" s="1"/>
  <c r="D20" i="4"/>
  <c r="O20" i="4" s="1"/>
  <c r="D19" i="4"/>
  <c r="O19" i="4" s="1"/>
  <c r="D18" i="4"/>
  <c r="O18" i="4" s="1"/>
  <c r="D17" i="4"/>
  <c r="O17" i="4" s="1"/>
  <c r="D16" i="4"/>
  <c r="O16" i="4" s="1"/>
  <c r="D15" i="4"/>
  <c r="O15" i="4" s="1"/>
  <c r="D14" i="4"/>
  <c r="O14" i="4" s="1"/>
  <c r="D13" i="4"/>
  <c r="O13" i="4" s="1"/>
  <c r="D12" i="4"/>
  <c r="O12" i="4" s="1"/>
  <c r="D11" i="4"/>
  <c r="O11" i="4" s="1"/>
  <c r="D10" i="4"/>
  <c r="O10" i="4" s="1"/>
  <c r="D9" i="4"/>
  <c r="O9" i="4" s="1"/>
  <c r="D8" i="4"/>
  <c r="O8" i="4" s="1"/>
  <c r="D7" i="4"/>
  <c r="O7" i="4" s="1"/>
  <c r="D6" i="4"/>
  <c r="O6" i="4" s="1"/>
  <c r="I38" i="4"/>
  <c r="I37" i="4"/>
  <c r="I36" i="4"/>
  <c r="I35" i="4"/>
  <c r="I34" i="4"/>
  <c r="I33" i="4"/>
  <c r="I32" i="4"/>
  <c r="I31" i="4"/>
  <c r="I30" i="4"/>
  <c r="I29" i="4"/>
  <c r="P29" i="4" s="1"/>
  <c r="I28" i="4"/>
  <c r="P28" i="4" s="1"/>
  <c r="I27" i="4"/>
  <c r="P27" i="4" s="1"/>
  <c r="I26" i="4"/>
  <c r="P26" i="4" s="1"/>
  <c r="I25" i="4"/>
  <c r="P25" i="4" s="1"/>
  <c r="I24" i="4"/>
  <c r="P24" i="4" s="1"/>
  <c r="I23" i="4"/>
  <c r="P23" i="4" s="1"/>
  <c r="I22" i="4"/>
  <c r="P22" i="4" s="1"/>
  <c r="I21" i="4"/>
  <c r="P21" i="4" s="1"/>
  <c r="I20" i="4"/>
  <c r="P20" i="4" s="1"/>
  <c r="I19" i="4"/>
  <c r="P19" i="4" s="1"/>
  <c r="I18" i="4"/>
  <c r="P18" i="4" s="1"/>
  <c r="I17" i="4"/>
  <c r="P17" i="4" s="1"/>
  <c r="I16" i="4"/>
  <c r="P16" i="4" s="1"/>
  <c r="I15" i="4"/>
  <c r="P15" i="4" s="1"/>
  <c r="I14" i="4"/>
  <c r="P14" i="4" s="1"/>
  <c r="I13" i="4"/>
  <c r="P13" i="4" s="1"/>
  <c r="I12" i="4"/>
  <c r="P12" i="4" s="1"/>
  <c r="I11" i="4"/>
  <c r="P11" i="4" s="1"/>
  <c r="I6" i="4"/>
  <c r="P6" i="4" s="1"/>
  <c r="F26" i="4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B26" i="4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I10" i="4"/>
  <c r="P10" i="4" s="1"/>
  <c r="I9" i="4"/>
  <c r="P9" i="4" s="1"/>
  <c r="I8" i="4"/>
  <c r="P8" i="4" s="1"/>
  <c r="G39" i="4"/>
  <c r="L9" i="4" l="1"/>
  <c r="D10" i="16" s="1"/>
  <c r="H7" i="17"/>
  <c r="B12" i="17"/>
  <c r="E11" i="17"/>
  <c r="D11" i="17"/>
  <c r="C11" i="17"/>
  <c r="G11" i="17" s="1"/>
  <c r="P36" i="4"/>
  <c r="P30" i="4"/>
  <c r="P38" i="4"/>
  <c r="P37" i="4"/>
  <c r="Q37" i="4" s="1"/>
  <c r="O30" i="4"/>
  <c r="O38" i="4"/>
  <c r="Q38" i="4" s="1"/>
  <c r="O35" i="4"/>
  <c r="Q35" i="4" s="1"/>
  <c r="P33" i="4"/>
  <c r="Q33" i="4" s="1"/>
  <c r="O32" i="4"/>
  <c r="P34" i="4"/>
  <c r="O33" i="4"/>
  <c r="P35" i="4"/>
  <c r="O34" i="4"/>
  <c r="O36" i="4"/>
  <c r="Q36" i="4" s="1"/>
  <c r="Q18" i="4"/>
  <c r="Q34" i="4"/>
  <c r="O37" i="4"/>
  <c r="P31" i="4"/>
  <c r="P32" i="4"/>
  <c r="Q32" i="4" s="1"/>
  <c r="O31" i="4"/>
  <c r="Q31" i="4" s="1"/>
  <c r="Q30" i="4"/>
  <c r="Q25" i="4"/>
  <c r="Q29" i="4"/>
  <c r="D39" i="4"/>
  <c r="L39" i="4" s="1"/>
  <c r="Q17" i="4"/>
  <c r="Q11" i="4"/>
  <c r="Q12" i="4"/>
  <c r="Q10" i="4"/>
  <c r="Q28" i="4"/>
  <c r="Q14" i="4"/>
  <c r="Q27" i="4"/>
  <c r="Q21" i="4"/>
  <c r="Q20" i="4"/>
  <c r="Q15" i="4"/>
  <c r="Q8" i="4"/>
  <c r="Q24" i="4"/>
  <c r="Q22" i="4"/>
  <c r="Q19" i="4"/>
  <c r="Q13" i="4"/>
  <c r="Q23" i="4"/>
  <c r="Q16" i="4"/>
  <c r="Q9" i="4"/>
  <c r="Q26" i="4"/>
  <c r="Q6" i="4"/>
  <c r="I7" i="4"/>
  <c r="D40" i="16" l="1"/>
  <c r="B16" i="13" s="1"/>
  <c r="D10" i="17"/>
  <c r="D40" i="17" s="1"/>
  <c r="B13" i="17"/>
  <c r="E12" i="17"/>
  <c r="D12" i="17"/>
  <c r="C12" i="17"/>
  <c r="G12" i="17" s="1"/>
  <c r="O39" i="4"/>
  <c r="I39" i="4"/>
  <c r="P7" i="4"/>
  <c r="B14" i="17" l="1"/>
  <c r="D13" i="17"/>
  <c r="C13" i="17"/>
  <c r="G13" i="17" s="1"/>
  <c r="E13" i="17"/>
  <c r="Q7" i="4"/>
  <c r="Q39" i="4" s="1"/>
  <c r="P39" i="4"/>
  <c r="B15" i="17" l="1"/>
  <c r="E14" i="17"/>
  <c r="D14" i="17"/>
  <c r="C14" i="17"/>
  <c r="G14" i="17" s="1"/>
  <c r="B16" i="17" l="1"/>
  <c r="E15" i="17"/>
  <c r="D15" i="17"/>
  <c r="C15" i="17"/>
  <c r="G15" i="17" s="1"/>
  <c r="B17" i="17" l="1"/>
  <c r="D16" i="17"/>
  <c r="E16" i="17"/>
  <c r="C16" i="17"/>
  <c r="G16" i="17" s="1"/>
  <c r="B18" i="17" l="1"/>
  <c r="D17" i="17"/>
  <c r="C17" i="17"/>
  <c r="G17" i="17" s="1"/>
  <c r="E17" i="17"/>
  <c r="B19" i="17" l="1"/>
  <c r="E18" i="17"/>
  <c r="D18" i="17"/>
  <c r="C18" i="17"/>
  <c r="G18" i="17" s="1"/>
  <c r="B20" i="17" l="1"/>
  <c r="E19" i="17"/>
  <c r="D19" i="17"/>
  <c r="C19" i="17"/>
  <c r="G19" i="17" s="1"/>
  <c r="B21" i="17" l="1"/>
  <c r="D20" i="17"/>
  <c r="E20" i="17"/>
  <c r="C20" i="17"/>
  <c r="G20" i="17" s="1"/>
  <c r="B22" i="17" l="1"/>
  <c r="D21" i="17"/>
  <c r="C21" i="17"/>
  <c r="G21" i="17" s="1"/>
  <c r="E21" i="17"/>
  <c r="B23" i="17" l="1"/>
  <c r="E22" i="17"/>
  <c r="D22" i="17"/>
  <c r="C22" i="17"/>
  <c r="G22" i="17" s="1"/>
  <c r="B24" i="17" l="1"/>
  <c r="E23" i="17"/>
  <c r="D23" i="17"/>
  <c r="C23" i="17"/>
  <c r="G23" i="17" s="1"/>
  <c r="B25" i="17" l="1"/>
  <c r="D24" i="17"/>
  <c r="E24" i="17"/>
  <c r="C24" i="17"/>
  <c r="G24" i="17" s="1"/>
  <c r="B26" i="17" l="1"/>
  <c r="D25" i="17"/>
  <c r="C25" i="17"/>
  <c r="G25" i="17" s="1"/>
  <c r="E25" i="17"/>
  <c r="B27" i="17" l="1"/>
  <c r="E26" i="17"/>
  <c r="D26" i="17"/>
  <c r="C26" i="17"/>
  <c r="G26" i="17" s="1"/>
  <c r="B28" i="17" l="1"/>
  <c r="E27" i="17"/>
  <c r="D27" i="17"/>
  <c r="C27" i="17"/>
  <c r="G27" i="17" s="1"/>
  <c r="B29" i="17" l="1"/>
  <c r="D28" i="17"/>
  <c r="E28" i="17"/>
  <c r="C28" i="17"/>
  <c r="G28" i="17" s="1"/>
  <c r="B30" i="17" l="1"/>
  <c r="D29" i="17"/>
  <c r="C29" i="17"/>
  <c r="G29" i="17" s="1"/>
  <c r="E29" i="17"/>
  <c r="B31" i="17" l="1"/>
  <c r="E30" i="17"/>
  <c r="D30" i="17"/>
  <c r="C30" i="17"/>
  <c r="G30" i="17" s="1"/>
  <c r="B32" i="17" l="1"/>
  <c r="E31" i="17"/>
  <c r="D31" i="17"/>
  <c r="C31" i="17"/>
  <c r="G31" i="17" s="1"/>
  <c r="B33" i="17" l="1"/>
  <c r="D32" i="17"/>
  <c r="E32" i="17"/>
  <c r="C32" i="17"/>
  <c r="G32" i="17" s="1"/>
  <c r="B34" i="17" l="1"/>
  <c r="D33" i="17"/>
  <c r="C33" i="17"/>
  <c r="G33" i="17" s="1"/>
  <c r="E33" i="17"/>
  <c r="B35" i="17" l="1"/>
  <c r="E34" i="17"/>
  <c r="D34" i="17"/>
  <c r="C34" i="17"/>
  <c r="G34" i="17" s="1"/>
  <c r="B36" i="17" l="1"/>
  <c r="E35" i="17"/>
  <c r="D35" i="17"/>
  <c r="C35" i="17"/>
  <c r="G35" i="17" s="1"/>
  <c r="B37" i="17" l="1"/>
  <c r="D36" i="17"/>
  <c r="E36" i="17"/>
  <c r="C36" i="17"/>
  <c r="G36" i="17" s="1"/>
  <c r="B38" i="17" l="1"/>
  <c r="D37" i="17"/>
  <c r="C37" i="17"/>
  <c r="G37" i="17" s="1"/>
  <c r="E37" i="17"/>
  <c r="B39" i="17" l="1"/>
  <c r="E38" i="17"/>
  <c r="D38" i="17"/>
  <c r="C38" i="17"/>
  <c r="G38" i="17" s="1"/>
  <c r="E39" i="17" l="1"/>
  <c r="D39" i="17"/>
  <c r="B6" i="13" s="1"/>
  <c r="C39" i="17"/>
  <c r="G39" i="17" s="1"/>
  <c r="L23" i="18" l="1"/>
  <c r="L22" i="18"/>
  <c r="Q22" i="18" s="1"/>
  <c r="W22" i="18" s="1"/>
  <c r="D24" i="1" s="1"/>
  <c r="L21" i="18"/>
  <c r="L20" i="18"/>
  <c r="L19" i="18"/>
  <c r="Q19" i="18" s="1"/>
  <c r="W19" i="18" s="1"/>
  <c r="L18" i="18"/>
  <c r="L17" i="18"/>
  <c r="L16" i="18"/>
  <c r="Q16" i="18" s="1"/>
  <c r="W16" i="18" s="1"/>
  <c r="D18" i="1" s="1"/>
  <c r="L15" i="18"/>
  <c r="L14" i="18"/>
  <c r="L13" i="18"/>
  <c r="L12" i="18"/>
  <c r="L11" i="18"/>
  <c r="O11" i="18" s="1"/>
  <c r="L10" i="18"/>
  <c r="L9" i="18"/>
  <c r="L8" i="18"/>
  <c r="P8" i="18" s="1"/>
  <c r="V8" i="18" s="1"/>
  <c r="C10" i="1" s="1"/>
  <c r="L7" i="18"/>
  <c r="L6" i="18"/>
  <c r="P6" i="18" s="1"/>
  <c r="V6" i="18" s="1"/>
  <c r="L5" i="18"/>
  <c r="L4" i="18"/>
  <c r="E7" i="15"/>
  <c r="M27" i="15"/>
  <c r="M26" i="15"/>
  <c r="K25" i="15"/>
  <c r="M24" i="15"/>
  <c r="L24" i="15"/>
  <c r="K24" i="15"/>
  <c r="M23" i="15"/>
  <c r="L23" i="15"/>
  <c r="K23" i="15"/>
  <c r="M22" i="15"/>
  <c r="L22" i="15"/>
  <c r="K22" i="15"/>
  <c r="M21" i="15"/>
  <c r="L21" i="15"/>
  <c r="K21" i="15"/>
  <c r="M20" i="15"/>
  <c r="L20" i="15"/>
  <c r="K20" i="15"/>
  <c r="K29" i="15" s="1"/>
  <c r="H27" i="15"/>
  <c r="L27" i="15" s="1"/>
  <c r="G27" i="15"/>
  <c r="K27" i="15" s="1"/>
  <c r="H26" i="15"/>
  <c r="L26" i="15" s="1"/>
  <c r="G26" i="15"/>
  <c r="K26" i="15" s="1"/>
  <c r="I25" i="15"/>
  <c r="M25" i="15" s="1"/>
  <c r="H25" i="15"/>
  <c r="L25" i="15" s="1"/>
  <c r="G25" i="1"/>
  <c r="G26" i="1" s="1"/>
  <c r="G27" i="1" s="1"/>
  <c r="G28" i="1" s="1"/>
  <c r="G29" i="1" s="1"/>
  <c r="G30" i="1" s="1"/>
  <c r="G31" i="1" s="1"/>
  <c r="G32" i="1" s="1"/>
  <c r="G33" i="1" s="1"/>
  <c r="G34" i="1" s="1"/>
  <c r="J23" i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H23" i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D28" i="1"/>
  <c r="C28" i="1"/>
  <c r="B28" i="1"/>
  <c r="Q23" i="18"/>
  <c r="W23" i="18" s="1"/>
  <c r="P23" i="18"/>
  <c r="V23" i="18" s="1"/>
  <c r="C25" i="1" s="1"/>
  <c r="O23" i="18"/>
  <c r="P22" i="18"/>
  <c r="V22" i="18" s="1"/>
  <c r="C24" i="1" s="1"/>
  <c r="O21" i="18"/>
  <c r="Q20" i="18"/>
  <c r="W20" i="18" s="1"/>
  <c r="D22" i="1" s="1"/>
  <c r="P20" i="18"/>
  <c r="O20" i="18"/>
  <c r="R20" i="18" s="1"/>
  <c r="O19" i="18"/>
  <c r="U19" i="18" s="1"/>
  <c r="Q18" i="18"/>
  <c r="W18" i="18" s="1"/>
  <c r="D20" i="1" s="1"/>
  <c r="P18" i="18"/>
  <c r="O18" i="18"/>
  <c r="Q17" i="18"/>
  <c r="W17" i="18" s="1"/>
  <c r="D19" i="1" s="1"/>
  <c r="P17" i="18"/>
  <c r="V17" i="18" s="1"/>
  <c r="C19" i="1" s="1"/>
  <c r="O17" i="18"/>
  <c r="O14" i="18"/>
  <c r="Q6" i="18"/>
  <c r="W6" i="18" s="1"/>
  <c r="D8" i="1" s="1"/>
  <c r="O6" i="18"/>
  <c r="U6" i="18" s="1"/>
  <c r="Q5" i="18"/>
  <c r="W5" i="18" s="1"/>
  <c r="D7" i="1" s="1"/>
  <c r="P5" i="18"/>
  <c r="V5" i="18" s="1"/>
  <c r="C7" i="1" s="1"/>
  <c r="O5" i="18"/>
  <c r="U5" i="18" s="1"/>
  <c r="Q4" i="18"/>
  <c r="W4" i="18" s="1"/>
  <c r="P4" i="18"/>
  <c r="O4" i="18"/>
  <c r="U4" i="18" s="1"/>
  <c r="U23" i="18"/>
  <c r="V20" i="18"/>
  <c r="C22" i="1" s="1"/>
  <c r="V18" i="18"/>
  <c r="C20" i="1" s="1"/>
  <c r="U17" i="18"/>
  <c r="V4" i="18"/>
  <c r="Q21" i="18"/>
  <c r="W21" i="18" s="1"/>
  <c r="D23" i="1" s="1"/>
  <c r="Q15" i="18"/>
  <c r="W15" i="18" s="1"/>
  <c r="Q14" i="18"/>
  <c r="W14" i="18" s="1"/>
  <c r="D16" i="1" s="1"/>
  <c r="Q13" i="18"/>
  <c r="W13" i="18" s="1"/>
  <c r="D15" i="1" s="1"/>
  <c r="Q12" i="18"/>
  <c r="W12" i="18" s="1"/>
  <c r="D14" i="1" s="1"/>
  <c r="Q10" i="18"/>
  <c r="W10" i="18" s="1"/>
  <c r="D12" i="1" s="1"/>
  <c r="Q9" i="18"/>
  <c r="W9" i="18" s="1"/>
  <c r="D11" i="1" s="1"/>
  <c r="Q7" i="18"/>
  <c r="W7" i="18" s="1"/>
  <c r="D9" i="1" s="1"/>
  <c r="B8" i="16"/>
  <c r="B8" i="1" l="1"/>
  <c r="X6" i="18"/>
  <c r="B6" i="1"/>
  <c r="X4" i="18"/>
  <c r="B21" i="1"/>
  <c r="X19" i="18"/>
  <c r="C6" i="1"/>
  <c r="D6" i="1"/>
  <c r="B7" i="1"/>
  <c r="X5" i="18"/>
  <c r="B25" i="1"/>
  <c r="X23" i="18"/>
  <c r="E25" i="1" s="1"/>
  <c r="B19" i="1"/>
  <c r="X17" i="18"/>
  <c r="R17" i="18"/>
  <c r="R18" i="18"/>
  <c r="U20" i="18"/>
  <c r="B9" i="16"/>
  <c r="B10" i="16" s="1"/>
  <c r="B11" i="16" s="1"/>
  <c r="B12" i="16" s="1"/>
  <c r="B13" i="16" s="1"/>
  <c r="B14" i="16" s="1"/>
  <c r="B15" i="16" s="1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R23" i="18"/>
  <c r="R6" i="18"/>
  <c r="R5" i="18"/>
  <c r="D21" i="1"/>
  <c r="E8" i="1"/>
  <c r="C8" i="1"/>
  <c r="Q8" i="18"/>
  <c r="W8" i="18" s="1"/>
  <c r="D10" i="1" s="1"/>
  <c r="P16" i="18"/>
  <c r="V16" i="18" s="1"/>
  <c r="C18" i="1" s="1"/>
  <c r="P11" i="18"/>
  <c r="V11" i="18" s="1"/>
  <c r="C13" i="1" s="1"/>
  <c r="O22" i="18"/>
  <c r="U18" i="18"/>
  <c r="P19" i="18"/>
  <c r="V19" i="18" s="1"/>
  <c r="C21" i="1" s="1"/>
  <c r="D25" i="1"/>
  <c r="R4" i="18"/>
  <c r="U21" i="18"/>
  <c r="P21" i="18"/>
  <c r="V21" i="18" s="1"/>
  <c r="C23" i="1" s="1"/>
  <c r="D17" i="1"/>
  <c r="U11" i="18"/>
  <c r="O9" i="18"/>
  <c r="Q11" i="18"/>
  <c r="W11" i="18" s="1"/>
  <c r="P14" i="18"/>
  <c r="V14" i="18" s="1"/>
  <c r="P9" i="18"/>
  <c r="V9" i="18" s="1"/>
  <c r="C11" i="1" s="1"/>
  <c r="O12" i="18"/>
  <c r="P12" i="18"/>
  <c r="V12" i="18" s="1"/>
  <c r="C14" i="1" s="1"/>
  <c r="O15" i="18"/>
  <c r="U14" i="18"/>
  <c r="O10" i="18"/>
  <c r="P15" i="18"/>
  <c r="V15" i="18" s="1"/>
  <c r="C17" i="1" s="1"/>
  <c r="P10" i="18"/>
  <c r="V10" i="18" s="1"/>
  <c r="C12" i="1" s="1"/>
  <c r="O13" i="18"/>
  <c r="O8" i="18"/>
  <c r="P13" i="18"/>
  <c r="V13" i="18" s="1"/>
  <c r="C15" i="1" s="1"/>
  <c r="O16" i="18"/>
  <c r="O7" i="18"/>
  <c r="P7" i="18"/>
  <c r="M29" i="15"/>
  <c r="C9" i="15" s="1"/>
  <c r="C9" i="16" s="1"/>
  <c r="C7" i="15"/>
  <c r="C7" i="16" s="1"/>
  <c r="L29" i="15"/>
  <c r="C8" i="15" s="1"/>
  <c r="E7" i="1"/>
  <c r="E6" i="1"/>
  <c r="E19" i="1"/>
  <c r="B20" i="1" l="1"/>
  <c r="X18" i="18"/>
  <c r="B13" i="1"/>
  <c r="X11" i="18"/>
  <c r="B23" i="1"/>
  <c r="X21" i="18"/>
  <c r="W24" i="18"/>
  <c r="B16" i="1"/>
  <c r="X14" i="18"/>
  <c r="E16" i="1" s="1"/>
  <c r="B22" i="1"/>
  <c r="X20" i="18"/>
  <c r="E22" i="1" s="1"/>
  <c r="D8" i="15"/>
  <c r="C8" i="16"/>
  <c r="G9" i="16"/>
  <c r="C9" i="17"/>
  <c r="G9" i="17" s="1"/>
  <c r="D9" i="15"/>
  <c r="G7" i="16"/>
  <c r="C7" i="17"/>
  <c r="E21" i="1"/>
  <c r="E20" i="1"/>
  <c r="R22" i="18"/>
  <c r="U22" i="18"/>
  <c r="X22" i="18" s="1"/>
  <c r="R19" i="18"/>
  <c r="E23" i="1"/>
  <c r="R21" i="18"/>
  <c r="C16" i="1"/>
  <c r="U9" i="18"/>
  <c r="X9" i="18" s="1"/>
  <c r="R9" i="18"/>
  <c r="E13" i="1"/>
  <c r="D13" i="1"/>
  <c r="R10" i="18"/>
  <c r="U10" i="18"/>
  <c r="X10" i="18" s="1"/>
  <c r="U15" i="18"/>
  <c r="X15" i="18" s="1"/>
  <c r="R15" i="18"/>
  <c r="U8" i="18"/>
  <c r="X8" i="18" s="1"/>
  <c r="R8" i="18"/>
  <c r="U12" i="18"/>
  <c r="X12" i="18" s="1"/>
  <c r="R12" i="18"/>
  <c r="Q24" i="18"/>
  <c r="D26" i="1" s="1"/>
  <c r="R11" i="18"/>
  <c r="R16" i="18"/>
  <c r="U16" i="18"/>
  <c r="X16" i="18" s="1"/>
  <c r="R14" i="18"/>
  <c r="R13" i="18"/>
  <c r="U13" i="18"/>
  <c r="X13" i="18" s="1"/>
  <c r="V7" i="18"/>
  <c r="P24" i="18"/>
  <c r="R7" i="18"/>
  <c r="U7" i="18"/>
  <c r="O24" i="18"/>
  <c r="D7" i="15"/>
  <c r="B4" i="16"/>
  <c r="B7" i="16" s="1"/>
  <c r="C9" i="1" l="1"/>
  <c r="V24" i="18"/>
  <c r="C26" i="1"/>
  <c r="X7" i="18"/>
  <c r="U24" i="18"/>
  <c r="X24" i="18" s="1"/>
  <c r="G8" i="16"/>
  <c r="B20" i="13" s="1"/>
  <c r="C8" i="17"/>
  <c r="G8" i="17" s="1"/>
  <c r="G7" i="17"/>
  <c r="B10" i="13" s="1"/>
  <c r="B31" i="16"/>
  <c r="B32" i="16" s="1"/>
  <c r="B33" i="16" s="1"/>
  <c r="B34" i="16" s="1"/>
  <c r="B35" i="16" s="1"/>
  <c r="B36" i="16" s="1"/>
  <c r="B37" i="16" s="1"/>
  <c r="B38" i="16" s="1"/>
  <c r="B39" i="16" s="1"/>
  <c r="R24" i="18"/>
  <c r="B24" i="1"/>
  <c r="E24" i="1"/>
  <c r="B12" i="1"/>
  <c r="E12" i="1"/>
  <c r="B14" i="1"/>
  <c r="E14" i="1"/>
  <c r="D29" i="1"/>
  <c r="E10" i="1"/>
  <c r="B10" i="1"/>
  <c r="B11" i="1"/>
  <c r="E11" i="1"/>
  <c r="E18" i="1"/>
  <c r="B18" i="1"/>
  <c r="B15" i="1"/>
  <c r="E15" i="1"/>
  <c r="B17" i="1"/>
  <c r="E17" i="1"/>
  <c r="B9" i="1"/>
  <c r="C29" i="1"/>
  <c r="A2" i="16"/>
  <c r="A10" i="16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B26" i="1" l="1"/>
  <c r="E9" i="1"/>
  <c r="E26" i="1"/>
  <c r="B29" i="1" l="1"/>
  <c r="E29" i="1" s="1"/>
  <c r="L13" i="1" l="1"/>
  <c r="F10" i="16"/>
  <c r="H10" i="16" s="1"/>
  <c r="L6" i="1"/>
  <c r="F13" i="16"/>
  <c r="F16" i="16"/>
  <c r="L11" i="1" l="1"/>
  <c r="F11" i="16"/>
  <c r="H11" i="16" s="1"/>
  <c r="L5" i="1"/>
  <c r="F10" i="17"/>
  <c r="H10" i="17" s="1"/>
  <c r="F18" i="16"/>
  <c r="F18" i="17" s="1"/>
  <c r="H18" i="17" s="1"/>
  <c r="L10" i="1"/>
  <c r="F15" i="16"/>
  <c r="L12" i="1"/>
  <c r="F17" i="16"/>
  <c r="F14" i="16"/>
  <c r="L9" i="1"/>
  <c r="L8" i="1"/>
  <c r="L7" i="1"/>
  <c r="F12" i="16"/>
  <c r="F11" i="17"/>
  <c r="H11" i="17" s="1"/>
  <c r="L14" i="1"/>
  <c r="F19" i="16"/>
  <c r="F13" i="17"/>
  <c r="H13" i="17" s="1"/>
  <c r="H13" i="16"/>
  <c r="H16" i="16"/>
  <c r="F16" i="17"/>
  <c r="H16" i="17" s="1"/>
  <c r="A1" i="4"/>
  <c r="A1" i="15"/>
  <c r="A1" i="9"/>
  <c r="A2" i="13"/>
  <c r="A2" i="12"/>
  <c r="H18" i="16" l="1"/>
  <c r="F14" i="17"/>
  <c r="H14" i="17" s="1"/>
  <c r="H14" i="16"/>
  <c r="H17" i="16"/>
  <c r="F17" i="17"/>
  <c r="H17" i="17" s="1"/>
  <c r="F12" i="17"/>
  <c r="H12" i="17" s="1"/>
  <c r="H12" i="16"/>
  <c r="F15" i="17"/>
  <c r="H15" i="17" s="1"/>
  <c r="H15" i="16"/>
  <c r="L15" i="1"/>
  <c r="F20" i="16"/>
  <c r="H19" i="16"/>
  <c r="F19" i="17"/>
  <c r="H19" i="17" s="1"/>
  <c r="A1" i="1"/>
  <c r="A2" i="14"/>
  <c r="F20" i="17" l="1"/>
  <c r="H20" i="17" s="1"/>
  <c r="H20" i="16"/>
  <c r="L16" i="1"/>
  <c r="F21" i="16"/>
  <c r="L17" i="1" l="1"/>
  <c r="F22" i="16"/>
  <c r="F21" i="17"/>
  <c r="H21" i="17" s="1"/>
  <c r="H21" i="16"/>
  <c r="L18" i="1" l="1"/>
  <c r="F23" i="16"/>
  <c r="F22" i="17"/>
  <c r="H22" i="17" s="1"/>
  <c r="H22" i="16"/>
  <c r="L19" i="1" l="1"/>
  <c r="F24" i="16"/>
  <c r="F23" i="17"/>
  <c r="H23" i="17" s="1"/>
  <c r="H23" i="16"/>
  <c r="L20" i="1" l="1"/>
  <c r="F25" i="16"/>
  <c r="H24" i="16"/>
  <c r="F24" i="17"/>
  <c r="H24" i="17" s="1"/>
  <c r="L21" i="1" l="1"/>
  <c r="F26" i="16"/>
  <c r="H25" i="16"/>
  <c r="F25" i="17"/>
  <c r="H25" i="17" s="1"/>
  <c r="L22" i="1" l="1"/>
  <c r="F27" i="16"/>
  <c r="F26" i="17"/>
  <c r="H26" i="17" s="1"/>
  <c r="H26" i="16"/>
  <c r="L23" i="1" l="1"/>
  <c r="F28" i="16"/>
  <c r="H27" i="16"/>
  <c r="F27" i="17"/>
  <c r="H27" i="17" s="1"/>
  <c r="L24" i="1" l="1"/>
  <c r="F29" i="16"/>
  <c r="F28" i="17"/>
  <c r="H28" i="17" s="1"/>
  <c r="H28" i="16"/>
  <c r="L25" i="1" l="1"/>
  <c r="F30" i="16"/>
  <c r="H29" i="16"/>
  <c r="F29" i="17"/>
  <c r="H29" i="17" s="1"/>
  <c r="L26" i="1" l="1"/>
  <c r="F31" i="16"/>
  <c r="F30" i="17"/>
  <c r="H30" i="17" s="1"/>
  <c r="H30" i="16"/>
  <c r="L27" i="1" l="1"/>
  <c r="F32" i="16"/>
  <c r="F31" i="17"/>
  <c r="H31" i="17" s="1"/>
  <c r="H31" i="16"/>
  <c r="L28" i="1" l="1"/>
  <c r="F33" i="16"/>
  <c r="H32" i="16"/>
  <c r="F32" i="17"/>
  <c r="H32" i="17" s="1"/>
  <c r="L29" i="1" l="1"/>
  <c r="F34" i="16"/>
  <c r="H33" i="16"/>
  <c r="F33" i="17"/>
  <c r="H33" i="17" s="1"/>
  <c r="L30" i="1" l="1"/>
  <c r="F35" i="16"/>
  <c r="F34" i="17"/>
  <c r="H34" i="17" s="1"/>
  <c r="H34" i="16"/>
  <c r="L31" i="1" l="1"/>
  <c r="F36" i="16"/>
  <c r="H35" i="16"/>
  <c r="F35" i="17"/>
  <c r="H35" i="17" s="1"/>
  <c r="L32" i="1" l="1"/>
  <c r="F37" i="16"/>
  <c r="F36" i="17"/>
  <c r="H36" i="17" s="1"/>
  <c r="H36" i="16"/>
  <c r="F39" i="16" l="1"/>
  <c r="O35" i="1"/>
  <c r="P35" i="1"/>
  <c r="N35" i="1"/>
  <c r="F39" i="17"/>
  <c r="H39" i="16"/>
  <c r="L33" i="1"/>
  <c r="F38" i="16"/>
  <c r="F40" i="16" s="1"/>
  <c r="H37" i="16"/>
  <c r="F37" i="17"/>
  <c r="H37" i="17" s="1"/>
  <c r="L34" i="1"/>
  <c r="K35" i="1"/>
  <c r="L35" i="1" l="1"/>
  <c r="H39" i="17"/>
  <c r="F38" i="17"/>
  <c r="H38" i="17" s="1"/>
  <c r="H38" i="16"/>
  <c r="H40" i="16" s="1"/>
  <c r="B15" i="13"/>
  <c r="B18" i="13"/>
  <c r="F40" i="17" l="1"/>
  <c r="B5" i="13" s="1"/>
  <c r="H40" i="17"/>
  <c r="B22" i="13"/>
  <c r="B21" i="13"/>
  <c r="B12" i="13"/>
  <c r="B11" i="13"/>
</calcChain>
</file>

<file path=xl/sharedStrings.xml><?xml version="1.0" encoding="utf-8"?>
<sst xmlns="http://schemas.openxmlformats.org/spreadsheetml/2006/main" count="367" uniqueCount="181">
  <si>
    <t>Benefit-Cost Analysis Spreadsheet for the Safety Improvements on Oklahoma Rural Roadways</t>
  </si>
  <si>
    <t>FY 2022 Rural Grant Program</t>
  </si>
  <si>
    <t>May 2022</t>
  </si>
  <si>
    <t>About the B/C Assessment Spreadsheet Tabs</t>
  </si>
  <si>
    <t xml:space="preserve">The Benefit Cost (B/C) spreadsheet provided is broken down into several tabs to make it easy to understand the assumptions that were made to calculate costs and benefits.  Below follows a brief description of the intent of each tab. </t>
  </si>
  <si>
    <t>Tab Name</t>
  </si>
  <si>
    <t>Description</t>
  </si>
  <si>
    <t>Default Values</t>
  </si>
  <si>
    <t xml:space="preserve">Details of various rates and parameters used for estimating economic impacts in different categories, including: </t>
  </si>
  <si>
    <t xml:space="preserve"> - Discount rates</t>
  </si>
  <si>
    <t xml:space="preserve"> - Crash costs by crash severity </t>
  </si>
  <si>
    <t xml:space="preserve"> - Travel time costs</t>
  </si>
  <si>
    <t>BCR Summary</t>
  </si>
  <si>
    <t>This tab presents the summary of the benefit cost analysis (BCA) results in various categories and the benefit-cost ratio (BCR)</t>
  </si>
  <si>
    <t>BCA Summary Nominal</t>
  </si>
  <si>
    <t>This tab summarizes the annual benefits and costs in various categories for the study period in nominal dollars</t>
  </si>
  <si>
    <t>BCA Summary Discounted</t>
  </si>
  <si>
    <t>This tab summarizes the annual benefits and costs in various categories for the study period in 2020 discounted dollars</t>
  </si>
  <si>
    <t>Construction Costs</t>
  </si>
  <si>
    <t>This tab provides the project cost flow and discounted flows.</t>
  </si>
  <si>
    <t>O&amp;M Costs</t>
  </si>
  <si>
    <t>This tab presents the O&amp;M Costs for the Project.</t>
  </si>
  <si>
    <t>Residual Value of Assets</t>
  </si>
  <si>
    <t>This tab provides the value of assets with a service life in excess of 30 years.</t>
  </si>
  <si>
    <t>Crash Rates</t>
  </si>
  <si>
    <t>This tab provides the source and generation of the crash rates for the safety benefit analysis.</t>
  </si>
  <si>
    <t>Safety Benefits</t>
  </si>
  <si>
    <t>This tab provides the safety benefits of reduced truck crashes as a result of the project.</t>
  </si>
  <si>
    <t>Rates</t>
  </si>
  <si>
    <t>Value</t>
  </si>
  <si>
    <t>Unit</t>
  </si>
  <si>
    <t>Source Name</t>
  </si>
  <si>
    <t>Source Link</t>
  </si>
  <si>
    <t xml:space="preserve">Discount Rate </t>
  </si>
  <si>
    <t>U.S. Department of Transportation, Benefit-Cost Analysis Guidance for Discretionary Grant Programs, March 2022 (Revised)</t>
  </si>
  <si>
    <t>https://www.transportation.gov/sites/dot.gov/files/2022-03/Benefit%20Cost%20Analysis%20Guidance%202022%20%28Revised%29.pdf</t>
  </si>
  <si>
    <t>Value of Reduced Crashes</t>
  </si>
  <si>
    <t>Vehicle Type</t>
  </si>
  <si>
    <t>Source Link (if available online)</t>
  </si>
  <si>
    <t>Injury Crash</t>
  </si>
  <si>
    <t>per crash</t>
  </si>
  <si>
    <t>Fatal Crash</t>
  </si>
  <si>
    <t>Property Damage Only Crashes</t>
  </si>
  <si>
    <t>per crash (1.748 vehicles per crash) x $4600 per vehicle</t>
  </si>
  <si>
    <t>https://crashstats.nhtsa.dot.gov/Api/Public/ViewPublication/812013</t>
  </si>
  <si>
    <t xml:space="preserve">Value of Travel Time </t>
  </si>
  <si>
    <t>Crew Cost Factor</t>
  </si>
  <si>
    <t>Trucks</t>
  </si>
  <si>
    <t>2020$ / hr per crew member</t>
  </si>
  <si>
    <t xml:space="preserve">Passenger Personal Cost Factor </t>
  </si>
  <si>
    <t>Passenger Cars</t>
  </si>
  <si>
    <t>2020 $/hr per occupant.-All purposes</t>
  </si>
  <si>
    <t>Default Vehicle Loading Factors</t>
  </si>
  <si>
    <t>Crew per Vehicle</t>
  </si>
  <si>
    <t>All Trucks</t>
  </si>
  <si>
    <t>persons</t>
  </si>
  <si>
    <t>Technical Memorandum Analysis Procedures and Mobility Performance Measures 100 Most Congested Texas Road Sections Prepared by Texas A&amp;M Transportation Institute November 2020</t>
  </si>
  <si>
    <t>https://static.tti.tamu.edu/tti.tamu.edu/documents/TTI-2020-8.pdf</t>
  </si>
  <si>
    <t>Passengers per Vehicle</t>
  </si>
  <si>
    <t>Passenger Car</t>
  </si>
  <si>
    <t>Benefits and Costs</t>
  </si>
  <si>
    <t>Discounted Value (2020 dollars)</t>
  </si>
  <si>
    <t>Safety Crash Cost Reduction</t>
  </si>
  <si>
    <t>Maintenance &amp; Operations Cost Savings</t>
  </si>
  <si>
    <t>Residual Asset Life</t>
  </si>
  <si>
    <t>Total Benefits</t>
  </si>
  <si>
    <t>Total Costs</t>
  </si>
  <si>
    <t>Benefit/Cost Ratio</t>
  </si>
  <si>
    <t>NPV=</t>
  </si>
  <si>
    <t>Nominal Value</t>
  </si>
  <si>
    <t>Maintenance &amp; Operations Costs</t>
  </si>
  <si>
    <t>Year</t>
  </si>
  <si>
    <t>Net Costs (Build - Non-Build)</t>
  </si>
  <si>
    <t>Safety Benefits (Crash Reductions)</t>
  </si>
  <si>
    <t>2020 Discount Factor</t>
  </si>
  <si>
    <t>Capital Costs</t>
  </si>
  <si>
    <r>
      <rPr>
        <b/>
        <sz val="11"/>
        <color theme="1"/>
        <rFont val="Calibri"/>
        <family val="2"/>
        <scheme val="minor"/>
      </rPr>
      <t xml:space="preserve">Operating &amp; Maintenance Cost Savings </t>
    </r>
    <r>
      <rPr>
        <sz val="11"/>
        <color theme="1"/>
        <rFont val="Calibri"/>
        <family val="2"/>
        <scheme val="minor"/>
      </rPr>
      <t>- Treated as a benefit</t>
    </r>
  </si>
  <si>
    <r>
      <rPr>
        <b/>
        <sz val="11"/>
        <color theme="1"/>
        <rFont val="Calibri"/>
        <family val="2"/>
        <scheme val="minor"/>
      </rPr>
      <t>Value of Residual Useful Life</t>
    </r>
    <r>
      <rPr>
        <sz val="11"/>
        <color theme="1"/>
        <rFont val="Calibri"/>
        <family val="2"/>
        <scheme val="minor"/>
      </rPr>
      <t xml:space="preserve"> </t>
    </r>
  </si>
  <si>
    <t>Reduced cost of Injuries and Fatalities</t>
  </si>
  <si>
    <t>2020 (previously Incurred)</t>
  </si>
  <si>
    <t>Total</t>
  </si>
  <si>
    <t>Nominal</t>
  </si>
  <si>
    <t>Discounted</t>
  </si>
  <si>
    <t>2020: Previously Incurred Costs (ROW, NEPA, Engineering)</t>
  </si>
  <si>
    <t>Distribution of Costs</t>
  </si>
  <si>
    <t>Construction Costs by Year</t>
  </si>
  <si>
    <t>County</t>
  </si>
  <si>
    <t>Costs</t>
  </si>
  <si>
    <t>Begin</t>
  </si>
  <si>
    <t>End</t>
  </si>
  <si>
    <t>Atoka</t>
  </si>
  <si>
    <t>Johnston</t>
  </si>
  <si>
    <t>Beckham</t>
  </si>
  <si>
    <t>Roger Mills</t>
  </si>
  <si>
    <t>Washita</t>
  </si>
  <si>
    <t>Cimarron</t>
  </si>
  <si>
    <t>Ellis</t>
  </si>
  <si>
    <t>Grady</t>
  </si>
  <si>
    <t>(2025 assumed)</t>
  </si>
  <si>
    <t>TOTALS</t>
  </si>
  <si>
    <t xml:space="preserve">Source: </t>
  </si>
  <si>
    <t>Moffatt and Nichol for Port of Oakland, 2022</t>
  </si>
  <si>
    <t>Build</t>
  </si>
  <si>
    <t>No Build</t>
  </si>
  <si>
    <t>Nominal O&amp;M Savings</t>
  </si>
  <si>
    <t>Discounted O&amp;M Savings</t>
  </si>
  <si>
    <t>Maintenance</t>
  </si>
  <si>
    <t>Pavement Maintenance</t>
  </si>
  <si>
    <t>Bridge Maintenance</t>
  </si>
  <si>
    <t>Difference (O&amp;M Savings)</t>
  </si>
  <si>
    <t>7% Discount</t>
  </si>
  <si>
    <t>Source: Oklahoma DOT</t>
  </si>
  <si>
    <t>Resurface after 15 years - 10 miles at a time</t>
  </si>
  <si>
    <t>Resurface every 10 years - 10 miles at a time</t>
  </si>
  <si>
    <t>Silane on new bridges</t>
  </si>
  <si>
    <t>Rehab on various bridges - $1,000,000 every 4 years</t>
  </si>
  <si>
    <t>BRIDGE COST FOR 2022 RURAL SHOULDER GRANT PROJECTS</t>
  </si>
  <si>
    <t>NEW BRIDGE     (75 Year Life)</t>
  </si>
  <si>
    <t>BRIDGE MODIFICATION (50 Year Life)</t>
  </si>
  <si>
    <t>Totals</t>
  </si>
  <si>
    <t>$</t>
  </si>
  <si>
    <t>Jonston</t>
  </si>
  <si>
    <t>Residual at 30 years</t>
  </si>
  <si>
    <t>Residual Discounted 7% to $2020</t>
  </si>
  <si>
    <t>A CRF is the percentage crash reduction that might be expected after implementing a given countermeasure.</t>
  </si>
  <si>
    <t>1 minus the CRF is the after treatment expected crash occurance.</t>
  </si>
  <si>
    <t>Annual Crash Reduction</t>
  </si>
  <si>
    <t>Average Annual Crashes by Severity (2015-2020)</t>
  </si>
  <si>
    <t>Build Crash Reduction Factors (CRF)</t>
  </si>
  <si>
    <t>Average Annual Crashes by Severity</t>
  </si>
  <si>
    <t>Average Annual Reduced Crashes by Severity</t>
  </si>
  <si>
    <t>Crash Type</t>
  </si>
  <si>
    <t>PDO</t>
  </si>
  <si>
    <t>Injury</t>
  </si>
  <si>
    <t>Fatal</t>
  </si>
  <si>
    <t>CRF Primary Reference</t>
  </si>
  <si>
    <t>CRF Primary</t>
  </si>
  <si>
    <t>CRF Secondary Reference</t>
  </si>
  <si>
    <t>CRF Secondary</t>
  </si>
  <si>
    <t xml:space="preserve">Combined CRF </t>
  </si>
  <si>
    <t>ANGLE-TURNING</t>
  </si>
  <si>
    <t>ANIMAL</t>
  </si>
  <si>
    <t>F-O BR-ABUTMENT</t>
  </si>
  <si>
    <t>F-O CULVERT</t>
  </si>
  <si>
    <t>F-O DELINEATOR</t>
  </si>
  <si>
    <t>F-O FENCE</t>
  </si>
  <si>
    <t>F-O FENCE-POLE</t>
  </si>
  <si>
    <t>F-O GROUND</t>
  </si>
  <si>
    <t>F-O GUARDRL-END</t>
  </si>
  <si>
    <t>F-O GUARDRL-FACE</t>
  </si>
  <si>
    <t>F-O TRAFF-SIGN</t>
  </si>
  <si>
    <t>F-O TREE</t>
  </si>
  <si>
    <t>F-O UTIL-POLE</t>
  </si>
  <si>
    <t>OTH-SINGLE-VEH</t>
  </si>
  <si>
    <t>OTHER</t>
  </si>
  <si>
    <t>REAR-END</t>
  </si>
  <si>
    <t>RIGHT-ANGLE</t>
  </si>
  <si>
    <t>ROLLOVER</t>
  </si>
  <si>
    <t>SIDESWIPE-OPP</t>
  </si>
  <si>
    <t>SIDESWIPE-SAME</t>
  </si>
  <si>
    <t>CRF Reference</t>
  </si>
  <si>
    <t>Treatment</t>
  </si>
  <si>
    <t>CRF Source</t>
  </si>
  <si>
    <t>Improve sight distance in 4 quadrants</t>
  </si>
  <si>
    <t>https://safety.fhwa.dot.gov/speedmgt/ref_mats/fhwasa1304/resources/CRF%20Desktop%20Reference.pdf</t>
  </si>
  <si>
    <t>Install Seasonal Wildlife Warning Signs</t>
  </si>
  <si>
    <t>https://www.oregon.gov/odot/Engineering/ARTS/CRF-Appendix.pdf</t>
  </si>
  <si>
    <t>UPGRADE NARROW UNPAVED SHOULDER (&lt; 5 FT) TO WIDE PAVED SHOULDER (&gt; 5 FT)</t>
  </si>
  <si>
    <t>CMF Clearinghouse &gt;&gt; CMF / CRF Details</t>
  </si>
  <si>
    <t>INSTALL EDGELINE RUMBLE STRIPS ON ROADWAYS WITH A SHOULDER WIDTH OF 5 FEET OR GREATER</t>
  </si>
  <si>
    <t>http://www.cmfclearinghouse.org/study_detail.cfm?stid=206</t>
  </si>
  <si>
    <r>
      <t>1.735%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(1)</t>
    </r>
  </si>
  <si>
    <t>Crashes Avoided</t>
  </si>
  <si>
    <t>Benefit Year</t>
  </si>
  <si>
    <t>VMT Growth Factor</t>
  </si>
  <si>
    <t>Discount Factor to 2020</t>
  </si>
  <si>
    <t>Undiscounted Safety Benefit</t>
  </si>
  <si>
    <t>Discounted Safety Benefit</t>
  </si>
  <si>
    <t>Cost of Crashes by Severity</t>
  </si>
  <si>
    <t>Baseline Annual Crash Reduction Benefit</t>
  </si>
  <si>
    <t>(1) 2014-2019 DVMT on Oklahoma State Highways increased an average compound rate of 1.735% per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</si>
</sst>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&quot;$&quot;#,##0.00"/>
    <numFmt numFmtId="167" formatCode="&quot;$&quot;#,##0"/>
    <numFmt numFmtId="168" formatCode="&quot;$&quot;#,##0.0_);[Red]\(&quot;$&quot;#,##0.0\)"/>
    <numFmt numFmtId="169" formatCode="&quot;$&quot;#,##0.0"/>
    <numFmt numFmtId="170" formatCode="0.0"/>
    <numFmt numFmtId="171" formatCode="0.000"/>
    <numFmt numFmtId="172" formatCode="_(* #,##0.0_);_(* \(#,##0.0\);_(* &quot;-&quot;??_);_(@_)"/>
    <numFmt numFmtId="173" formatCode="[$£-809]#,##0.000"/>
    <numFmt numFmtId="174" formatCode="[$$-409]#,##0"/>
    <numFmt numFmtId="175" formatCode="#,##0\ "/>
    <numFmt numFmtId="176" formatCode="###0.00_)"/>
    <numFmt numFmtId="177" formatCode="#,##0_)"/>
    <numFmt numFmtId="178" formatCode="0.0_W"/>
    <numFmt numFmtId="179" formatCode="0.00_)"/>
    <numFmt numFmtId="180" formatCode="###0"/>
    <numFmt numFmtId="181" formatCode="0.000%"/>
    <numFmt numFmtId="182" formatCode="_(* #,##0_);_(* \(#,##0\);_(* &quot;-&quot;??_);_(@_)"/>
  </numFmts>
  <fonts count="8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i/>
      <sz val="11"/>
      <color rgb="FF000000"/>
      <name val="Arial"/>
      <family val="2"/>
    </font>
    <font>
      <b/>
      <i/>
      <sz val="11"/>
      <color rgb="FF000000"/>
      <name val="Cambria"/>
      <family val="1"/>
    </font>
    <font>
      <b/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u/>
      <sz val="10"/>
      <color indexed="12"/>
      <name val="Arial"/>
      <family val="2"/>
    </font>
    <font>
      <sz val="9"/>
      <color indexed="8"/>
      <name val="Calibri"/>
      <family val="2"/>
    </font>
    <font>
      <sz val="12"/>
      <name val="Helv"/>
    </font>
    <font>
      <sz val="10"/>
      <name val="Tahoma"/>
      <family val="2"/>
    </font>
    <font>
      <b/>
      <sz val="12"/>
      <name val="Helv"/>
    </font>
    <font>
      <sz val="10"/>
      <name val="Helv"/>
    </font>
    <font>
      <sz val="9"/>
      <name val="Helv"/>
    </font>
    <font>
      <vertAlign val="superscript"/>
      <sz val="12"/>
      <name val="Helv"/>
    </font>
    <font>
      <b/>
      <sz val="10"/>
      <name val="Helv"/>
    </font>
    <font>
      <b/>
      <sz val="9"/>
      <name val="Helv"/>
    </font>
    <font>
      <sz val="8.5"/>
      <name val="Helv"/>
    </font>
    <font>
      <b/>
      <i/>
      <sz val="16"/>
      <name val="Helv"/>
    </font>
    <font>
      <sz val="8"/>
      <name val="Helv"/>
    </font>
    <font>
      <b/>
      <sz val="14"/>
      <name val="Helv"/>
    </font>
    <font>
      <b/>
      <sz val="11"/>
      <name val="Times New Roman"/>
      <family val="1"/>
    </font>
    <font>
      <sz val="12"/>
      <color theme="0"/>
      <name val="Arial"/>
      <family val="2"/>
    </font>
    <font>
      <sz val="12"/>
      <color theme="0"/>
      <name val="Arial Narrow"/>
      <family val="2"/>
    </font>
    <font>
      <sz val="11"/>
      <color theme="0"/>
      <name val="Times New Roman"/>
      <family val="2"/>
    </font>
    <font>
      <sz val="11"/>
      <color rgb="FF9C0006"/>
      <name val="Times New Roman"/>
      <family val="2"/>
    </font>
    <font>
      <b/>
      <sz val="12"/>
      <color rgb="FFFA7D00"/>
      <name val="Arial"/>
      <family val="2"/>
    </font>
    <font>
      <b/>
      <sz val="12"/>
      <color rgb="FFFA7D00"/>
      <name val="Arial Narrow"/>
      <family val="2"/>
    </font>
    <font>
      <sz val="10"/>
      <color theme="1"/>
      <name val="Tahoma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3"/>
      <color theme="3"/>
      <name val="Arial"/>
      <family val="2"/>
    </font>
    <font>
      <b/>
      <sz val="13"/>
      <color theme="3"/>
      <name val="Arial Narrow"/>
      <family val="2"/>
    </font>
    <font>
      <u/>
      <sz val="11"/>
      <color theme="10"/>
      <name val="Calibri"/>
      <family val="2"/>
    </font>
    <font>
      <sz val="12"/>
      <color rgb="FF3F3F76"/>
      <name val="Arial"/>
      <family val="2"/>
    </font>
    <font>
      <sz val="12"/>
      <color rgb="FF3F3F76"/>
      <name val="Arial Narrow"/>
      <family val="2"/>
    </font>
    <font>
      <sz val="10"/>
      <color theme="4"/>
      <name val="Arial"/>
      <family val="2"/>
    </font>
    <font>
      <sz val="11"/>
      <color rgb="FF9C65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Times New Roman"/>
      <family val="2"/>
    </font>
    <font>
      <sz val="11"/>
      <color indexed="8"/>
      <name val="Calibri"/>
      <family val="2"/>
      <scheme val="minor"/>
    </font>
    <font>
      <sz val="10"/>
      <color theme="1"/>
      <name val="Arial Narrow"/>
      <family val="2"/>
    </font>
    <font>
      <b/>
      <sz val="12"/>
      <color theme="5"/>
      <name val="Tahoma"/>
      <family val="2"/>
    </font>
    <font>
      <b/>
      <sz val="11"/>
      <color theme="1"/>
      <name val="Times New Roman"/>
      <family val="2"/>
    </font>
    <font>
      <sz val="9"/>
      <color indexed="62"/>
      <name val="Arial"/>
      <family val="2"/>
    </font>
    <font>
      <sz val="14"/>
      <color theme="1"/>
      <name val="Calibri"/>
      <family val="2"/>
      <scheme val="minor"/>
    </font>
    <font>
      <b/>
      <sz val="9"/>
      <color indexed="62"/>
      <name val="Arial"/>
      <family val="2"/>
    </font>
    <font>
      <strike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7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48A54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9"/>
      </patternFill>
    </fill>
    <fill>
      <patternFill patternType="solid">
        <fgColor indexed="22"/>
        <bgColor indexed="55"/>
      </patternFill>
    </fill>
    <fill>
      <patternFill patternType="solid">
        <fgColor rgb="FF01FF00"/>
        <bgColor indexed="64"/>
      </patternFill>
    </fill>
    <fill>
      <patternFill patternType="solid">
        <fgColor rgb="FFFF333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6666"/>
        <bgColor indexed="64"/>
      </patternFill>
    </fill>
    <fill>
      <patternFill patternType="solid">
        <fgColor rgb="FFCC66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1FFFF"/>
        <bgColor indexed="64"/>
      </patternFill>
    </fill>
    <fill>
      <patternFill patternType="solid">
        <fgColor rgb="FF99CCCC"/>
        <bgColor indexed="64"/>
      </patternFill>
    </fill>
    <fill>
      <patternFill patternType="solid">
        <fgColor rgb="FF00CCCC"/>
        <bgColor indexed="64"/>
      </patternFill>
    </fill>
    <fill>
      <patternFill patternType="solid">
        <fgColor rgb="FF669999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33FF"/>
        <bgColor indexed="64"/>
      </patternFill>
    </fill>
    <fill>
      <patternFill patternType="solid">
        <fgColor rgb="FFCC99CC"/>
        <bgColor indexed="64"/>
      </patternFill>
    </fill>
    <fill>
      <patternFill patternType="solid">
        <fgColor rgb="FFCC66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dashed">
        <color rgb="FFBFBFBF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7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7" fillId="0" borderId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173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/>
    <xf numFmtId="0" fontId="1" fillId="55" borderId="0"/>
    <xf numFmtId="0" fontId="9" fillId="31" borderId="0" applyNumberFormat="0" applyBorder="0" applyAlignment="0" applyProtection="0"/>
    <xf numFmtId="0" fontId="9" fillId="35" borderId="0" applyNumberFormat="0" applyBorder="0" applyAlignment="0" applyProtection="0"/>
    <xf numFmtId="0" fontId="9" fillId="39" borderId="0" applyNumberFormat="0" applyBorder="0" applyAlignment="0" applyProtection="0"/>
    <xf numFmtId="0" fontId="9" fillId="43" borderId="0" applyNumberFormat="0" applyBorder="0" applyAlignment="0" applyProtection="0"/>
    <xf numFmtId="0" fontId="9" fillId="47" borderId="0" applyNumberFormat="0" applyBorder="0" applyAlignment="0" applyProtection="0"/>
    <xf numFmtId="0" fontId="9" fillId="51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56" fillId="28" borderId="0" applyNumberFormat="0" applyBorder="0" applyAlignment="0" applyProtection="0"/>
    <xf numFmtId="0" fontId="57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16" fillId="32" borderId="0" applyNumberFormat="0" applyBorder="0" applyAlignment="0" applyProtection="0"/>
    <xf numFmtId="174" fontId="58" fillId="32" borderId="0" applyNumberFormat="0" applyBorder="0" applyAlignment="0" applyProtection="0"/>
    <xf numFmtId="0" fontId="56" fillId="32" borderId="0" applyNumberFormat="0" applyBorder="0" applyAlignment="0" applyProtection="0"/>
    <xf numFmtId="0" fontId="57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56" fillId="36" borderId="0" applyNumberFormat="0" applyBorder="0" applyAlignment="0" applyProtection="0"/>
    <xf numFmtId="0" fontId="57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4" borderId="0" applyNumberFormat="0" applyBorder="0" applyAlignment="0" applyProtection="0"/>
    <xf numFmtId="0" fontId="9" fillId="48" borderId="0" applyNumberFormat="0" applyBorder="0" applyAlignment="0" applyProtection="0"/>
    <xf numFmtId="175" fontId="38" fillId="0" borderId="0">
      <alignment vertical="center"/>
    </xf>
    <xf numFmtId="0" fontId="31" fillId="22" borderId="0" applyNumberFormat="0" applyBorder="0" applyAlignment="0" applyProtection="0"/>
    <xf numFmtId="174" fontId="59" fillId="22" borderId="0" applyNumberFormat="0" applyBorder="0" applyAlignment="0" applyProtection="0"/>
    <xf numFmtId="0" fontId="42" fillId="0" borderId="16" applyNumberFormat="0" applyFont="0" applyProtection="0">
      <alignment wrapText="1"/>
    </xf>
    <xf numFmtId="0" fontId="34" fillId="25" borderId="6" applyNumberFormat="0" applyAlignment="0" applyProtection="0"/>
    <xf numFmtId="0" fontId="34" fillId="25" borderId="6" applyNumberFormat="0" applyAlignment="0" applyProtection="0"/>
    <xf numFmtId="0" fontId="60" fillId="25" borderId="6" applyNumberFormat="0" applyAlignment="0" applyProtection="0"/>
    <xf numFmtId="0" fontId="61" fillId="25" borderId="6" applyNumberFormat="0" applyAlignment="0" applyProtection="0"/>
    <xf numFmtId="0" fontId="7" fillId="26" borderId="9" applyNumberFormat="0" applyAlignment="0" applyProtection="0"/>
    <xf numFmtId="0" fontId="1" fillId="56" borderId="0"/>
    <xf numFmtId="0" fontId="1" fillId="57" borderId="0"/>
    <xf numFmtId="0" fontId="1" fillId="58" borderId="0"/>
    <xf numFmtId="0" fontId="1" fillId="59" borderId="0"/>
    <xf numFmtId="0" fontId="43" fillId="0" borderId="0">
      <alignment horizontal="center" vertical="center" wrapText="1"/>
    </xf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>
      <alignment vertical="top"/>
    </xf>
    <xf numFmtId="43" fontId="44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45" fillId="0" borderId="0">
      <alignment horizontal="left" vertical="center" wrapText="1"/>
    </xf>
    <xf numFmtId="44" fontId="2" fillId="0" borderId="0" applyFont="0" applyFill="0" applyBorder="0" applyAlignment="0" applyProtection="0"/>
    <xf numFmtId="44" fontId="39" fillId="0" borderId="0" applyFont="0" applyFill="0" applyBorder="0" applyAlignment="0" applyProtection="0">
      <alignment vertical="top"/>
    </xf>
    <xf numFmtId="44" fontId="39" fillId="0" borderId="0" applyFont="0" applyFill="0" applyBorder="0" applyAlignment="0" applyProtection="0">
      <alignment vertical="top"/>
    </xf>
    <xf numFmtId="44" fontId="4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4" fillId="0" borderId="0" applyFont="0" applyFill="0" applyBorder="0" applyAlignment="0" applyProtection="0"/>
    <xf numFmtId="172" fontId="2" fillId="0" borderId="0" applyFont="0" applyFill="0" applyBorder="0" applyAlignment="0" applyProtection="0"/>
    <xf numFmtId="176" fontId="46" fillId="0" borderId="12" applyNumberFormat="0" applyFill="0">
      <alignment horizontal="right"/>
    </xf>
    <xf numFmtId="176" fontId="46" fillId="0" borderId="12" applyNumberFormat="0" applyFill="0">
      <alignment horizontal="right"/>
    </xf>
    <xf numFmtId="177" fontId="47" fillId="0" borderId="12">
      <alignment horizontal="right" vertical="center"/>
    </xf>
    <xf numFmtId="49" fontId="48" fillId="0" borderId="12">
      <alignment horizontal="left" vertical="center"/>
    </xf>
    <xf numFmtId="176" fontId="46" fillId="0" borderId="12" applyNumberFormat="0" applyFill="0">
      <alignment horizontal="right"/>
    </xf>
    <xf numFmtId="178" fontId="46" fillId="0" borderId="12">
      <alignment horizontal="right"/>
    </xf>
    <xf numFmtId="0" fontId="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30" fillId="21" borderId="0" applyNumberFormat="0" applyBorder="0" applyAlignment="0" applyProtection="0"/>
    <xf numFmtId="38" fontId="3" fillId="2" borderId="0" applyNumberFormat="0" applyBorder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8" fillId="0" borderId="4" applyNumberFormat="0" applyFill="0" applyAlignment="0" applyProtection="0"/>
    <xf numFmtId="0" fontId="65" fillId="0" borderId="4" applyNumberFormat="0" applyFill="0" applyAlignment="0" applyProtection="0"/>
    <xf numFmtId="0" fontId="66" fillId="0" borderId="4" applyNumberFormat="0" applyFill="0" applyAlignment="0" applyProtection="0"/>
    <xf numFmtId="0" fontId="29" fillId="0" borderId="5" applyNumberFormat="0" applyFill="0" applyAlignment="0" applyProtection="0"/>
    <xf numFmtId="0" fontId="29" fillId="0" borderId="0" applyNumberFormat="0" applyFill="0" applyBorder="0" applyAlignment="0" applyProtection="0"/>
    <xf numFmtId="174" fontId="49" fillId="0" borderId="12">
      <alignment horizontal="left"/>
    </xf>
    <xf numFmtId="174" fontId="49" fillId="0" borderId="12">
      <alignment horizontal="left"/>
    </xf>
    <xf numFmtId="0" fontId="50" fillId="0" borderId="13">
      <alignment horizontal="right" vertical="center"/>
    </xf>
    <xf numFmtId="0" fontId="51" fillId="0" borderId="12">
      <alignment horizontal="left" vertical="center"/>
    </xf>
    <xf numFmtId="0" fontId="46" fillId="0" borderId="12">
      <alignment horizontal="left" vertical="center"/>
    </xf>
    <xf numFmtId="0" fontId="49" fillId="0" borderId="12">
      <alignment horizontal="left"/>
    </xf>
    <xf numFmtId="174" fontId="49" fillId="52" borderId="0">
      <alignment horizontal="centerContinuous" wrapText="1"/>
    </xf>
    <xf numFmtId="49" fontId="49" fillId="52" borderId="14">
      <alignment horizontal="left" vertical="center"/>
    </xf>
    <xf numFmtId="174" fontId="49" fillId="52" borderId="0">
      <alignment horizontal="centerContinuous" wrapText="1"/>
    </xf>
    <xf numFmtId="0" fontId="49" fillId="52" borderId="0">
      <alignment horizontal="centerContinuous" vertical="center" wrapText="1"/>
    </xf>
    <xf numFmtId="0" fontId="41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10" fontId="3" fillId="3" borderId="1" applyNumberFormat="0" applyBorder="0" applyAlignment="0" applyProtection="0"/>
    <xf numFmtId="0" fontId="68" fillId="24" borderId="6" applyNumberFormat="0" applyAlignment="0" applyProtection="0"/>
    <xf numFmtId="0" fontId="68" fillId="24" borderId="6" applyNumberFormat="0" applyAlignment="0" applyProtection="0"/>
    <xf numFmtId="0" fontId="68" fillId="24" borderId="6" applyNumberFormat="0" applyAlignment="0" applyProtection="0"/>
    <xf numFmtId="0" fontId="68" fillId="24" borderId="6" applyNumberFormat="0" applyAlignment="0" applyProtection="0"/>
    <xf numFmtId="0" fontId="68" fillId="24" borderId="6" applyNumberFormat="0" applyAlignment="0" applyProtection="0"/>
    <xf numFmtId="0" fontId="69" fillId="24" borderId="6" applyNumberFormat="0" applyAlignment="0" applyProtection="0"/>
    <xf numFmtId="0" fontId="32" fillId="24" borderId="6" applyNumberFormat="0" applyAlignment="0" applyProtection="0"/>
    <xf numFmtId="0" fontId="32" fillId="24" borderId="6" applyNumberFormat="0" applyAlignment="0" applyProtection="0"/>
    <xf numFmtId="0" fontId="32" fillId="24" borderId="6" applyNumberFormat="0" applyAlignment="0" applyProtection="0"/>
    <xf numFmtId="0" fontId="32" fillId="24" borderId="6" applyNumberFormat="0" applyAlignment="0" applyProtection="0"/>
    <xf numFmtId="0" fontId="70" fillId="0" borderId="6" applyNumberFormat="0" applyAlignment="0" applyProtection="0"/>
    <xf numFmtId="0" fontId="70" fillId="0" borderId="6" applyNumberFormat="0" applyAlignment="0" applyProtection="0"/>
    <xf numFmtId="0" fontId="70" fillId="0" borderId="6" applyNumberFormat="0" applyAlignment="0" applyProtection="0"/>
    <xf numFmtId="0" fontId="70" fillId="0" borderId="6" applyNumberFormat="0" applyAlignment="0" applyProtection="0"/>
    <xf numFmtId="0" fontId="32" fillId="24" borderId="6" applyNumberFormat="0" applyAlignment="0" applyProtection="0"/>
    <xf numFmtId="0" fontId="32" fillId="24" borderId="6" applyNumberFormat="0" applyAlignment="0" applyProtection="0"/>
    <xf numFmtId="0" fontId="68" fillId="24" borderId="6" applyNumberFormat="0" applyAlignment="0" applyProtection="0"/>
    <xf numFmtId="0" fontId="68" fillId="24" borderId="6" applyNumberFormat="0" applyAlignment="0" applyProtection="0"/>
    <xf numFmtId="0" fontId="68" fillId="24" borderId="6" applyNumberFormat="0" applyAlignment="0" applyProtection="0"/>
    <xf numFmtId="0" fontId="35" fillId="0" borderId="8" applyNumberFormat="0" applyFill="0" applyAlignment="0" applyProtection="0"/>
    <xf numFmtId="0" fontId="71" fillId="23" borderId="0" applyNumberFormat="0" applyBorder="0" applyAlignment="0" applyProtection="0"/>
    <xf numFmtId="179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2" fillId="0" borderId="0"/>
    <xf numFmtId="0" fontId="2" fillId="0" borderId="0"/>
    <xf numFmtId="0" fontId="37" fillId="0" borderId="0"/>
    <xf numFmtId="0" fontId="2" fillId="0" borderId="0"/>
    <xf numFmtId="0" fontId="39" fillId="0" borderId="0">
      <alignment vertical="top"/>
    </xf>
    <xf numFmtId="174" fontId="44" fillId="0" borderId="0"/>
    <xf numFmtId="0" fontId="73" fillId="0" borderId="0"/>
    <xf numFmtId="0" fontId="1" fillId="0" borderId="0"/>
    <xf numFmtId="0" fontId="3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1" fillId="0" borderId="0"/>
    <xf numFmtId="0" fontId="64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0" fontId="1" fillId="0" borderId="0"/>
    <xf numFmtId="174" fontId="2" fillId="0" borderId="0"/>
    <xf numFmtId="0" fontId="2" fillId="0" borderId="0"/>
    <xf numFmtId="0" fontId="7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73" fontId="1" fillId="0" borderId="0"/>
    <xf numFmtId="174" fontId="2" fillId="0" borderId="0"/>
    <xf numFmtId="173" fontId="1" fillId="0" borderId="0"/>
    <xf numFmtId="174" fontId="40" fillId="0" borderId="0"/>
    <xf numFmtId="174" fontId="40" fillId="0" borderId="0"/>
    <xf numFmtId="0" fontId="74" fillId="0" borderId="0"/>
    <xf numFmtId="0" fontId="12" fillId="0" borderId="0"/>
    <xf numFmtId="0" fontId="12" fillId="0" borderId="0"/>
    <xf numFmtId="173" fontId="1" fillId="0" borderId="0"/>
    <xf numFmtId="174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6" fillId="0" borderId="0"/>
    <xf numFmtId="0" fontId="1" fillId="27" borderId="10" applyNumberFormat="0" applyFont="0" applyAlignment="0" applyProtection="0"/>
    <xf numFmtId="0" fontId="73" fillId="27" borderId="10" applyNumberFormat="0" applyFont="0" applyAlignment="0" applyProtection="0"/>
    <xf numFmtId="0" fontId="33" fillId="25" borderId="7" applyNumberFormat="0" applyAlignment="0" applyProtection="0"/>
    <xf numFmtId="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9" fillId="0" borderId="0" applyFont="0" applyFill="0" applyBorder="0" applyAlignment="0" applyProtection="0">
      <alignment vertical="top"/>
    </xf>
    <xf numFmtId="9" fontId="4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3" fontId="47" fillId="0" borderId="0">
      <alignment horizontal="left" vertical="center"/>
    </xf>
    <xf numFmtId="0" fontId="1" fillId="60" borderId="0"/>
    <xf numFmtId="0" fontId="1" fillId="61" borderId="0"/>
    <xf numFmtId="0" fontId="1" fillId="62" borderId="0"/>
    <xf numFmtId="0" fontId="1" fillId="63" borderId="0"/>
    <xf numFmtId="0" fontId="1" fillId="64" borderId="0"/>
    <xf numFmtId="0" fontId="1" fillId="65" borderId="0"/>
    <xf numFmtId="0" fontId="1" fillId="66" borderId="0"/>
    <xf numFmtId="0" fontId="1" fillId="67" borderId="0"/>
    <xf numFmtId="0" fontId="1" fillId="68" borderId="0"/>
    <xf numFmtId="0" fontId="1" fillId="69" borderId="0"/>
    <xf numFmtId="0" fontId="1" fillId="70" borderId="0"/>
    <xf numFmtId="0" fontId="43" fillId="0" borderId="0">
      <alignment horizontal="left" vertical="center"/>
    </xf>
    <xf numFmtId="0" fontId="53" fillId="0" borderId="0">
      <alignment horizontal="right"/>
    </xf>
    <xf numFmtId="49" fontId="53" fillId="0" borderId="0">
      <alignment horizontal="center"/>
    </xf>
    <xf numFmtId="174" fontId="48" fillId="0" borderId="0">
      <alignment horizontal="right"/>
    </xf>
    <xf numFmtId="174" fontId="48" fillId="0" borderId="0">
      <alignment horizontal="right"/>
    </xf>
    <xf numFmtId="174" fontId="53" fillId="0" borderId="0">
      <alignment horizontal="left"/>
    </xf>
    <xf numFmtId="174" fontId="53" fillId="0" borderId="0">
      <alignment horizontal="left"/>
    </xf>
    <xf numFmtId="0" fontId="53" fillId="0" borderId="0">
      <alignment horizontal="left"/>
    </xf>
    <xf numFmtId="49" fontId="47" fillId="0" borderId="0">
      <alignment horizontal="left" vertical="center"/>
    </xf>
    <xf numFmtId="0" fontId="77" fillId="0" borderId="0"/>
    <xf numFmtId="49" fontId="48" fillId="0" borderId="12">
      <alignment horizontal="left" vertical="center"/>
    </xf>
    <xf numFmtId="49" fontId="43" fillId="0" borderId="12" applyFill="0">
      <alignment horizontal="left" vertical="center"/>
    </xf>
    <xf numFmtId="49" fontId="48" fillId="0" borderId="12">
      <alignment horizontal="left"/>
    </xf>
    <xf numFmtId="176" fontId="47" fillId="0" borderId="0" applyNumberFormat="0">
      <alignment horizontal="right"/>
    </xf>
    <xf numFmtId="0" fontId="50" fillId="53" borderId="0">
      <alignment horizontal="centerContinuous" vertical="center" wrapText="1"/>
    </xf>
    <xf numFmtId="0" fontId="50" fillId="0" borderId="15">
      <alignment horizontal="left" vertical="center"/>
    </xf>
    <xf numFmtId="0" fontId="54" fillId="0" borderId="0">
      <alignment horizontal="left" vertical="top"/>
    </xf>
    <xf numFmtId="40" fontId="55" fillId="0" borderId="0"/>
    <xf numFmtId="0" fontId="49" fillId="0" borderId="0">
      <alignment horizontal="left"/>
    </xf>
    <xf numFmtId="0" fontId="45" fillId="0" borderId="0">
      <alignment horizontal="left"/>
    </xf>
    <xf numFmtId="0" fontId="46" fillId="0" borderId="0">
      <alignment horizontal="left"/>
    </xf>
    <xf numFmtId="174" fontId="54" fillId="0" borderId="0">
      <alignment horizontal="left" vertical="top"/>
    </xf>
    <xf numFmtId="174" fontId="54" fillId="0" borderId="0">
      <alignment horizontal="left" vertical="top"/>
    </xf>
    <xf numFmtId="0" fontId="54" fillId="0" borderId="0">
      <alignment horizontal="left" vertical="top"/>
    </xf>
    <xf numFmtId="174" fontId="45" fillId="0" borderId="0">
      <alignment horizontal="left"/>
    </xf>
    <xf numFmtId="174" fontId="45" fillId="0" borderId="0">
      <alignment horizontal="left"/>
    </xf>
    <xf numFmtId="0" fontId="46" fillId="0" borderId="0">
      <alignment horizontal="left"/>
    </xf>
    <xf numFmtId="0" fontId="4" fillId="0" borderId="11" applyNumberFormat="0" applyFill="0" applyAlignment="0" applyProtection="0"/>
    <xf numFmtId="174" fontId="78" fillId="0" borderId="11" applyNumberFormat="0" applyFill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49" fontId="47" fillId="0" borderId="12">
      <alignment horizontal="left"/>
    </xf>
    <xf numFmtId="0" fontId="50" fillId="0" borderId="13">
      <alignment horizontal="left"/>
    </xf>
    <xf numFmtId="0" fontId="49" fillId="0" borderId="0">
      <alignment horizontal="left" vertical="center"/>
    </xf>
    <xf numFmtId="49" fontId="53" fillId="0" borderId="12">
      <alignment horizontal="left"/>
    </xf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173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/>
    <xf numFmtId="0" fontId="1" fillId="55" borderId="0"/>
    <xf numFmtId="0" fontId="1" fillId="56" borderId="0"/>
    <xf numFmtId="0" fontId="1" fillId="57" borderId="0"/>
    <xf numFmtId="0" fontId="1" fillId="58" borderId="0"/>
    <xf numFmtId="0" fontId="1" fillId="59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0" fontId="1" fillId="0" borderId="0"/>
    <xf numFmtId="174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73" fontId="1" fillId="0" borderId="0"/>
    <xf numFmtId="174" fontId="2" fillId="0" borderId="0"/>
    <xf numFmtId="173" fontId="1" fillId="0" borderId="0"/>
    <xf numFmtId="17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7" borderId="10" applyNumberFormat="0" applyFont="0" applyAlignment="0" applyProtection="0"/>
    <xf numFmtId="10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60" borderId="0"/>
    <xf numFmtId="0" fontId="1" fillId="61" borderId="0"/>
    <xf numFmtId="0" fontId="1" fillId="62" borderId="0"/>
    <xf numFmtId="0" fontId="1" fillId="63" borderId="0"/>
    <xf numFmtId="0" fontId="1" fillId="64" borderId="0"/>
    <xf numFmtId="0" fontId="1" fillId="65" borderId="0"/>
    <xf numFmtId="0" fontId="1" fillId="66" borderId="0"/>
    <xf numFmtId="0" fontId="1" fillId="67" borderId="0"/>
    <xf numFmtId="0" fontId="1" fillId="68" borderId="0"/>
    <xf numFmtId="0" fontId="1" fillId="69" borderId="0"/>
    <xf numFmtId="0" fontId="1" fillId="70" borderId="0"/>
    <xf numFmtId="0" fontId="2" fillId="0" borderId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173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/>
    <xf numFmtId="0" fontId="1" fillId="55" borderId="0"/>
    <xf numFmtId="0" fontId="1" fillId="56" borderId="0"/>
    <xf numFmtId="0" fontId="1" fillId="57" borderId="0"/>
    <xf numFmtId="0" fontId="1" fillId="58" borderId="0"/>
    <xf numFmtId="0" fontId="1" fillId="59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7" borderId="10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60" borderId="0"/>
    <xf numFmtId="0" fontId="1" fillId="61" borderId="0"/>
    <xf numFmtId="0" fontId="1" fillId="62" borderId="0"/>
    <xf numFmtId="0" fontId="1" fillId="63" borderId="0"/>
    <xf numFmtId="0" fontId="1" fillId="64" borderId="0"/>
    <xf numFmtId="0" fontId="1" fillId="65" borderId="0"/>
    <xf numFmtId="0" fontId="1" fillId="66" borderId="0"/>
    <xf numFmtId="0" fontId="1" fillId="67" borderId="0"/>
    <xf numFmtId="0" fontId="1" fillId="68" borderId="0"/>
    <xf numFmtId="0" fontId="1" fillId="69" borderId="0"/>
    <xf numFmtId="0" fontId="1" fillId="70" borderId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173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/>
    <xf numFmtId="0" fontId="1" fillId="55" borderId="0"/>
    <xf numFmtId="0" fontId="1" fillId="56" borderId="0"/>
    <xf numFmtId="0" fontId="1" fillId="57" borderId="0"/>
    <xf numFmtId="0" fontId="1" fillId="58" borderId="0"/>
    <xf numFmtId="0" fontId="1" fillId="59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7" borderId="10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60" borderId="0"/>
    <xf numFmtId="0" fontId="1" fillId="61" borderId="0"/>
    <xf numFmtId="0" fontId="1" fillId="62" borderId="0"/>
    <xf numFmtId="0" fontId="1" fillId="63" borderId="0"/>
    <xf numFmtId="0" fontId="1" fillId="64" borderId="0"/>
    <xf numFmtId="0" fontId="1" fillId="65" borderId="0"/>
    <xf numFmtId="0" fontId="1" fillId="66" borderId="0"/>
    <xf numFmtId="0" fontId="1" fillId="67" borderId="0"/>
    <xf numFmtId="0" fontId="1" fillId="68" borderId="0"/>
    <xf numFmtId="0" fontId="1" fillId="69" borderId="0"/>
    <xf numFmtId="0" fontId="1" fillId="70" borderId="0"/>
    <xf numFmtId="0" fontId="2" fillId="0" borderId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173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/>
    <xf numFmtId="0" fontId="1" fillId="55" borderId="0"/>
    <xf numFmtId="0" fontId="1" fillId="56" borderId="0"/>
    <xf numFmtId="0" fontId="1" fillId="57" borderId="0"/>
    <xf numFmtId="0" fontId="1" fillId="58" borderId="0"/>
    <xf numFmtId="0" fontId="1" fillId="59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7" borderId="10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60" borderId="0"/>
    <xf numFmtId="0" fontId="1" fillId="61" borderId="0"/>
    <xf numFmtId="0" fontId="1" fillId="62" borderId="0"/>
    <xf numFmtId="0" fontId="1" fillId="63" borderId="0"/>
    <xf numFmtId="0" fontId="1" fillId="64" borderId="0"/>
    <xf numFmtId="0" fontId="1" fillId="65" borderId="0"/>
    <xf numFmtId="0" fontId="1" fillId="66" borderId="0"/>
    <xf numFmtId="0" fontId="1" fillId="67" borderId="0"/>
    <xf numFmtId="0" fontId="1" fillId="68" borderId="0"/>
    <xf numFmtId="0" fontId="1" fillId="69" borderId="0"/>
    <xf numFmtId="0" fontId="1" fillId="70" borderId="0"/>
    <xf numFmtId="0" fontId="2" fillId="0" borderId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173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/>
    <xf numFmtId="0" fontId="1" fillId="55" borderId="0"/>
    <xf numFmtId="0" fontId="1" fillId="56" borderId="0"/>
    <xf numFmtId="0" fontId="1" fillId="57" borderId="0"/>
    <xf numFmtId="0" fontId="1" fillId="58" borderId="0"/>
    <xf numFmtId="0" fontId="1" fillId="59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7" borderId="10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60" borderId="0"/>
    <xf numFmtId="0" fontId="1" fillId="61" borderId="0"/>
    <xf numFmtId="0" fontId="1" fillId="62" borderId="0"/>
    <xf numFmtId="0" fontId="1" fillId="63" borderId="0"/>
    <xf numFmtId="0" fontId="1" fillId="64" borderId="0"/>
    <xf numFmtId="0" fontId="1" fillId="65" borderId="0"/>
    <xf numFmtId="0" fontId="1" fillId="66" borderId="0"/>
    <xf numFmtId="0" fontId="1" fillId="67" borderId="0"/>
    <xf numFmtId="0" fontId="1" fillId="68" borderId="0"/>
    <xf numFmtId="0" fontId="1" fillId="69" borderId="0"/>
    <xf numFmtId="0" fontId="1" fillId="70" borderId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173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/>
    <xf numFmtId="0" fontId="1" fillId="55" borderId="0"/>
    <xf numFmtId="0" fontId="1" fillId="56" borderId="0"/>
    <xf numFmtId="0" fontId="1" fillId="57" borderId="0"/>
    <xf numFmtId="0" fontId="1" fillId="58" borderId="0"/>
    <xf numFmtId="0" fontId="1" fillId="59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7" borderId="10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60" borderId="0"/>
    <xf numFmtId="0" fontId="1" fillId="61" borderId="0"/>
    <xf numFmtId="0" fontId="1" fillId="62" borderId="0"/>
    <xf numFmtId="0" fontId="1" fillId="63" borderId="0"/>
    <xf numFmtId="0" fontId="1" fillId="64" borderId="0"/>
    <xf numFmtId="0" fontId="1" fillId="65" borderId="0"/>
    <xf numFmtId="0" fontId="1" fillId="66" borderId="0"/>
    <xf numFmtId="0" fontId="1" fillId="67" borderId="0"/>
    <xf numFmtId="0" fontId="1" fillId="68" borderId="0"/>
    <xf numFmtId="0" fontId="1" fillId="69" borderId="0"/>
    <xf numFmtId="0" fontId="1" fillId="70" borderId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173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/>
    <xf numFmtId="0" fontId="1" fillId="55" borderId="0"/>
    <xf numFmtId="0" fontId="1" fillId="56" borderId="0"/>
    <xf numFmtId="0" fontId="1" fillId="57" borderId="0"/>
    <xf numFmtId="0" fontId="1" fillId="58" borderId="0"/>
    <xf numFmtId="0" fontId="1" fillId="59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7" borderId="10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60" borderId="0"/>
    <xf numFmtId="0" fontId="1" fillId="61" borderId="0"/>
    <xf numFmtId="0" fontId="1" fillId="62" borderId="0"/>
    <xf numFmtId="0" fontId="1" fillId="63" borderId="0"/>
    <xf numFmtId="0" fontId="1" fillId="64" borderId="0"/>
    <xf numFmtId="0" fontId="1" fillId="65" borderId="0"/>
    <xf numFmtId="0" fontId="1" fillId="66" borderId="0"/>
    <xf numFmtId="0" fontId="1" fillId="67" borderId="0"/>
    <xf numFmtId="0" fontId="1" fillId="68" borderId="0"/>
    <xf numFmtId="0" fontId="1" fillId="69" borderId="0"/>
    <xf numFmtId="0" fontId="1" fillId="7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" fillId="0" borderId="0"/>
    <xf numFmtId="9" fontId="2" fillId="0" borderId="0" applyFont="0" applyFill="0" applyBorder="0" applyAlignment="0" applyProtection="0"/>
    <xf numFmtId="0" fontId="37" fillId="0" borderId="0"/>
    <xf numFmtId="9" fontId="2" fillId="0" borderId="0" applyFont="0" applyFill="0" applyBorder="0" applyAlignment="0" applyProtection="0"/>
    <xf numFmtId="0" fontId="37" fillId="0" borderId="0"/>
    <xf numFmtId="0" fontId="3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7" fillId="0" borderId="0"/>
    <xf numFmtId="0" fontId="2" fillId="0" borderId="0"/>
  </cellStyleXfs>
  <cellXfs count="172">
    <xf numFmtId="0" fontId="0" fillId="0" borderId="0" xfId="0"/>
    <xf numFmtId="0" fontId="4" fillId="0" borderId="0" xfId="0" applyFont="1"/>
    <xf numFmtId="0" fontId="0" fillId="0" borderId="0" xfId="0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6"/>
    <xf numFmtId="0" fontId="10" fillId="5" borderId="0" xfId="0" applyFont="1" applyFill="1" applyAlignment="1">
      <alignment vertical="top"/>
    </xf>
    <xf numFmtId="15" fontId="10" fillId="5" borderId="0" xfId="0" quotePrefix="1" applyNumberFormat="1" applyFont="1" applyFill="1" applyAlignment="1">
      <alignment horizontal="left" vertical="top"/>
    </xf>
    <xf numFmtId="0" fontId="11" fillId="5" borderId="0" xfId="0" applyFont="1" applyFill="1" applyAlignment="1">
      <alignment vertical="top" wrapText="1"/>
    </xf>
    <xf numFmtId="0" fontId="12" fillId="5" borderId="0" xfId="0" applyFont="1" applyFill="1" applyAlignment="1">
      <alignment vertical="top" wrapText="1"/>
    </xf>
    <xf numFmtId="0" fontId="12" fillId="0" borderId="0" xfId="0" applyFont="1" applyAlignment="1">
      <alignment vertical="top" wrapText="1"/>
    </xf>
    <xf numFmtId="0" fontId="13" fillId="5" borderId="0" xfId="0" applyFont="1" applyFill="1" applyAlignment="1">
      <alignment horizontal="center" vertical="top" wrapText="1"/>
    </xf>
    <xf numFmtId="0" fontId="14" fillId="5" borderId="0" xfId="0" applyFont="1" applyFill="1" applyAlignment="1">
      <alignment vertical="top" wrapText="1"/>
    </xf>
    <xf numFmtId="0" fontId="14" fillId="0" borderId="0" xfId="0" applyFont="1" applyAlignment="1">
      <alignment vertical="top" wrapText="1"/>
    </xf>
    <xf numFmtId="0" fontId="14" fillId="8" borderId="1" xfId="0" applyFont="1" applyFill="1" applyBorder="1" applyAlignment="1">
      <alignment horizontal="center" vertical="top" wrapText="1"/>
    </xf>
    <xf numFmtId="0" fontId="2" fillId="10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0" fillId="5" borderId="0" xfId="0" applyFill="1"/>
    <xf numFmtId="166" fontId="17" fillId="5" borderId="0" xfId="0" applyNumberFormat="1" applyFont="1" applyFill="1" applyAlignment="1">
      <alignment horizontal="center" vertical="top"/>
    </xf>
    <xf numFmtId="166" fontId="17" fillId="5" borderId="0" xfId="0" applyNumberFormat="1" applyFont="1" applyFill="1"/>
    <xf numFmtId="0" fontId="0" fillId="5" borderId="0" xfId="0" applyFill="1" applyAlignment="1">
      <alignment wrapText="1"/>
    </xf>
    <xf numFmtId="0" fontId="4" fillId="5" borderId="0" xfId="0" applyFont="1" applyFill="1"/>
    <xf numFmtId="166" fontId="18" fillId="5" borderId="0" xfId="0" applyNumberFormat="1" applyFont="1" applyFill="1" applyAlignment="1">
      <alignment horizontal="center" vertical="top"/>
    </xf>
    <xf numFmtId="166" fontId="18" fillId="5" borderId="0" xfId="0" applyNumberFormat="1" applyFont="1" applyFill="1"/>
    <xf numFmtId="0" fontId="19" fillId="5" borderId="0" xfId="0" applyFont="1" applyFill="1" applyAlignment="1">
      <alignment horizontal="center" wrapText="1"/>
    </xf>
    <xf numFmtId="0" fontId="7" fillId="11" borderId="0" xfId="0" applyFont="1" applyFill="1" applyAlignment="1">
      <alignment horizontal="center" vertical="top"/>
    </xf>
    <xf numFmtId="166" fontId="7" fillId="11" borderId="0" xfId="0" applyNumberFormat="1" applyFont="1" applyFill="1" applyAlignment="1">
      <alignment horizontal="center" vertical="top"/>
    </xf>
    <xf numFmtId="0" fontId="7" fillId="11" borderId="0" xfId="0" applyFont="1" applyFill="1" applyAlignment="1">
      <alignment horizontal="center" vertical="top" wrapText="1"/>
    </xf>
    <xf numFmtId="0" fontId="0" fillId="0" borderId="0" xfId="0" applyAlignment="1">
      <alignment vertical="top"/>
    </xf>
    <xf numFmtId="0" fontId="0" fillId="12" borderId="0" xfId="0" applyFill="1" applyAlignment="1">
      <alignment vertical="top"/>
    </xf>
    <xf numFmtId="0" fontId="0" fillId="12" borderId="0" xfId="0" applyFill="1" applyAlignment="1">
      <alignment vertical="top" wrapText="1"/>
    </xf>
    <xf numFmtId="0" fontId="6" fillId="12" borderId="0" xfId="6" applyFill="1" applyAlignment="1">
      <alignment vertical="top" wrapText="1"/>
    </xf>
    <xf numFmtId="0" fontId="0" fillId="13" borderId="0" xfId="0" applyFill="1" applyAlignment="1">
      <alignment vertical="top"/>
    </xf>
    <xf numFmtId="0" fontId="0" fillId="13" borderId="0" xfId="0" applyFill="1" applyAlignment="1">
      <alignment vertical="top" wrapText="1"/>
    </xf>
    <xf numFmtId="0" fontId="6" fillId="13" borderId="0" xfId="6" applyFill="1" applyAlignment="1">
      <alignment vertical="top" wrapText="1"/>
    </xf>
    <xf numFmtId="2" fontId="17" fillId="12" borderId="0" xfId="0" applyNumberFormat="1" applyFont="1" applyFill="1" applyAlignment="1">
      <alignment vertical="top"/>
    </xf>
    <xf numFmtId="0" fontId="9" fillId="11" borderId="0" xfId="0" applyFont="1" applyFill="1" applyAlignment="1">
      <alignment horizontal="center" vertical="top"/>
    </xf>
    <xf numFmtId="10" fontId="17" fillId="13" borderId="0" xfId="0" applyNumberFormat="1" applyFont="1" applyFill="1" applyAlignment="1">
      <alignment vertical="top" wrapText="1"/>
    </xf>
    <xf numFmtId="167" fontId="17" fillId="13" borderId="0" xfId="0" applyNumberFormat="1" applyFont="1" applyFill="1" applyAlignment="1">
      <alignment horizontal="center" vertical="top"/>
    </xf>
    <xf numFmtId="167" fontId="17" fillId="13" borderId="0" xfId="0" applyNumberFormat="1" applyFont="1" applyFill="1" applyAlignment="1">
      <alignment vertical="top"/>
    </xf>
    <xf numFmtId="6" fontId="0" fillId="0" borderId="0" xfId="0" applyNumberFormat="1" applyAlignment="1">
      <alignment vertical="top"/>
    </xf>
    <xf numFmtId="167" fontId="17" fillId="13" borderId="0" xfId="0" applyNumberFormat="1" applyFont="1" applyFill="1" applyAlignment="1">
      <alignment vertical="top" wrapText="1"/>
    </xf>
    <xf numFmtId="166" fontId="17" fillId="0" borderId="0" xfId="0" applyNumberFormat="1" applyFont="1" applyAlignment="1">
      <alignment horizontal="center" vertical="top"/>
    </xf>
    <xf numFmtId="166" fontId="17" fillId="0" borderId="0" xfId="0" applyNumberFormat="1" applyFont="1"/>
    <xf numFmtId="0" fontId="0" fillId="0" borderId="0" xfId="0" applyAlignment="1">
      <alignment horizontal="left"/>
    </xf>
    <xf numFmtId="0" fontId="20" fillId="14" borderId="0" xfId="0" applyFont="1" applyFill="1" applyAlignment="1">
      <alignment horizontal="center" vertical="center"/>
    </xf>
    <xf numFmtId="0" fontId="20" fillId="14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vertical="center"/>
    </xf>
    <xf numFmtId="6" fontId="22" fillId="0" borderId="0" xfId="0" applyNumberFormat="1" applyFont="1" applyAlignment="1">
      <alignment horizontal="right" vertical="center"/>
    </xf>
    <xf numFmtId="9" fontId="21" fillId="0" borderId="0" xfId="3" applyFont="1"/>
    <xf numFmtId="0" fontId="23" fillId="15" borderId="0" xfId="0" applyFont="1" applyFill="1" applyAlignment="1">
      <alignment vertical="center"/>
    </xf>
    <xf numFmtId="6" fontId="23" fillId="15" borderId="0" xfId="0" applyNumberFormat="1" applyFont="1" applyFill="1" applyAlignment="1">
      <alignment horizontal="right" vertical="center"/>
    </xf>
    <xf numFmtId="0" fontId="23" fillId="16" borderId="0" xfId="0" applyFont="1" applyFill="1" applyAlignment="1">
      <alignment vertical="center"/>
    </xf>
    <xf numFmtId="6" fontId="23" fillId="16" borderId="0" xfId="0" applyNumberFormat="1" applyFont="1" applyFill="1" applyAlignment="1">
      <alignment horizontal="right" vertical="center"/>
    </xf>
    <xf numFmtId="169" fontId="21" fillId="0" borderId="0" xfId="0" applyNumberFormat="1" applyFont="1"/>
    <xf numFmtId="170" fontId="23" fillId="15" borderId="0" xfId="0" applyNumberFormat="1" applyFont="1" applyFill="1" applyAlignment="1">
      <alignment horizontal="right" vertical="center"/>
    </xf>
    <xf numFmtId="167" fontId="21" fillId="0" borderId="0" xfId="0" applyNumberFormat="1" applyFont="1"/>
    <xf numFmtId="0" fontId="21" fillId="0" borderId="0" xfId="0" applyFont="1" applyAlignment="1">
      <alignment horizontal="right"/>
    </xf>
    <xf numFmtId="0" fontId="21" fillId="0" borderId="0" xfId="0" applyFont="1"/>
    <xf numFmtId="166" fontId="21" fillId="0" borderId="0" xfId="0" applyNumberFormat="1" applyFont="1"/>
    <xf numFmtId="166" fontId="0" fillId="0" borderId="0" xfId="0" applyNumberFormat="1"/>
    <xf numFmtId="0" fontId="0" fillId="0" borderId="0" xfId="0" applyAlignment="1">
      <alignment horizontal="right"/>
    </xf>
    <xf numFmtId="168" fontId="22" fillId="0" borderId="0" xfId="0" applyNumberFormat="1" applyFont="1" applyAlignment="1">
      <alignment horizontal="right" vertical="center"/>
    </xf>
    <xf numFmtId="169" fontId="21" fillId="0" borderId="0" xfId="0" applyNumberFormat="1" applyFont="1" applyAlignment="1">
      <alignment horizontal="left"/>
    </xf>
    <xf numFmtId="9" fontId="21" fillId="0" borderId="0" xfId="3" applyFont="1" applyFill="1" applyBorder="1" applyAlignment="1">
      <alignment horizontal="center"/>
    </xf>
    <xf numFmtId="166" fontId="8" fillId="0" borderId="0" xfId="0" applyNumberFormat="1" applyFont="1"/>
    <xf numFmtId="43" fontId="0" fillId="0" borderId="0" xfId="1" applyFont="1" applyAlignment="1"/>
    <xf numFmtId="169" fontId="4" fillId="0" borderId="0" xfId="0" applyNumberFormat="1" applyFont="1" applyAlignment="1">
      <alignment horizontal="center"/>
    </xf>
    <xf numFmtId="169" fontId="0" fillId="0" borderId="0" xfId="0" applyNumberFormat="1" applyAlignment="1">
      <alignment horizontal="left"/>
    </xf>
    <xf numFmtId="169" fontId="4" fillId="0" borderId="0" xfId="0" applyNumberFormat="1" applyFont="1"/>
    <xf numFmtId="0" fontId="24" fillId="0" borderId="0" xfId="0" applyFont="1" applyAlignment="1">
      <alignment horizontal="right" vertical="center"/>
    </xf>
    <xf numFmtId="168" fontId="0" fillId="0" borderId="0" xfId="0" applyNumberFormat="1"/>
    <xf numFmtId="2" fontId="4" fillId="0" borderId="0" xfId="0" applyNumberFormat="1" applyFont="1" applyAlignment="1">
      <alignment horizontal="center"/>
    </xf>
    <xf numFmtId="2" fontId="4" fillId="0" borderId="0" xfId="0" applyNumberFormat="1" applyFont="1"/>
    <xf numFmtId="169" fontId="0" fillId="0" borderId="0" xfId="0" applyNumberForma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7" fontId="4" fillId="0" borderId="0" xfId="0" applyNumberFormat="1" applyFont="1"/>
    <xf numFmtId="167" fontId="4" fillId="0" borderId="0" xfId="0" applyNumberFormat="1" applyFont="1" applyAlignment="1">
      <alignment horizontal="left"/>
    </xf>
    <xf numFmtId="0" fontId="25" fillId="0" borderId="0" xfId="0" applyFont="1" applyAlignment="1">
      <alignment horizontal="center"/>
    </xf>
    <xf numFmtId="164" fontId="4" fillId="4" borderId="0" xfId="0" applyNumberFormat="1" applyFont="1" applyFill="1"/>
    <xf numFmtId="171" fontId="0" fillId="0" borderId="0" xfId="0" applyNumberFormat="1"/>
    <xf numFmtId="164" fontId="4" fillId="4" borderId="0" xfId="0" applyNumberFormat="1" applyFont="1" applyFill="1" applyAlignment="1">
      <alignment horizontal="center"/>
    </xf>
    <xf numFmtId="165" fontId="4" fillId="13" borderId="1" xfId="3" applyNumberFormat="1" applyFont="1" applyFill="1" applyBorder="1" applyAlignment="1">
      <alignment horizontal="center"/>
    </xf>
    <xf numFmtId="0" fontId="4" fillId="17" borderId="1" xfId="0" applyFont="1" applyFill="1" applyBorder="1" applyAlignment="1">
      <alignment horizontal="center" wrapText="1"/>
    </xf>
    <xf numFmtId="0" fontId="4" fillId="13" borderId="1" xfId="0" applyFont="1" applyFill="1" applyBorder="1" applyAlignment="1">
      <alignment horizontal="center" wrapText="1"/>
    </xf>
    <xf numFmtId="0" fontId="0" fillId="17" borderId="1" xfId="0" applyFill="1" applyBorder="1" applyAlignment="1">
      <alignment horizontal="center" wrapText="1"/>
    </xf>
    <xf numFmtId="0" fontId="0" fillId="18" borderId="1" xfId="0" applyFill="1" applyBorder="1" applyAlignment="1">
      <alignment horizontal="center" wrapText="1"/>
    </xf>
    <xf numFmtId="0" fontId="4" fillId="17" borderId="1" xfId="0" applyFont="1" applyFill="1" applyBorder="1" applyAlignment="1">
      <alignment horizontal="center"/>
    </xf>
    <xf numFmtId="0" fontId="4" fillId="18" borderId="1" xfId="0" applyFont="1" applyFill="1" applyBorder="1" applyAlignment="1">
      <alignment horizontal="center" wrapText="1"/>
    </xf>
    <xf numFmtId="0" fontId="26" fillId="0" borderId="2" xfId="0" applyFont="1" applyBorder="1" applyAlignment="1">
      <alignment horizontal="center"/>
    </xf>
    <xf numFmtId="43" fontId="0" fillId="0" borderId="0" xfId="0" applyNumberFormat="1"/>
    <xf numFmtId="9" fontId="17" fillId="12" borderId="0" xfId="3" applyFont="1" applyFill="1" applyAlignment="1">
      <alignment horizontal="center" vertical="top"/>
    </xf>
    <xf numFmtId="0" fontId="4" fillId="0" borderId="0" xfId="0" applyFont="1" applyAlignment="1">
      <alignment horizontal="center" wrapText="1"/>
    </xf>
    <xf numFmtId="180" fontId="0" fillId="0" borderId="1" xfId="0" applyNumberFormat="1" applyBorder="1"/>
    <xf numFmtId="0" fontId="79" fillId="0" borderId="1" xfId="875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80" fontId="0" fillId="0" borderId="1" xfId="0" applyNumberFormat="1" applyBorder="1" applyAlignment="1">
      <alignment horizontal="center"/>
    </xf>
    <xf numFmtId="0" fontId="25" fillId="0" borderId="0" xfId="0" applyFont="1"/>
    <xf numFmtId="0" fontId="0" fillId="0" borderId="1" xfId="0" applyBorder="1" applyAlignment="1">
      <alignment horizontal="center" wrapText="1"/>
    </xf>
    <xf numFmtId="3" fontId="0" fillId="0" borderId="0" xfId="0" applyNumberFormat="1"/>
    <xf numFmtId="167" fontId="0" fillId="0" borderId="0" xfId="2" applyNumberFormat="1" applyFont="1"/>
    <xf numFmtId="167" fontId="0" fillId="0" borderId="0" xfId="0" applyNumberFormat="1"/>
    <xf numFmtId="180" fontId="4" fillId="0" borderId="0" xfId="0" applyNumberFormat="1" applyFont="1" applyAlignment="1">
      <alignment wrapText="1"/>
    </xf>
    <xf numFmtId="0" fontId="17" fillId="0" borderId="0" xfId="0" applyFont="1"/>
    <xf numFmtId="181" fontId="8" fillId="0" borderId="0" xfId="0" applyNumberFormat="1" applyFont="1"/>
    <xf numFmtId="165" fontId="8" fillId="0" borderId="0" xfId="0" applyNumberFormat="1" applyFont="1"/>
    <xf numFmtId="0" fontId="80" fillId="0" borderId="0" xfId="0" applyFont="1"/>
    <xf numFmtId="167" fontId="5" fillId="0" borderId="0" xfId="0" applyNumberFormat="1" applyFont="1"/>
    <xf numFmtId="0" fontId="81" fillId="0" borderId="1" xfId="875" applyFont="1" applyBorder="1" applyAlignment="1">
      <alignment horizontal="center"/>
    </xf>
    <xf numFmtId="0" fontId="19" fillId="0" borderId="0" xfId="0" applyFont="1" applyAlignment="1">
      <alignment horizontal="center"/>
    </xf>
    <xf numFmtId="0" fontId="4" fillId="4" borderId="0" xfId="0" applyFont="1" applyFill="1" applyAlignment="1">
      <alignment horizontal="center"/>
    </xf>
    <xf numFmtId="167" fontId="0" fillId="0" borderId="17" xfId="0" applyNumberFormat="1" applyBorder="1" applyAlignment="1">
      <alignment horizontal="center"/>
    </xf>
    <xf numFmtId="0" fontId="4" fillId="0" borderId="1" xfId="0" applyFont="1" applyBorder="1"/>
    <xf numFmtId="14" fontId="0" fillId="0" borderId="0" xfId="0" applyNumberFormat="1" applyAlignment="1">
      <alignment horizontal="center"/>
    </xf>
    <xf numFmtId="0" fontId="8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5" fontId="0" fillId="0" borderId="1" xfId="3" applyNumberFormat="1" applyFont="1" applyBorder="1" applyAlignment="1">
      <alignment horizontal="center"/>
    </xf>
    <xf numFmtId="167" fontId="0" fillId="0" borderId="1" xfId="0" applyNumberFormat="1" applyBorder="1"/>
    <xf numFmtId="0" fontId="0" fillId="0" borderId="1" xfId="0" applyBorder="1"/>
    <xf numFmtId="0" fontId="0" fillId="72" borderId="1" xfId="0" applyFill="1" applyBorder="1"/>
    <xf numFmtId="167" fontId="0" fillId="4" borderId="1" xfId="0" applyNumberFormat="1" applyFill="1" applyBorder="1"/>
    <xf numFmtId="167" fontId="4" fillId="4" borderId="0" xfId="0" applyNumberFormat="1" applyFont="1" applyFill="1"/>
    <xf numFmtId="167" fontId="5" fillId="4" borderId="0" xfId="0" applyNumberFormat="1" applyFont="1" applyFill="1"/>
    <xf numFmtId="0" fontId="2" fillId="9" borderId="1" xfId="0" applyFont="1" applyFill="1" applyBorder="1" applyAlignment="1">
      <alignment horizontal="left" vertical="top" wrapText="1"/>
    </xf>
    <xf numFmtId="0" fontId="12" fillId="73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167" fontId="0" fillId="0" borderId="1" xfId="0" applyNumberFormat="1" applyBorder="1" applyAlignment="1">
      <alignment horizontal="center"/>
    </xf>
    <xf numFmtId="14" fontId="0" fillId="0" borderId="1" xfId="0" applyNumberFormat="1" applyBorder="1"/>
    <xf numFmtId="167" fontId="0" fillId="0" borderId="1" xfId="2" applyNumberFormat="1" applyFont="1" applyBorder="1"/>
    <xf numFmtId="0" fontId="0" fillId="0" borderId="0" xfId="0" applyAlignment="1">
      <alignment horizontal="center" wrapText="1"/>
    </xf>
    <xf numFmtId="167" fontId="0" fillId="0" borderId="0" xfId="2" applyNumberFormat="1" applyFont="1" applyBorder="1"/>
    <xf numFmtId="3" fontId="0" fillId="0" borderId="1" xfId="0" applyNumberFormat="1" applyBorder="1"/>
    <xf numFmtId="0" fontId="4" fillId="71" borderId="1" xfId="0" applyFont="1" applyFill="1" applyBorder="1" applyAlignment="1">
      <alignment horizontal="center" wrapText="1"/>
    </xf>
    <xf numFmtId="0" fontId="4" fillId="71" borderId="1" xfId="0" applyFont="1" applyFill="1" applyBorder="1" applyAlignment="1">
      <alignment horizontal="center"/>
    </xf>
    <xf numFmtId="0" fontId="4" fillId="71" borderId="2" xfId="0" applyFont="1" applyFill="1" applyBorder="1" applyAlignment="1">
      <alignment horizontal="center" wrapText="1"/>
    </xf>
    <xf numFmtId="167" fontId="4" fillId="0" borderId="1" xfId="0" applyNumberFormat="1" applyFont="1" applyBorder="1"/>
    <xf numFmtId="167" fontId="5" fillId="4" borderId="1" xfId="0" applyNumberFormat="1" applyFont="1" applyFill="1" applyBorder="1"/>
    <xf numFmtId="171" fontId="0" fillId="0" borderId="1" xfId="0" applyNumberFormat="1" applyBorder="1"/>
    <xf numFmtId="167" fontId="0" fillId="17" borderId="1" xfId="0" applyNumberFormat="1" applyFill="1" applyBorder="1" applyAlignment="1">
      <alignment horizontal="center" wrapText="1"/>
    </xf>
    <xf numFmtId="167" fontId="4" fillId="19" borderId="1" xfId="0" applyNumberFormat="1" applyFont="1" applyFill="1" applyBorder="1" applyAlignment="1">
      <alignment horizontal="center" vertical="center"/>
    </xf>
    <xf numFmtId="167" fontId="4" fillId="2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182" fontId="0" fillId="0" borderId="0" xfId="0" applyNumberFormat="1"/>
    <xf numFmtId="167" fontId="0" fillId="17" borderId="1" xfId="2" applyNumberFormat="1" applyFont="1" applyFill="1" applyBorder="1" applyAlignment="1">
      <alignment horizontal="center" wrapText="1"/>
    </xf>
    <xf numFmtId="167" fontId="0" fillId="18" borderId="1" xfId="2" applyNumberFormat="1" applyFont="1" applyFill="1" applyBorder="1" applyAlignment="1">
      <alignment horizontal="center" wrapText="1"/>
    </xf>
    <xf numFmtId="167" fontId="4" fillId="17" borderId="1" xfId="2" applyNumberFormat="1" applyFont="1" applyFill="1" applyBorder="1" applyAlignment="1">
      <alignment horizontal="center" wrapText="1"/>
    </xf>
    <xf numFmtId="167" fontId="4" fillId="18" borderId="1" xfId="2" applyNumberFormat="1" applyFont="1" applyFill="1" applyBorder="1" applyAlignment="1">
      <alignment horizontal="center" wrapText="1"/>
    </xf>
    <xf numFmtId="46" fontId="0" fillId="0" borderId="0" xfId="0" quotePrefix="1" applyNumberFormat="1"/>
    <xf numFmtId="0" fontId="25" fillId="74" borderId="0" xfId="0" applyFont="1" applyFill="1" applyAlignment="1">
      <alignment horizontal="center"/>
    </xf>
    <xf numFmtId="164" fontId="25" fillId="74" borderId="0" xfId="0" applyNumberFormat="1" applyFont="1" applyFill="1"/>
    <xf numFmtId="166" fontId="17" fillId="12" borderId="0" xfId="0" applyNumberFormat="1" applyFont="1" applyFill="1" applyAlignment="1">
      <alignment horizontal="center" vertical="top"/>
    </xf>
    <xf numFmtId="166" fontId="17" fillId="12" borderId="0" xfId="0" applyNumberFormat="1" applyFont="1" applyFill="1" applyAlignment="1">
      <alignment vertical="top" wrapText="1"/>
    </xf>
    <xf numFmtId="2" fontId="17" fillId="12" borderId="0" xfId="0" applyNumberFormat="1" applyFont="1" applyFill="1" applyAlignment="1">
      <alignment horizontal="center" vertical="top"/>
    </xf>
    <xf numFmtId="172" fontId="0" fillId="0" borderId="0" xfId="0" applyNumberFormat="1"/>
    <xf numFmtId="43" fontId="17" fillId="0" borderId="0" xfId="1" applyFont="1"/>
    <xf numFmtId="0" fontId="15" fillId="6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left" vertical="top" wrapText="1"/>
    </xf>
    <xf numFmtId="0" fontId="12" fillId="73" borderId="1" xfId="0" applyFont="1" applyFill="1" applyBorder="1" applyAlignment="1">
      <alignment horizontal="left" vertical="top" wrapText="1"/>
    </xf>
    <xf numFmtId="0" fontId="4" fillId="19" borderId="1" xfId="0" applyFont="1" applyFill="1" applyBorder="1" applyAlignment="1">
      <alignment horizontal="center" vertical="center"/>
    </xf>
    <xf numFmtId="0" fontId="4" fillId="20" borderId="1" xfId="0" applyFont="1" applyFill="1" applyBorder="1" applyAlignment="1">
      <alignment horizontal="center" vertical="center"/>
    </xf>
    <xf numFmtId="0" fontId="4" fillId="17" borderId="1" xfId="0" applyFont="1" applyFill="1" applyBorder="1" applyAlignment="1">
      <alignment horizontal="center" wrapText="1"/>
    </xf>
    <xf numFmtId="0" fontId="4" fillId="17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71" borderId="1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5" fillId="71" borderId="0" xfId="0" applyFont="1" applyFill="1" applyAlignment="1">
      <alignment horizontal="center"/>
    </xf>
    <xf numFmtId="0" fontId="4" fillId="0" borderId="0" xfId="0" applyFont="1" applyAlignment="1">
      <alignment horizontal="center"/>
    </xf>
  </cellXfs>
  <cellStyles count="876">
    <cellStyle name="20% - Accent1 2" xfId="10" xr:uid="{21D5548A-4DFE-4FCB-B806-BF238377E87C}"/>
    <cellStyle name="20% - Accent1 2 2" xfId="287" xr:uid="{EEC71B57-0412-4CAE-9E60-478D5864B41A}"/>
    <cellStyle name="20% - Accent1 2 2 2" xfId="462" xr:uid="{31B1553C-6F3C-46CB-8396-A4D5A746BAD8}"/>
    <cellStyle name="20% - Accent1 2 2 2 2" xfId="763" xr:uid="{921C32F3-D71D-4454-88E1-06A7519712F0}"/>
    <cellStyle name="20% - Accent1 2 2 3" xfId="614" xr:uid="{CA6A183D-C8A3-48F8-B227-F99D6EFAF513}"/>
    <cellStyle name="20% - Accent1 2 3" xfId="388" xr:uid="{E25920B6-C240-426D-B5CB-D8D4E6614797}"/>
    <cellStyle name="20% - Accent1 2 3 2" xfId="689" xr:uid="{EE5C47AC-B8DF-44E8-B3D5-05C6175D4E3A}"/>
    <cellStyle name="20% - Accent1 2 4" xfId="537" xr:uid="{1FD6EAAB-6007-452A-912F-37C0E0B0AAE6}"/>
    <cellStyle name="20% - Accent2 2" xfId="11" xr:uid="{54A87985-717E-4C3D-89A8-481EA0A2A3D4}"/>
    <cellStyle name="20% - Accent2 2 2" xfId="288" xr:uid="{854F2DBD-F747-4B65-BEC5-7CF38D68E8BF}"/>
    <cellStyle name="20% - Accent2 2 2 2" xfId="463" xr:uid="{A99BE34B-9064-45AE-9980-8BA43CE419D9}"/>
    <cellStyle name="20% - Accent2 2 2 2 2" xfId="764" xr:uid="{B50B879A-AA33-471C-97F6-BC4DC1E56D15}"/>
    <cellStyle name="20% - Accent2 2 2 3" xfId="615" xr:uid="{FDB5AA30-2D79-45F3-9A3B-66CA7EFF2064}"/>
    <cellStyle name="20% - Accent2 2 3" xfId="389" xr:uid="{27BFC399-BA45-40E7-892D-3EE4E5DAA958}"/>
    <cellStyle name="20% - Accent2 2 3 2" xfId="690" xr:uid="{CF33A850-A27B-492A-ADBF-CF2687B05C63}"/>
    <cellStyle name="20% - Accent2 2 4" xfId="538" xr:uid="{3BCA96D5-13E7-42B7-9B2A-6970A62448A3}"/>
    <cellStyle name="20% - Accent3 2" xfId="12" xr:uid="{09F21602-4868-4806-879A-4F3CA66E6B30}"/>
    <cellStyle name="20% - Accent3 2 2" xfId="289" xr:uid="{1CD48C67-80C5-46AD-A859-2BC405EE9C8E}"/>
    <cellStyle name="20% - Accent3 2 2 2" xfId="464" xr:uid="{A5A1C776-37C9-49D3-93C8-EC6552C31023}"/>
    <cellStyle name="20% - Accent3 2 2 2 2" xfId="765" xr:uid="{D98D2379-1677-4281-B412-8652E44A5068}"/>
    <cellStyle name="20% - Accent3 2 2 3" xfId="616" xr:uid="{11855585-531A-4D94-B43F-CD674A6B2890}"/>
    <cellStyle name="20% - Accent3 2 3" xfId="390" xr:uid="{F984EDF9-AA4D-4568-9127-79F527CEFFBA}"/>
    <cellStyle name="20% - Accent3 2 3 2" xfId="691" xr:uid="{C083BC6C-EE72-4E46-8C7F-37AD4B0E91F7}"/>
    <cellStyle name="20% - Accent3 2 4" xfId="539" xr:uid="{5CDCC6F4-AD3F-4517-896E-38BD8068ADA2}"/>
    <cellStyle name="20% - Accent4 2" xfId="13" xr:uid="{01C89E8E-741C-4931-893D-D0992EE71A4F}"/>
    <cellStyle name="20% - Accent4 2 2" xfId="290" xr:uid="{6B34792B-62D9-417F-AE59-B4CBAFD68B41}"/>
    <cellStyle name="20% - Accent4 2 2 2" xfId="465" xr:uid="{3BA5019A-D008-412D-BA84-1A3B07D0D275}"/>
    <cellStyle name="20% - Accent4 2 2 2 2" xfId="766" xr:uid="{231CE84B-5AC7-4127-B90D-95ED79A77F86}"/>
    <cellStyle name="20% - Accent4 2 2 3" xfId="617" xr:uid="{2F7AC8B5-9ABB-476F-85FB-5597B6D423DD}"/>
    <cellStyle name="20% - Accent4 2 3" xfId="391" xr:uid="{CEB50C97-C4EC-4C59-916F-749E45F59953}"/>
    <cellStyle name="20% - Accent4 2 3 2" xfId="692" xr:uid="{A517877A-EF1A-4CB7-A64B-067FDDA5B7DC}"/>
    <cellStyle name="20% - Accent4 2 4" xfId="540" xr:uid="{85864EB5-4CC5-4ECF-934E-B41D83CDFF35}"/>
    <cellStyle name="20% - Accent5 2" xfId="14" xr:uid="{139A0CE4-8D53-4C26-ADB7-F7B3323FFB00}"/>
    <cellStyle name="20% - Accent5 2 2" xfId="291" xr:uid="{BCECFA8C-13F7-41EE-9E67-92BF0033DC39}"/>
    <cellStyle name="20% - Accent5 2 2 2" xfId="466" xr:uid="{315DCC61-5642-408A-85BF-AF9A47C11F24}"/>
    <cellStyle name="20% - Accent5 2 2 2 2" xfId="767" xr:uid="{83053312-F505-40A7-8E94-46FF5F4FFE29}"/>
    <cellStyle name="20% - Accent5 2 2 3" xfId="618" xr:uid="{70D2315B-AE00-42E5-A616-7AEE400E2B89}"/>
    <cellStyle name="20% - Accent5 2 3" xfId="392" xr:uid="{5230D54D-4512-46EF-B051-CA519AEF95BA}"/>
    <cellStyle name="20% - Accent5 2 3 2" xfId="693" xr:uid="{E6F23FF5-4E24-43F1-BB0F-9238735F35E1}"/>
    <cellStyle name="20% - Accent5 2 4" xfId="541" xr:uid="{1E4D7DCB-78C6-4373-A531-FFE1F05F263B}"/>
    <cellStyle name="20% - Accent6 2" xfId="15" xr:uid="{8D004BCB-8725-4F9A-B32C-78181F2B4BE4}"/>
    <cellStyle name="20% - Accent6 2 2" xfId="292" xr:uid="{7B6FD081-EEAE-4F6A-A525-7166BCEADB75}"/>
    <cellStyle name="20% - Accent6 2 2 2" xfId="467" xr:uid="{15D44AC5-A919-48D2-BB36-924A4E060CBF}"/>
    <cellStyle name="20% - Accent6 2 2 2 2" xfId="768" xr:uid="{F69CE156-BF1E-4FCE-B9EC-07FB2D3F9261}"/>
    <cellStyle name="20% - Accent6 2 2 3" xfId="619" xr:uid="{AAC530C8-A73D-4625-B9FC-C420447BB02A}"/>
    <cellStyle name="20% - Accent6 2 3" xfId="393" xr:uid="{47FF4D87-EBDA-40D8-953C-338E2FF583FA}"/>
    <cellStyle name="20% - Accent6 2 3 2" xfId="694" xr:uid="{E65768EA-CC9E-46BE-974A-600A488D41A3}"/>
    <cellStyle name="20% - Accent6 2 4" xfId="542" xr:uid="{A163729D-E31D-4DF3-BEF9-27442D9D89F1}"/>
    <cellStyle name="20% - Accent6 3" xfId="16" xr:uid="{12F25B87-347A-4920-9F76-F955B963D8E5}"/>
    <cellStyle name="20% - Accent6 3 2" xfId="293" xr:uid="{320B9FAB-242E-4A42-93C7-65ED7B2BA271}"/>
    <cellStyle name="20% - Accent6 3 2 2" xfId="468" xr:uid="{03FE6BEB-F23F-447F-9C4A-584BB2A565D0}"/>
    <cellStyle name="20% - Accent6 3 2 2 2" xfId="769" xr:uid="{09305233-7ACA-473D-9BEA-AE7D9391556D}"/>
    <cellStyle name="20% - Accent6 3 2 3" xfId="620" xr:uid="{5E69D600-77F9-48C4-A084-742A0B04F5F8}"/>
    <cellStyle name="20% - Accent6 3 3" xfId="394" xr:uid="{B8C7F4D5-B55E-4F02-AE21-C5840F691349}"/>
    <cellStyle name="20% - Accent6 3 3 2" xfId="695" xr:uid="{7830AA90-AA57-4FCE-A012-EC3F6FAF7BBA}"/>
    <cellStyle name="20% - Accent6 3 4" xfId="543" xr:uid="{09A3BC41-D0F6-411C-BD70-77B7569B4FB7}"/>
    <cellStyle name="40% - Accent1 2" xfId="17" xr:uid="{92C037B2-FD77-4095-A236-F18E187DF5AA}"/>
    <cellStyle name="40% - Accent1 2 2" xfId="294" xr:uid="{D1998491-9799-4403-84B7-01B9611C49B7}"/>
    <cellStyle name="40% - Accent1 2 2 2" xfId="469" xr:uid="{BD3F19E2-8358-4E2A-9D36-3F5A83951CD3}"/>
    <cellStyle name="40% - Accent1 2 2 2 2" xfId="770" xr:uid="{5864ACA8-809A-46D2-BC3A-2BD3D506B9B3}"/>
    <cellStyle name="40% - Accent1 2 2 3" xfId="621" xr:uid="{F549AEEC-8060-4BDE-B3B7-CC132DBF44C0}"/>
    <cellStyle name="40% - Accent1 2 3" xfId="395" xr:uid="{6B3B413A-1160-4DC5-AB28-B9E20E2238FF}"/>
    <cellStyle name="40% - Accent1 2 3 2" xfId="696" xr:uid="{0ADD4400-B646-4CCE-9A65-DD75189FC86C}"/>
    <cellStyle name="40% - Accent1 2 4" xfId="544" xr:uid="{67EB917B-7EDF-45FA-9068-6E61D66A6146}"/>
    <cellStyle name="40% - Accent2 2" xfId="18" xr:uid="{B7B2E0EC-1341-45FD-A4C7-88F6B37D04BB}"/>
    <cellStyle name="40% - Accent2 2 2" xfId="19" xr:uid="{9A94F506-B9EB-462C-A9AF-264D92E407D0}"/>
    <cellStyle name="40% - Accent2 2 2 2" xfId="296" xr:uid="{99191D28-B6DA-497D-80E1-0868612424EC}"/>
    <cellStyle name="40% - Accent2 2 2 2 2" xfId="471" xr:uid="{195DA00F-980F-43CF-9475-CE55649A3EB2}"/>
    <cellStyle name="40% - Accent2 2 2 2 2 2" xfId="772" xr:uid="{413FC875-3C0D-4B2E-8E72-7E14BACDDBF1}"/>
    <cellStyle name="40% - Accent2 2 2 2 3" xfId="623" xr:uid="{5DA902E5-4198-45E3-9C0A-FEA39331AA71}"/>
    <cellStyle name="40% - Accent2 2 2 3" xfId="397" xr:uid="{5A49E201-7CE2-4633-98A0-BBC3CEFC7C4F}"/>
    <cellStyle name="40% - Accent2 2 2 3 2" xfId="698" xr:uid="{8713B7D3-77A9-4202-8FDA-BCA5098EF4AA}"/>
    <cellStyle name="40% - Accent2 2 2 4" xfId="546" xr:uid="{9422C367-FE1F-4A12-AEF3-765742B9BE0E}"/>
    <cellStyle name="40% - Accent2 2 3" xfId="20" xr:uid="{9CEB3D39-8F59-432D-A35B-4E80362AA6BB}"/>
    <cellStyle name="40% - Accent2 2 3 2" xfId="297" xr:uid="{BC814E24-F9AD-43BB-9B19-87D815FDCD94}"/>
    <cellStyle name="40% - Accent2 2 3 2 2" xfId="472" xr:uid="{22925695-423E-4419-8F90-62B57E82E9C6}"/>
    <cellStyle name="40% - Accent2 2 3 2 2 2" xfId="773" xr:uid="{6E516B04-55F9-4D28-ADF0-B6AD6112F16F}"/>
    <cellStyle name="40% - Accent2 2 3 2 3" xfId="624" xr:uid="{FBFF08BB-0586-4C37-80FA-2AE47340AC52}"/>
    <cellStyle name="40% - Accent2 2 3 3" xfId="398" xr:uid="{7B11F37A-75D0-45B5-AF9E-53FD05E5A74B}"/>
    <cellStyle name="40% - Accent2 2 3 3 2" xfId="699" xr:uid="{26A9F2D5-A23F-4362-9363-278E4DF1B697}"/>
    <cellStyle name="40% - Accent2 2 3 4" xfId="547" xr:uid="{A4A51B23-BE3F-4BB1-BCF1-DE43F0114D0A}"/>
    <cellStyle name="40% - Accent2 2 4" xfId="21" xr:uid="{5A9027D2-EE68-487F-AFC0-AB73E08C4A14}"/>
    <cellStyle name="40% - Accent2 2 4 2" xfId="298" xr:uid="{BF7A07BB-C408-480D-99E6-D3E97C1E8067}"/>
    <cellStyle name="40% - Accent2 2 4 2 2" xfId="473" xr:uid="{88D2DE91-926C-43CA-8F89-8623BE237B39}"/>
    <cellStyle name="40% - Accent2 2 4 2 2 2" xfId="774" xr:uid="{75ED7CB4-8F23-45F6-9F57-D89FA7885F7A}"/>
    <cellStyle name="40% - Accent2 2 4 2 3" xfId="625" xr:uid="{ABB6BA8C-F333-430C-BCA6-FF57886236BC}"/>
    <cellStyle name="40% - Accent2 2 4 3" xfId="399" xr:uid="{7D6525BB-2D22-4120-A5A0-D66692CAA82E}"/>
    <cellStyle name="40% - Accent2 2 4 3 2" xfId="700" xr:uid="{BA11FA62-1E47-40BB-8203-5AF378DBF721}"/>
    <cellStyle name="40% - Accent2 2 4 4" xfId="548" xr:uid="{95CC3336-D671-4245-8891-0E4FF222C649}"/>
    <cellStyle name="40% - Accent2 2 5" xfId="295" xr:uid="{F278BB98-D3D2-4DE1-93F8-C134FD00D137}"/>
    <cellStyle name="40% - Accent2 2 5 2" xfId="470" xr:uid="{F2142AA6-3657-405C-A025-BFB2A5B660DC}"/>
    <cellStyle name="40% - Accent2 2 5 2 2" xfId="771" xr:uid="{9FDEFFF1-CA26-4101-8A75-B1DE19948BDA}"/>
    <cellStyle name="40% - Accent2 2 5 3" xfId="622" xr:uid="{41E62326-B52D-48D8-8153-B5C6FCD9771D}"/>
    <cellStyle name="40% - Accent2 2 6" xfId="396" xr:uid="{28AF7ED0-6E3E-4D5C-AD91-D1ED6DFEC565}"/>
    <cellStyle name="40% - Accent2 2 6 2" xfId="697" xr:uid="{BF3034F8-D48E-4A87-88ED-0744E73E05BE}"/>
    <cellStyle name="40% - Accent2 2 7" xfId="545" xr:uid="{75C8E45E-BBFE-452E-9366-50237936AB52}"/>
    <cellStyle name="40% - Accent3 2" xfId="22" xr:uid="{A35459C4-70F9-45AB-A736-072983B57FC3}"/>
    <cellStyle name="40% - Accent3 2 2" xfId="299" xr:uid="{6DC45004-5A0C-460C-BA4E-5CDEF3C71199}"/>
    <cellStyle name="40% - Accent3 2 2 2" xfId="474" xr:uid="{5B8AE72E-DA6B-446B-8AED-B29234B9987A}"/>
    <cellStyle name="40% - Accent3 2 2 2 2" xfId="775" xr:uid="{DCC62598-5240-4279-8588-B2610D9CCC1D}"/>
    <cellStyle name="40% - Accent3 2 2 3" xfId="626" xr:uid="{3754C993-EF4B-41EA-845B-4DAE8F918B6F}"/>
    <cellStyle name="40% - Accent3 2 3" xfId="400" xr:uid="{05C38F7B-F3D0-4D77-AB96-360A6E7C4583}"/>
    <cellStyle name="40% - Accent3 2 3 2" xfId="701" xr:uid="{8113D69B-4B99-472D-8950-E370D8165A10}"/>
    <cellStyle name="40% - Accent3 2 4" xfId="549" xr:uid="{2F76301A-3C6F-41A5-9800-A15D83184AB8}"/>
    <cellStyle name="40% - Accent4 2" xfId="23" xr:uid="{E9DE9A5C-4F46-4702-AB29-8B0E2B7FA325}"/>
    <cellStyle name="40% - Accent4 2 2" xfId="300" xr:uid="{C28658CE-28D9-4D4B-8438-E70E546A037A}"/>
    <cellStyle name="40% - Accent4 2 2 2" xfId="475" xr:uid="{82A463A8-170F-44B9-B762-53806DAA9B79}"/>
    <cellStyle name="40% - Accent4 2 2 2 2" xfId="776" xr:uid="{93D8E06B-7D80-42A1-8E6C-A0FEEEF3DEAB}"/>
    <cellStyle name="40% - Accent4 2 2 3" xfId="627" xr:uid="{AB2A7E98-FE35-4D96-A58F-298BBFD1EA9C}"/>
    <cellStyle name="40% - Accent4 2 3" xfId="401" xr:uid="{E3C4DE8F-2705-4E7B-99F9-4CE7322584CD}"/>
    <cellStyle name="40% - Accent4 2 3 2" xfId="702" xr:uid="{DD796B5F-95F4-4522-832D-0002D12BCE21}"/>
    <cellStyle name="40% - Accent4 2 4" xfId="550" xr:uid="{3BE5E238-37D0-43EC-987C-8FC3B59DE6BA}"/>
    <cellStyle name="40% - Accent5 2" xfId="24" xr:uid="{D82C8A05-5081-443E-B9B3-EFFDF13DBAC8}"/>
    <cellStyle name="40% - Accent5 2 2" xfId="301" xr:uid="{9A27A2C3-A2DA-4F18-B07C-8922A3267081}"/>
    <cellStyle name="40% - Accent5 2 2 2" xfId="476" xr:uid="{8155C0B6-03D6-4035-A7F1-E26A346F20AD}"/>
    <cellStyle name="40% - Accent5 2 2 2 2" xfId="777" xr:uid="{9CD38733-9B7D-4888-BC9E-74824C8DF4C2}"/>
    <cellStyle name="40% - Accent5 2 2 3" xfId="628" xr:uid="{762479DD-EC4B-4F70-87AE-62E41DA4B4B6}"/>
    <cellStyle name="40% - Accent5 2 3" xfId="402" xr:uid="{2AC4016D-347A-44F4-96A7-257D949E8FBF}"/>
    <cellStyle name="40% - Accent5 2 3 2" xfId="703" xr:uid="{1435B924-A266-4A02-B305-019460C14FD2}"/>
    <cellStyle name="40% - Accent5 2 4" xfId="551" xr:uid="{9D56C922-6867-40DD-97A3-0FA2DF0704C6}"/>
    <cellStyle name="40% - Accent6 2" xfId="25" xr:uid="{04850E9E-188D-40D2-BB58-5D118B433A1D}"/>
    <cellStyle name="40% - Accent6 2 2" xfId="302" xr:uid="{F6330E5C-1B0B-407A-A505-AB3AACB43230}"/>
    <cellStyle name="40% - Accent6 2 2 2" xfId="477" xr:uid="{4859728E-F5D6-4964-A77C-6B7D767B71C3}"/>
    <cellStyle name="40% - Accent6 2 2 2 2" xfId="778" xr:uid="{7FB9295D-B97A-4836-9CD0-5C158F1AE848}"/>
    <cellStyle name="40% - Accent6 2 2 3" xfId="629" xr:uid="{2C8468E3-4809-42DE-938A-66D97328619F}"/>
    <cellStyle name="40% - Accent6 2 3" xfId="403" xr:uid="{C94F0EE9-030C-421D-B921-2E883EC81213}"/>
    <cellStyle name="40% - Accent6 2 3 2" xfId="704" xr:uid="{6BAC6137-1099-43EF-BBBD-8D2513CCA9F2}"/>
    <cellStyle name="40% - Accent6 2 4" xfId="552" xr:uid="{1B6C0477-E599-4BD7-9693-B592C05E265C}"/>
    <cellStyle name="508Table-Start" xfId="26" xr:uid="{E44F5188-DEA6-4556-AAE3-6D1C10471F6F}"/>
    <cellStyle name="508Table-Start 2" xfId="303" xr:uid="{A6694D17-EE70-40CC-BA87-3B5BDEEE9DDC}"/>
    <cellStyle name="508Table-Start 2 2" xfId="478" xr:uid="{90E7AC69-B01F-4D90-97A9-823A7CA15604}"/>
    <cellStyle name="508Table-Start 2 2 2" xfId="779" xr:uid="{5BB3B6A9-2C8D-4B1D-B79F-2CDCFEAEB63A}"/>
    <cellStyle name="508Table-Start 2 3" xfId="630" xr:uid="{B04D9828-45C3-4D71-AD24-714939AF2280}"/>
    <cellStyle name="508Table-Start 3" xfId="404" xr:uid="{D213A6A4-D991-4E9E-903E-70377615A2EF}"/>
    <cellStyle name="508Table-Start 3 2" xfId="705" xr:uid="{FBC7B5A1-BB92-40B1-A344-BBE7792D05CC}"/>
    <cellStyle name="508Table-Start 4" xfId="553" xr:uid="{18D8C6E2-3258-477E-A672-B7DB7403AD19}"/>
    <cellStyle name="508Table-Stop" xfId="27" xr:uid="{442A0A38-4501-441D-B09B-2BE0B155F7B1}"/>
    <cellStyle name="508Table-Stop 2" xfId="304" xr:uid="{A286355B-57D9-40C2-8915-1A32C445E607}"/>
    <cellStyle name="508Table-Stop 2 2" xfId="479" xr:uid="{18B364C7-F080-4AEC-95E0-78A62997730C}"/>
    <cellStyle name="508Table-Stop 2 2 2" xfId="780" xr:uid="{C4245266-3445-4834-BEDB-8421C6907BAD}"/>
    <cellStyle name="508Table-Stop 2 3" xfId="631" xr:uid="{D0389BEA-8823-4FDD-A812-F13674CC47C2}"/>
    <cellStyle name="508Table-Stop 3" xfId="405" xr:uid="{096430F1-EA9E-4413-B327-2C895123E024}"/>
    <cellStyle name="508Table-Stop 3 2" xfId="706" xr:uid="{6B46D46C-388B-4DCC-BAEB-6E1EACAC2EBA}"/>
    <cellStyle name="508Table-Stop 4" xfId="554" xr:uid="{9F044555-6A8F-4E25-AFF5-87E63F506FE3}"/>
    <cellStyle name="60% - Accent1 2" xfId="28" xr:uid="{B8F74B63-E65B-4823-9726-324A01586694}"/>
    <cellStyle name="60% - Accent2 2" xfId="29" xr:uid="{1D37DAE2-754E-4D56-AFFE-9929BEFC1250}"/>
    <cellStyle name="60% - Accent3 2" xfId="30" xr:uid="{01D5B388-35F2-404C-9388-EECB16DC346B}"/>
    <cellStyle name="60% - Accent4 2" xfId="31" xr:uid="{2E2CA9D0-0665-4C16-9DF5-AFE85EF1488D}"/>
    <cellStyle name="60% - Accent5 2" xfId="32" xr:uid="{58886576-6AE6-4CEF-AD8A-D423E89028DE}"/>
    <cellStyle name="60% - Accent6 2" xfId="33" xr:uid="{6D1BF3E2-4DE0-412D-8125-C8C9A9EAE79E}"/>
    <cellStyle name="Accent1 2" xfId="34" xr:uid="{703D4F80-42E9-4635-B19E-B20B309E5A4A}"/>
    <cellStyle name="Accent1 2 2" xfId="35" xr:uid="{725C74AE-F937-4B00-9168-F02D6F74E406}"/>
    <cellStyle name="Accent1 2 3" xfId="36" xr:uid="{80161C2E-DBA3-4E35-AF1A-CE1A3AD44157}"/>
    <cellStyle name="Accent1 2 4" xfId="37" xr:uid="{B92F9FF9-D8EA-46F4-BF47-D3451332CF9E}"/>
    <cellStyle name="Accent1 2 5" xfId="38" xr:uid="{7ADD5944-7D85-4F35-BC34-48425E6B1BDF}"/>
    <cellStyle name="Accent1 2 6" xfId="39" xr:uid="{E03B5169-B5DC-459C-9229-EDFD77B36DBF}"/>
    <cellStyle name="Accent1 3" xfId="40" xr:uid="{704095C2-455F-488C-9B0D-B8911D42E7AC}"/>
    <cellStyle name="Accent1 4" xfId="41" xr:uid="{413722B7-4D01-4A8B-993C-E0133E18120F}"/>
    <cellStyle name="Accent2 2" xfId="42" xr:uid="{8041E925-7E53-4C0F-8CCA-0D1BE5560A0B}"/>
    <cellStyle name="Accent2 2 2" xfId="43" xr:uid="{3390B237-0A6E-4C55-BE9C-7ABE2FF02BD8}"/>
    <cellStyle name="Accent2 2 3" xfId="44" xr:uid="{C8220E15-739C-4A2F-808E-403399F6AF86}"/>
    <cellStyle name="Accent2 2 4" xfId="45" xr:uid="{DA25B509-5B21-4E79-8B88-C55EEBB67010}"/>
    <cellStyle name="Accent2 2 5" xfId="46" xr:uid="{EEC70D12-3647-4061-B632-CFD12264D355}"/>
    <cellStyle name="Accent2 3" xfId="47" xr:uid="{79570AE2-0319-435C-9AB6-E6172021D60E}"/>
    <cellStyle name="Accent2 4" xfId="48" xr:uid="{F96A7EE6-C73A-4628-A106-9136D6F38583}"/>
    <cellStyle name="Accent2 5" xfId="49" xr:uid="{4A0AF1A8-BF50-4455-B8DB-860B4C269513}"/>
    <cellStyle name="Accent3 2" xfId="50" xr:uid="{A623B398-D8A4-461E-BA33-0FE57565FB45}"/>
    <cellStyle name="Accent3 2 2" xfId="51" xr:uid="{79B87D00-205B-44AE-B458-CA11A23A41A6}"/>
    <cellStyle name="Accent3 2 3" xfId="52" xr:uid="{308D8669-A524-47CE-9ACC-25F1E6219EE4}"/>
    <cellStyle name="Accent3 2 4" xfId="53" xr:uid="{9699F9B7-E76D-46E9-B373-2BD4E56595D1}"/>
    <cellStyle name="Accent3 3" xfId="54" xr:uid="{CA978B0B-A290-4384-9700-892ECBB1E0D5}"/>
    <cellStyle name="Accent3 4" xfId="55" xr:uid="{35816FFE-5FB3-40E8-8CB5-B2994B5A21A4}"/>
    <cellStyle name="Accent4 2" xfId="56" xr:uid="{601FA8FB-69AE-49B1-8D71-B257A8D025DA}"/>
    <cellStyle name="Accent4 2 2" xfId="57" xr:uid="{CF61E797-EA21-4AD2-BBD5-63BCC4AA0664}"/>
    <cellStyle name="Accent4 2 3" xfId="58" xr:uid="{E30C7573-DAB2-4E60-9C37-22C5B61819F7}"/>
    <cellStyle name="Accent4 2 4" xfId="59" xr:uid="{50A61B69-8333-44BD-A7B0-EE205E1E3897}"/>
    <cellStyle name="Accent5 2" xfId="60" xr:uid="{044130F2-D618-44CB-ABBF-D5281198B73A}"/>
    <cellStyle name="Accent6 2" xfId="61" xr:uid="{D755699D-1E6C-4592-BD0E-A3DCDFE962C8}"/>
    <cellStyle name="Arial 11" xfId="62" xr:uid="{CBAAFECD-8C38-4DCD-99A4-D897F81128D9}"/>
    <cellStyle name="Bad 2" xfId="63" xr:uid="{5BA43336-421F-4160-B9E8-0A7F933C7ED5}"/>
    <cellStyle name="Bad 3" xfId="64" xr:uid="{59CD4B52-8E59-4251-9984-A6F0B0F73856}"/>
    <cellStyle name="Body: normal cell" xfId="65" xr:uid="{7755970D-600E-4420-821A-4405CCC932F5}"/>
    <cellStyle name="Calculation 2" xfId="66" xr:uid="{3FDA1538-B51A-4C81-8A46-57CDC2B4218C}"/>
    <cellStyle name="Calculation 2 2" xfId="67" xr:uid="{9E73BD07-1203-459E-9280-35E9D377EF77}"/>
    <cellStyle name="Calculation 3" xfId="68" xr:uid="{ACB1BAB4-27AA-4F56-8FA8-656C9DAE727E}"/>
    <cellStyle name="Calculation 4" xfId="69" xr:uid="{9B91B60B-5D3F-403C-B314-3B6B4A2D613B}"/>
    <cellStyle name="Check Cell 2" xfId="70" xr:uid="{BDE9D350-982F-4985-B896-0A8B79C81D2B}"/>
    <cellStyle name="CHlevel1" xfId="71" xr:uid="{BA802EA4-8F0D-45E3-9F73-520F62E2772A}"/>
    <cellStyle name="CHlevel1 2" xfId="305" xr:uid="{D1421B33-366B-46C3-A53B-FC15A98609FA}"/>
    <cellStyle name="CHlevel1 2 2" xfId="480" xr:uid="{B6566752-DBBE-4D39-85EC-68156A478924}"/>
    <cellStyle name="CHlevel1 2 2 2" xfId="781" xr:uid="{C6E3DD64-E993-498F-B705-ABEEECF6A6FD}"/>
    <cellStyle name="CHlevel1 2 3" xfId="632" xr:uid="{A767A157-B81E-4C45-8551-263D23BD972E}"/>
    <cellStyle name="CHlevel1 3" xfId="406" xr:uid="{E0F1C780-AA48-4E3E-A91F-766ACCCF2B74}"/>
    <cellStyle name="CHlevel1 3 2" xfId="707" xr:uid="{9F9CBD8A-05B3-445E-B2F8-008BA4B59883}"/>
    <cellStyle name="CHlevel1 4" xfId="555" xr:uid="{D88404AD-07C9-42AF-92CE-A73CE390497F}"/>
    <cellStyle name="CHlevel2" xfId="72" xr:uid="{63579B0F-4114-4A0E-BB86-06A0E5B147C6}"/>
    <cellStyle name="CHlevel2 2" xfId="306" xr:uid="{2AC99834-5D17-47D4-993D-5CA783478D3B}"/>
    <cellStyle name="CHlevel2 2 2" xfId="481" xr:uid="{7354578A-3721-4F3C-AAC0-FACE321727B7}"/>
    <cellStyle name="CHlevel2 2 2 2" xfId="782" xr:uid="{1766E56B-2ED5-4B39-B667-D96FCCAE3999}"/>
    <cellStyle name="CHlevel2 2 3" xfId="633" xr:uid="{A5A80F61-EA8C-4ECE-B4A2-8E8CB0354C5A}"/>
    <cellStyle name="CHlevel2 3" xfId="407" xr:uid="{7AEC0337-38DA-480C-A9DA-5403916DE42A}"/>
    <cellStyle name="CHlevel2 3 2" xfId="708" xr:uid="{A89E8BD4-4960-4391-B28F-F0446D626A89}"/>
    <cellStyle name="CHlevel2 4" xfId="556" xr:uid="{0D2348A7-AC21-42ED-AC12-76AADD5291FB}"/>
    <cellStyle name="CHlevel3" xfId="73" xr:uid="{AD4C9FFC-8336-4978-8ACF-0A2C9A9779CA}"/>
    <cellStyle name="CHlevel3 2" xfId="307" xr:uid="{0A67ED77-9BE9-4317-903D-B98664E93EAB}"/>
    <cellStyle name="CHlevel3 2 2" xfId="482" xr:uid="{57EFA0BC-7CA7-4E3A-9C00-DB89B789FDD8}"/>
    <cellStyle name="CHlevel3 2 2 2" xfId="783" xr:uid="{3ADF7F69-8FD4-4156-B1D5-6529205F54B9}"/>
    <cellStyle name="CHlevel3 2 3" xfId="634" xr:uid="{C05FB5F2-17BD-47D7-BA9D-63ED5E11250B}"/>
    <cellStyle name="CHlevel3 3" xfId="408" xr:uid="{EF30560F-A038-48BE-9164-41F11DFA603D}"/>
    <cellStyle name="CHlevel3 3 2" xfId="709" xr:uid="{F0E5D2F7-8A8B-42D7-9738-3D19BF1EAF80}"/>
    <cellStyle name="CHlevel3 4" xfId="557" xr:uid="{B6E681B6-CE21-4E71-AFEA-66755A6E498A}"/>
    <cellStyle name="CHlevel4" xfId="74" xr:uid="{BE1FCAD8-4D15-4F71-A37A-021E165CDC4C}"/>
    <cellStyle name="CHlevel4 2" xfId="308" xr:uid="{5D7356E2-F192-45AE-B060-BA7710CF5E83}"/>
    <cellStyle name="CHlevel4 2 2" xfId="483" xr:uid="{67B06953-7689-4106-AD7A-FED91A274DF8}"/>
    <cellStyle name="CHlevel4 2 2 2" xfId="784" xr:uid="{16A14DCC-F943-4A3F-B6B5-AA83761F565B}"/>
    <cellStyle name="CHlevel4 2 3" xfId="635" xr:uid="{DD12C0C9-63D1-49C3-AE25-7A2FC652874F}"/>
    <cellStyle name="CHlevel4 3" xfId="409" xr:uid="{E6A46945-2187-4F4C-8CB9-E8EB98964D44}"/>
    <cellStyle name="CHlevel4 3 2" xfId="710" xr:uid="{11EDC468-3604-42DF-9E97-4CBDCCA5F950}"/>
    <cellStyle name="CHlevel4 4" xfId="558" xr:uid="{833DA208-4995-472C-B2FE-A91A2EDC1EDE}"/>
    <cellStyle name="Column heading" xfId="75" xr:uid="{1BCAA4F4-CCFC-48FD-B353-1C4A7D5846F3}"/>
    <cellStyle name="Comma" xfId="1" builtinId="3"/>
    <cellStyle name="Comma 2" xfId="76" xr:uid="{A4D758C4-7BC3-45C0-B1A1-319983B9E965}"/>
    <cellStyle name="Comma 2 2" xfId="77" xr:uid="{297366FB-8974-4011-91AA-5E0F7B7D8640}"/>
    <cellStyle name="Comma 2 3" xfId="78" xr:uid="{7C7609FB-E2A6-4E79-ABDB-41D26FC64DE5}"/>
    <cellStyle name="Comma 2 4" xfId="309" xr:uid="{C2297BDD-BD24-4E23-89F8-E1A74756EFC0}"/>
    <cellStyle name="Comma 3" xfId="79" xr:uid="{2ABEFD3F-5CE9-432A-B2C5-0A16D935625F}"/>
    <cellStyle name="Comma 3 2" xfId="80" xr:uid="{D92E97F8-4982-47CD-B27A-36C9AA305F39}"/>
    <cellStyle name="Comma 4" xfId="81" xr:uid="{28F95BAD-A521-47CF-BB67-1354508D727F}"/>
    <cellStyle name="Comma 4 2" xfId="8" xr:uid="{D2861920-BE77-456E-9243-145A362092DB}"/>
    <cellStyle name="Comma 4 2 2" xfId="82" xr:uid="{14061A78-D633-4C2B-9462-45C54272BFC9}"/>
    <cellStyle name="Comma 5" xfId="83" xr:uid="{2D5276C0-DCC9-431F-977D-30BFEBBB61E1}"/>
    <cellStyle name="Comma 5 2" xfId="310" xr:uid="{5971CFE8-9C9E-4399-B57D-5C8B64F35391}"/>
    <cellStyle name="Comma 5 2 2" xfId="484" xr:uid="{3EBAE911-1657-4664-9C20-E387B0AF6A71}"/>
    <cellStyle name="Comma 5 2 2 2" xfId="785" xr:uid="{F2E707F0-2DAA-4FF2-B932-9CAA0A6FE611}"/>
    <cellStyle name="Comma 5 2 3" xfId="636" xr:uid="{FF1130E7-0264-4102-97F1-9B5E55A4923D}"/>
    <cellStyle name="Comma 5 3" xfId="410" xr:uid="{C0D6CB7D-137C-4AF3-A7A2-3D92963D7624}"/>
    <cellStyle name="Comma 5 3 2" xfId="711" xr:uid="{06C19881-60AA-456B-B9F5-4E66F923C8B0}"/>
    <cellStyle name="Comma 5 4" xfId="559" xr:uid="{C3E0A2E1-211C-413E-8AEC-8CA9A20BC54B}"/>
    <cellStyle name="Comma 6" xfId="84" xr:uid="{4ADC0402-C003-4398-9378-B5A03A9F99B6}"/>
    <cellStyle name="Comma 7" xfId="85" xr:uid="{5784EE41-234F-406A-89DF-552FD67B9FA3}"/>
    <cellStyle name="Comma 7 2" xfId="311" xr:uid="{AADCE603-2C10-48AC-8E57-CB975440C75E}"/>
    <cellStyle name="Comma 7 2 2" xfId="485" xr:uid="{CCE3FAB3-041B-40BA-9D2D-9E318F224B5A}"/>
    <cellStyle name="Comma 7 2 2 2" xfId="786" xr:uid="{80EB10B0-BB18-4CC2-9C3C-1FCA800631D0}"/>
    <cellStyle name="Comma 7 2 3" xfId="637" xr:uid="{B9EA889B-CA97-4547-A8F9-47C72FFB6408}"/>
    <cellStyle name="Comma 7 3" xfId="411" xr:uid="{439AA465-523F-4D0A-B2BF-7BDDDA9082B5}"/>
    <cellStyle name="Comma 7 3 2" xfId="712" xr:uid="{1F7725F2-2213-42A9-9184-083BF05DB0C9}"/>
    <cellStyle name="Comma 7 4" xfId="560" xr:uid="{833ABF0E-BCB1-4022-877B-349A803673A3}"/>
    <cellStyle name="Comma0" xfId="86" xr:uid="{091CF4BA-6137-412A-B2CE-EBD9A427BE57}"/>
    <cellStyle name="Comma0 2" xfId="312" xr:uid="{66F27698-0D1D-42B4-965C-8BEF22B052A2}"/>
    <cellStyle name="Corner heading" xfId="87" xr:uid="{B853FA47-D917-4E1E-ADAD-5F51308CF66F}"/>
    <cellStyle name="Currency" xfId="2" builtinId="4"/>
    <cellStyle name="Currency 2" xfId="88" xr:uid="{044B596D-E3E0-4F29-B45A-6E4B9198E61B}"/>
    <cellStyle name="Currency 2 2" xfId="89" xr:uid="{7BF789A5-CB19-468E-A696-736BAC34C706}"/>
    <cellStyle name="Currency 2 2 2" xfId="90" xr:uid="{4A575D14-78D1-4977-A880-039B0CA9D61C}"/>
    <cellStyle name="Currency 2 3" xfId="91" xr:uid="{5F226B6C-D2A4-412D-943B-27EACA5B8582}"/>
    <cellStyle name="Currency 2 4" xfId="313" xr:uid="{41A84F8E-125A-47F5-924E-1ED3546F64BC}"/>
    <cellStyle name="Currency 3" xfId="92" xr:uid="{76D3C37A-8340-47C9-BA9E-F5601509A340}"/>
    <cellStyle name="Currency 3 2" xfId="314" xr:uid="{BB159434-2FED-4F17-8005-E2AB2CE1A7C3}"/>
    <cellStyle name="Currency 4" xfId="93" xr:uid="{0F211D9F-88F0-4293-87ED-A1CA2EBBD21E}"/>
    <cellStyle name="Currency 4 2" xfId="315" xr:uid="{4087A734-BB15-47CA-A8BE-A4D7F98B5174}"/>
    <cellStyle name="Currency 4 2 2" xfId="486" xr:uid="{CCB0A252-B9B5-46C9-B546-0A8B68939F89}"/>
    <cellStyle name="Currency 4 2 2 2" xfId="787" xr:uid="{41C52C6F-7291-4187-9626-64AAA80B636F}"/>
    <cellStyle name="Currency 4 2 3" xfId="638" xr:uid="{9A7585F4-A447-4E96-AC19-ECFDEC9236A3}"/>
    <cellStyle name="Currency 4 3" xfId="412" xr:uid="{D89E8381-93A0-4BF9-9E49-979453C1FE4D}"/>
    <cellStyle name="Currency 4 3 2" xfId="713" xr:uid="{385523F6-D7DF-4507-903A-44B42F7413D8}"/>
    <cellStyle name="Currency 4 4" xfId="561" xr:uid="{583FC55F-24F2-4680-B853-44FA115FBE45}"/>
    <cellStyle name="Currency 5" xfId="94" xr:uid="{20A2DBD5-ECD4-42C2-80D6-EF5531B4966E}"/>
    <cellStyle name="Currency 6" xfId="95" xr:uid="{90BE444E-1687-4BA7-BAB1-D497E6F6E9DE}"/>
    <cellStyle name="Currency 6 2" xfId="316" xr:uid="{7D87B4EC-AD6B-4BEC-9A60-2CB25ECDBCD4}"/>
    <cellStyle name="Currency 6 2 2" xfId="487" xr:uid="{435A270F-433E-4715-8E96-8BC54AD4D9F8}"/>
    <cellStyle name="Currency 6 2 2 2" xfId="788" xr:uid="{E3BF5CD3-9A94-46BF-AAF6-41D57A533423}"/>
    <cellStyle name="Currency 6 2 3" xfId="639" xr:uid="{482EA880-09E4-43E8-84A4-896F973F4291}"/>
    <cellStyle name="Currency 6 3" xfId="413" xr:uid="{423FD3A4-13C9-43F2-B043-ABF3AD2BF737}"/>
    <cellStyle name="Currency 6 3 2" xfId="714" xr:uid="{4CF91B81-DFCD-4AF0-A273-6AFF939278A1}"/>
    <cellStyle name="Currency 6 4" xfId="562" xr:uid="{E8398280-7EAD-4A36-9AF3-DBE29DAEBBD6}"/>
    <cellStyle name="Currency 7" xfId="96" xr:uid="{25631118-AA95-485F-97EB-DA5E1B125673}"/>
    <cellStyle name="Currency0" xfId="97" xr:uid="{850D4C63-E5E7-4FCC-BEEB-8B702D4D6FF8}"/>
    <cellStyle name="Currency0 2" xfId="317" xr:uid="{F81A2F06-7FE7-4A71-9036-08B1C9793209}"/>
    <cellStyle name="Data" xfId="98" xr:uid="{BDCC37F5-6C6D-4D89-8D96-6E2C348B292F}"/>
    <cellStyle name="Data 2" xfId="99" xr:uid="{C73A1741-1216-4646-ADBF-D3101D1A91D7}"/>
    <cellStyle name="Data no deci" xfId="100" xr:uid="{5E8BFE85-D42B-46B0-8B7D-DC244D7B4045}"/>
    <cellStyle name="Data Superscript" xfId="101" xr:uid="{4F872C35-5E41-4416-8644-4E32ACA821ED}"/>
    <cellStyle name="Data_1-1A-Regular" xfId="102" xr:uid="{EDE57C7D-137E-4D16-B646-56A8498CE774}"/>
    <cellStyle name="Data-one deci" xfId="103" xr:uid="{1585072C-232A-4761-9D3D-98724496AC8C}"/>
    <cellStyle name="Date" xfId="104" xr:uid="{49BD2113-D5C0-4F8C-A270-09E21F59357C}"/>
    <cellStyle name="Date 2" xfId="318" xr:uid="{E8903D9B-DCE6-4A41-8143-8FC08633A28F}"/>
    <cellStyle name="Explanatory Text 2" xfId="105" xr:uid="{A67445CF-868A-46FE-8665-5010F5CA8A0B}"/>
    <cellStyle name="Fixed" xfId="106" xr:uid="{453BC4E3-7F1B-45E2-A0AA-A1C24C1DE311}"/>
    <cellStyle name="Fixed 2" xfId="319" xr:uid="{9CA989A0-39A5-4CC5-BEFA-4CE1C38C0D60}"/>
    <cellStyle name="Good 2" xfId="107" xr:uid="{0E0FB756-827B-406F-97DE-53403E5C0B93}"/>
    <cellStyle name="Grey" xfId="108" xr:uid="{11F8191C-6695-4281-8501-D4CB5A020429}"/>
    <cellStyle name="Heading 1 2" xfId="109" xr:uid="{7D5095DD-06D4-4958-9338-84EBD509B451}"/>
    <cellStyle name="Heading 2 2" xfId="110" xr:uid="{86D77FB6-F51F-456F-B8BA-4614B1133673}"/>
    <cellStyle name="Heading 2 2 2" xfId="111" xr:uid="{1E3373AA-8B75-4821-BBBD-299874803E95}"/>
    <cellStyle name="Heading 2 3" xfId="112" xr:uid="{176A86EB-C8A2-4CDE-9D6D-1FED5784967E}"/>
    <cellStyle name="Heading 2 4" xfId="113" xr:uid="{1BD8D51F-BB9E-4C88-AC67-09F3A394EBDA}"/>
    <cellStyle name="Heading 3 2" xfId="114" xr:uid="{71148D97-EB0E-4974-B64E-8324C3C37F7A}"/>
    <cellStyle name="Heading 4 2" xfId="115" xr:uid="{8C0885EF-4A0F-4744-A0F2-9B950710484D}"/>
    <cellStyle name="Hed Side" xfId="116" xr:uid="{8C85277F-A6B8-4814-9F3A-0829481634EC}"/>
    <cellStyle name="Hed Side 2" xfId="117" xr:uid="{6173917C-EA1A-4126-AFBE-65213EBA6A06}"/>
    <cellStyle name="Hed Side bold" xfId="118" xr:uid="{62AEBADA-A2EE-4A7B-AF9D-27796AC197BD}"/>
    <cellStyle name="Hed Side Indent" xfId="119" xr:uid="{388E32BA-9FA0-4FCB-A7BB-EBE60F4822A1}"/>
    <cellStyle name="Hed Side Regular" xfId="120" xr:uid="{627732BA-3E1B-4E52-9966-ED197CA3CC43}"/>
    <cellStyle name="Hed Side_1-1A-Regular" xfId="121" xr:uid="{983A40A7-9DEF-4DAF-AA16-3D8ECEA19919}"/>
    <cellStyle name="Hed Top" xfId="122" xr:uid="{5A00875F-C537-499B-A450-D90C39277CF9}"/>
    <cellStyle name="Hed Top - SECTION" xfId="123" xr:uid="{0CC6E9D8-B2EB-41EF-9C58-3DDACB89BB3C}"/>
    <cellStyle name="Hed Top 2" xfId="124" xr:uid="{A168BCD0-81C1-415B-8FB5-C78EBC1409D1}"/>
    <cellStyle name="Hed Top_3-new4" xfId="125" xr:uid="{6172EED4-D53B-4739-9F7E-26AD4B58A86B}"/>
    <cellStyle name="Hyperlink" xfId="6" builtinId="8"/>
    <cellStyle name="Hyperlink 2" xfId="127" xr:uid="{2754C202-1C3D-4178-BEFC-55B092DEFBC4}"/>
    <cellStyle name="Hyperlink 2 2" xfId="128" xr:uid="{1B4D76F3-8C81-4982-BE83-F8A00FF8DEA8}"/>
    <cellStyle name="Hyperlink 3" xfId="129" xr:uid="{71A6B706-4044-44E0-BF5F-6CF73FC53E32}"/>
    <cellStyle name="Hyperlink 4" xfId="130" xr:uid="{5DF5CD85-DCD8-42E2-A5E8-58969A8A3135}"/>
    <cellStyle name="Hyperlink 5" xfId="126" xr:uid="{BD06EEC1-6F7D-4AFF-A0E7-6A3F68F1593C}"/>
    <cellStyle name="Input [yellow]" xfId="131" xr:uid="{012BA8B0-23BD-4C62-9C9A-C566D0688F6F}"/>
    <cellStyle name="Input 10" xfId="132" xr:uid="{C3FF1665-60A1-4A19-A54F-58E2E9C2701E}"/>
    <cellStyle name="Input 11" xfId="133" xr:uid="{D0C8C1AA-9BAF-4072-8D13-33BB9C93C888}"/>
    <cellStyle name="Input 12" xfId="134" xr:uid="{81AFA7EB-CFEF-4533-8C02-A14082D3434F}"/>
    <cellStyle name="Input 13" xfId="135" xr:uid="{C2377694-9B09-4465-8757-56D7E22D8606}"/>
    <cellStyle name="Input 14" xfId="136" xr:uid="{AD124093-DB47-4806-A275-7567857B6EA6}"/>
    <cellStyle name="Input 15" xfId="137" xr:uid="{A35AE02A-2AD9-4171-A6D4-7BC1593BA995}"/>
    <cellStyle name="Input 2" xfId="138" xr:uid="{0844ECAC-135B-4CFC-A310-69101D2C65A2}"/>
    <cellStyle name="Input 2 2" xfId="139" xr:uid="{AAA85F22-B44D-484A-A32F-4DCC8B014C77}"/>
    <cellStyle name="Input 2 3" xfId="140" xr:uid="{F1FA5EC4-687A-419D-A0C9-797E7775145C}"/>
    <cellStyle name="Input 2 4" xfId="141" xr:uid="{4855AA4D-9EF2-4702-BE17-60CD3C731116}"/>
    <cellStyle name="Input 2 5" xfId="142" xr:uid="{1DF217EB-65A5-4CA7-A913-C38DD30E1193}"/>
    <cellStyle name="Input 2 6" xfId="143" xr:uid="{6D3ECF64-5255-4624-992C-F0139F8A7AB6}"/>
    <cellStyle name="Input 3" xfId="144" xr:uid="{A9312CD6-DA38-48ED-A266-0B8BE89A5D64}"/>
    <cellStyle name="Input 4" xfId="145" xr:uid="{89F5F556-479B-4169-B5BB-9AF2E3F4F157}"/>
    <cellStyle name="Input 5" xfId="146" xr:uid="{193C2166-24A0-4164-85C5-0D44745C18C6}"/>
    <cellStyle name="Input 6" xfId="147" xr:uid="{EB2CDDBD-06A1-4830-A665-A1CCF1F993D8}"/>
    <cellStyle name="Input 7" xfId="148" xr:uid="{E1C73B81-55A9-44CB-B74D-B0BB6316C4B6}"/>
    <cellStyle name="Input 8" xfId="149" xr:uid="{BAA8C1AA-1D55-4825-AD00-AEAD152E4069}"/>
    <cellStyle name="Input 9" xfId="150" xr:uid="{F71009D6-1ADE-4757-8288-C2FC0460EF79}"/>
    <cellStyle name="Linked Cell 2" xfId="151" xr:uid="{7E35BF4A-40FA-41F5-A5F2-F3481D3D695B}"/>
    <cellStyle name="Neutral 2" xfId="152" xr:uid="{17C8C06C-FB83-4D28-9B13-7AA24FA13996}"/>
    <cellStyle name="Normal" xfId="0" builtinId="0"/>
    <cellStyle name="Normal - Style1" xfId="153" xr:uid="{A116A7F7-65EC-4197-A2C2-85251AE88920}"/>
    <cellStyle name="Normal 10" xfId="154" xr:uid="{8BA2DC5C-700A-44F0-9490-0E4F387747AB}"/>
    <cellStyle name="Normal 10 2" xfId="320" xr:uid="{5653BBE2-D101-423E-B283-E77FDBECC6FC}"/>
    <cellStyle name="Normal 10 2 2" xfId="488" xr:uid="{57C04D10-FE3D-476B-86C3-FDBA0A57CB5A}"/>
    <cellStyle name="Normal 10 2 2 2" xfId="789" xr:uid="{3B18BF56-CE8A-44F0-B9CE-0968FD768D60}"/>
    <cellStyle name="Normal 10 2 3" xfId="640" xr:uid="{998EBA14-7FC7-4AE9-A2A9-E1B5AC2D3C13}"/>
    <cellStyle name="Normal 10 3" xfId="414" xr:uid="{DF9FFCC7-9589-41A6-BABC-F6D4EB6519ED}"/>
    <cellStyle name="Normal 10 3 2" xfId="715" xr:uid="{0D0B3958-37FC-47F4-B73A-1504B723BECD}"/>
    <cellStyle name="Normal 10 4" xfId="565" xr:uid="{E778B5C8-9D00-40AA-A930-0B9E36BF7DEF}"/>
    <cellStyle name="Normal 11" xfId="155" xr:uid="{26360E52-94DA-49F7-8E17-7A6F034E672F}"/>
    <cellStyle name="Normal 11 2" xfId="321" xr:uid="{46F9CA62-B7D3-4F38-B549-F673664BCC86}"/>
    <cellStyle name="Normal 11 2 2" xfId="489" xr:uid="{5F74D933-D819-4B7B-BB7D-A4CE2F50E923}"/>
    <cellStyle name="Normal 11 2 2 2" xfId="790" xr:uid="{6F252DE3-BC9A-4361-BDE2-0498D4001F84}"/>
    <cellStyle name="Normal 11 2 3" xfId="641" xr:uid="{E623E83B-F57E-44D8-BFB4-A6AC3E94CB38}"/>
    <cellStyle name="Normal 11 3" xfId="415" xr:uid="{AA890C14-6531-4FA9-97A3-3CF8DB0A1E0F}"/>
    <cellStyle name="Normal 11 3 2" xfId="716" xr:uid="{64CFFBDC-7F04-4186-8DE3-A3A082D87239}"/>
    <cellStyle name="Normal 11 4" xfId="566" xr:uid="{01CC3B30-A63A-41F1-AF75-53C1F7F90EDD}"/>
    <cellStyle name="Normal 12" xfId="156" xr:uid="{AA886D0F-1FD7-4741-8EED-6ACEB88F7654}"/>
    <cellStyle name="Normal 12 2" xfId="322" xr:uid="{93610BCF-8E07-4389-89DE-D2626B4BD46D}"/>
    <cellStyle name="Normal 12 2 2" xfId="490" xr:uid="{D8792575-EB8A-4622-9134-3C05DC23AFFE}"/>
    <cellStyle name="Normal 12 2 2 2" xfId="791" xr:uid="{F600B161-C357-4A0B-9DA7-AE44A72850B8}"/>
    <cellStyle name="Normal 12 2 3" xfId="642" xr:uid="{25E23D09-39C1-4774-A95C-9EABA1AB3698}"/>
    <cellStyle name="Normal 12 3" xfId="416" xr:uid="{3120F3FA-12C8-4B18-8C48-ABB96C101A68}"/>
    <cellStyle name="Normal 12 3 2" xfId="717" xr:uid="{7B6D7AF1-005E-4653-999B-AB679A8AEE6A}"/>
    <cellStyle name="Normal 12 4" xfId="567" xr:uid="{8CE9A128-20DE-4D24-9084-7C7425D68C32}"/>
    <cellStyle name="Normal 13" xfId="157" xr:uid="{3157ADAE-6788-4A22-8130-C62BA5F3E132}"/>
    <cellStyle name="Normal 13 2" xfId="323" xr:uid="{57613453-4C23-4022-B118-5B99989A9AA7}"/>
    <cellStyle name="Normal 13 2 2" xfId="491" xr:uid="{3712F339-3B39-4CC6-8489-46E239BFE543}"/>
    <cellStyle name="Normal 13 2 2 2" xfId="792" xr:uid="{A5424EC7-20F5-4F38-B92E-2D9752B4C3F3}"/>
    <cellStyle name="Normal 13 2 3" xfId="643" xr:uid="{C0650450-7049-4EAD-B5E2-FB31748FE61C}"/>
    <cellStyle name="Normal 13 3" xfId="417" xr:uid="{ADFB14EA-5F4A-4718-986F-8372278A6A58}"/>
    <cellStyle name="Normal 13 3 2" xfId="718" xr:uid="{177071F5-BD6A-40D5-9283-6E05CA63787D}"/>
    <cellStyle name="Normal 13 4" xfId="568" xr:uid="{696D76F4-C916-49FB-BAA0-735CD95D842F}"/>
    <cellStyle name="Normal 14" xfId="158" xr:uid="{8C595294-E89E-4F34-BE89-0DBE2C8438F2}"/>
    <cellStyle name="Normal 14 2" xfId="324" xr:uid="{4639D368-107B-4F39-A199-57AC2D74B844}"/>
    <cellStyle name="Normal 14 2 2" xfId="492" xr:uid="{3BE3EEA2-CA48-43F7-BAF3-7AB598FBFA0B}"/>
    <cellStyle name="Normal 14 2 2 2" xfId="793" xr:uid="{F1D16850-E858-4BB8-A6D6-4437FFA07CB5}"/>
    <cellStyle name="Normal 14 2 3" xfId="644" xr:uid="{05283EC5-B28E-49A5-A168-936771F40A88}"/>
    <cellStyle name="Normal 14 3" xfId="418" xr:uid="{05A03286-97AE-4B36-BD86-ADD5B2BDCFF5}"/>
    <cellStyle name="Normal 14 3 2" xfId="719" xr:uid="{3621D50C-0FD0-4C28-9D76-9E19FFBA1B1B}"/>
    <cellStyle name="Normal 14 4" xfId="569" xr:uid="{1CB68E5A-EF35-4186-BB37-5B9EBB0F3B4D}"/>
    <cellStyle name="Normal 15" xfId="159" xr:uid="{98FEC1CF-E825-43C6-BD32-9AD683AF5556}"/>
    <cellStyle name="Normal 15 2" xfId="325" xr:uid="{D111CEFA-D663-465A-B1D5-9D38542AF4A5}"/>
    <cellStyle name="Normal 15 2 2" xfId="493" xr:uid="{6B6FD84E-A107-4B1D-9CA2-014C94B385EC}"/>
    <cellStyle name="Normal 15 2 2 2" xfId="794" xr:uid="{A48CE44D-9D19-4F19-BA14-B23F6C7DED55}"/>
    <cellStyle name="Normal 15 2 3" xfId="645" xr:uid="{B344B8B3-0195-42AB-AFB0-F8CA0083A184}"/>
    <cellStyle name="Normal 15 3" xfId="419" xr:uid="{403920BC-E8ED-4B00-8374-6F7634C5871C}"/>
    <cellStyle name="Normal 15 3 2" xfId="720" xr:uid="{2E31EBE2-046C-4098-AA12-F4336F874414}"/>
    <cellStyle name="Normal 15 4" xfId="570" xr:uid="{931FC113-B6BD-48FB-9E53-6A4AC5D027A8}"/>
    <cellStyle name="Normal 16" xfId="160" xr:uid="{B711D35A-EA76-4A9A-8BEF-84B81E067EC4}"/>
    <cellStyle name="Normal 16 2" xfId="326" xr:uid="{4417727B-E8E1-4DCC-AA72-1AA897539474}"/>
    <cellStyle name="Normal 16 2 2" xfId="494" xr:uid="{A2ECFEDB-727C-481D-AE59-2D352356A6B8}"/>
    <cellStyle name="Normal 16 2 2 2" xfId="795" xr:uid="{D0435D81-1F94-44D8-B979-048AF84212A5}"/>
    <cellStyle name="Normal 16 2 3" xfId="646" xr:uid="{37698A8F-FBDC-4723-931E-DD12B834F23B}"/>
    <cellStyle name="Normal 16 3" xfId="420" xr:uid="{81DA722D-7FFD-491E-89A6-E98F76FF39B7}"/>
    <cellStyle name="Normal 16 3 2" xfId="721" xr:uid="{10459523-AF33-4CAF-87B0-0EDDD8FA738D}"/>
    <cellStyle name="Normal 16 4" xfId="571" xr:uid="{FC74F871-B8ED-486A-AB4C-70854E20DEB1}"/>
    <cellStyle name="Normal 17" xfId="161" xr:uid="{C7648BC0-C964-4EC5-B8B7-014F5CF7C73D}"/>
    <cellStyle name="Normal 17 2" xfId="327" xr:uid="{076F319D-D496-466A-BF36-A3447A1C33A7}"/>
    <cellStyle name="Normal 17 2 2" xfId="495" xr:uid="{734E2D0F-E5B1-4003-8498-093EDE34398A}"/>
    <cellStyle name="Normal 17 2 2 2" xfId="796" xr:uid="{E7AEABAF-9ABE-4500-9AF8-995F48213D89}"/>
    <cellStyle name="Normal 17 2 3" xfId="647" xr:uid="{703C4168-CE08-462A-ACA8-356F8B614387}"/>
    <cellStyle name="Normal 17 3" xfId="421" xr:uid="{2C50B3AB-8E60-4914-A8D5-42F077DE04A8}"/>
    <cellStyle name="Normal 17 3 2" xfId="722" xr:uid="{F419C52E-AF67-4D66-9EDF-947AAEDFBACE}"/>
    <cellStyle name="Normal 17 4" xfId="572" xr:uid="{C5166100-BBC5-4EEE-9394-C2A99494171C}"/>
    <cellStyle name="Normal 18" xfId="162" xr:uid="{F42321F2-872F-4BAB-9D2F-400CBEC0C25F}"/>
    <cellStyle name="Normal 18 2" xfId="328" xr:uid="{29825B7F-3D8B-430B-81F0-41823517861A}"/>
    <cellStyle name="Normal 18 2 2" xfId="496" xr:uid="{0B79C653-C3CF-42C7-85A9-1370F6F98346}"/>
    <cellStyle name="Normal 18 2 2 2" xfId="797" xr:uid="{E2538F10-4D65-4B53-98A1-E4D6D118E533}"/>
    <cellStyle name="Normal 18 2 3" xfId="648" xr:uid="{726FDF3B-775E-40C2-85BC-4AE6CDC72A4C}"/>
    <cellStyle name="Normal 18 3" xfId="422" xr:uid="{8E001AF5-ED2B-4139-9A9B-755D80A4FA50}"/>
    <cellStyle name="Normal 18 3 2" xfId="723" xr:uid="{10D29BFB-A9D3-430E-8508-9C539F82C884}"/>
    <cellStyle name="Normal 18 4" xfId="573" xr:uid="{95547662-4ED9-4E9C-AB34-350A8B714DA7}"/>
    <cellStyle name="Normal 19" xfId="163" xr:uid="{75AC6F87-6F3A-4355-A025-A64412538CDF}"/>
    <cellStyle name="Normal 19 2" xfId="329" xr:uid="{4BEB12B0-F0ED-4027-B3E8-CFECD44961D9}"/>
    <cellStyle name="Normal 19 2 2" xfId="497" xr:uid="{F7BC74C6-CCBA-481C-A878-28B8C2A54D6C}"/>
    <cellStyle name="Normal 19 2 2 2" xfId="798" xr:uid="{E9178673-0095-4799-AD0B-FE3157E55D15}"/>
    <cellStyle name="Normal 19 2 3" xfId="649" xr:uid="{67B9BD01-C361-4B61-9F88-9572989B9507}"/>
    <cellStyle name="Normal 19 3" xfId="423" xr:uid="{86364A97-6A89-4FE9-8AA0-D025DEC98638}"/>
    <cellStyle name="Normal 19 3 2" xfId="724" xr:uid="{164AD7B5-04AD-4E81-A261-9BFBCECEE421}"/>
    <cellStyle name="Normal 19 4" xfId="574" xr:uid="{757BB3E4-D12F-4D01-89A5-AB94C8BE9B20}"/>
    <cellStyle name="Normal 2" xfId="4" xr:uid="{436D93B1-A464-4607-9E0C-18A4493D59D0}"/>
    <cellStyle name="Normal 2 2" xfId="164" xr:uid="{A695CAA6-9480-4D7F-A61B-CB5FE05E52CD}"/>
    <cellStyle name="Normal 2 2 2" xfId="165" xr:uid="{868FBECA-4A06-4559-BBD6-9282A3ACD6AE}"/>
    <cellStyle name="Normal 2 2 2 2" xfId="5" xr:uid="{1EDFB0C2-9D95-4745-ACD3-69FC6828E7BA}"/>
    <cellStyle name="Normal 2 3" xfId="7" xr:uid="{72D8D108-ED22-433F-B6A1-8ACC5060A410}"/>
    <cellStyle name="Normal 2 3 2" xfId="331" xr:uid="{F2C2CD38-65F4-49AB-94DD-6D66033E16D7}"/>
    <cellStyle name="Normal 2 4" xfId="167" xr:uid="{22EAF5A7-0B59-437D-8441-E4ADE2215EBB}"/>
    <cellStyle name="Normal 2 4 2" xfId="332" xr:uid="{FCD271F9-EDF8-4EC2-96C2-1C0FC5E64DB6}"/>
    <cellStyle name="Normal 2 5" xfId="168" xr:uid="{22547BF9-ACAA-4E94-B605-F80DE45DC503}"/>
    <cellStyle name="Normal 2 6" xfId="169" xr:uid="{FE0CEBF4-1588-40ED-9216-DACEAA1B9D61}"/>
    <cellStyle name="Normal 2 7" xfId="170" xr:uid="{9ADD8ED9-6C93-41C9-8D33-681D4F29C68A}"/>
    <cellStyle name="Normal 2 8" xfId="171" xr:uid="{FB027335-04F2-46A3-8C1A-FF0B07C61491}"/>
    <cellStyle name="Normal 2 8 2" xfId="333" xr:uid="{5EA4A91C-B908-4540-8C62-6AEF90807950}"/>
    <cellStyle name="Normal 2 8 2 2" xfId="498" xr:uid="{F6840CFD-0839-48EF-9C2A-45270C21009C}"/>
    <cellStyle name="Normal 2 8 2 2 2" xfId="799" xr:uid="{DED62E37-EA75-4CEA-9BF8-0216CC2FD45B}"/>
    <cellStyle name="Normal 2 8 2 3" xfId="650" xr:uid="{590DD1AF-90AF-4A80-B37F-15DFEFAB808A}"/>
    <cellStyle name="Normal 2 8 3" xfId="424" xr:uid="{ED91D1DE-B067-497F-BC28-6047873AA6E0}"/>
    <cellStyle name="Normal 2 8 3 2" xfId="725" xr:uid="{6ED8D7C0-6877-4F23-A343-FB0CD45B057C}"/>
    <cellStyle name="Normal 2 8 4" xfId="575" xr:uid="{ECE3BA32-F888-4188-B837-7AD852937AAF}"/>
    <cellStyle name="Normal 2 9" xfId="330" xr:uid="{E7DADA99-8890-4380-8004-EC2F968FE9DE}"/>
    <cellStyle name="Normal 2_steeplechaseconcept4" xfId="172" xr:uid="{111D531E-AA65-4B08-BC7C-B20BFC59C463}"/>
    <cellStyle name="Normal 20" xfId="173" xr:uid="{847FCBB8-8536-4671-A930-67D328EA8A80}"/>
    <cellStyle name="Normal 20 2" xfId="334" xr:uid="{95506259-0D4D-4079-952F-962E4B47ED5F}"/>
    <cellStyle name="Normal 20 2 2" xfId="499" xr:uid="{9F3A41AA-1EFE-493D-A06A-F6A144E8A431}"/>
    <cellStyle name="Normal 20 2 2 2" xfId="800" xr:uid="{6F2B5DCE-896B-48E2-A046-76DBA000B647}"/>
    <cellStyle name="Normal 20 2 3" xfId="651" xr:uid="{DEF92588-016D-486D-9C9A-6762E3778A3A}"/>
    <cellStyle name="Normal 20 3" xfId="425" xr:uid="{7402B093-C016-4584-91A8-8186DE3B4C5C}"/>
    <cellStyle name="Normal 20 3 2" xfId="726" xr:uid="{02DDD034-F8EC-43F5-B34F-70F81648E054}"/>
    <cellStyle name="Normal 20 4" xfId="576" xr:uid="{70109C7B-3928-4ECE-B661-0946659F9868}"/>
    <cellStyle name="Normal 21" xfId="174" xr:uid="{2512E87A-664C-4646-91B7-0E9246975D0A}"/>
    <cellStyle name="Normal 21 2" xfId="335" xr:uid="{418F7B6B-D50A-41EE-8183-694170AA19D9}"/>
    <cellStyle name="Normal 21 2 2" xfId="500" xr:uid="{282C77C9-AEB4-490D-AC4B-3F47DB894992}"/>
    <cellStyle name="Normal 21 2 2 2" xfId="801" xr:uid="{71F346B9-7963-43C1-87FD-15326C6D75AF}"/>
    <cellStyle name="Normal 21 2 3" xfId="652" xr:uid="{D41769B0-F1D0-4BD8-B8C7-2F83CC0BBD85}"/>
    <cellStyle name="Normal 21 3" xfId="426" xr:uid="{8B02A4E6-5722-43B7-A8D6-0292C1EF3F50}"/>
    <cellStyle name="Normal 21 3 2" xfId="727" xr:uid="{C7DE4749-9D06-4E25-BDA9-8A9C6073B9F6}"/>
    <cellStyle name="Normal 21 4" xfId="577" xr:uid="{8146386B-1591-44BE-93B8-B2ADD79A7115}"/>
    <cellStyle name="Normal 22" xfId="175" xr:uid="{39061FEB-2E59-4746-A7CF-7F8A3BB68D0E}"/>
    <cellStyle name="Normal 22 2" xfId="336" xr:uid="{0A7A2FA1-6745-4C29-8BC8-4AE9C1B897C7}"/>
    <cellStyle name="Normal 22 2 2" xfId="501" xr:uid="{9C6CDEE9-B5CE-46B0-B988-575E45F68B62}"/>
    <cellStyle name="Normal 22 2 2 2" xfId="802" xr:uid="{7FC18CE2-69E0-4E38-B459-4F1BF31F49AE}"/>
    <cellStyle name="Normal 22 2 3" xfId="653" xr:uid="{1388F12E-D21A-4BD1-B869-7B5F0AAF9927}"/>
    <cellStyle name="Normal 22 3" xfId="427" xr:uid="{82F021AD-3C91-4F9C-B3F3-90A61959648C}"/>
    <cellStyle name="Normal 22 3 2" xfId="728" xr:uid="{A8C3DB9D-1DC6-4EF0-95D3-587FAE64ABCE}"/>
    <cellStyle name="Normal 22 4" xfId="578" xr:uid="{CC0163D4-DCAB-425B-B70C-A14E50F10725}"/>
    <cellStyle name="Normal 23" xfId="176" xr:uid="{13B1A698-F6E4-4138-A2F6-57BB172FEF1E}"/>
    <cellStyle name="Normal 23 2" xfId="337" xr:uid="{86521EDC-58CA-4859-B86E-93332DB84979}"/>
    <cellStyle name="Normal 23 2 2" xfId="502" xr:uid="{FE57CC32-3BB2-4553-ADF8-E82FD5F78ED7}"/>
    <cellStyle name="Normal 23 2 2 2" xfId="803" xr:uid="{A74B7218-4C4D-4783-BE59-1E3CD6C906A7}"/>
    <cellStyle name="Normal 23 2 3" xfId="654" xr:uid="{89CB6F14-0248-488A-A12F-599CAFEC32D3}"/>
    <cellStyle name="Normal 23 3" xfId="428" xr:uid="{9913F3C6-6BE6-41C8-A40C-F96EE5BDE7E5}"/>
    <cellStyle name="Normal 23 3 2" xfId="729" xr:uid="{3F6D4057-7C14-4BC8-AD0B-AB68F4C1D9DE}"/>
    <cellStyle name="Normal 23 4" xfId="579" xr:uid="{568D0AE0-3579-49D2-AE60-A1C42240A3D8}"/>
    <cellStyle name="Normal 24" xfId="177" xr:uid="{744BF886-8DC0-4C9E-BB56-B1F1CA8F8887}"/>
    <cellStyle name="Normal 24 2" xfId="178" xr:uid="{18551E2C-63FA-4035-B4EF-90632FE4D54B}"/>
    <cellStyle name="Normal 24 2 2" xfId="338" xr:uid="{72509C70-4D99-4B21-9DD6-F4F754199256}"/>
    <cellStyle name="Normal 24 2 2 2" xfId="503" xr:uid="{13B1FDBA-7A34-4A25-92BE-6AA4FD21315A}"/>
    <cellStyle name="Normal 24 2 2 2 2" xfId="804" xr:uid="{E2501998-8CBB-4018-ACDF-386A380BC1A7}"/>
    <cellStyle name="Normal 24 2 2 3" xfId="655" xr:uid="{09C72F6B-8FA8-441E-9C53-93948D394937}"/>
    <cellStyle name="Normal 24 2 3" xfId="429" xr:uid="{0769363F-FEC3-424D-BCED-E911651B0CD1}"/>
    <cellStyle name="Normal 24 2 3 2" xfId="730" xr:uid="{D906AE9A-DC67-47B4-A806-C57D7F0CF472}"/>
    <cellStyle name="Normal 24 2 4" xfId="580" xr:uid="{6CD7BDA4-C58A-441D-977E-24B290A00722}"/>
    <cellStyle name="Normal 25" xfId="179" xr:uid="{EDBD4F38-B490-4C68-AC25-193469597101}"/>
    <cellStyle name="Normal 26" xfId="180" xr:uid="{D810E1B3-B200-4741-82CC-0195D680469C}"/>
    <cellStyle name="Normal 26 2" xfId="339" xr:uid="{2FAB728E-3990-4287-A87F-060DF5EF2BD8}"/>
    <cellStyle name="Normal 26 2 2" xfId="504" xr:uid="{1F104891-ADBF-41EE-9077-2A05F28CAA53}"/>
    <cellStyle name="Normal 26 2 2 2" xfId="805" xr:uid="{B410EB6D-01AE-4FF1-8C0C-B66B3E83F8AD}"/>
    <cellStyle name="Normal 26 2 3" xfId="656" xr:uid="{426B96EE-6EB9-47E8-8F2D-8D03E1E9C13A}"/>
    <cellStyle name="Normal 26 3" xfId="430" xr:uid="{1A1A26E8-E699-4BFB-9624-01DCADBB4825}"/>
    <cellStyle name="Normal 26 3 2" xfId="731" xr:uid="{057B9BD9-F5A0-45B8-8D9F-515A74F5D2D7}"/>
    <cellStyle name="Normal 26 4" xfId="581" xr:uid="{92E26C6F-10A6-4A13-AD19-3E2F988E3B0C}"/>
    <cellStyle name="Normal 27" xfId="181" xr:uid="{F0892F80-F889-43D8-9FD6-6CC58615727D}"/>
    <cellStyle name="Normal 27 2" xfId="340" xr:uid="{3C35E65F-991C-499F-966E-4A62969E8030}"/>
    <cellStyle name="Normal 27 2 2" xfId="505" xr:uid="{0236A451-12BC-4650-BA7C-1DD09252B86D}"/>
    <cellStyle name="Normal 27 2 2 2" xfId="806" xr:uid="{D6B9C10D-BB81-428A-B1E5-DC2BDAE015F4}"/>
    <cellStyle name="Normal 27 2 3" xfId="657" xr:uid="{832FC2B8-0E16-474A-A189-7B0BF3426384}"/>
    <cellStyle name="Normal 27 3" xfId="431" xr:uid="{B1A5FE8E-7DF1-4A58-9A41-3DDB7E88D85F}"/>
    <cellStyle name="Normal 27 3 2" xfId="732" xr:uid="{11E7CE0C-BC3E-42D9-A971-F3ADB3362816}"/>
    <cellStyle name="Normal 27 4" xfId="582" xr:uid="{3724415E-B816-4224-A6F9-F402ED1277B6}"/>
    <cellStyle name="Normal 28" xfId="182" xr:uid="{C806665C-037A-4F8B-86DD-E00613E9EF9C}"/>
    <cellStyle name="Normal 28 2" xfId="341" xr:uid="{2C0C948E-3212-4632-81FA-907C758E4EB1}"/>
    <cellStyle name="Normal 28 2 2" xfId="506" xr:uid="{25397291-42F5-4F83-994A-DF2018D34B9E}"/>
    <cellStyle name="Normal 28 2 2 2" xfId="807" xr:uid="{F5471574-0939-4300-884A-8522906D8290}"/>
    <cellStyle name="Normal 28 2 3" xfId="658" xr:uid="{25E83A38-AB91-4D07-8E23-B6EC64D27577}"/>
    <cellStyle name="Normal 28 3" xfId="432" xr:uid="{5003EC9E-F48F-458C-96E9-03EB79EE1C6C}"/>
    <cellStyle name="Normal 28 3 2" xfId="733" xr:uid="{023EAC8B-8BB7-4AC8-B3E0-05CEEB626A08}"/>
    <cellStyle name="Normal 28 4" xfId="583" xr:uid="{0BBE8D2E-F26B-4425-AE68-E6F922FA0902}"/>
    <cellStyle name="Normal 29" xfId="183" xr:uid="{E3E32E01-5515-447C-B543-795C624789AD}"/>
    <cellStyle name="Normal 29 2" xfId="342" xr:uid="{E5BD116A-DE56-49D5-8637-4E78CCF946E1}"/>
    <cellStyle name="Normal 29 2 2" xfId="507" xr:uid="{CB78B0AF-AA4B-4A1F-9E2F-A1435B5EEDDD}"/>
    <cellStyle name="Normal 29 2 2 2" xfId="808" xr:uid="{C2968550-7C4A-4ADC-8D67-43087764B114}"/>
    <cellStyle name="Normal 29 2 3" xfId="659" xr:uid="{0CA0D003-91C4-47A3-B837-6F71158E3FCB}"/>
    <cellStyle name="Normal 29 3" xfId="433" xr:uid="{84CC1791-3018-4A31-8B86-D97B9C7A2225}"/>
    <cellStyle name="Normal 29 3 2" xfId="734" xr:uid="{362B34F9-C1F5-4AD0-820F-D8425AC5DD57}"/>
    <cellStyle name="Normal 29 4" xfId="584" xr:uid="{080BD759-07AC-4121-A1B0-C464C2A056E8}"/>
    <cellStyle name="Normal 3" xfId="184" xr:uid="{A8BCC828-2BB0-42BC-B520-177B79EE140B}"/>
    <cellStyle name="Normal 3 2" xfId="185" xr:uid="{CD27BBA4-2F62-490B-8BC3-3B4CAE15551C}"/>
    <cellStyle name="Normal 3 2 2" xfId="344" xr:uid="{18847CFC-572C-499E-AD33-A860437CDCD6}"/>
    <cellStyle name="Normal 3 2 2 2" xfId="509" xr:uid="{0ED24B2A-C259-4450-B52F-D2AAAE790DDC}"/>
    <cellStyle name="Normal 3 2 2 2 2" xfId="810" xr:uid="{64138D40-07BE-4993-AE49-D0071B2F38CC}"/>
    <cellStyle name="Normal 3 2 2 3" xfId="661" xr:uid="{AA4AD321-9D7F-4C65-8D24-117937012E69}"/>
    <cellStyle name="Normal 3 2 3" xfId="435" xr:uid="{E87A7C36-DB13-4F36-B6F2-8D3772044305}"/>
    <cellStyle name="Normal 3 2 3 2" xfId="736" xr:uid="{EDF367C9-89D9-42DE-9241-16C227C42951}"/>
    <cellStyle name="Normal 3 2 4" xfId="586" xr:uid="{16F6932A-4366-44E8-A3A4-6205875DAB45}"/>
    <cellStyle name="Normal 3 3" xfId="186" xr:uid="{1E93BA06-333A-4D2A-92A0-5AA5A8007174}"/>
    <cellStyle name="Normal 3 3 2" xfId="345" xr:uid="{68BA5F60-84FC-4F28-B8C3-94163B322C09}"/>
    <cellStyle name="Normal 3 4" xfId="187" xr:uid="{F7B867E9-865F-4C6A-9057-F2BF0907B20A}"/>
    <cellStyle name="Normal 3 4 2" xfId="346" xr:uid="{049D2906-F77B-4623-B609-1063F53F5C5A}"/>
    <cellStyle name="Normal 3 5" xfId="188" xr:uid="{4648E497-117D-4FCA-BAE1-4A6CD3A0EA80}"/>
    <cellStyle name="Normal 3 6" xfId="343" xr:uid="{2B6B18B0-4EB1-44EE-8E7D-66AA9ACEF15C}"/>
    <cellStyle name="Normal 3 6 2" xfId="508" xr:uid="{BF066E52-7A5B-4A13-A5E1-B0B46228DB85}"/>
    <cellStyle name="Normal 3 6 2 2" xfId="809" xr:uid="{F2EEEE0B-0DD7-4CE1-B439-959729E803D8}"/>
    <cellStyle name="Normal 3 6 3" xfId="660" xr:uid="{43C493B9-DB8B-4E51-B899-C4FE67AFF9EA}"/>
    <cellStyle name="Normal 3 7" xfId="434" xr:uid="{0E44AE1B-0C05-44F8-90F9-EAB514078C3C}"/>
    <cellStyle name="Normal 3 7 2" xfId="735" xr:uid="{63A6AA3C-5652-432C-BBAF-FA3B3A9B5399}"/>
    <cellStyle name="Normal 3 8" xfId="585" xr:uid="{1577A71F-E50D-4D37-B07B-72BAC8498797}"/>
    <cellStyle name="Normal 3 9" xfId="863" xr:uid="{7D23FD0F-E1F8-40A5-A0C3-8E82BFB1B44A}"/>
    <cellStyle name="Normal 30" xfId="189" xr:uid="{E7801ED6-334A-4BAF-942D-FE1FEF4081DB}"/>
    <cellStyle name="Normal 30 2" xfId="347" xr:uid="{F4BE9F11-C4CD-4AC7-BBEE-D1402A73467F}"/>
    <cellStyle name="Normal 31" xfId="190" xr:uid="{5768A5E1-E0C4-4000-BC6D-177079ADCC36}"/>
    <cellStyle name="Normal 31 2" xfId="348" xr:uid="{E08FE96D-48AC-48CE-B259-93692CA5B2CD}"/>
    <cellStyle name="Normal 32" xfId="191" xr:uid="{D29414AB-2EB7-46D2-B6D8-D8F77A3BDA54}"/>
    <cellStyle name="Normal 32 2" xfId="349" xr:uid="{84122656-BFF8-4290-A4CB-11BD33DA8064}"/>
    <cellStyle name="Normal 33" xfId="192" xr:uid="{BD97EC43-0B4F-4E78-B74C-6DBB78102295}"/>
    <cellStyle name="Normal 33 2" xfId="350" xr:uid="{DFC2F8DD-97A9-4F85-96DF-591265B22FE7}"/>
    <cellStyle name="Normal 34" xfId="193" xr:uid="{C0C05B8B-EF23-4EAE-AA22-3D87647A821F}"/>
    <cellStyle name="Normal 34 2" xfId="351" xr:uid="{CD528099-BEDE-476D-BDD4-4F2B01B454EC}"/>
    <cellStyle name="Normal 35" xfId="194" xr:uid="{C0F4BBAB-1865-4337-B6E6-87E77B775E0A}"/>
    <cellStyle name="Normal 35 2" xfId="352" xr:uid="{5F3E5758-FED4-46DA-AA77-82D31B200BD2}"/>
    <cellStyle name="Normal 35 2 2" xfId="510" xr:uid="{BA82599B-18E5-4F06-893C-9523535F69ED}"/>
    <cellStyle name="Normal 35 2 2 2" xfId="811" xr:uid="{5B594141-614B-483E-B56B-3775114376F7}"/>
    <cellStyle name="Normal 35 2 3" xfId="662" xr:uid="{960455F1-FF52-4F80-A4F3-029758F2B516}"/>
    <cellStyle name="Normal 35 3" xfId="436" xr:uid="{FF4AA199-6A56-4BC8-BF78-71B6BF15AC6A}"/>
    <cellStyle name="Normal 35 3 2" xfId="737" xr:uid="{7342BC31-8822-4D42-8BDC-98EB71B66DC0}"/>
    <cellStyle name="Normal 35 4" xfId="587" xr:uid="{B4D4F6EE-72D9-4FC8-BEAE-97A30F1986EE}"/>
    <cellStyle name="Normal 36" xfId="387" xr:uid="{6CE67611-09AC-4582-B760-9F1CF1295EE8}"/>
    <cellStyle name="Normal 37" xfId="536" xr:uid="{A0634C3E-5BE5-497C-8483-D55B1A8E54D9}"/>
    <cellStyle name="Normal 38" xfId="613" xr:uid="{8B569BC8-4D4B-4489-BE0E-87630D0C8219}"/>
    <cellStyle name="Normal 39" xfId="837" xr:uid="{6636E2EE-4A3E-420F-9BA6-3858C26E184B}"/>
    <cellStyle name="Normal 4" xfId="195" xr:uid="{DDCC5843-CF53-4F1E-84B4-B69E0E61FFB6}"/>
    <cellStyle name="Normal 4 2" xfId="196" xr:uid="{EA4B41FB-B3B7-4023-83D9-B39A72B479BA}"/>
    <cellStyle name="Normal 4 2 2" xfId="354" xr:uid="{2A503382-26C6-46A8-B434-32A7E4FBF7C3}"/>
    <cellStyle name="Normal 4 3" xfId="353" xr:uid="{8D30FD10-F6CE-4F4D-B969-0F1C18266654}"/>
    <cellStyle name="Normal 4 3 2" xfId="511" xr:uid="{B76183A4-535F-4C7E-B035-A4B29B1D0428}"/>
    <cellStyle name="Normal 4 3 2 2" xfId="812" xr:uid="{0ADB4BB6-9C43-4CAC-B9B5-339E80B73C25}"/>
    <cellStyle name="Normal 4 3 3" xfId="663" xr:uid="{ED867784-06BD-47FD-99EE-4CBF4661845D}"/>
    <cellStyle name="Normal 4 4" xfId="437" xr:uid="{9139EEFA-56CA-47E5-ADAB-8D27346EE994}"/>
    <cellStyle name="Normal 4 4 2" xfId="738" xr:uid="{BD9137B7-FED8-447B-A927-A3B909C32784}"/>
    <cellStyle name="Normal 4 5" xfId="588" xr:uid="{C45ED796-1410-487D-9BA0-B32B651F6907}"/>
    <cellStyle name="Normal 40" xfId="841" xr:uid="{CB9D95D2-4D73-437C-97A1-E36770184128}"/>
    <cellStyle name="Normal 41" xfId="838" xr:uid="{3A1C1428-CA7B-4948-BFEF-9E6026D217C9}"/>
    <cellStyle name="Normal 42" xfId="563" xr:uid="{690E8CAE-8163-4E2B-A037-D81C55F86226}"/>
    <cellStyle name="Normal 43" xfId="843" xr:uid="{14707091-9D0A-425E-87A1-57791FB9773E}"/>
    <cellStyle name="Normal 44" xfId="840" xr:uid="{914903BC-C131-40BF-9173-124D9DC11B9D}"/>
    <cellStyle name="Normal 45" xfId="839" xr:uid="{DF0FF764-7C71-4E1C-9EA5-B26092D0B465}"/>
    <cellStyle name="Normal 46" xfId="564" xr:uid="{FE18AFC6-FE8C-486A-9A87-5782E600A5E2}"/>
    <cellStyle name="Normal 47" xfId="842" xr:uid="{001FD452-A9EB-41E2-AAA6-D87475B9B72A}"/>
    <cellStyle name="Normal 48" xfId="677" xr:uid="{632D013D-60BC-4BA0-9851-2335F98A3DDA}"/>
    <cellStyle name="Normal 49" xfId="844" xr:uid="{B0E81F59-2D69-4B94-A9BF-3B78F013B58B}"/>
    <cellStyle name="Normal 5" xfId="197" xr:uid="{8B433634-0C8A-4852-8416-6E96322DC286}"/>
    <cellStyle name="Normal 5 2" xfId="198" xr:uid="{6C9927D8-B110-4650-8D6E-690B3FDAC24B}"/>
    <cellStyle name="Normal 5 2 2" xfId="199" xr:uid="{D92F756C-921A-49EB-AAB6-7E52754A4D7E}"/>
    <cellStyle name="Normal 5 3" xfId="200" xr:uid="{0FDAB214-2FF6-4B14-A8D7-01250DF5954E}"/>
    <cellStyle name="Normal 5 4" xfId="355" xr:uid="{3BBC3BD3-946D-440C-9140-B6776FE9CE4A}"/>
    <cellStyle name="Normal 5 4 2" xfId="512" xr:uid="{AFCB9B28-D946-4EBC-BAD5-36406D595A40}"/>
    <cellStyle name="Normal 5 4 2 2" xfId="813" xr:uid="{7EAC9366-C15B-49A7-BF72-DDD8F6C064E0}"/>
    <cellStyle name="Normal 5 4 3" xfId="664" xr:uid="{5D6AC2E1-8F63-4C90-A288-5B9968688FC9}"/>
    <cellStyle name="Normal 5 5" xfId="438" xr:uid="{94E65ED3-CAC0-43E3-951B-FA36C27798A5}"/>
    <cellStyle name="Normal 5 5 2" xfId="739" xr:uid="{1BB8679C-08BA-4013-995E-B61C79E5005F}"/>
    <cellStyle name="Normal 5 6" xfId="589" xr:uid="{24FD335B-8F11-443E-A3C9-261C9C733993}"/>
    <cellStyle name="Normal 50" xfId="845" xr:uid="{8E367BBC-B227-4104-AAB6-38BE4C95BC4F}"/>
    <cellStyle name="Normal 51" xfId="201" xr:uid="{554E4B36-578F-46F9-ACE4-FF9E10001C5B}"/>
    <cellStyle name="Normal 52" xfId="846" xr:uid="{5BB86E40-D429-4E1A-A272-D902F201C49D}"/>
    <cellStyle name="Normal 53" xfId="847" xr:uid="{C9AAC656-F3C6-4560-9865-B7930A8435D6}"/>
    <cellStyle name="Normal 54" xfId="202" xr:uid="{8C7A4D65-5FA1-4671-8080-56C0ED4FBC65}"/>
    <cellStyle name="Normal 55" xfId="848" xr:uid="{7166D9AD-0B61-45B7-BDD3-7C90B209B862}"/>
    <cellStyle name="Normal 56" xfId="849" xr:uid="{CCE37B14-F192-486D-883B-7E8285305E5E}"/>
    <cellStyle name="Normal 57" xfId="850" xr:uid="{BDE31C5B-2A5E-4F45-AC59-31E72C37D151}"/>
    <cellStyle name="Normal 58" xfId="851" xr:uid="{70C3C39E-7F52-4A1A-A6F9-5518EEC05CD7}"/>
    <cellStyle name="Normal 59" xfId="852" xr:uid="{0E7D1A90-7A89-4CBC-A6A2-4776E33F91DB}"/>
    <cellStyle name="Normal 6" xfId="203" xr:uid="{A4D7552B-F870-4746-B5CD-280C4716E2F3}"/>
    <cellStyle name="Normal 6 2" xfId="204" xr:uid="{7D9E6832-13D8-48C7-AB3E-7228C521D7E7}"/>
    <cellStyle name="Normal 6 3" xfId="205" xr:uid="{7F852AB5-D2B3-48AD-A213-B22726E2EFC2}"/>
    <cellStyle name="Normal 6 3 2" xfId="357" xr:uid="{D8E3086A-7AA6-4F11-A6C3-F08FCD321651}"/>
    <cellStyle name="Normal 6 3 2 2" xfId="514" xr:uid="{DFA9B8AF-D696-4F55-B5CC-AFF7B116904E}"/>
    <cellStyle name="Normal 6 3 2 2 2" xfId="815" xr:uid="{7A4459F8-7054-4F36-B942-44203536F505}"/>
    <cellStyle name="Normal 6 3 2 3" xfId="666" xr:uid="{A6AE01E5-F28A-4488-B8B6-74E4669E72BC}"/>
    <cellStyle name="Normal 6 3 3" xfId="440" xr:uid="{5FD7455D-84FA-4E6E-B64A-B9BC0F3876F7}"/>
    <cellStyle name="Normal 6 3 3 2" xfId="741" xr:uid="{28CA1C8E-B2E7-4F16-BB5F-0B37E9195C31}"/>
    <cellStyle name="Normal 6 3 4" xfId="591" xr:uid="{ADA81097-FE57-4E98-A7FC-7D7DF23C6C09}"/>
    <cellStyle name="Normal 6 4" xfId="356" xr:uid="{E848F80B-FFBD-4B21-833C-A15C59570D9E}"/>
    <cellStyle name="Normal 6 4 2" xfId="513" xr:uid="{21A04980-839D-454D-80E8-F41DF2EB3DCA}"/>
    <cellStyle name="Normal 6 4 2 2" xfId="814" xr:uid="{FD298432-9FCF-43ED-96F1-7AFDBAF5C718}"/>
    <cellStyle name="Normal 6 4 3" xfId="665" xr:uid="{508FBDB6-EDAB-4667-8930-B63E7A06AC2D}"/>
    <cellStyle name="Normal 6 5" xfId="439" xr:uid="{2AC3E2B4-F69D-48AA-8444-D7F29A68F5FE}"/>
    <cellStyle name="Normal 6 5 2" xfId="740" xr:uid="{ABB68A2A-7680-429C-8DDF-49E2F38EE0F9}"/>
    <cellStyle name="Normal 6 6" xfId="590" xr:uid="{90027F91-8270-408F-B18C-B608DB56AE29}"/>
    <cellStyle name="Normal 60" xfId="853" xr:uid="{40B77A4B-B84A-428A-9F1B-6DDF93BCC264}"/>
    <cellStyle name="Normal 61" xfId="854" xr:uid="{3A29C7EF-7480-40B7-9C3F-B3C4F685526D}"/>
    <cellStyle name="Normal 62" xfId="855" xr:uid="{DE115AAC-56BD-441E-AA82-ED400584647D}"/>
    <cellStyle name="Normal 63" xfId="856" xr:uid="{6D730B9C-E53E-481A-B115-FC5E6DF288F7}"/>
    <cellStyle name="Normal 64" xfId="857" xr:uid="{80778624-6A52-421C-AC55-6D0BA4F035C1}"/>
    <cellStyle name="Normal 65" xfId="858" xr:uid="{8C88755D-ACFF-484F-A237-6FDA11549344}"/>
    <cellStyle name="Normal 66" xfId="859" xr:uid="{A76CCFB3-CB3B-4063-B328-7614CC2AD6F7}"/>
    <cellStyle name="Normal 67" xfId="860" xr:uid="{573C5227-CD6E-4BE5-B59E-37D42B22A39D}"/>
    <cellStyle name="Normal 68" xfId="861" xr:uid="{1D3D334D-0088-43DD-9719-029502012A8B}"/>
    <cellStyle name="Normal 69" xfId="862" xr:uid="{D038EF4A-00E8-4A9C-A1E4-09A961BB893E}"/>
    <cellStyle name="Normal 7" xfId="206" xr:uid="{46602081-255B-4FC5-8241-863CA7B5DCA0}"/>
    <cellStyle name="Normal 7 2" xfId="207" xr:uid="{5C13F264-0FAF-4003-948C-372122429D54}"/>
    <cellStyle name="Normal 7 2 2" xfId="359" xr:uid="{07C0A6DE-AA81-422F-8B06-B66E80D6F7A0}"/>
    <cellStyle name="Normal 7 2 2 2" xfId="516" xr:uid="{C986334C-9670-44AD-BAFE-1922663F25B9}"/>
    <cellStyle name="Normal 7 2 2 2 2" xfId="817" xr:uid="{BA0A4B25-0661-41A9-BB32-726378DD53CC}"/>
    <cellStyle name="Normal 7 2 2 3" xfId="668" xr:uid="{8A636033-C64B-455A-B7BB-80B1E7AFD037}"/>
    <cellStyle name="Normal 7 2 3" xfId="442" xr:uid="{87B9E4AC-874F-46C0-90A8-C18AA7A7D30E}"/>
    <cellStyle name="Normal 7 2 3 2" xfId="743" xr:uid="{301F8914-4149-4961-8CC0-0905EE3C353C}"/>
    <cellStyle name="Normal 7 2 4" xfId="593" xr:uid="{DDDE845F-DDC7-4ECE-9C4C-BA9417BC8152}"/>
    <cellStyle name="Normal 7 3" xfId="358" xr:uid="{4399F75B-6DA4-4090-AF8D-35563C88D0CF}"/>
    <cellStyle name="Normal 7 3 2" xfId="515" xr:uid="{A05C2502-7658-42B5-A44A-BEC43B281B8F}"/>
    <cellStyle name="Normal 7 3 2 2" xfId="816" xr:uid="{014E4649-E9F1-4979-996D-7E91B9FBDDCC}"/>
    <cellStyle name="Normal 7 3 3" xfId="667" xr:uid="{F94446E7-A809-497A-979B-D456A50BA70A}"/>
    <cellStyle name="Normal 7 4" xfId="441" xr:uid="{F988B69E-B161-4B7E-BB63-A6231405C1C6}"/>
    <cellStyle name="Normal 7 4 2" xfId="742" xr:uid="{8EC9534A-0FFC-4095-96B5-5FD4B7433EAC}"/>
    <cellStyle name="Normal 7 5" xfId="592" xr:uid="{612FD699-E531-40CB-9F31-858F83DC6C8D}"/>
    <cellStyle name="Normal 70" xfId="9" xr:uid="{586883E4-56D3-413B-91C9-C6122EC85649}"/>
    <cellStyle name="Normal 71" xfId="166" xr:uid="{F95D84F9-091D-401D-A469-13DA436029FD}"/>
    <cellStyle name="Normal 72" xfId="868" xr:uid="{70ACEC72-56EF-4B7D-87C0-27B70DF89D1E}"/>
    <cellStyle name="Normal 73" xfId="865" xr:uid="{71797B6A-8AA3-4700-8011-59C1EB22B084}"/>
    <cellStyle name="Normal 74" xfId="874" xr:uid="{C92F08F4-BFC4-4A69-B933-04702E75DD50}"/>
    <cellStyle name="Normal 75" xfId="867" xr:uid="{08F09F4E-A858-42FA-BB1D-62447CDC5D3E}"/>
    <cellStyle name="Normal 76" xfId="871" xr:uid="{FEA5BA91-0B0A-4628-A04B-18DD232315E1}"/>
    <cellStyle name="Normal 8" xfId="208" xr:uid="{70E1A6D8-8AE7-4F76-AE26-D9E88B94AAC3}"/>
    <cellStyle name="Normal 8 2" xfId="360" xr:uid="{7C6F134E-A7C9-4CC9-A576-00B2BAEA0C86}"/>
    <cellStyle name="Normal 8 2 2" xfId="517" xr:uid="{FEDD3962-BDCF-4FAE-A67E-8DB96DD32908}"/>
    <cellStyle name="Normal 8 2 2 2" xfId="818" xr:uid="{1214F408-884F-4FCB-A13B-BD812C9A6FDB}"/>
    <cellStyle name="Normal 8 2 3" xfId="669" xr:uid="{0308C02B-91B6-408D-96F0-C63E16A5D277}"/>
    <cellStyle name="Normal 8 3" xfId="443" xr:uid="{CFDC23F4-3611-4149-8F3F-4ACD5F2C4DFB}"/>
    <cellStyle name="Normal 8 3 2" xfId="744" xr:uid="{E95D14DB-C2A4-42EB-91BB-812A8C2E15F1}"/>
    <cellStyle name="Normal 8 4" xfId="594" xr:uid="{E8FD0239-D387-4025-B7BB-5710F2332900}"/>
    <cellStyle name="Normal 9" xfId="209" xr:uid="{590289B9-8C5E-4C6A-8478-E9F2F6671A17}"/>
    <cellStyle name="Normal_Sheet8" xfId="875" xr:uid="{59152903-BCDB-48D7-A0DA-337FAD5AB668}"/>
    <cellStyle name="Note 2" xfId="210" xr:uid="{399C3339-7BF7-4FA9-9D84-7D573271B74E}"/>
    <cellStyle name="Note 2 2" xfId="361" xr:uid="{3EF82C37-A60A-48EE-A466-2F46516B9D35}"/>
    <cellStyle name="Note 2 2 2" xfId="518" xr:uid="{B308B521-2D27-45C5-AE16-291CDC0432C7}"/>
    <cellStyle name="Note 2 2 2 2" xfId="819" xr:uid="{D2138D92-1244-4E53-B425-7E6D8514F737}"/>
    <cellStyle name="Note 2 2 3" xfId="670" xr:uid="{68A000D9-7038-429A-ACF8-9DE6CF39809C}"/>
    <cellStyle name="Note 2 3" xfId="444" xr:uid="{A2D32EBD-39AA-479E-8D62-31DBF35F3471}"/>
    <cellStyle name="Note 2 3 2" xfId="745" xr:uid="{E2132C9E-2155-497E-BA2A-CB04FA766A95}"/>
    <cellStyle name="Note 2 4" xfId="595" xr:uid="{D0F87F32-ADDF-4648-8F30-F8B1B47C7C66}"/>
    <cellStyle name="Note 3" xfId="211" xr:uid="{AAE3E8F9-2876-4C49-B649-1843D7BF6ED5}"/>
    <cellStyle name="Output 2" xfId="212" xr:uid="{EF2D1636-47B9-4F8C-821E-B10272AA9FA5}"/>
    <cellStyle name="Percent" xfId="3" builtinId="5"/>
    <cellStyle name="Percent [2]" xfId="214" xr:uid="{00CD0512-6CE0-4A8F-9AE5-EEA820E4B315}"/>
    <cellStyle name="Percent [2] 2" xfId="362" xr:uid="{880F8F4F-558E-4775-B312-CCCD1DAC8C72}"/>
    <cellStyle name="Percent 10" xfId="215" xr:uid="{C10B0B81-6653-4944-A7F8-147E6FC01727}"/>
    <cellStyle name="Percent 10 2" xfId="363" xr:uid="{4D07D741-8D8A-4E04-86A6-7C1FE4F11161}"/>
    <cellStyle name="Percent 10 2 2" xfId="519" xr:uid="{4ECC2B87-E395-48C5-9427-0AB1022857CA}"/>
    <cellStyle name="Percent 10 2 2 2" xfId="820" xr:uid="{5B8180F5-B70E-4AA8-B684-2DB1B2DAB5DB}"/>
    <cellStyle name="Percent 10 2 3" xfId="671" xr:uid="{819B6DD8-D775-4BE6-AE67-CC191FBAC63A}"/>
    <cellStyle name="Percent 10 3" xfId="445" xr:uid="{E5887324-E2FE-4541-83EA-6099892E19CA}"/>
    <cellStyle name="Percent 10 3 2" xfId="746" xr:uid="{B8796AD1-6ED3-46CE-9D3C-30BD8B7E3FFE}"/>
    <cellStyle name="Percent 10 4" xfId="596" xr:uid="{96585AD3-BE5C-4A13-8DFC-169FCE024CBB}"/>
    <cellStyle name="Percent 11" xfId="216" xr:uid="{8BE54D77-A01B-4ABD-AF94-577F6CB9E4A8}"/>
    <cellStyle name="Percent 12" xfId="217" xr:uid="{F95F569C-81FA-4E9D-AC21-0D8EC5758DCF}"/>
    <cellStyle name="Percent 13" xfId="218" xr:uid="{F9809D53-E2A4-4A6F-AB3E-1C19CE78342E}"/>
    <cellStyle name="Percent 13 2" xfId="364" xr:uid="{4B8567C1-8676-49F8-8153-8D1C43CA8C4E}"/>
    <cellStyle name="Percent 13 2 2" xfId="520" xr:uid="{7AC0DA88-EE30-4653-8985-0FC24B1094AA}"/>
    <cellStyle name="Percent 13 2 2 2" xfId="821" xr:uid="{993DA236-4BF0-4C15-9E6D-0DC0D8A40449}"/>
    <cellStyle name="Percent 13 2 3" xfId="672" xr:uid="{92BA6135-E39D-4174-B739-1BC6470E6EAB}"/>
    <cellStyle name="Percent 13 3" xfId="446" xr:uid="{096D3913-11FC-4D58-BAEA-0BDCDC81C641}"/>
    <cellStyle name="Percent 13 3 2" xfId="747" xr:uid="{72901DB1-C889-4C8D-AB39-558F3F9B8CBD}"/>
    <cellStyle name="Percent 13 4" xfId="597" xr:uid="{5FD5FCE1-80A8-44B1-9C76-53C93A1A1D3A}"/>
    <cellStyle name="Percent 14" xfId="213" xr:uid="{F4D56DA6-9A45-4322-904C-CE788DEC2ECC}"/>
    <cellStyle name="Percent 15" xfId="866" xr:uid="{FFFA3221-5D32-467A-A42C-9AC12414E412}"/>
    <cellStyle name="Percent 16" xfId="872" xr:uid="{568DD2CD-C5A7-47B5-B675-4CD1A89E3C81}"/>
    <cellStyle name="Percent 17" xfId="869" xr:uid="{EEAAD7CA-19E9-44AD-A6D0-7D5A2E158DA7}"/>
    <cellStyle name="Percent 18" xfId="864" xr:uid="{E81C70E6-9EAF-46C3-9F86-F637D8345930}"/>
    <cellStyle name="Percent 19" xfId="873" xr:uid="{2494E232-6E8D-4A2D-9384-2FF5710EC47F}"/>
    <cellStyle name="Percent 2" xfId="219" xr:uid="{0BE16C03-CF68-4E69-845B-1D2B917EC274}"/>
    <cellStyle name="Percent 2 2" xfId="220" xr:uid="{E3EBC921-3234-4E19-A4E0-DFAEAA8DE91A}"/>
    <cellStyle name="Percent 2 2 2" xfId="366" xr:uid="{C58716F6-A21A-4F64-9DCD-085C9349A080}"/>
    <cellStyle name="Percent 2 3" xfId="221" xr:uid="{820C1B4B-9305-42AA-9C2A-5D4391742837}"/>
    <cellStyle name="Percent 2 3 2" xfId="367" xr:uid="{3B3E2F17-ED48-4F01-B48C-1E2BC64C8329}"/>
    <cellStyle name="Percent 2 4" xfId="222" xr:uid="{E9E10FCC-A422-4689-BDEB-AC473F0C682A}"/>
    <cellStyle name="Percent 2 4 2" xfId="368" xr:uid="{C1577005-6084-4E4A-90C5-E8E49B9E1859}"/>
    <cellStyle name="Percent 2 5" xfId="223" xr:uid="{C10B1032-EE25-41EF-B34D-23D70C3CE948}"/>
    <cellStyle name="Percent 2 6" xfId="224" xr:uid="{1A253A3A-0850-4878-BF11-7EBBFB6C8B45}"/>
    <cellStyle name="Percent 2 7" xfId="225" xr:uid="{32C985B3-F649-4835-9AB8-709DFBD8372E}"/>
    <cellStyle name="Percent 2 8" xfId="365" xr:uid="{EBF0E1AB-C1FF-4AFF-9FB4-1B88CA1EA585}"/>
    <cellStyle name="Percent 20" xfId="870" xr:uid="{F55FD44C-8F9F-4C75-A092-0E84F785462F}"/>
    <cellStyle name="Percent 3" xfId="226" xr:uid="{25CB7424-B653-4665-975C-28750AEAD3AD}"/>
    <cellStyle name="Percent 3 2" xfId="227" xr:uid="{4D753A04-5424-49A8-8C7D-1E247EBB680B}"/>
    <cellStyle name="Percent 3 2 2" xfId="370" xr:uid="{ACFDD2F7-4D9B-4FBD-A9B5-87BD1B0898B6}"/>
    <cellStyle name="Percent 3 3" xfId="369" xr:uid="{744ACAC0-DC1A-4B01-9677-859B96D28CCD}"/>
    <cellStyle name="Percent 4" xfId="228" xr:uid="{59686F6F-F262-4F3D-A47A-1EC5F94B9BAA}"/>
    <cellStyle name="Percent 4 2" xfId="229" xr:uid="{DFB17B22-E71D-4B9E-9EAB-A434618E5B10}"/>
    <cellStyle name="Percent 4 3" xfId="230" xr:uid="{9A644564-CE6B-4A0E-BEC1-A982ED87726B}"/>
    <cellStyle name="Percent 4 3 2" xfId="371" xr:uid="{537F754F-7548-4C1A-91B3-796086A654B7}"/>
    <cellStyle name="Percent 4 3 2 2" xfId="521" xr:uid="{464D0872-0107-40B5-9A2D-2884954C6495}"/>
    <cellStyle name="Percent 4 3 2 2 2" xfId="822" xr:uid="{E0BA8458-390F-4CE9-A87C-4EB823505DBB}"/>
    <cellStyle name="Percent 4 3 2 3" xfId="673" xr:uid="{6704AE5C-74BC-4062-8059-FA13BB9F778C}"/>
    <cellStyle name="Percent 4 3 3" xfId="447" xr:uid="{52B04D1B-1279-46E1-8AF4-A5E8A90C8620}"/>
    <cellStyle name="Percent 4 3 3 2" xfId="748" xr:uid="{C611E152-9891-4430-A637-34B573212D92}"/>
    <cellStyle name="Percent 4 3 4" xfId="598" xr:uid="{B7F751E1-C629-4948-853A-F7B72C63DB17}"/>
    <cellStyle name="Percent 5" xfId="231" xr:uid="{90022CDF-DC85-4E5E-AC7D-E56A7BB75639}"/>
    <cellStyle name="Percent 5 2" xfId="232" xr:uid="{70BDB010-94DB-4737-A858-C73903B66198}"/>
    <cellStyle name="Percent 5 2 2" xfId="373" xr:uid="{B9AB1D49-2E96-4F8D-9CAB-6D309E077BC6}"/>
    <cellStyle name="Percent 5 2 2 2" xfId="523" xr:uid="{277110B6-C27A-4CFE-BE23-F40EA3803E16}"/>
    <cellStyle name="Percent 5 2 2 2 2" xfId="824" xr:uid="{0C609D13-2AA2-4D59-9B16-40319BC719A5}"/>
    <cellStyle name="Percent 5 2 2 3" xfId="675" xr:uid="{60FE2B5E-49C5-4260-BB1F-5855DACDFA78}"/>
    <cellStyle name="Percent 5 2 3" xfId="449" xr:uid="{1891479A-EFA6-46B6-8DFD-B4D2C75C0498}"/>
    <cellStyle name="Percent 5 2 3 2" xfId="750" xr:uid="{C19FEB0D-7A4F-422C-A363-F701A26BFED6}"/>
    <cellStyle name="Percent 5 2 4" xfId="600" xr:uid="{76356FDD-0FF7-47F0-8480-284D2032B065}"/>
    <cellStyle name="Percent 5 3" xfId="372" xr:uid="{93086081-FB97-49EA-99FA-F4551629C9A2}"/>
    <cellStyle name="Percent 5 3 2" xfId="522" xr:uid="{467DA12A-F01C-4119-8C1E-82FB6C4680EE}"/>
    <cellStyle name="Percent 5 3 2 2" xfId="823" xr:uid="{C3BD0198-37C4-48A9-8E30-9FD6D6B8198F}"/>
    <cellStyle name="Percent 5 3 3" xfId="674" xr:uid="{56F261BE-5C58-43DC-944F-D6B3D151ED9C}"/>
    <cellStyle name="Percent 5 4" xfId="448" xr:uid="{98F1AE42-84AB-4D53-B436-96BE12BBD947}"/>
    <cellStyle name="Percent 5 4 2" xfId="749" xr:uid="{90752825-632E-48AD-8434-1FF85BE7B897}"/>
    <cellStyle name="Percent 5 5" xfId="599" xr:uid="{F7CACB0D-DCBA-4DDB-9DCE-798FF2AE4F5E}"/>
    <cellStyle name="Percent 6" xfId="233" xr:uid="{A5AD99C2-E07C-4C26-9D6D-7BA54C9A6E72}"/>
    <cellStyle name="Percent 7" xfId="234" xr:uid="{59F6D799-8902-45C8-8C27-409C79208D41}"/>
    <cellStyle name="Percent 8" xfId="235" xr:uid="{BCF05223-0C8E-472E-AE57-5E5102C260FD}"/>
    <cellStyle name="Percent 9" xfId="236" xr:uid="{AD1EAFBF-2FF6-4D5B-B8C3-2A1BE225575F}"/>
    <cellStyle name="Percent 9 2" xfId="374" xr:uid="{0A49BEE1-D5CF-40CF-81CC-63E3DD543CAB}"/>
    <cellStyle name="Percent 9 2 2" xfId="524" xr:uid="{FAC6F658-D68A-45C2-AB34-921A3B3EF975}"/>
    <cellStyle name="Percent 9 2 2 2" xfId="825" xr:uid="{D75DD5C9-6B58-4EB8-88DA-CDF61D4434FC}"/>
    <cellStyle name="Percent 9 2 3" xfId="676" xr:uid="{73E88AC6-232A-47A5-BCFB-4CEA853D98A2}"/>
    <cellStyle name="Percent 9 3" xfId="450" xr:uid="{C980C333-A54D-43C4-BAA7-3AEBB17E224F}"/>
    <cellStyle name="Percent 9 3 2" xfId="751" xr:uid="{C1759348-A619-426A-A315-6D68B1F12F67}"/>
    <cellStyle name="Percent 9 4" xfId="601" xr:uid="{C3358363-B746-432A-8461-21A11AD3BE29}"/>
    <cellStyle name="Refdb standard" xfId="237" xr:uid="{0676754E-2E1B-42AE-A0E3-185A3D761F7E}"/>
    <cellStyle name="Refdb standard 2" xfId="375" xr:uid="{8FCF043B-D73A-4F90-8E7C-95AF3B652FF7}"/>
    <cellStyle name="Reference" xfId="238" xr:uid="{502EF164-992A-40CF-A11C-3F56944B4863}"/>
    <cellStyle name="RHlayer1" xfId="239" xr:uid="{BB112BEE-29C7-48CE-86A0-2428445A2D4F}"/>
    <cellStyle name="RHlayer1 2" xfId="376" xr:uid="{4D0A1A25-DB71-46C8-B8C4-8A51F63F1BE8}"/>
    <cellStyle name="RHlayer1 2 2" xfId="525" xr:uid="{EF326AD4-E002-49FA-A935-DD2F356FC49E}"/>
    <cellStyle name="RHlayer1 2 2 2" xfId="826" xr:uid="{43F2D3A5-4223-4983-BEEA-0CF17892F200}"/>
    <cellStyle name="RHlayer1 2 3" xfId="678" xr:uid="{1957CFEA-A6E8-43AE-99DC-7B5935A217BB}"/>
    <cellStyle name="RHlayer1 3" xfId="451" xr:uid="{203C271F-DA7E-49D5-9A8F-3B9E5DACB881}"/>
    <cellStyle name="RHlayer1 3 2" xfId="752" xr:uid="{9C34BB88-DAA2-491B-8EEF-8B463CD55B47}"/>
    <cellStyle name="RHlayer1 4" xfId="602" xr:uid="{6222DCCE-E5CE-40E4-A71F-241FF22F3F83}"/>
    <cellStyle name="RHlayer2" xfId="240" xr:uid="{90A5DB21-073E-4493-B5A1-21855B1BC6FF}"/>
    <cellStyle name="RHlayer2 2" xfId="377" xr:uid="{42F70AA0-48DB-4C4F-8B76-D99D9A757341}"/>
    <cellStyle name="RHlayer2 2 2" xfId="526" xr:uid="{54E97AE4-63D9-49D2-B560-D66585209E9C}"/>
    <cellStyle name="RHlayer2 2 2 2" xfId="827" xr:uid="{3F083569-63B9-4E82-A523-2100196A84FB}"/>
    <cellStyle name="RHlayer2 2 3" xfId="679" xr:uid="{B0D46860-6002-4EFA-BC9A-3E32E36F45AB}"/>
    <cellStyle name="RHlayer2 3" xfId="452" xr:uid="{DA288216-1C6F-4724-8145-A492DBA1ED07}"/>
    <cellStyle name="RHlayer2 3 2" xfId="753" xr:uid="{91891EC3-23BA-49A3-A062-9E3F956A744D}"/>
    <cellStyle name="RHlayer2 4" xfId="603" xr:uid="{740A8051-7E6D-4D11-A5D5-0D0F4DDFAC19}"/>
    <cellStyle name="RHlayer3" xfId="241" xr:uid="{9D565AD9-4F3A-4E2C-AEC6-F33C266F97DF}"/>
    <cellStyle name="RHlayer3 2" xfId="378" xr:uid="{0AD35A81-FFC5-4578-B260-CCA074D0183C}"/>
    <cellStyle name="RHlayer3 2 2" xfId="527" xr:uid="{6EDBEAF4-F636-4DA4-AE1F-583664753482}"/>
    <cellStyle name="RHlayer3 2 2 2" xfId="828" xr:uid="{620A34E0-F9E0-44EE-9270-4D1D1A3222DD}"/>
    <cellStyle name="RHlayer3 2 3" xfId="680" xr:uid="{6054ABC4-EFEC-4F04-85FB-8452E6D9CCE5}"/>
    <cellStyle name="RHlayer3 3" xfId="453" xr:uid="{8CFCB5AA-2142-4F2A-BCB6-CEEE878921BA}"/>
    <cellStyle name="RHlayer3 3 2" xfId="754" xr:uid="{861BF451-E886-479D-87FD-E2829351B757}"/>
    <cellStyle name="RHlayer3 4" xfId="604" xr:uid="{565410D4-4303-4D34-ABD6-96D74B9DE8CD}"/>
    <cellStyle name="RHlayer4" xfId="242" xr:uid="{FA7CC185-E5F2-4833-952B-538E34DF558F}"/>
    <cellStyle name="RHlayer4 2" xfId="379" xr:uid="{49406F8F-DE08-4779-BEC0-FC95ED1DEBFC}"/>
    <cellStyle name="RHlayer4 2 2" xfId="528" xr:uid="{921CF236-0715-4A4B-9458-219A9CD419CC}"/>
    <cellStyle name="RHlayer4 2 2 2" xfId="829" xr:uid="{AD1F0F70-3762-43DA-9BA5-669F35A64CFD}"/>
    <cellStyle name="RHlayer4 2 3" xfId="681" xr:uid="{91CF9D66-A6E0-4230-A14E-E987A08406F6}"/>
    <cellStyle name="RHlayer4 3" xfId="454" xr:uid="{64C2D6A2-56BE-4C79-A849-B2409BE0986F}"/>
    <cellStyle name="RHlayer4 3 2" xfId="755" xr:uid="{A9930C02-C1AE-4532-87C7-CF88C3A77F7F}"/>
    <cellStyle name="RHlayer4 4" xfId="605" xr:uid="{8C7B555B-ECF6-41D4-BB7D-1BF7A27E2E91}"/>
    <cellStyle name="RHlayer5" xfId="243" xr:uid="{48687232-3C3E-429F-9637-4BC997415010}"/>
    <cellStyle name="RHlayer5 2" xfId="380" xr:uid="{1EB2835F-C3DB-4373-8BC8-4BDACF4EF26B}"/>
    <cellStyle name="RHlayer5 2 2" xfId="529" xr:uid="{F8A13187-111D-4A0F-B5EC-EEF819EF7C26}"/>
    <cellStyle name="RHlayer5 2 2 2" xfId="830" xr:uid="{D04AF289-E65E-4B4F-B177-9ED80D26CB8F}"/>
    <cellStyle name="RHlayer5 2 3" xfId="682" xr:uid="{9F6E1333-7897-4ACA-BFA0-09FDA171D61B}"/>
    <cellStyle name="RHlayer5 3" xfId="455" xr:uid="{D533F416-286B-4A66-BCC4-0D9E15292F0D}"/>
    <cellStyle name="RHlayer5 3 2" xfId="756" xr:uid="{EBB891AB-3F83-45DE-84BB-8ACBBDA07F0A}"/>
    <cellStyle name="RHlayer5 4" xfId="606" xr:uid="{060E9443-E9E1-4165-BF13-5608140F494B}"/>
    <cellStyle name="RHlayer6" xfId="244" xr:uid="{70FFA658-8488-4E57-9BD6-36EAE43E801E}"/>
    <cellStyle name="RHlayer6 2" xfId="381" xr:uid="{6A101DA6-0308-4BFA-A0EE-67FBBA8D9815}"/>
    <cellStyle name="RHlayer6 2 2" xfId="530" xr:uid="{D5E19C81-3459-4259-99CB-B683E12546A1}"/>
    <cellStyle name="RHlayer6 2 2 2" xfId="831" xr:uid="{32EACE33-D385-4979-82BA-AF5DC317B8BA}"/>
    <cellStyle name="RHlayer6 2 3" xfId="683" xr:uid="{413E661F-EC5C-4F2C-93B4-7E3165553717}"/>
    <cellStyle name="RHlayer6 3" xfId="456" xr:uid="{3B0C527F-A02A-4E79-8E31-6DB238B9F443}"/>
    <cellStyle name="RHlayer6 3 2" xfId="757" xr:uid="{F895B210-70C8-421E-AF04-AD38A672E7EC}"/>
    <cellStyle name="RHlayer6 4" xfId="607" xr:uid="{B4CCC03D-CAE4-4F08-8D24-39E39D5639BE}"/>
    <cellStyle name="RHlevel1" xfId="245" xr:uid="{533699C0-CCB2-4FE8-86F5-201A1F650DA1}"/>
    <cellStyle name="RHlevel1 2" xfId="382" xr:uid="{A46042D9-9559-4146-817E-BEC820E45561}"/>
    <cellStyle name="RHlevel1 2 2" xfId="531" xr:uid="{AAE553A5-60FA-491A-82CF-16BDA20DAA3B}"/>
    <cellStyle name="RHlevel1 2 2 2" xfId="832" xr:uid="{2AAF36F9-4A43-4E1F-9101-4D81E095F2B9}"/>
    <cellStyle name="RHlevel1 2 3" xfId="684" xr:uid="{54D528C9-32B3-4573-ADD2-B0FEFDB8F259}"/>
    <cellStyle name="RHlevel1 3" xfId="457" xr:uid="{0AB67804-34C4-4F1C-925C-E692E05CE2DD}"/>
    <cellStyle name="RHlevel1 3 2" xfId="758" xr:uid="{CC80DF08-AFDA-47E8-8E74-9BCEA0A08D22}"/>
    <cellStyle name="RHlevel1 4" xfId="608" xr:uid="{537E9AC6-526D-420B-99BA-428960B77EF3}"/>
    <cellStyle name="RHlevel2" xfId="246" xr:uid="{5A775D98-B81C-41B6-B375-FD9AADE2DF93}"/>
    <cellStyle name="RHlevel2 2" xfId="383" xr:uid="{8FA18C9E-082A-416B-9581-F5BC4063D190}"/>
    <cellStyle name="RHlevel2 2 2" xfId="532" xr:uid="{13993E72-91EA-4697-A191-DA261B531D9C}"/>
    <cellStyle name="RHlevel2 2 2 2" xfId="833" xr:uid="{BD0B1F01-49C4-4DCE-A0A0-442400981634}"/>
    <cellStyle name="RHlevel2 2 3" xfId="685" xr:uid="{71580E86-90F6-404C-BFF6-3EDD64E18BC3}"/>
    <cellStyle name="RHlevel2 3" xfId="458" xr:uid="{FE8C30F9-58F9-4CD3-A63F-ABD7C1EFAE43}"/>
    <cellStyle name="RHlevel2 3 2" xfId="759" xr:uid="{A8CB9630-79CD-4305-B967-822ECBED4A1B}"/>
    <cellStyle name="RHlevel2 4" xfId="609" xr:uid="{72C1B39F-C652-4654-AD50-7149642F634E}"/>
    <cellStyle name="RHlevel3" xfId="247" xr:uid="{48FDFA03-D6CA-49A6-9207-4F04EB195A8D}"/>
    <cellStyle name="RHlevel3 2" xfId="384" xr:uid="{80F9B513-7322-438A-BEF5-D0B7B85695D8}"/>
    <cellStyle name="RHlevel3 2 2" xfId="533" xr:uid="{0D42CACE-182B-4B30-B9D8-E4292B253701}"/>
    <cellStyle name="RHlevel3 2 2 2" xfId="834" xr:uid="{F410BE35-D3D4-4EFF-A4A6-473552AF4756}"/>
    <cellStyle name="RHlevel3 2 3" xfId="686" xr:uid="{5F459761-953C-4AB6-B102-5F3BD0E9E328}"/>
    <cellStyle name="RHlevel3 3" xfId="459" xr:uid="{0D5EE36B-F2FC-4029-A65A-BDEC4026239B}"/>
    <cellStyle name="RHlevel3 3 2" xfId="760" xr:uid="{77F2D476-A5B8-42C2-9361-0B146BDA8A3A}"/>
    <cellStyle name="RHlevel3 4" xfId="610" xr:uid="{EF9716B6-C649-477C-959D-62EDC21C2B5E}"/>
    <cellStyle name="RHlevel4" xfId="248" xr:uid="{716D9256-F3E1-4D08-9DA8-7FCC96A54C75}"/>
    <cellStyle name="RHlevel4 2" xfId="385" xr:uid="{C8C8540A-81EA-4141-BCFC-443DFDD5AACB}"/>
    <cellStyle name="RHlevel4 2 2" xfId="534" xr:uid="{BCCA71AE-1F89-4AAE-BE7E-E5FBE4BA3206}"/>
    <cellStyle name="RHlevel4 2 2 2" xfId="835" xr:uid="{35B15DF4-2C1E-4EF5-93A0-F47D9AB178C1}"/>
    <cellStyle name="RHlevel4 2 3" xfId="687" xr:uid="{8D676ADA-CB2E-4488-9285-219D36DF45AC}"/>
    <cellStyle name="RHlevel4 3" xfId="460" xr:uid="{5B3F6905-319F-4687-903D-BC4082D19CCB}"/>
    <cellStyle name="RHlevel4 3 2" xfId="761" xr:uid="{82A2191D-D6BD-45B9-A22C-8D3FDB96A7A5}"/>
    <cellStyle name="RHlevel4 4" xfId="611" xr:uid="{E6ABAAEC-861E-4B63-AE71-7C68E1A46182}"/>
    <cellStyle name="RHlevel5" xfId="249" xr:uid="{9D6F6511-F709-4BB1-8B54-39EC16653300}"/>
    <cellStyle name="RHlevel5 2" xfId="386" xr:uid="{9D5089C3-1BD9-48C5-9E00-CDFE05CC0FCE}"/>
    <cellStyle name="RHlevel5 2 2" xfId="535" xr:uid="{4C780835-1E82-4F3B-8D48-031E0E9C3BF2}"/>
    <cellStyle name="RHlevel5 2 2 2" xfId="836" xr:uid="{8BDB7A6E-96F3-4BF0-8204-F8A8766240EF}"/>
    <cellStyle name="RHlevel5 2 3" xfId="688" xr:uid="{98B2E3B2-F563-461B-A65F-F0FACBC1A190}"/>
    <cellStyle name="RHlevel5 3" xfId="461" xr:uid="{AA9C0BE7-27A8-4DF7-A0E2-D8FEEB2D2E8A}"/>
    <cellStyle name="RHlevel5 3 2" xfId="762" xr:uid="{90541074-433E-4910-ADF1-0F9C401C0CE7}"/>
    <cellStyle name="RHlevel5 4" xfId="612" xr:uid="{83DDB811-4873-448B-9D11-27A425DCCEEA}"/>
    <cellStyle name="Row heading" xfId="250" xr:uid="{5A284B7B-A8B0-4D7D-900C-D1D429A27AC8}"/>
    <cellStyle name="Source Hed" xfId="251" xr:uid="{3F0B38C8-59F6-40DF-81AF-E1CD3892DDDD}"/>
    <cellStyle name="Source Letter" xfId="252" xr:uid="{868B4764-7FC6-4C41-816C-C6AF24E22BB7}"/>
    <cellStyle name="Source Superscript" xfId="253" xr:uid="{1145B720-1A2C-4848-9D5A-673D3EE3CC97}"/>
    <cellStyle name="Source Superscript 2" xfId="254" xr:uid="{BA11C41C-8EB6-4B92-8D8E-CB13B3C9E4BA}"/>
    <cellStyle name="Source Text" xfId="255" xr:uid="{C065EDAB-8754-4EE2-8E9D-DBC6AC7DED5D}"/>
    <cellStyle name="Source Text 2" xfId="256" xr:uid="{FB0330A8-B7CA-4828-A2EA-FCD20B6BF3D4}"/>
    <cellStyle name="Source Text 3" xfId="257" xr:uid="{C852E1BB-959A-44F6-8967-A2AD4194BEAB}"/>
    <cellStyle name="State" xfId="258" xr:uid="{FD102081-4A2C-4CCB-98AA-80BB2D026AEC}"/>
    <cellStyle name="Style 1" xfId="259" xr:uid="{480A1C5A-9DBC-4364-AD2F-16C154C627FD}"/>
    <cellStyle name="Superscript" xfId="260" xr:uid="{13D1E29D-822C-4DEF-AD1B-88432C3523B8}"/>
    <cellStyle name="Superscript- regular" xfId="261" xr:uid="{D0F05FC4-5008-4077-9B24-F9509C76A80F}"/>
    <cellStyle name="Superscript_1-1A-Regular" xfId="262" xr:uid="{00B042FF-A9E9-4275-B4A6-A083B6E1C646}"/>
    <cellStyle name="Table Data" xfId="263" xr:uid="{D7674116-2AFD-488F-8B9A-2AB5D7FB9FCF}"/>
    <cellStyle name="Table Head Top" xfId="264" xr:uid="{FB7A514C-8FF8-48C2-916C-CD88CD21C8CB}"/>
    <cellStyle name="Table Hed Side" xfId="265" xr:uid="{3C5E50A4-0A7D-4857-9724-0A2E4D32EFCD}"/>
    <cellStyle name="Table Title" xfId="266" xr:uid="{7839C394-60A1-4EE3-8DD4-5339D7B50C8E}"/>
    <cellStyle name="Times New Roman" xfId="267" xr:uid="{9CF4899E-BB39-4E71-85C2-720E0A45BF32}"/>
    <cellStyle name="Title Text" xfId="268" xr:uid="{B03370D3-EB2E-463F-8343-A7CF8B3AF581}"/>
    <cellStyle name="Title Text 1" xfId="269" xr:uid="{E9BE7461-E850-4675-8F3F-422E8566A5FA}"/>
    <cellStyle name="Title Text 2" xfId="270" xr:uid="{EE8B3312-2C95-41C2-86E3-D1EA899F06E0}"/>
    <cellStyle name="Title-1" xfId="271" xr:uid="{4CA08D1A-FC98-4635-A844-B9F163431872}"/>
    <cellStyle name="Title-1 2" xfId="272" xr:uid="{71319F59-B19F-40C2-AAE6-9E7AD1EDEB88}"/>
    <cellStyle name="Title-1 3" xfId="273" xr:uid="{95C4AD52-2A7F-4658-94FB-C0CDE34E44F8}"/>
    <cellStyle name="Title-2" xfId="274" xr:uid="{829C6CB6-3391-4256-8358-4B9311AA8DF8}"/>
    <cellStyle name="Title-2 2" xfId="275" xr:uid="{C0B1A550-9AAB-4DDA-8A31-400DD1C5F265}"/>
    <cellStyle name="Title-3" xfId="276" xr:uid="{B95F4A1C-E583-4CAA-B4EA-0196C49007EE}"/>
    <cellStyle name="Total 2" xfId="277" xr:uid="{4AFEDB8E-D12A-4F88-8DDE-7B795D4FA95F}"/>
    <cellStyle name="Total 3" xfId="278" xr:uid="{5C437F0A-805B-4960-AC94-E64E14354178}"/>
    <cellStyle name="Warning Text 2" xfId="279" xr:uid="{4C314CDA-E731-4D0A-B7A1-B3277F0747DD}"/>
    <cellStyle name="Warning Text 2 2" xfId="280" xr:uid="{4D18E511-BBF8-4F84-A595-7E14EF464018}"/>
    <cellStyle name="Warning Text 2 3" xfId="281" xr:uid="{1FA1CF45-CCAA-4981-B777-F51A2493C506}"/>
    <cellStyle name="Warning Text 2 4" xfId="282" xr:uid="{7088B3E2-7D95-41C9-A58D-81F5DAD72B38}"/>
    <cellStyle name="Wrap" xfId="283" xr:uid="{CFFBC10D-070F-464C-A070-B4C5A5B60D66}"/>
    <cellStyle name="Wrap Bold" xfId="284" xr:uid="{9655D84C-9171-459E-BBAD-6F6ADE50EA0B}"/>
    <cellStyle name="Wrap Title" xfId="285" xr:uid="{2E6654AC-C41E-4BDE-A6DA-047C249487D2}"/>
    <cellStyle name="Wrap_NTS99-~11" xfId="286" xr:uid="{9B6BEBFB-676C-43CD-9598-8E2D8332ED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7771130</xdr:colOff>
      <xdr:row>58</xdr:row>
      <xdr:rowOff>147320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F84373-E9F5-466E-A7AC-7632E6E0F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57325"/>
          <a:ext cx="7771130" cy="10053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mfclearinghouse.org/detail.cfm?facid=5411" TargetMode="External"/><Relationship Id="rId1" Type="http://schemas.openxmlformats.org/officeDocument/2006/relationships/hyperlink" Target="http://www.cmfclearinghouse.org/detail.cfm?facid=3404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static.tti.tamu.edu/tti.tamu.edu/documents/TTI-2020-8.pdf" TargetMode="External"/><Relationship Id="rId1" Type="http://schemas.openxmlformats.org/officeDocument/2006/relationships/hyperlink" Target="https://crashstats.nhtsa.dot.gov/Api/Public/ViewPublication/812013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0875E-ACCA-40AA-8846-1A3B37FF99E4}">
  <sheetPr>
    <tabColor theme="4" tint="0.39997558519241921"/>
  </sheetPr>
  <dimension ref="A2:A5"/>
  <sheetViews>
    <sheetView tabSelected="1" workbookViewId="0">
      <selection activeCell="A7" sqref="A7"/>
    </sheetView>
  </sheetViews>
  <sheetFormatPr defaultRowHeight="15" x14ac:dyDescent="0.25"/>
  <cols>
    <col min="1" max="1" width="137.7109375" bestFit="1" customWidth="1"/>
  </cols>
  <sheetData>
    <row r="2" spans="1:1" ht="23.25" x14ac:dyDescent="0.25">
      <c r="A2" s="6" t="s">
        <v>0</v>
      </c>
    </row>
    <row r="4" spans="1:1" ht="23.25" x14ac:dyDescent="0.25">
      <c r="A4" s="6" t="s">
        <v>1</v>
      </c>
    </row>
    <row r="5" spans="1:1" ht="23.25" x14ac:dyDescent="0.25">
      <c r="A5" s="7" t="s">
        <v>2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4ABF7-0514-45C5-A8F6-4D27B44B8245}">
  <sheetPr>
    <tabColor theme="7" tint="0.39997558519241921"/>
  </sheetPr>
  <dimension ref="A1:X29"/>
  <sheetViews>
    <sheetView workbookViewId="0">
      <selection activeCell="C17" sqref="C17"/>
    </sheetView>
  </sheetViews>
  <sheetFormatPr defaultColWidth="10.85546875" defaultRowHeight="15" x14ac:dyDescent="0.25"/>
  <cols>
    <col min="1" max="1" width="17.5703125" customWidth="1"/>
    <col min="2" max="4" width="11.85546875" customWidth="1"/>
    <col min="5" max="5" width="10.7109375" customWidth="1"/>
    <col min="6" max="6" width="4.28515625" customWidth="1"/>
    <col min="7" max="7" width="17.42578125" bestFit="1" customWidth="1"/>
    <col min="8" max="8" width="13.28515625" customWidth="1"/>
    <col min="9" max="10" width="10.28515625" customWidth="1"/>
    <col min="11" max="11" width="10.42578125" customWidth="1"/>
    <col min="12" max="12" width="10.85546875" customWidth="1"/>
    <col min="13" max="13" width="4.140625" customWidth="1"/>
    <col min="15" max="18" width="9.42578125" customWidth="1"/>
    <col min="19" max="19" width="4.42578125" customWidth="1"/>
    <col min="20" max="20" width="17.5703125" customWidth="1"/>
    <col min="21" max="24" width="8.85546875" customWidth="1"/>
  </cols>
  <sheetData>
    <row r="1" spans="1:24" ht="120.75" x14ac:dyDescent="0.3">
      <c r="A1" s="170" t="s">
        <v>103</v>
      </c>
      <c r="B1" s="170"/>
      <c r="C1" s="170"/>
      <c r="D1" s="170"/>
      <c r="E1" s="170"/>
      <c r="G1" s="2" t="s">
        <v>124</v>
      </c>
      <c r="H1" s="2" t="s">
        <v>125</v>
      </c>
      <c r="N1" s="170" t="s">
        <v>102</v>
      </c>
      <c r="O1" s="170"/>
      <c r="P1" s="170"/>
      <c r="Q1" s="170"/>
      <c r="R1" s="170"/>
      <c r="T1" s="170" t="s">
        <v>126</v>
      </c>
      <c r="U1" s="170"/>
      <c r="V1" s="170"/>
      <c r="W1" s="170"/>
      <c r="X1" s="170"/>
    </row>
    <row r="2" spans="1:24" ht="46.35" customHeight="1" x14ac:dyDescent="0.25">
      <c r="A2" s="171" t="s">
        <v>127</v>
      </c>
      <c r="B2" s="171"/>
      <c r="C2" s="171"/>
      <c r="D2" s="171"/>
      <c r="E2" s="171"/>
      <c r="G2" s="171" t="s">
        <v>128</v>
      </c>
      <c r="H2" s="171"/>
      <c r="I2" s="171"/>
      <c r="J2" s="171"/>
      <c r="K2" s="171"/>
      <c r="L2" s="171"/>
      <c r="N2" s="171" t="s">
        <v>129</v>
      </c>
      <c r="O2" s="171"/>
      <c r="P2" s="171"/>
      <c r="Q2" s="171"/>
      <c r="R2" s="171"/>
      <c r="T2" s="171" t="s">
        <v>130</v>
      </c>
      <c r="U2" s="171"/>
      <c r="V2" s="171"/>
      <c r="W2" s="171"/>
      <c r="X2" s="171"/>
    </row>
    <row r="3" spans="1:24" ht="45" x14ac:dyDescent="0.25">
      <c r="A3" s="95" t="s">
        <v>131</v>
      </c>
      <c r="B3" s="96" t="s">
        <v>132</v>
      </c>
      <c r="C3" s="96" t="s">
        <v>133</v>
      </c>
      <c r="D3" s="96" t="s">
        <v>134</v>
      </c>
      <c r="E3" s="96" t="s">
        <v>80</v>
      </c>
      <c r="G3" s="95" t="s">
        <v>131</v>
      </c>
      <c r="H3" s="100" t="s">
        <v>135</v>
      </c>
      <c r="I3" s="100" t="s">
        <v>136</v>
      </c>
      <c r="J3" s="100" t="s">
        <v>137</v>
      </c>
      <c r="K3" s="100" t="s">
        <v>138</v>
      </c>
      <c r="L3" s="100" t="s">
        <v>139</v>
      </c>
      <c r="M3" s="2"/>
      <c r="N3" s="95" t="s">
        <v>131</v>
      </c>
      <c r="O3" s="96" t="s">
        <v>132</v>
      </c>
      <c r="P3" s="96" t="s">
        <v>133</v>
      </c>
      <c r="Q3" s="96" t="s">
        <v>134</v>
      </c>
      <c r="R3" s="96" t="s">
        <v>80</v>
      </c>
      <c r="T3" s="95" t="s">
        <v>131</v>
      </c>
      <c r="U3" s="96" t="s">
        <v>132</v>
      </c>
      <c r="V3" s="96" t="s">
        <v>133</v>
      </c>
      <c r="W3" s="96" t="s">
        <v>134</v>
      </c>
      <c r="X3" s="96" t="s">
        <v>80</v>
      </c>
    </row>
    <row r="4" spans="1:24" x14ac:dyDescent="0.25">
      <c r="A4" s="95" t="s">
        <v>140</v>
      </c>
      <c r="B4" s="97">
        <v>1</v>
      </c>
      <c r="C4" s="97">
        <v>0.66666666666666663</v>
      </c>
      <c r="D4" s="97">
        <v>0.16666666666666666</v>
      </c>
      <c r="E4" s="97">
        <v>1.8333333333333333</v>
      </c>
      <c r="G4" s="95" t="s">
        <v>140</v>
      </c>
      <c r="H4" s="98">
        <v>1</v>
      </c>
      <c r="I4" s="97">
        <v>0.17</v>
      </c>
      <c r="J4" s="97"/>
      <c r="K4" s="97"/>
      <c r="L4" s="97">
        <f>1-((1-I4)*(1-K4))</f>
        <v>0.17000000000000004</v>
      </c>
      <c r="N4" s="95" t="s">
        <v>140</v>
      </c>
      <c r="O4" s="97">
        <f>B4*(1-$L4)</f>
        <v>0.83</v>
      </c>
      <c r="P4" s="97">
        <f t="shared" ref="P4:P23" si="0">C4*(1-$L4)</f>
        <v>0.55333333333333323</v>
      </c>
      <c r="Q4" s="97">
        <f t="shared" ref="Q4:Q23" si="1">D4*(1-$L4)</f>
        <v>0.13833333333333331</v>
      </c>
      <c r="R4" s="97">
        <f>SUM(O4:Q4)</f>
        <v>1.5216666666666665</v>
      </c>
      <c r="T4" s="95" t="s">
        <v>140</v>
      </c>
      <c r="U4" s="97">
        <f>B4-O4</f>
        <v>0.17000000000000004</v>
      </c>
      <c r="V4" s="97">
        <f t="shared" ref="V4:V23" si="2">C4-P4</f>
        <v>0.1133333333333334</v>
      </c>
      <c r="W4" s="97">
        <f t="shared" ref="W4:W23" si="3">D4-Q4</f>
        <v>2.8333333333333349E-2</v>
      </c>
      <c r="X4" s="97">
        <f>SUM(U4:W4)</f>
        <v>0.31166666666666676</v>
      </c>
    </row>
    <row r="5" spans="1:24" x14ac:dyDescent="0.25">
      <c r="A5" s="95" t="s">
        <v>141</v>
      </c>
      <c r="B5" s="97">
        <v>2.6666666666666634</v>
      </c>
      <c r="C5" s="97">
        <v>1</v>
      </c>
      <c r="D5" s="97">
        <v>0</v>
      </c>
      <c r="E5" s="97">
        <v>3.6666666666666634</v>
      </c>
      <c r="G5" s="95" t="s">
        <v>141</v>
      </c>
      <c r="H5" s="98">
        <v>2</v>
      </c>
      <c r="I5" s="97">
        <v>0.26</v>
      </c>
      <c r="J5" s="97"/>
      <c r="K5" s="97"/>
      <c r="L5" s="97">
        <f t="shared" ref="L5:L23" si="4">1-((1-I5)*(1-K5))</f>
        <v>0.26</v>
      </c>
      <c r="N5" s="95" t="s">
        <v>141</v>
      </c>
      <c r="O5" s="97">
        <f t="shared" ref="O5:O23" si="5">B5*(1-$L5)</f>
        <v>1.9733333333333309</v>
      </c>
      <c r="P5" s="97">
        <f t="shared" si="0"/>
        <v>0.74</v>
      </c>
      <c r="Q5" s="97">
        <f t="shared" si="1"/>
        <v>0</v>
      </c>
      <c r="R5" s="97">
        <f t="shared" ref="R5:R23" si="6">SUM(O5:Q5)</f>
        <v>2.7133333333333312</v>
      </c>
      <c r="T5" s="95" t="s">
        <v>141</v>
      </c>
      <c r="U5" s="97">
        <f t="shared" ref="U5:U23" si="7">B5-O5</f>
        <v>0.69333333333333247</v>
      </c>
      <c r="V5" s="97">
        <f t="shared" si="2"/>
        <v>0.26</v>
      </c>
      <c r="W5" s="97">
        <f t="shared" si="3"/>
        <v>0</v>
      </c>
      <c r="X5" s="97">
        <f t="shared" ref="X5:X24" si="8">SUM(U5:W5)</f>
        <v>0.95333333333333248</v>
      </c>
    </row>
    <row r="6" spans="1:24" x14ac:dyDescent="0.25">
      <c r="A6" s="95" t="s">
        <v>142</v>
      </c>
      <c r="B6" s="97">
        <v>0</v>
      </c>
      <c r="C6" s="97">
        <v>0.16666666666666666</v>
      </c>
      <c r="D6" s="97">
        <v>0</v>
      </c>
      <c r="E6" s="97">
        <v>0.16666666666666666</v>
      </c>
      <c r="G6" s="95" t="s">
        <v>142</v>
      </c>
      <c r="H6" s="98">
        <v>3</v>
      </c>
      <c r="I6" s="97">
        <v>0.77</v>
      </c>
      <c r="J6" s="97"/>
      <c r="K6" s="97"/>
      <c r="L6" s="97">
        <f t="shared" si="4"/>
        <v>0.77</v>
      </c>
      <c r="N6" s="95" t="s">
        <v>142</v>
      </c>
      <c r="O6" s="97">
        <f t="shared" si="5"/>
        <v>0</v>
      </c>
      <c r="P6" s="97">
        <f t="shared" si="0"/>
        <v>3.833333333333333E-2</v>
      </c>
      <c r="Q6" s="97">
        <f t="shared" si="1"/>
        <v>0</v>
      </c>
      <c r="R6" s="97">
        <f t="shared" si="6"/>
        <v>3.833333333333333E-2</v>
      </c>
      <c r="T6" s="95" t="s">
        <v>142</v>
      </c>
      <c r="U6" s="97">
        <f t="shared" si="7"/>
        <v>0</v>
      </c>
      <c r="V6" s="97">
        <f t="shared" si="2"/>
        <v>0.12833333333333333</v>
      </c>
      <c r="W6" s="97">
        <f t="shared" si="3"/>
        <v>0</v>
      </c>
      <c r="X6" s="97">
        <f t="shared" si="8"/>
        <v>0.12833333333333333</v>
      </c>
    </row>
    <row r="7" spans="1:24" x14ac:dyDescent="0.25">
      <c r="A7" s="95" t="s">
        <v>143</v>
      </c>
      <c r="B7" s="97">
        <v>0.33333333333333331</v>
      </c>
      <c r="C7" s="97">
        <v>0.83333333333333326</v>
      </c>
      <c r="D7" s="97">
        <v>0</v>
      </c>
      <c r="E7" s="97">
        <v>1.1666666666666665</v>
      </c>
      <c r="G7" s="95" t="s">
        <v>143</v>
      </c>
      <c r="H7" s="98">
        <v>3</v>
      </c>
      <c r="I7" s="97">
        <v>0.77</v>
      </c>
      <c r="J7" s="98">
        <v>4</v>
      </c>
      <c r="K7" s="97">
        <v>0.38</v>
      </c>
      <c r="L7" s="97">
        <f t="shared" si="4"/>
        <v>0.85740000000000005</v>
      </c>
      <c r="N7" s="95" t="s">
        <v>143</v>
      </c>
      <c r="O7" s="97">
        <f t="shared" si="5"/>
        <v>4.7533333333333316E-2</v>
      </c>
      <c r="P7" s="97">
        <f t="shared" si="0"/>
        <v>0.11883333333333328</v>
      </c>
      <c r="Q7" s="97">
        <f t="shared" si="1"/>
        <v>0</v>
      </c>
      <c r="R7" s="97">
        <f t="shared" si="6"/>
        <v>0.16636666666666661</v>
      </c>
      <c r="T7" s="95" t="s">
        <v>143</v>
      </c>
      <c r="U7" s="97">
        <f t="shared" si="7"/>
        <v>0.2858</v>
      </c>
      <c r="V7" s="97">
        <f t="shared" si="2"/>
        <v>0.71450000000000002</v>
      </c>
      <c r="W7" s="97">
        <f t="shared" si="3"/>
        <v>0</v>
      </c>
      <c r="X7" s="97">
        <f t="shared" si="8"/>
        <v>1.0003</v>
      </c>
    </row>
    <row r="8" spans="1:24" x14ac:dyDescent="0.25">
      <c r="A8" s="95" t="s">
        <v>144</v>
      </c>
      <c r="B8" s="97">
        <v>0</v>
      </c>
      <c r="C8" s="97">
        <v>0.16666666666666666</v>
      </c>
      <c r="D8" s="97">
        <v>0</v>
      </c>
      <c r="E8" s="97">
        <v>0.16666666666666666</v>
      </c>
      <c r="G8" s="95" t="s">
        <v>144</v>
      </c>
      <c r="H8" s="98">
        <v>3</v>
      </c>
      <c r="I8" s="97">
        <v>0.77</v>
      </c>
      <c r="J8" s="98">
        <v>4</v>
      </c>
      <c r="K8" s="97">
        <v>0.38</v>
      </c>
      <c r="L8" s="97">
        <f t="shared" si="4"/>
        <v>0.85740000000000005</v>
      </c>
      <c r="N8" s="95" t="s">
        <v>144</v>
      </c>
      <c r="O8" s="97">
        <f t="shared" si="5"/>
        <v>0</v>
      </c>
      <c r="P8" s="97">
        <f t="shared" si="0"/>
        <v>2.3766666666666658E-2</v>
      </c>
      <c r="Q8" s="97">
        <f t="shared" si="1"/>
        <v>0</v>
      </c>
      <c r="R8" s="97">
        <f t="shared" si="6"/>
        <v>2.3766666666666658E-2</v>
      </c>
      <c r="T8" s="95" t="s">
        <v>144</v>
      </c>
      <c r="U8" s="97">
        <f t="shared" si="7"/>
        <v>0</v>
      </c>
      <c r="V8" s="97">
        <f t="shared" si="2"/>
        <v>0.1429</v>
      </c>
      <c r="W8" s="97">
        <f t="shared" si="3"/>
        <v>0</v>
      </c>
      <c r="X8" s="97">
        <f t="shared" si="8"/>
        <v>0.1429</v>
      </c>
    </row>
    <row r="9" spans="1:24" x14ac:dyDescent="0.25">
      <c r="A9" s="95" t="s">
        <v>145</v>
      </c>
      <c r="B9" s="97">
        <v>1.1666666666666632</v>
      </c>
      <c r="C9" s="97">
        <v>0.16666666666666666</v>
      </c>
      <c r="D9" s="97">
        <v>0</v>
      </c>
      <c r="E9" s="97">
        <v>1.3333333333333299</v>
      </c>
      <c r="G9" s="95" t="s">
        <v>145</v>
      </c>
      <c r="H9" s="98">
        <v>3</v>
      </c>
      <c r="I9" s="97">
        <v>0.77</v>
      </c>
      <c r="J9" s="98">
        <v>4</v>
      </c>
      <c r="K9" s="97">
        <v>0.38</v>
      </c>
      <c r="L9" s="97">
        <f t="shared" si="4"/>
        <v>0.85740000000000005</v>
      </c>
      <c r="N9" s="95" t="s">
        <v>145</v>
      </c>
      <c r="O9" s="97">
        <f t="shared" si="5"/>
        <v>0.16636666666666611</v>
      </c>
      <c r="P9" s="97">
        <f t="shared" si="0"/>
        <v>2.3766666666666658E-2</v>
      </c>
      <c r="Q9" s="97">
        <f t="shared" si="1"/>
        <v>0</v>
      </c>
      <c r="R9" s="97">
        <f t="shared" si="6"/>
        <v>0.19013333333333277</v>
      </c>
      <c r="T9" s="95" t="s">
        <v>145</v>
      </c>
      <c r="U9" s="97">
        <f t="shared" si="7"/>
        <v>1.0002999999999971</v>
      </c>
      <c r="V9" s="97">
        <f t="shared" si="2"/>
        <v>0.1429</v>
      </c>
      <c r="W9" s="97">
        <f t="shared" si="3"/>
        <v>0</v>
      </c>
      <c r="X9" s="97">
        <f t="shared" si="8"/>
        <v>1.1431999999999971</v>
      </c>
    </row>
    <row r="10" spans="1:24" x14ac:dyDescent="0.25">
      <c r="A10" s="95" t="s">
        <v>146</v>
      </c>
      <c r="B10" s="97">
        <v>0.16666666666666666</v>
      </c>
      <c r="C10" s="97">
        <v>0</v>
      </c>
      <c r="D10" s="97">
        <v>0</v>
      </c>
      <c r="E10" s="97">
        <v>0.16666666666666666</v>
      </c>
      <c r="G10" s="95" t="s">
        <v>146</v>
      </c>
      <c r="H10" s="98">
        <v>3</v>
      </c>
      <c r="I10" s="97">
        <v>0.77</v>
      </c>
      <c r="J10" s="98">
        <v>4</v>
      </c>
      <c r="K10" s="97">
        <v>0.38</v>
      </c>
      <c r="L10" s="97">
        <f t="shared" si="4"/>
        <v>0.85740000000000005</v>
      </c>
      <c r="N10" s="95" t="s">
        <v>146</v>
      </c>
      <c r="O10" s="97">
        <f t="shared" si="5"/>
        <v>2.3766666666666658E-2</v>
      </c>
      <c r="P10" s="97">
        <f t="shared" si="0"/>
        <v>0</v>
      </c>
      <c r="Q10" s="97">
        <f t="shared" si="1"/>
        <v>0</v>
      </c>
      <c r="R10" s="97">
        <f t="shared" si="6"/>
        <v>2.3766666666666658E-2</v>
      </c>
      <c r="T10" s="95" t="s">
        <v>146</v>
      </c>
      <c r="U10" s="97">
        <f t="shared" si="7"/>
        <v>0.1429</v>
      </c>
      <c r="V10" s="97">
        <f t="shared" si="2"/>
        <v>0</v>
      </c>
      <c r="W10" s="97">
        <f t="shared" si="3"/>
        <v>0</v>
      </c>
      <c r="X10" s="97">
        <f t="shared" si="8"/>
        <v>0.1429</v>
      </c>
    </row>
    <row r="11" spans="1:24" x14ac:dyDescent="0.25">
      <c r="A11" s="95" t="s">
        <v>147</v>
      </c>
      <c r="B11" s="97">
        <v>0.16666666666666666</v>
      </c>
      <c r="C11" s="97">
        <v>0</v>
      </c>
      <c r="D11" s="97">
        <v>0</v>
      </c>
      <c r="E11" s="97">
        <v>0.16666666666666666</v>
      </c>
      <c r="G11" s="95" t="s">
        <v>147</v>
      </c>
      <c r="H11" s="98">
        <v>3</v>
      </c>
      <c r="I11" s="97">
        <v>0.77</v>
      </c>
      <c r="J11" s="98">
        <v>4</v>
      </c>
      <c r="K11" s="97">
        <v>0.38</v>
      </c>
      <c r="L11" s="97">
        <f t="shared" si="4"/>
        <v>0.85740000000000005</v>
      </c>
      <c r="N11" s="95" t="s">
        <v>147</v>
      </c>
      <c r="O11" s="97">
        <f t="shared" si="5"/>
        <v>2.3766666666666658E-2</v>
      </c>
      <c r="P11" s="97">
        <f t="shared" si="0"/>
        <v>0</v>
      </c>
      <c r="Q11" s="97">
        <f t="shared" si="1"/>
        <v>0</v>
      </c>
      <c r="R11" s="97">
        <f t="shared" si="6"/>
        <v>2.3766666666666658E-2</v>
      </c>
      <c r="T11" s="95" t="s">
        <v>147</v>
      </c>
      <c r="U11" s="97">
        <f t="shared" si="7"/>
        <v>0.1429</v>
      </c>
      <c r="V11" s="97">
        <f t="shared" si="2"/>
        <v>0</v>
      </c>
      <c r="W11" s="97">
        <f t="shared" si="3"/>
        <v>0</v>
      </c>
      <c r="X11" s="97">
        <f t="shared" si="8"/>
        <v>0.1429</v>
      </c>
    </row>
    <row r="12" spans="1:24" x14ac:dyDescent="0.25">
      <c r="A12" s="95" t="s">
        <v>148</v>
      </c>
      <c r="B12" s="97">
        <v>0</v>
      </c>
      <c r="C12" s="97">
        <v>0.16666666666666666</v>
      </c>
      <c r="D12" s="97">
        <v>0</v>
      </c>
      <c r="E12" s="97">
        <v>0.16666666666666666</v>
      </c>
      <c r="G12" s="95" t="s">
        <v>148</v>
      </c>
      <c r="H12" s="98">
        <v>3</v>
      </c>
      <c r="I12" s="97">
        <v>0.77</v>
      </c>
      <c r="J12" s="98">
        <v>4</v>
      </c>
      <c r="K12" s="97">
        <v>0.38</v>
      </c>
      <c r="L12" s="97">
        <f t="shared" si="4"/>
        <v>0.85740000000000005</v>
      </c>
      <c r="N12" s="95" t="s">
        <v>148</v>
      </c>
      <c r="O12" s="97">
        <f t="shared" si="5"/>
        <v>0</v>
      </c>
      <c r="P12" s="97">
        <f t="shared" si="0"/>
        <v>2.3766666666666658E-2</v>
      </c>
      <c r="Q12" s="97">
        <f t="shared" si="1"/>
        <v>0</v>
      </c>
      <c r="R12" s="97">
        <f t="shared" si="6"/>
        <v>2.3766666666666658E-2</v>
      </c>
      <c r="T12" s="95" t="s">
        <v>148</v>
      </c>
      <c r="U12" s="97">
        <f t="shared" si="7"/>
        <v>0</v>
      </c>
      <c r="V12" s="97">
        <f t="shared" si="2"/>
        <v>0.1429</v>
      </c>
      <c r="W12" s="97">
        <f t="shared" si="3"/>
        <v>0</v>
      </c>
      <c r="X12" s="97">
        <f t="shared" si="8"/>
        <v>0.1429</v>
      </c>
    </row>
    <row r="13" spans="1:24" x14ac:dyDescent="0.25">
      <c r="A13" s="95" t="s">
        <v>149</v>
      </c>
      <c r="B13" s="97">
        <v>0.83333333333333337</v>
      </c>
      <c r="C13" s="97">
        <v>0.5</v>
      </c>
      <c r="D13" s="97">
        <v>0</v>
      </c>
      <c r="E13" s="97">
        <v>1.3333333333333335</v>
      </c>
      <c r="G13" s="95" t="s">
        <v>149</v>
      </c>
      <c r="H13" s="98">
        <v>3</v>
      </c>
      <c r="I13" s="97">
        <v>0.77</v>
      </c>
      <c r="J13" s="98">
        <v>4</v>
      </c>
      <c r="K13" s="97">
        <v>0.38</v>
      </c>
      <c r="L13" s="97">
        <f t="shared" si="4"/>
        <v>0.85740000000000005</v>
      </c>
      <c r="N13" s="95" t="s">
        <v>149</v>
      </c>
      <c r="O13" s="97">
        <f t="shared" si="5"/>
        <v>0.11883333333333329</v>
      </c>
      <c r="P13" s="97">
        <f t="shared" si="0"/>
        <v>7.1299999999999975E-2</v>
      </c>
      <c r="Q13" s="97">
        <f t="shared" si="1"/>
        <v>0</v>
      </c>
      <c r="R13" s="97">
        <f t="shared" si="6"/>
        <v>0.19013333333333327</v>
      </c>
      <c r="T13" s="95" t="s">
        <v>149</v>
      </c>
      <c r="U13" s="97">
        <f t="shared" si="7"/>
        <v>0.71450000000000014</v>
      </c>
      <c r="V13" s="97">
        <f t="shared" si="2"/>
        <v>0.42870000000000003</v>
      </c>
      <c r="W13" s="97">
        <f t="shared" si="3"/>
        <v>0</v>
      </c>
      <c r="X13" s="97">
        <f t="shared" si="8"/>
        <v>1.1432000000000002</v>
      </c>
    </row>
    <row r="14" spans="1:24" x14ac:dyDescent="0.25">
      <c r="A14" s="95" t="s">
        <v>150</v>
      </c>
      <c r="B14" s="97">
        <v>0.16666666666666666</v>
      </c>
      <c r="C14" s="97">
        <v>0</v>
      </c>
      <c r="D14" s="97">
        <v>0</v>
      </c>
      <c r="E14" s="97">
        <v>0.16666666666666666</v>
      </c>
      <c r="G14" s="95" t="s">
        <v>150</v>
      </c>
      <c r="H14" s="98">
        <v>3</v>
      </c>
      <c r="I14" s="97">
        <v>0.77</v>
      </c>
      <c r="J14" s="98">
        <v>4</v>
      </c>
      <c r="K14" s="97">
        <v>0.38</v>
      </c>
      <c r="L14" s="97">
        <f t="shared" si="4"/>
        <v>0.85740000000000005</v>
      </c>
      <c r="N14" s="95" t="s">
        <v>150</v>
      </c>
      <c r="O14" s="97">
        <f t="shared" si="5"/>
        <v>2.3766666666666658E-2</v>
      </c>
      <c r="P14" s="97">
        <f t="shared" si="0"/>
        <v>0</v>
      </c>
      <c r="Q14" s="97">
        <f t="shared" si="1"/>
        <v>0</v>
      </c>
      <c r="R14" s="97">
        <f t="shared" si="6"/>
        <v>2.3766666666666658E-2</v>
      </c>
      <c r="T14" s="95" t="s">
        <v>150</v>
      </c>
      <c r="U14" s="97">
        <f t="shared" si="7"/>
        <v>0.1429</v>
      </c>
      <c r="V14" s="97">
        <f t="shared" si="2"/>
        <v>0</v>
      </c>
      <c r="W14" s="97">
        <f t="shared" si="3"/>
        <v>0</v>
      </c>
      <c r="X14" s="97">
        <f t="shared" si="8"/>
        <v>0.1429</v>
      </c>
    </row>
    <row r="15" spans="1:24" x14ac:dyDescent="0.25">
      <c r="A15" s="95" t="s">
        <v>151</v>
      </c>
      <c r="B15" s="97">
        <v>0.50000000000000033</v>
      </c>
      <c r="C15" s="97">
        <v>0.66666666666666663</v>
      </c>
      <c r="D15" s="97">
        <v>0.16666666666666666</v>
      </c>
      <c r="E15" s="97">
        <v>1.3333333333333337</v>
      </c>
      <c r="G15" s="95" t="s">
        <v>151</v>
      </c>
      <c r="H15" s="98">
        <v>3</v>
      </c>
      <c r="I15" s="97">
        <v>0.77</v>
      </c>
      <c r="J15" s="98">
        <v>4</v>
      </c>
      <c r="K15" s="97">
        <v>0.38</v>
      </c>
      <c r="L15" s="97">
        <f t="shared" si="4"/>
        <v>0.85740000000000005</v>
      </c>
      <c r="N15" s="95" t="s">
        <v>151</v>
      </c>
      <c r="O15" s="97">
        <f t="shared" si="5"/>
        <v>7.1300000000000016E-2</v>
      </c>
      <c r="P15" s="97">
        <f t="shared" si="0"/>
        <v>9.5066666666666633E-2</v>
      </c>
      <c r="Q15" s="97">
        <f t="shared" si="1"/>
        <v>2.3766666666666658E-2</v>
      </c>
      <c r="R15" s="97">
        <f t="shared" si="6"/>
        <v>0.19013333333333332</v>
      </c>
      <c r="T15" s="95" t="s">
        <v>151</v>
      </c>
      <c r="U15" s="97">
        <f t="shared" si="7"/>
        <v>0.4287000000000003</v>
      </c>
      <c r="V15" s="97">
        <f t="shared" si="2"/>
        <v>0.5716</v>
      </c>
      <c r="W15" s="97">
        <f t="shared" si="3"/>
        <v>0.1429</v>
      </c>
      <c r="X15" s="97">
        <f t="shared" si="8"/>
        <v>1.1432000000000002</v>
      </c>
    </row>
    <row r="16" spans="1:24" x14ac:dyDescent="0.25">
      <c r="A16" s="95" t="s">
        <v>152</v>
      </c>
      <c r="B16" s="97">
        <v>0.16666666666666666</v>
      </c>
      <c r="C16" s="97">
        <v>0.16666666666666666</v>
      </c>
      <c r="D16" s="97">
        <v>0.16666666666666666</v>
      </c>
      <c r="E16" s="97">
        <v>0.5</v>
      </c>
      <c r="G16" s="95" t="s">
        <v>152</v>
      </c>
      <c r="H16" s="98">
        <v>3</v>
      </c>
      <c r="I16" s="97">
        <v>0.77</v>
      </c>
      <c r="J16" s="98">
        <v>4</v>
      </c>
      <c r="K16" s="97">
        <v>0.38</v>
      </c>
      <c r="L16" s="97">
        <f t="shared" si="4"/>
        <v>0.85740000000000005</v>
      </c>
      <c r="N16" s="95" t="s">
        <v>152</v>
      </c>
      <c r="O16" s="97">
        <f t="shared" si="5"/>
        <v>2.3766666666666658E-2</v>
      </c>
      <c r="P16" s="97">
        <f t="shared" si="0"/>
        <v>2.3766666666666658E-2</v>
      </c>
      <c r="Q16" s="97">
        <f t="shared" si="1"/>
        <v>2.3766666666666658E-2</v>
      </c>
      <c r="R16" s="97">
        <f t="shared" si="6"/>
        <v>7.1299999999999975E-2</v>
      </c>
      <c r="T16" s="95" t="s">
        <v>152</v>
      </c>
      <c r="U16" s="97">
        <f t="shared" si="7"/>
        <v>0.1429</v>
      </c>
      <c r="V16" s="97">
        <f t="shared" si="2"/>
        <v>0.1429</v>
      </c>
      <c r="W16" s="97">
        <f t="shared" si="3"/>
        <v>0.1429</v>
      </c>
      <c r="X16" s="97">
        <f t="shared" si="8"/>
        <v>0.42869999999999997</v>
      </c>
    </row>
    <row r="17" spans="1:24" x14ac:dyDescent="0.25">
      <c r="A17" s="95" t="s">
        <v>153</v>
      </c>
      <c r="B17" s="97">
        <v>0.16666666666666666</v>
      </c>
      <c r="C17" s="97">
        <v>0</v>
      </c>
      <c r="D17" s="97">
        <v>0</v>
      </c>
      <c r="E17" s="97">
        <v>0.16666666666666666</v>
      </c>
      <c r="G17" s="95" t="s">
        <v>153</v>
      </c>
      <c r="H17" s="98">
        <v>3</v>
      </c>
      <c r="I17" s="97">
        <v>0.77</v>
      </c>
      <c r="J17" s="98"/>
      <c r="K17" s="97"/>
      <c r="L17" s="97">
        <f t="shared" si="4"/>
        <v>0.77</v>
      </c>
      <c r="N17" s="95" t="s">
        <v>153</v>
      </c>
      <c r="O17" s="97">
        <f t="shared" si="5"/>
        <v>3.833333333333333E-2</v>
      </c>
      <c r="P17" s="97">
        <f t="shared" si="0"/>
        <v>0</v>
      </c>
      <c r="Q17" s="97">
        <f t="shared" si="1"/>
        <v>0</v>
      </c>
      <c r="R17" s="97">
        <f t="shared" si="6"/>
        <v>3.833333333333333E-2</v>
      </c>
      <c r="T17" s="95" t="s">
        <v>153</v>
      </c>
      <c r="U17" s="97">
        <f t="shared" si="7"/>
        <v>0.12833333333333333</v>
      </c>
      <c r="V17" s="97">
        <f t="shared" si="2"/>
        <v>0</v>
      </c>
      <c r="W17" s="97">
        <f t="shared" si="3"/>
        <v>0</v>
      </c>
      <c r="X17" s="97">
        <f t="shared" si="8"/>
        <v>0.12833333333333333</v>
      </c>
    </row>
    <row r="18" spans="1:24" x14ac:dyDescent="0.25">
      <c r="A18" s="95" t="s">
        <v>154</v>
      </c>
      <c r="B18" s="97">
        <v>0.33333333333333331</v>
      </c>
      <c r="C18" s="97">
        <v>0</v>
      </c>
      <c r="D18" s="97">
        <v>0</v>
      </c>
      <c r="E18" s="97">
        <v>0.33333333333333331</v>
      </c>
      <c r="G18" s="95" t="s">
        <v>154</v>
      </c>
      <c r="H18" s="98">
        <v>3</v>
      </c>
      <c r="I18" s="97">
        <v>0.77</v>
      </c>
      <c r="J18" s="98"/>
      <c r="K18" s="97"/>
      <c r="L18" s="97">
        <f t="shared" si="4"/>
        <v>0.77</v>
      </c>
      <c r="N18" s="95" t="s">
        <v>154</v>
      </c>
      <c r="O18" s="97">
        <f t="shared" si="5"/>
        <v>7.6666666666666661E-2</v>
      </c>
      <c r="P18" s="97">
        <f t="shared" si="0"/>
        <v>0</v>
      </c>
      <c r="Q18" s="97">
        <f t="shared" si="1"/>
        <v>0</v>
      </c>
      <c r="R18" s="97">
        <f t="shared" si="6"/>
        <v>7.6666666666666661E-2</v>
      </c>
      <c r="T18" s="95" t="s">
        <v>154</v>
      </c>
      <c r="U18" s="97">
        <f t="shared" si="7"/>
        <v>0.25666666666666665</v>
      </c>
      <c r="V18" s="97">
        <f t="shared" si="2"/>
        <v>0</v>
      </c>
      <c r="W18" s="97">
        <f t="shared" si="3"/>
        <v>0</v>
      </c>
      <c r="X18" s="97">
        <f t="shared" si="8"/>
        <v>0.25666666666666665</v>
      </c>
    </row>
    <row r="19" spans="1:24" x14ac:dyDescent="0.25">
      <c r="A19" s="95" t="s">
        <v>155</v>
      </c>
      <c r="B19" s="97">
        <v>1.3333333333333333</v>
      </c>
      <c r="C19" s="97">
        <v>0.83333333333333337</v>
      </c>
      <c r="D19" s="97">
        <v>0</v>
      </c>
      <c r="E19" s="97">
        <v>2.1666666666666665</v>
      </c>
      <c r="G19" s="95" t="s">
        <v>155</v>
      </c>
      <c r="H19" s="98">
        <v>3</v>
      </c>
      <c r="I19" s="97">
        <v>0.77</v>
      </c>
      <c r="J19" s="98"/>
      <c r="K19" s="97"/>
      <c r="L19" s="97">
        <f t="shared" si="4"/>
        <v>0.77</v>
      </c>
      <c r="N19" s="95" t="s">
        <v>155</v>
      </c>
      <c r="O19" s="97">
        <f t="shared" si="5"/>
        <v>0.30666666666666664</v>
      </c>
      <c r="P19" s="97">
        <f t="shared" si="0"/>
        <v>0.19166666666666665</v>
      </c>
      <c r="Q19" s="97">
        <f t="shared" si="1"/>
        <v>0</v>
      </c>
      <c r="R19" s="97">
        <f t="shared" si="6"/>
        <v>0.49833333333333329</v>
      </c>
      <c r="T19" s="95" t="s">
        <v>155</v>
      </c>
      <c r="U19" s="97">
        <f t="shared" si="7"/>
        <v>1.0266666666666666</v>
      </c>
      <c r="V19" s="97">
        <f t="shared" si="2"/>
        <v>0.64166666666666672</v>
      </c>
      <c r="W19" s="97">
        <f t="shared" si="3"/>
        <v>0</v>
      </c>
      <c r="X19" s="97">
        <f t="shared" si="8"/>
        <v>1.6683333333333334</v>
      </c>
    </row>
    <row r="20" spans="1:24" x14ac:dyDescent="0.25">
      <c r="A20" s="95" t="s">
        <v>156</v>
      </c>
      <c r="B20" s="97">
        <v>0.16666666666666666</v>
      </c>
      <c r="C20" s="97">
        <v>0.16666666666666632</v>
      </c>
      <c r="D20" s="97">
        <v>0</v>
      </c>
      <c r="E20" s="97">
        <v>0.33333333333333298</v>
      </c>
      <c r="G20" s="95" t="s">
        <v>156</v>
      </c>
      <c r="H20" s="98">
        <v>1</v>
      </c>
      <c r="I20" s="97">
        <v>0.17</v>
      </c>
      <c r="J20" s="98"/>
      <c r="K20" s="97"/>
      <c r="L20" s="97">
        <f t="shared" si="4"/>
        <v>0.17000000000000004</v>
      </c>
      <c r="N20" s="95" t="s">
        <v>156</v>
      </c>
      <c r="O20" s="97">
        <f t="shared" si="5"/>
        <v>0.13833333333333331</v>
      </c>
      <c r="P20" s="97">
        <f t="shared" si="0"/>
        <v>0.13833333333333303</v>
      </c>
      <c r="Q20" s="97">
        <f t="shared" si="1"/>
        <v>0</v>
      </c>
      <c r="R20" s="97">
        <f t="shared" si="6"/>
        <v>0.27666666666666634</v>
      </c>
      <c r="T20" s="95" t="s">
        <v>156</v>
      </c>
      <c r="U20" s="97">
        <f t="shared" si="7"/>
        <v>2.8333333333333349E-2</v>
      </c>
      <c r="V20" s="97">
        <f t="shared" si="2"/>
        <v>2.8333333333333294E-2</v>
      </c>
      <c r="W20" s="97">
        <f t="shared" si="3"/>
        <v>0</v>
      </c>
      <c r="X20" s="97">
        <f t="shared" si="8"/>
        <v>5.6666666666666643E-2</v>
      </c>
    </row>
    <row r="21" spans="1:24" x14ac:dyDescent="0.25">
      <c r="A21" s="95" t="s">
        <v>157</v>
      </c>
      <c r="B21" s="97">
        <v>0.83333333333333337</v>
      </c>
      <c r="C21" s="97">
        <v>1</v>
      </c>
      <c r="D21" s="97">
        <v>0</v>
      </c>
      <c r="E21" s="97">
        <v>1.8333333333333335</v>
      </c>
      <c r="G21" s="95" t="s">
        <v>157</v>
      </c>
      <c r="H21" s="98">
        <v>3</v>
      </c>
      <c r="I21" s="97">
        <v>0.77</v>
      </c>
      <c r="J21" s="98">
        <v>4</v>
      </c>
      <c r="K21" s="97">
        <v>0.38</v>
      </c>
      <c r="L21" s="97">
        <f t="shared" si="4"/>
        <v>0.85740000000000005</v>
      </c>
      <c r="N21" s="95" t="s">
        <v>157</v>
      </c>
      <c r="O21" s="97">
        <f t="shared" si="5"/>
        <v>0.11883333333333329</v>
      </c>
      <c r="P21" s="97">
        <f t="shared" si="0"/>
        <v>0.14259999999999995</v>
      </c>
      <c r="Q21" s="97">
        <f t="shared" si="1"/>
        <v>0</v>
      </c>
      <c r="R21" s="97">
        <f t="shared" si="6"/>
        <v>0.26143333333333324</v>
      </c>
      <c r="T21" s="95" t="s">
        <v>157</v>
      </c>
      <c r="U21" s="97">
        <f t="shared" si="7"/>
        <v>0.71450000000000014</v>
      </c>
      <c r="V21" s="97">
        <f t="shared" si="2"/>
        <v>0.85740000000000005</v>
      </c>
      <c r="W21" s="97">
        <f t="shared" si="3"/>
        <v>0</v>
      </c>
      <c r="X21" s="97">
        <f t="shared" si="8"/>
        <v>1.5719000000000003</v>
      </c>
    </row>
    <row r="22" spans="1:24" x14ac:dyDescent="0.25">
      <c r="A22" s="95" t="s">
        <v>158</v>
      </c>
      <c r="B22" s="97">
        <v>0.16666666666666666</v>
      </c>
      <c r="C22" s="97">
        <v>0.33333333333333331</v>
      </c>
      <c r="D22" s="97">
        <v>0</v>
      </c>
      <c r="E22" s="97">
        <v>0.5</v>
      </c>
      <c r="G22" s="95" t="s">
        <v>158</v>
      </c>
      <c r="H22" s="98">
        <v>3</v>
      </c>
      <c r="I22" s="97">
        <v>0.77</v>
      </c>
      <c r="J22" s="98"/>
      <c r="K22" s="97"/>
      <c r="L22" s="97">
        <f t="shared" si="4"/>
        <v>0.77</v>
      </c>
      <c r="N22" s="95" t="s">
        <v>158</v>
      </c>
      <c r="O22" s="97">
        <f t="shared" si="5"/>
        <v>3.833333333333333E-2</v>
      </c>
      <c r="P22" s="97">
        <f t="shared" si="0"/>
        <v>7.6666666666666661E-2</v>
      </c>
      <c r="Q22" s="97">
        <f t="shared" si="1"/>
        <v>0</v>
      </c>
      <c r="R22" s="97">
        <f t="shared" si="6"/>
        <v>0.11499999999999999</v>
      </c>
      <c r="T22" s="95" t="s">
        <v>158</v>
      </c>
      <c r="U22" s="97">
        <f t="shared" si="7"/>
        <v>0.12833333333333333</v>
      </c>
      <c r="V22" s="97">
        <f t="shared" si="2"/>
        <v>0.25666666666666665</v>
      </c>
      <c r="W22" s="97">
        <f t="shared" si="3"/>
        <v>0</v>
      </c>
      <c r="X22" s="97">
        <f t="shared" si="8"/>
        <v>0.38500000000000001</v>
      </c>
    </row>
    <row r="23" spans="1:24" x14ac:dyDescent="0.25">
      <c r="A23" s="95" t="s">
        <v>159</v>
      </c>
      <c r="B23" s="97">
        <v>0.16666666666666666</v>
      </c>
      <c r="C23" s="97">
        <v>0</v>
      </c>
      <c r="D23" s="97">
        <v>0</v>
      </c>
      <c r="E23" s="97">
        <v>0.16666666666666666</v>
      </c>
      <c r="G23" s="95" t="s">
        <v>159</v>
      </c>
      <c r="H23" s="98">
        <v>3</v>
      </c>
      <c r="I23" s="97">
        <v>0.77</v>
      </c>
      <c r="J23" s="98"/>
      <c r="K23" s="97"/>
      <c r="L23" s="97">
        <f t="shared" si="4"/>
        <v>0.77</v>
      </c>
      <c r="N23" s="95" t="s">
        <v>159</v>
      </c>
      <c r="O23" s="97">
        <f t="shared" si="5"/>
        <v>3.833333333333333E-2</v>
      </c>
      <c r="P23" s="97">
        <f t="shared" si="0"/>
        <v>0</v>
      </c>
      <c r="Q23" s="97">
        <f t="shared" si="1"/>
        <v>0</v>
      </c>
      <c r="R23" s="97">
        <f t="shared" si="6"/>
        <v>3.833333333333333E-2</v>
      </c>
      <c r="T23" s="95" t="s">
        <v>159</v>
      </c>
      <c r="U23" s="97">
        <f t="shared" si="7"/>
        <v>0.12833333333333333</v>
      </c>
      <c r="V23" s="97">
        <f t="shared" si="2"/>
        <v>0</v>
      </c>
      <c r="W23" s="97">
        <f t="shared" si="3"/>
        <v>0</v>
      </c>
      <c r="X23" s="97">
        <f t="shared" si="8"/>
        <v>0.12833333333333333</v>
      </c>
    </row>
    <row r="24" spans="1:24" x14ac:dyDescent="0.25">
      <c r="A24" s="95" t="s">
        <v>80</v>
      </c>
      <c r="B24" s="97">
        <v>10.333333333333327</v>
      </c>
      <c r="C24" s="97">
        <v>6.8333333333333321</v>
      </c>
      <c r="D24" s="97">
        <v>0.5</v>
      </c>
      <c r="E24" s="97">
        <v>17.666666666666657</v>
      </c>
      <c r="N24" s="95" t="s">
        <v>80</v>
      </c>
      <c r="O24" s="97">
        <f>SUM(O4:O23)</f>
        <v>4.0579333333333301</v>
      </c>
      <c r="P24" s="97">
        <f t="shared" ref="P24" si="9">SUM(P4:P23)</f>
        <v>2.2611999999999997</v>
      </c>
      <c r="Q24" s="97">
        <f t="shared" ref="Q24" si="10">SUM(Q4:Q23)</f>
        <v>0.18586666666666662</v>
      </c>
      <c r="R24" s="97">
        <f t="shared" ref="R24" si="11">SUM(R4:R23)</f>
        <v>6.5049999999999981</v>
      </c>
      <c r="T24" s="95" t="s">
        <v>80</v>
      </c>
      <c r="U24" s="97">
        <f>SUM(U4:U23)</f>
        <v>6.2753999999999959</v>
      </c>
      <c r="V24" s="97">
        <f t="shared" ref="V24" si="12">SUM(V4:V23)</f>
        <v>4.5721333333333334</v>
      </c>
      <c r="W24" s="97">
        <f t="shared" ref="W24" si="13">SUM(W4:W23)</f>
        <v>0.31413333333333338</v>
      </c>
      <c r="X24" s="97">
        <f t="shared" si="8"/>
        <v>11.161666666666662</v>
      </c>
    </row>
    <row r="25" spans="1:24" x14ac:dyDescent="0.25">
      <c r="B25" s="102"/>
      <c r="C25" s="103"/>
      <c r="D25" s="103"/>
      <c r="G25" s="76" t="s">
        <v>160</v>
      </c>
      <c r="H25" s="1" t="s">
        <v>161</v>
      </c>
      <c r="I25" s="1" t="s">
        <v>162</v>
      </c>
    </row>
    <row r="26" spans="1:24" ht="45" x14ac:dyDescent="0.25">
      <c r="B26" s="102">
        <v>8041</v>
      </c>
      <c r="C26" s="103">
        <v>302600</v>
      </c>
      <c r="D26" s="103">
        <v>12837400</v>
      </c>
      <c r="G26" s="4">
        <v>1</v>
      </c>
      <c r="H26" s="2" t="s">
        <v>163</v>
      </c>
      <c r="I26" t="s">
        <v>164</v>
      </c>
    </row>
    <row r="27" spans="1:24" ht="75" x14ac:dyDescent="0.25">
      <c r="A27" s="61"/>
      <c r="B27" s="103">
        <f>B26*B24</f>
        <v>83090.333333333285</v>
      </c>
      <c r="C27" s="103">
        <f t="shared" ref="C27:D27" si="14">C26*C24</f>
        <v>2067766.6666666663</v>
      </c>
      <c r="D27" s="103">
        <f t="shared" si="14"/>
        <v>6418700</v>
      </c>
      <c r="E27" s="123">
        <f>SUM(B27:D27)</f>
        <v>8569557</v>
      </c>
      <c r="G27" s="4">
        <v>2</v>
      </c>
      <c r="H27" s="2" t="s">
        <v>165</v>
      </c>
      <c r="I27" t="s">
        <v>166</v>
      </c>
    </row>
    <row r="28" spans="1:24" ht="120" x14ac:dyDescent="0.25">
      <c r="G28" s="4">
        <v>3</v>
      </c>
      <c r="H28" s="2" t="s">
        <v>167</v>
      </c>
      <c r="I28" s="5" t="s">
        <v>168</v>
      </c>
    </row>
    <row r="29" spans="1:24" ht="150" x14ac:dyDescent="0.25">
      <c r="G29" s="4">
        <v>4</v>
      </c>
      <c r="H29" s="2" t="s">
        <v>169</v>
      </c>
      <c r="I29" s="5" t="s">
        <v>170</v>
      </c>
    </row>
  </sheetData>
  <mergeCells count="7">
    <mergeCell ref="T1:X1"/>
    <mergeCell ref="T2:X2"/>
    <mergeCell ref="A1:E1"/>
    <mergeCell ref="A2:E2"/>
    <mergeCell ref="G2:L2"/>
    <mergeCell ref="N1:R1"/>
    <mergeCell ref="N2:R2"/>
  </mergeCells>
  <hyperlinks>
    <hyperlink ref="I29" r:id="rId1" display="http://www.cmfclearinghouse.org/detail.cfm?facid=3404" xr:uid="{9423866B-6227-4216-9DEE-BE2197DBA6F5}"/>
    <hyperlink ref="I28" r:id="rId2" display="http://www.cmfclearinghouse.org/detail.cfm?facid=5411" xr:uid="{A3DAD144-A898-4C97-930D-40F3B9F3ED22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08FA3-B1FD-4DC2-8BD9-8D1A39F0F333}">
  <sheetPr>
    <tabColor theme="7" tint="0.39997558519241921"/>
  </sheetPr>
  <dimension ref="A1:P37"/>
  <sheetViews>
    <sheetView workbookViewId="0">
      <selection activeCell="K5" sqref="K5:L35"/>
    </sheetView>
  </sheetViews>
  <sheetFormatPr defaultRowHeight="15" x14ac:dyDescent="0.25"/>
  <cols>
    <col min="1" max="1" width="19.42578125" customWidth="1"/>
    <col min="2" max="5" width="18.140625" customWidth="1"/>
    <col min="7" max="7" width="8.7109375" customWidth="1"/>
    <col min="11" max="12" width="17.28515625" customWidth="1"/>
    <col min="14" max="14" width="12.5703125" bestFit="1" customWidth="1"/>
    <col min="16" max="16" width="13.28515625" customWidth="1"/>
    <col min="17" max="21" width="21.42578125" customWidth="1"/>
  </cols>
  <sheetData>
    <row r="1" spans="1:16" ht="23.25" x14ac:dyDescent="0.25">
      <c r="A1" s="6" t="str">
        <f>'Residual Value of Assets '!A1</f>
        <v>Benefit-Cost Analysis Spreadsheet for the Safety Improvements on Oklahoma Rural Roadways</v>
      </c>
    </row>
    <row r="3" spans="1:16" ht="18.75" x14ac:dyDescent="0.3">
      <c r="A3" s="170" t="s">
        <v>126</v>
      </c>
      <c r="B3" s="170"/>
      <c r="C3" s="170"/>
      <c r="D3" s="170"/>
      <c r="E3" s="170"/>
      <c r="I3" s="106" t="s">
        <v>171</v>
      </c>
      <c r="J3" s="107">
        <v>7.0000000000000007E-2</v>
      </c>
      <c r="N3" s="165" t="s">
        <v>172</v>
      </c>
      <c r="O3" s="165"/>
      <c r="P3" s="165"/>
    </row>
    <row r="4" spans="1:16" ht="45" x14ac:dyDescent="0.25">
      <c r="A4" s="171" t="s">
        <v>130</v>
      </c>
      <c r="B4" s="171"/>
      <c r="C4" s="171"/>
      <c r="D4" s="171"/>
      <c r="E4" s="171"/>
      <c r="G4" s="94" t="s">
        <v>173</v>
      </c>
      <c r="H4" s="94" t="s">
        <v>71</v>
      </c>
      <c r="I4" s="94" t="s">
        <v>174</v>
      </c>
      <c r="J4" s="94" t="s">
        <v>175</v>
      </c>
      <c r="K4" s="94" t="s">
        <v>176</v>
      </c>
      <c r="L4" s="94" t="s">
        <v>177</v>
      </c>
      <c r="N4" s="110" t="s">
        <v>132</v>
      </c>
      <c r="O4" s="110" t="s">
        <v>133</v>
      </c>
      <c r="P4" s="110" t="s">
        <v>134</v>
      </c>
    </row>
    <row r="5" spans="1:16" x14ac:dyDescent="0.25">
      <c r="A5" s="95" t="s">
        <v>131</v>
      </c>
      <c r="B5" s="110" t="s">
        <v>132</v>
      </c>
      <c r="C5" s="110" t="s">
        <v>133</v>
      </c>
      <c r="D5" s="110" t="s">
        <v>134</v>
      </c>
      <c r="E5" s="110" t="s">
        <v>80</v>
      </c>
      <c r="G5" s="105">
        <v>1</v>
      </c>
      <c r="H5" s="105">
        <v>2026</v>
      </c>
      <c r="I5" s="156">
        <v>1.1280329425830482</v>
      </c>
      <c r="J5" s="92">
        <v>1.5007303518490005</v>
      </c>
      <c r="K5" s="103">
        <f>E$29*I5</f>
        <v>6166553.7180498224</v>
      </c>
      <c r="L5" s="103">
        <f>K5/J5</f>
        <v>4109035.1177693009</v>
      </c>
      <c r="N5" s="155">
        <f>B$26*$I5</f>
        <v>7.0788579278856556</v>
      </c>
      <c r="O5" s="155">
        <f t="shared" ref="O5:O34" si="0">C$26*$I5</f>
        <v>5.1575170178820411</v>
      </c>
      <c r="P5" s="155">
        <f t="shared" ref="P5:P34" si="1">D$26*$I5</f>
        <v>0.35435274836342157</v>
      </c>
    </row>
    <row r="6" spans="1:16" x14ac:dyDescent="0.25">
      <c r="A6" s="95" t="s">
        <v>140</v>
      </c>
      <c r="B6" s="97">
        <f>'Crash Rates'!U4</f>
        <v>0.17000000000000004</v>
      </c>
      <c r="C6" s="97">
        <f>'Crash Rates'!V4</f>
        <v>0.1133333333333334</v>
      </c>
      <c r="D6" s="97">
        <f>'Crash Rates'!W4</f>
        <v>2.8333333333333349E-2</v>
      </c>
      <c r="E6" s="97">
        <f>'Crash Rates'!X4</f>
        <v>0.31166666666666676</v>
      </c>
      <c r="G6" s="105">
        <v>2</v>
      </c>
      <c r="H6" s="105">
        <v>2027</v>
      </c>
      <c r="I6" s="156">
        <f>I5*(1+0.01735)</f>
        <v>1.1476043141368641</v>
      </c>
      <c r="J6" s="92">
        <v>1.6057814764784306</v>
      </c>
      <c r="K6" s="103">
        <f t="shared" ref="K6:K34" si="2">E$29*I6</f>
        <v>6273543.4250579868</v>
      </c>
      <c r="L6" s="103">
        <f t="shared" ref="L6:L34" si="3">K6/J6</f>
        <v>3906847.5486566341</v>
      </c>
      <c r="N6" s="155">
        <f t="shared" ref="N6:N34" si="4">B$26*$I6</f>
        <v>7.2016761129344724</v>
      </c>
      <c r="O6" s="155">
        <f t="shared" si="0"/>
        <v>5.2469999381422943</v>
      </c>
      <c r="P6" s="155">
        <f t="shared" si="1"/>
        <v>0.360500768547527</v>
      </c>
    </row>
    <row r="7" spans="1:16" x14ac:dyDescent="0.25">
      <c r="A7" s="95" t="s">
        <v>141</v>
      </c>
      <c r="B7" s="97">
        <f>'Crash Rates'!U5</f>
        <v>0.69333333333333247</v>
      </c>
      <c r="C7" s="97">
        <f>'Crash Rates'!V5</f>
        <v>0.26</v>
      </c>
      <c r="D7" s="97">
        <f>'Crash Rates'!W5</f>
        <v>0</v>
      </c>
      <c r="E7" s="97">
        <f>'Crash Rates'!X5</f>
        <v>0.95333333333333248</v>
      </c>
      <c r="G7" s="105">
        <v>3</v>
      </c>
      <c r="H7" s="105">
        <v>2028</v>
      </c>
      <c r="I7" s="156">
        <f t="shared" ref="I7:I34" si="5">I6*(1+0.01735)</f>
        <v>1.1675152489871388</v>
      </c>
      <c r="J7" s="92">
        <v>1.7181861798319209</v>
      </c>
      <c r="K7" s="103">
        <f t="shared" si="2"/>
        <v>6382389.4034827435</v>
      </c>
      <c r="L7" s="103">
        <f t="shared" si="3"/>
        <v>3714608.7417063802</v>
      </c>
      <c r="N7" s="155">
        <f t="shared" si="4"/>
        <v>7.3266251934938857</v>
      </c>
      <c r="O7" s="155">
        <f t="shared" si="0"/>
        <v>5.3380353870690636</v>
      </c>
      <c r="P7" s="155">
        <f t="shared" si="1"/>
        <v>0.36675545688182659</v>
      </c>
    </row>
    <row r="8" spans="1:16" x14ac:dyDescent="0.25">
      <c r="A8" s="95" t="s">
        <v>142</v>
      </c>
      <c r="B8" s="97">
        <f>'Crash Rates'!U6</f>
        <v>0</v>
      </c>
      <c r="C8" s="97">
        <f>'Crash Rates'!V6</f>
        <v>0.12833333333333333</v>
      </c>
      <c r="D8" s="97">
        <f>'Crash Rates'!W6</f>
        <v>0</v>
      </c>
      <c r="E8" s="97">
        <f>'Crash Rates'!X6</f>
        <v>0.12833333333333333</v>
      </c>
      <c r="G8" s="105">
        <v>4</v>
      </c>
      <c r="H8" s="105">
        <v>2029</v>
      </c>
      <c r="I8" s="156">
        <f t="shared" si="5"/>
        <v>1.1877716385570656</v>
      </c>
      <c r="J8" s="92">
        <v>1.8384592124201555</v>
      </c>
      <c r="K8" s="103">
        <f t="shared" si="2"/>
        <v>6493123.8596331682</v>
      </c>
      <c r="L8" s="103">
        <f t="shared" si="3"/>
        <v>3531829.162032696</v>
      </c>
      <c r="N8" s="155">
        <f t="shared" si="4"/>
        <v>7.4537421406010047</v>
      </c>
      <c r="O8" s="155">
        <f t="shared" si="0"/>
        <v>5.4306503010347118</v>
      </c>
      <c r="P8" s="155">
        <f t="shared" si="1"/>
        <v>0.37311866405872623</v>
      </c>
    </row>
    <row r="9" spans="1:16" x14ac:dyDescent="0.25">
      <c r="A9" s="95" t="s">
        <v>143</v>
      </c>
      <c r="B9" s="97">
        <f>'Crash Rates'!U7</f>
        <v>0.2858</v>
      </c>
      <c r="C9" s="97">
        <f>'Crash Rates'!V7</f>
        <v>0.71450000000000002</v>
      </c>
      <c r="D9" s="97">
        <f>'Crash Rates'!W7</f>
        <v>0</v>
      </c>
      <c r="E9" s="97">
        <f>'Crash Rates'!X7</f>
        <v>1.0003</v>
      </c>
      <c r="G9" s="105">
        <v>5</v>
      </c>
      <c r="H9" s="105">
        <v>2030</v>
      </c>
      <c r="I9" s="156">
        <f t="shared" si="5"/>
        <v>1.2083794764860307</v>
      </c>
      <c r="J9" s="92">
        <v>1.9671513572895665</v>
      </c>
      <c r="K9" s="103">
        <f t="shared" si="2"/>
        <v>6605779.558597804</v>
      </c>
      <c r="L9" s="103">
        <f t="shared" si="3"/>
        <v>3358043.3626111806</v>
      </c>
      <c r="N9" s="155">
        <f t="shared" si="4"/>
        <v>7.5830645667404326</v>
      </c>
      <c r="O9" s="155">
        <f t="shared" si="0"/>
        <v>5.5248720837576641</v>
      </c>
      <c r="P9" s="155">
        <f t="shared" si="1"/>
        <v>0.37959227288014519</v>
      </c>
    </row>
    <row r="10" spans="1:16" x14ac:dyDescent="0.25">
      <c r="A10" s="95" t="s">
        <v>144</v>
      </c>
      <c r="B10" s="97">
        <f>'Crash Rates'!U8</f>
        <v>0</v>
      </c>
      <c r="C10" s="97">
        <f>'Crash Rates'!V8</f>
        <v>0.1429</v>
      </c>
      <c r="D10" s="97">
        <f>'Crash Rates'!W8</f>
        <v>0</v>
      </c>
      <c r="E10" s="97">
        <f>'Crash Rates'!X8</f>
        <v>0.1429</v>
      </c>
      <c r="G10" s="105">
        <v>6</v>
      </c>
      <c r="H10" s="105">
        <v>2031</v>
      </c>
      <c r="I10" s="156">
        <f t="shared" si="5"/>
        <v>1.2293448604030632</v>
      </c>
      <c r="J10" s="92">
        <v>2.1048519522998363</v>
      </c>
      <c r="K10" s="103">
        <f t="shared" si="2"/>
        <v>6720389.8339394759</v>
      </c>
      <c r="L10" s="103">
        <f t="shared" si="3"/>
        <v>3192808.7990210135</v>
      </c>
      <c r="N10" s="155">
        <f t="shared" si="4"/>
        <v>7.714630736973378</v>
      </c>
      <c r="O10" s="155">
        <f t="shared" si="0"/>
        <v>5.6207286144108588</v>
      </c>
      <c r="P10" s="155">
        <f t="shared" si="1"/>
        <v>0.38617819881461563</v>
      </c>
    </row>
    <row r="11" spans="1:16" x14ac:dyDescent="0.25">
      <c r="A11" s="95" t="s">
        <v>145</v>
      </c>
      <c r="B11" s="97">
        <f>'Crash Rates'!U9</f>
        <v>1.0002999999999971</v>
      </c>
      <c r="C11" s="97">
        <f>'Crash Rates'!V9</f>
        <v>0.1429</v>
      </c>
      <c r="D11" s="97">
        <f>'Crash Rates'!W9</f>
        <v>0</v>
      </c>
      <c r="E11" s="97">
        <f>'Crash Rates'!X9</f>
        <v>1.1431999999999971</v>
      </c>
      <c r="G11" s="105">
        <v>7</v>
      </c>
      <c r="H11" s="105">
        <v>2032</v>
      </c>
      <c r="I11" s="156">
        <f t="shared" si="5"/>
        <v>1.2506739937310563</v>
      </c>
      <c r="J11" s="92">
        <v>2.2521915889608248</v>
      </c>
      <c r="K11" s="103">
        <f t="shared" si="2"/>
        <v>6836988.5975583252</v>
      </c>
      <c r="L11" s="103">
        <f t="shared" si="3"/>
        <v>3035704.702508437</v>
      </c>
      <c r="N11" s="155">
        <f t="shared" si="4"/>
        <v>7.8484795802598653</v>
      </c>
      <c r="O11" s="155">
        <f t="shared" si="0"/>
        <v>5.7182482558708871</v>
      </c>
      <c r="P11" s="155">
        <f t="shared" si="1"/>
        <v>0.39287839056404922</v>
      </c>
    </row>
    <row r="12" spans="1:16" x14ac:dyDescent="0.25">
      <c r="A12" s="95" t="s">
        <v>146</v>
      </c>
      <c r="B12" s="97">
        <f>'Crash Rates'!U10</f>
        <v>0.1429</v>
      </c>
      <c r="C12" s="97">
        <f>'Crash Rates'!V10</f>
        <v>0</v>
      </c>
      <c r="D12" s="97">
        <f>'Crash Rates'!W10</f>
        <v>0</v>
      </c>
      <c r="E12" s="97">
        <f>'Crash Rates'!X10</f>
        <v>0.1429</v>
      </c>
      <c r="G12" s="105">
        <v>8</v>
      </c>
      <c r="H12" s="105">
        <v>2033</v>
      </c>
      <c r="I12" s="156">
        <f t="shared" si="5"/>
        <v>1.2723731875222901</v>
      </c>
      <c r="J12" s="92">
        <v>2.4098450001880827</v>
      </c>
      <c r="K12" s="103">
        <f t="shared" si="2"/>
        <v>6955610.3497259617</v>
      </c>
      <c r="L12" s="103">
        <f t="shared" si="3"/>
        <v>2886331.00850183</v>
      </c>
      <c r="N12" s="155">
        <f t="shared" si="4"/>
        <v>7.9846507009773742</v>
      </c>
      <c r="O12" s="155">
        <f t="shared" si="0"/>
        <v>5.8174598631102468</v>
      </c>
      <c r="P12" s="155">
        <f t="shared" si="1"/>
        <v>0.39969483064033545</v>
      </c>
    </row>
    <row r="13" spans="1:16" x14ac:dyDescent="0.25">
      <c r="A13" s="95" t="s">
        <v>147</v>
      </c>
      <c r="B13" s="97">
        <f>'Crash Rates'!U11</f>
        <v>0.1429</v>
      </c>
      <c r="C13" s="97">
        <f>'Crash Rates'!V11</f>
        <v>0</v>
      </c>
      <c r="D13" s="97">
        <f>'Crash Rates'!W11</f>
        <v>0</v>
      </c>
      <c r="E13" s="97">
        <f>'Crash Rates'!X11</f>
        <v>0.1429</v>
      </c>
      <c r="G13" s="105">
        <v>9</v>
      </c>
      <c r="H13" s="105">
        <v>2034</v>
      </c>
      <c r="I13" s="156">
        <f t="shared" si="5"/>
        <v>1.2944488623258019</v>
      </c>
      <c r="J13" s="92">
        <v>2.5785341502012487</v>
      </c>
      <c r="K13" s="103">
        <f t="shared" si="2"/>
        <v>7076290.1892937077</v>
      </c>
      <c r="L13" s="103">
        <f t="shared" si="3"/>
        <v>2744307.3378498475</v>
      </c>
      <c r="N13" s="155">
        <f t="shared" si="4"/>
        <v>8.1231843906393326</v>
      </c>
      <c r="O13" s="155">
        <f t="shared" si="0"/>
        <v>5.9183927917352097</v>
      </c>
      <c r="P13" s="155">
        <f t="shared" si="1"/>
        <v>0.40662953595194529</v>
      </c>
    </row>
    <row r="14" spans="1:16" x14ac:dyDescent="0.25">
      <c r="A14" s="95" t="s">
        <v>148</v>
      </c>
      <c r="B14" s="97">
        <f>'Crash Rates'!U12</f>
        <v>0</v>
      </c>
      <c r="C14" s="97">
        <f>'Crash Rates'!V12</f>
        <v>0.1429</v>
      </c>
      <c r="D14" s="97">
        <f>'Crash Rates'!W12</f>
        <v>0</v>
      </c>
      <c r="E14" s="97">
        <f>'Crash Rates'!X12</f>
        <v>0.1429</v>
      </c>
      <c r="G14" s="105">
        <v>10</v>
      </c>
      <c r="H14" s="105">
        <v>2035</v>
      </c>
      <c r="I14" s="156">
        <f t="shared" si="5"/>
        <v>1.3169075500871545</v>
      </c>
      <c r="J14" s="92">
        <v>2.7590315407153363</v>
      </c>
      <c r="K14" s="103">
        <f t="shared" si="2"/>
        <v>7199063.8240779536</v>
      </c>
      <c r="L14" s="103">
        <f t="shared" si="3"/>
        <v>2609272.0281883571</v>
      </c>
      <c r="N14" s="155">
        <f t="shared" si="4"/>
        <v>8.2641216398169242</v>
      </c>
      <c r="O14" s="155">
        <f t="shared" si="0"/>
        <v>6.0210769066718157</v>
      </c>
      <c r="P14" s="155">
        <f t="shared" si="1"/>
        <v>0.41368455840071156</v>
      </c>
    </row>
    <row r="15" spans="1:16" x14ac:dyDescent="0.25">
      <c r="A15" s="95" t="s">
        <v>149</v>
      </c>
      <c r="B15" s="97">
        <f>'Crash Rates'!U13</f>
        <v>0.71450000000000014</v>
      </c>
      <c r="C15" s="97">
        <f>'Crash Rates'!V13</f>
        <v>0.42870000000000003</v>
      </c>
      <c r="D15" s="97">
        <f>'Crash Rates'!W13</f>
        <v>0</v>
      </c>
      <c r="E15" s="97">
        <f>'Crash Rates'!X13</f>
        <v>1.1432000000000002</v>
      </c>
      <c r="G15" s="105">
        <v>11</v>
      </c>
      <c r="H15" s="105">
        <v>2036</v>
      </c>
      <c r="I15" s="156">
        <f t="shared" si="5"/>
        <v>1.3397558960811666</v>
      </c>
      <c r="J15" s="92">
        <v>2.9521637485654102</v>
      </c>
      <c r="K15" s="103">
        <f t="shared" si="2"/>
        <v>7323967.5814257059</v>
      </c>
      <c r="L15" s="103">
        <f t="shared" si="3"/>
        <v>2480881.212969556</v>
      </c>
      <c r="N15" s="155">
        <f t="shared" si="4"/>
        <v>8.4075041502677479</v>
      </c>
      <c r="O15" s="155">
        <f t="shared" si="0"/>
        <v>6.1255425910025716</v>
      </c>
      <c r="P15" s="155">
        <f t="shared" si="1"/>
        <v>0.42086198548896386</v>
      </c>
    </row>
    <row r="16" spans="1:16" x14ac:dyDescent="0.25">
      <c r="A16" s="95" t="s">
        <v>150</v>
      </c>
      <c r="B16" s="97">
        <f>'Crash Rates'!U14</f>
        <v>0.1429</v>
      </c>
      <c r="C16" s="97">
        <f>'Crash Rates'!V14</f>
        <v>0</v>
      </c>
      <c r="D16" s="97">
        <f>'Crash Rates'!W14</f>
        <v>0</v>
      </c>
      <c r="E16" s="97">
        <f>'Crash Rates'!X14</f>
        <v>0.1429</v>
      </c>
      <c r="G16" s="105">
        <v>12</v>
      </c>
      <c r="H16" s="105">
        <v>2037</v>
      </c>
      <c r="I16" s="156">
        <f t="shared" si="5"/>
        <v>1.3630006608781748</v>
      </c>
      <c r="J16" s="92">
        <v>3.1588152109649892</v>
      </c>
      <c r="K16" s="103">
        <f t="shared" si="2"/>
        <v>7451038.4189634416</v>
      </c>
      <c r="L16" s="103">
        <f t="shared" si="3"/>
        <v>2358807.9458080162</v>
      </c>
      <c r="N16" s="155">
        <f t="shared" si="4"/>
        <v>8.5533743472748931</v>
      </c>
      <c r="O16" s="155">
        <f t="shared" si="0"/>
        <v>6.2318207549564661</v>
      </c>
      <c r="P16" s="155">
        <f t="shared" si="1"/>
        <v>0.4281639409371974</v>
      </c>
    </row>
    <row r="17" spans="1:16" x14ac:dyDescent="0.25">
      <c r="A17" s="95" t="s">
        <v>151</v>
      </c>
      <c r="B17" s="97">
        <f>'Crash Rates'!U15</f>
        <v>0.4287000000000003</v>
      </c>
      <c r="C17" s="97">
        <f>'Crash Rates'!V15</f>
        <v>0.5716</v>
      </c>
      <c r="D17" s="97">
        <f>'Crash Rates'!W15</f>
        <v>0.1429</v>
      </c>
      <c r="E17" s="97">
        <f>'Crash Rates'!X15</f>
        <v>1.1432000000000002</v>
      </c>
      <c r="G17" s="105">
        <v>13</v>
      </c>
      <c r="H17" s="105">
        <v>2038</v>
      </c>
      <c r="I17" s="156">
        <f t="shared" si="5"/>
        <v>1.3866487223444111</v>
      </c>
      <c r="J17" s="92">
        <v>3.3799322757325387</v>
      </c>
      <c r="K17" s="103">
        <f t="shared" si="2"/>
        <v>7580313.9355324563</v>
      </c>
      <c r="L17" s="103">
        <f t="shared" si="3"/>
        <v>2242741.3679138175</v>
      </c>
      <c r="N17" s="155">
        <f t="shared" si="4"/>
        <v>8.701775392200112</v>
      </c>
      <c r="O17" s="155">
        <f t="shared" si="0"/>
        <v>6.33994284505496</v>
      </c>
      <c r="P17" s="155">
        <f t="shared" si="1"/>
        <v>0.4355925853124577</v>
      </c>
    </row>
    <row r="18" spans="1:16" x14ac:dyDescent="0.25">
      <c r="A18" s="95" t="s">
        <v>152</v>
      </c>
      <c r="B18" s="97">
        <f>'Crash Rates'!U16</f>
        <v>0.1429</v>
      </c>
      <c r="C18" s="97">
        <f>'Crash Rates'!V16</f>
        <v>0.1429</v>
      </c>
      <c r="D18" s="97">
        <f>'Crash Rates'!W16</f>
        <v>0.1429</v>
      </c>
      <c r="E18" s="97">
        <f>'Crash Rates'!X16</f>
        <v>0.42869999999999997</v>
      </c>
      <c r="G18" s="105">
        <v>14</v>
      </c>
      <c r="H18" s="105">
        <v>2039</v>
      </c>
      <c r="I18" s="156">
        <f t="shared" si="5"/>
        <v>1.4107070776770865</v>
      </c>
      <c r="J18" s="92">
        <v>3.6165275350338169</v>
      </c>
      <c r="K18" s="103">
        <f t="shared" si="2"/>
        <v>7711832.3823139444</v>
      </c>
      <c r="L18" s="103">
        <f t="shared" si="3"/>
        <v>2132385.9164926372</v>
      </c>
      <c r="N18" s="155">
        <f t="shared" si="4"/>
        <v>8.8527511952547826</v>
      </c>
      <c r="O18" s="155">
        <f t="shared" si="0"/>
        <v>6.4499408534166633</v>
      </c>
      <c r="P18" s="155">
        <f t="shared" si="1"/>
        <v>0.44315011666762882</v>
      </c>
    </row>
    <row r="19" spans="1:16" x14ac:dyDescent="0.25">
      <c r="A19" s="95" t="s">
        <v>153</v>
      </c>
      <c r="B19" s="97">
        <f>'Crash Rates'!U17</f>
        <v>0.12833333333333333</v>
      </c>
      <c r="C19" s="97">
        <f>'Crash Rates'!V17</f>
        <v>0</v>
      </c>
      <c r="D19" s="97">
        <f>'Crash Rates'!W17</f>
        <v>0</v>
      </c>
      <c r="E19" s="97">
        <f>'Crash Rates'!X17</f>
        <v>0.12833333333333333</v>
      </c>
      <c r="G19" s="105">
        <v>15</v>
      </c>
      <c r="H19" s="105">
        <v>2040</v>
      </c>
      <c r="I19" s="156">
        <f t="shared" si="5"/>
        <v>1.4351828454747839</v>
      </c>
      <c r="J19" s="92">
        <v>3.8696844624861844</v>
      </c>
      <c r="K19" s="103">
        <f t="shared" si="2"/>
        <v>7845632.6741470909</v>
      </c>
      <c r="L19" s="103">
        <f t="shared" si="3"/>
        <v>2027460.5720969946</v>
      </c>
      <c r="N19" s="155">
        <f t="shared" si="4"/>
        <v>9.0063464284924528</v>
      </c>
      <c r="O19" s="155">
        <f t="shared" si="0"/>
        <v>6.5618473272234423</v>
      </c>
      <c r="P19" s="155">
        <f t="shared" si="1"/>
        <v>0.4508387711918122</v>
      </c>
    </row>
    <row r="20" spans="1:16" x14ac:dyDescent="0.25">
      <c r="A20" s="95" t="s">
        <v>154</v>
      </c>
      <c r="B20" s="97">
        <f>'Crash Rates'!U18</f>
        <v>0.25666666666666665</v>
      </c>
      <c r="C20" s="97">
        <f>'Crash Rates'!V18</f>
        <v>0</v>
      </c>
      <c r="D20" s="97">
        <f>'Crash Rates'!W18</f>
        <v>0</v>
      </c>
      <c r="E20" s="97">
        <f>'Crash Rates'!X18</f>
        <v>0.25666666666666665</v>
      </c>
      <c r="G20" s="105">
        <v>16</v>
      </c>
      <c r="H20" s="105">
        <v>2041</v>
      </c>
      <c r="I20" s="156">
        <f t="shared" si="5"/>
        <v>1.4600832678437714</v>
      </c>
      <c r="J20" s="92">
        <v>4.1405623748602176</v>
      </c>
      <c r="K20" s="103">
        <f t="shared" si="2"/>
        <v>7981754.4010435427</v>
      </c>
      <c r="L20" s="103">
        <f t="shared" si="3"/>
        <v>1927698.1430120349</v>
      </c>
      <c r="N20" s="155">
        <f t="shared" si="4"/>
        <v>9.1626065390267968</v>
      </c>
      <c r="O20" s="155">
        <f t="shared" si="0"/>
        <v>6.6756953783507686</v>
      </c>
      <c r="P20" s="155">
        <f t="shared" si="1"/>
        <v>0.45866082387199014</v>
      </c>
    </row>
    <row r="21" spans="1:16" x14ac:dyDescent="0.25">
      <c r="A21" s="95" t="s">
        <v>155</v>
      </c>
      <c r="B21" s="97">
        <f>'Crash Rates'!U19</f>
        <v>1.0266666666666666</v>
      </c>
      <c r="C21" s="97">
        <f>'Crash Rates'!V19</f>
        <v>0.64166666666666672</v>
      </c>
      <c r="D21" s="97">
        <f>'Crash Rates'!W19</f>
        <v>0</v>
      </c>
      <c r="E21" s="97">
        <f>'Crash Rates'!X19</f>
        <v>1.6683333333333334</v>
      </c>
      <c r="G21" s="105">
        <v>17</v>
      </c>
      <c r="H21" s="105">
        <v>2042</v>
      </c>
      <c r="I21" s="156">
        <f t="shared" si="5"/>
        <v>1.4854157125408609</v>
      </c>
      <c r="J21" s="92">
        <v>4.4304017411004333</v>
      </c>
      <c r="K21" s="103">
        <f t="shared" si="2"/>
        <v>8120237.8399016485</v>
      </c>
      <c r="L21" s="103">
        <f t="shared" si="3"/>
        <v>1832844.5848535455</v>
      </c>
      <c r="N21" s="155">
        <f t="shared" si="4"/>
        <v>9.3215777624789116</v>
      </c>
      <c r="O21" s="155">
        <f t="shared" si="0"/>
        <v>6.7915186931651546</v>
      </c>
      <c r="P21" s="155">
        <f t="shared" si="1"/>
        <v>0.46661858916616916</v>
      </c>
    </row>
    <row r="22" spans="1:16" x14ac:dyDescent="0.25">
      <c r="A22" s="95" t="s">
        <v>156</v>
      </c>
      <c r="B22" s="97">
        <f>'Crash Rates'!U20</f>
        <v>2.8333333333333349E-2</v>
      </c>
      <c r="C22" s="97">
        <f>'Crash Rates'!V20</f>
        <v>2.8333333333333294E-2</v>
      </c>
      <c r="D22" s="97">
        <f>'Crash Rates'!W20</f>
        <v>0</v>
      </c>
      <c r="E22" s="97">
        <f>'Crash Rates'!X20</f>
        <v>5.6666666666666643E-2</v>
      </c>
      <c r="G22" s="105">
        <v>18</v>
      </c>
      <c r="H22" s="105">
        <v>2043</v>
      </c>
      <c r="I22" s="156">
        <f t="shared" si="5"/>
        <v>1.5111876751534448</v>
      </c>
      <c r="J22" s="92">
        <v>4.7405298629774641</v>
      </c>
      <c r="K22" s="103">
        <f t="shared" si="2"/>
        <v>8261123.9664239418</v>
      </c>
      <c r="L22" s="103">
        <f t="shared" si="3"/>
        <v>1742658.3536455645</v>
      </c>
      <c r="N22" s="155">
        <f t="shared" si="4"/>
        <v>9.4833071366579205</v>
      </c>
      <c r="O22" s="155">
        <f t="shared" si="0"/>
        <v>6.9093515424915699</v>
      </c>
      <c r="P22" s="155">
        <f t="shared" si="1"/>
        <v>0.47471442168820216</v>
      </c>
    </row>
    <row r="23" spans="1:16" x14ac:dyDescent="0.25">
      <c r="A23" s="95" t="s">
        <v>157</v>
      </c>
      <c r="B23" s="97">
        <f>'Crash Rates'!U21</f>
        <v>0.71450000000000014</v>
      </c>
      <c r="C23" s="97">
        <f>'Crash Rates'!V21</f>
        <v>0.85740000000000005</v>
      </c>
      <c r="D23" s="97">
        <f>'Crash Rates'!W21</f>
        <v>0</v>
      </c>
      <c r="E23" s="97">
        <f>'Crash Rates'!X21</f>
        <v>1.5719000000000003</v>
      </c>
      <c r="G23" s="105">
        <v>19</v>
      </c>
      <c r="H23" s="105">
        <f>H22+1</f>
        <v>2044</v>
      </c>
      <c r="I23" s="156">
        <f t="shared" si="5"/>
        <v>1.5374067813173571</v>
      </c>
      <c r="J23" s="92">
        <f>J22*1.07</f>
        <v>5.0723669533858873</v>
      </c>
      <c r="K23" s="103">
        <f t="shared" si="2"/>
        <v>8404454.4672413971</v>
      </c>
      <c r="L23" s="103">
        <f t="shared" si="3"/>
        <v>1656909.7907302009</v>
      </c>
      <c r="N23" s="155">
        <f t="shared" si="4"/>
        <v>9.6478425154789367</v>
      </c>
      <c r="O23" s="155">
        <f t="shared" si="0"/>
        <v>7.0292287917537992</v>
      </c>
      <c r="P23" s="155">
        <f t="shared" si="1"/>
        <v>0.48295071690449248</v>
      </c>
    </row>
    <row r="24" spans="1:16" x14ac:dyDescent="0.25">
      <c r="A24" s="95" t="s">
        <v>158</v>
      </c>
      <c r="B24" s="97">
        <f>'Crash Rates'!U22</f>
        <v>0.12833333333333333</v>
      </c>
      <c r="C24" s="97">
        <f>'Crash Rates'!V22</f>
        <v>0.25666666666666665</v>
      </c>
      <c r="D24" s="97">
        <f>'Crash Rates'!W22</f>
        <v>0</v>
      </c>
      <c r="E24" s="97">
        <f>'Crash Rates'!X22</f>
        <v>0.38500000000000001</v>
      </c>
      <c r="G24" s="105">
        <v>20</v>
      </c>
      <c r="H24" s="105">
        <f t="shared" ref="H24:H34" si="6">H23+1</f>
        <v>2045</v>
      </c>
      <c r="I24" s="156">
        <f t="shared" si="5"/>
        <v>1.5640807889732131</v>
      </c>
      <c r="J24" s="92">
        <f t="shared" ref="J24:J34" si="7">J23*1.07</f>
        <v>5.4274326401229001</v>
      </c>
      <c r="K24" s="103">
        <f t="shared" si="2"/>
        <v>8550271.7522480357</v>
      </c>
      <c r="L24" s="103">
        <f t="shared" si="3"/>
        <v>1575380.5379433362</v>
      </c>
      <c r="N24" s="155">
        <f t="shared" si="4"/>
        <v>9.815232583122496</v>
      </c>
      <c r="O24" s="155">
        <f t="shared" si="0"/>
        <v>7.1511859112907272</v>
      </c>
      <c r="P24" s="155">
        <f t="shared" si="1"/>
        <v>0.49132991184278541</v>
      </c>
    </row>
    <row r="25" spans="1:16" x14ac:dyDescent="0.25">
      <c r="A25" s="95" t="s">
        <v>159</v>
      </c>
      <c r="B25" s="97">
        <f>'Crash Rates'!U23</f>
        <v>0.12833333333333333</v>
      </c>
      <c r="C25" s="97">
        <f>'Crash Rates'!V23</f>
        <v>0</v>
      </c>
      <c r="D25" s="97">
        <f>'Crash Rates'!W23</f>
        <v>0</v>
      </c>
      <c r="E25" s="97">
        <f>'Crash Rates'!X23</f>
        <v>0.12833333333333333</v>
      </c>
      <c r="G25" s="105">
        <f>G24+1</f>
        <v>21</v>
      </c>
      <c r="H25" s="105">
        <f t="shared" si="6"/>
        <v>2046</v>
      </c>
      <c r="I25" s="156">
        <f t="shared" si="5"/>
        <v>1.5912175906618984</v>
      </c>
      <c r="J25" s="92">
        <f t="shared" si="7"/>
        <v>5.8073529249315037</v>
      </c>
      <c r="K25" s="103">
        <f t="shared" si="2"/>
        <v>8698618.9671495389</v>
      </c>
      <c r="L25" s="103">
        <f t="shared" si="3"/>
        <v>1497862.9815669653</v>
      </c>
      <c r="N25" s="155">
        <f t="shared" si="4"/>
        <v>9.9855268684396705</v>
      </c>
      <c r="O25" s="155">
        <f t="shared" si="0"/>
        <v>7.2752589868516209</v>
      </c>
      <c r="P25" s="155">
        <f t="shared" si="1"/>
        <v>0.49985448581325775</v>
      </c>
    </row>
    <row r="26" spans="1:16" x14ac:dyDescent="0.25">
      <c r="A26" s="95" t="s">
        <v>80</v>
      </c>
      <c r="B26" s="97">
        <f>'Crash Rates'!U24</f>
        <v>6.2753999999999959</v>
      </c>
      <c r="C26" s="97">
        <f>'Crash Rates'!V24</f>
        <v>4.5721333333333334</v>
      </c>
      <c r="D26" s="97">
        <f>'Crash Rates'!W24</f>
        <v>0.31413333333333338</v>
      </c>
      <c r="E26" s="97">
        <f>'Crash Rates'!X24</f>
        <v>11.161666666666662</v>
      </c>
      <c r="G26" s="105">
        <f t="shared" ref="G26:G34" si="8">G25+1</f>
        <v>22</v>
      </c>
      <c r="H26" s="105">
        <f t="shared" si="6"/>
        <v>2047</v>
      </c>
      <c r="I26" s="156">
        <f t="shared" si="5"/>
        <v>1.6188252158598824</v>
      </c>
      <c r="J26" s="92">
        <f t="shared" si="7"/>
        <v>6.2138676296767095</v>
      </c>
      <c r="K26" s="103">
        <f t="shared" si="2"/>
        <v>8849540.0062295832</v>
      </c>
      <c r="L26" s="103">
        <f t="shared" si="3"/>
        <v>1424159.7236421981</v>
      </c>
      <c r="N26" s="155">
        <f t="shared" si="4"/>
        <v>10.158775759607099</v>
      </c>
      <c r="O26" s="155">
        <f t="shared" si="0"/>
        <v>7.4014847302734967</v>
      </c>
      <c r="P26" s="155">
        <f t="shared" si="1"/>
        <v>0.50852696114211782</v>
      </c>
    </row>
    <row r="27" spans="1:16" x14ac:dyDescent="0.25">
      <c r="G27" s="105">
        <f t="shared" si="8"/>
        <v>23</v>
      </c>
      <c r="H27" s="105">
        <f t="shared" si="6"/>
        <v>2048</v>
      </c>
      <c r="I27" s="156">
        <f t="shared" si="5"/>
        <v>1.6469118333550512</v>
      </c>
      <c r="J27" s="92">
        <f t="shared" si="7"/>
        <v>6.6488383637540798</v>
      </c>
      <c r="K27" s="103">
        <f t="shared" si="2"/>
        <v>9003079.5253376663</v>
      </c>
      <c r="L27" s="103">
        <f t="shared" si="3"/>
        <v>1354083.0792966262</v>
      </c>
      <c r="N27" s="155">
        <f t="shared" si="4"/>
        <v>10.335030519036282</v>
      </c>
      <c r="O27" s="155">
        <f t="shared" si="0"/>
        <v>7.5299004903437412</v>
      </c>
      <c r="P27" s="155">
        <f t="shared" si="1"/>
        <v>0.51734990391793345</v>
      </c>
    </row>
    <row r="28" spans="1:16" ht="30" x14ac:dyDescent="0.25">
      <c r="A28" s="104" t="s">
        <v>178</v>
      </c>
      <c r="B28" s="102">
        <f>'Default Values'!C9</f>
        <v>8041</v>
      </c>
      <c r="C28" s="103">
        <f>'Default Values'!C7</f>
        <v>302600</v>
      </c>
      <c r="D28" s="103">
        <f>'Default Values'!C8</f>
        <v>12837400</v>
      </c>
      <c r="G28" s="105">
        <f t="shared" si="8"/>
        <v>24</v>
      </c>
      <c r="H28" s="105">
        <f t="shared" si="6"/>
        <v>2049</v>
      </c>
      <c r="I28" s="156">
        <f t="shared" si="5"/>
        <v>1.6754857536637613</v>
      </c>
      <c r="J28" s="92">
        <f t="shared" si="7"/>
        <v>7.1142570492168655</v>
      </c>
      <c r="K28" s="103">
        <f t="shared" si="2"/>
        <v>9159282.9551022742</v>
      </c>
      <c r="L28" s="103">
        <f t="shared" si="3"/>
        <v>1287454.5988060024</v>
      </c>
      <c r="N28" s="155">
        <f t="shared" si="4"/>
        <v>10.514343298541561</v>
      </c>
      <c r="O28" s="155">
        <f t="shared" si="0"/>
        <v>7.6605442638512056</v>
      </c>
      <c r="P28" s="155">
        <f t="shared" si="1"/>
        <v>0.52632592475090967</v>
      </c>
    </row>
    <row r="29" spans="1:16" ht="30" customHeight="1" x14ac:dyDescent="0.25">
      <c r="A29" s="104" t="s">
        <v>179</v>
      </c>
      <c r="B29" s="103">
        <f>B28*B26</f>
        <v>50460.49139999997</v>
      </c>
      <c r="C29" s="103">
        <f t="shared" ref="C29:D29" si="9">C28*C26</f>
        <v>1383527.5466666666</v>
      </c>
      <c r="D29" s="103">
        <f t="shared" si="9"/>
        <v>4032655.2533333339</v>
      </c>
      <c r="E29" s="123">
        <f>SUM(B29:D29)</f>
        <v>5466643.2914000005</v>
      </c>
      <c r="G29" s="105">
        <f t="shared" si="8"/>
        <v>25</v>
      </c>
      <c r="H29" s="105">
        <f t="shared" si="6"/>
        <v>2050</v>
      </c>
      <c r="I29" s="156">
        <f t="shared" si="5"/>
        <v>1.7045554314898275</v>
      </c>
      <c r="J29" s="92">
        <f t="shared" si="7"/>
        <v>7.6122550426620466</v>
      </c>
      <c r="K29" s="103">
        <f t="shared" si="2"/>
        <v>9318196.5143732987</v>
      </c>
      <c r="L29" s="103">
        <f t="shared" si="3"/>
        <v>1224104.6131731649</v>
      </c>
      <c r="N29" s="155">
        <f t="shared" si="4"/>
        <v>10.696767154771257</v>
      </c>
      <c r="O29" s="155">
        <f t="shared" si="0"/>
        <v>7.7934547068290234</v>
      </c>
      <c r="P29" s="155">
        <f t="shared" si="1"/>
        <v>0.53545767954533785</v>
      </c>
    </row>
    <row r="30" spans="1:16" x14ac:dyDescent="0.25">
      <c r="G30" s="105">
        <f t="shared" si="8"/>
        <v>26</v>
      </c>
      <c r="H30" s="105">
        <f t="shared" si="6"/>
        <v>2051</v>
      </c>
      <c r="I30" s="156">
        <f t="shared" si="5"/>
        <v>1.7341294682261759</v>
      </c>
      <c r="J30" s="92">
        <f t="shared" si="7"/>
        <v>8.1451128956483902</v>
      </c>
      <c r="K30" s="103">
        <f t="shared" si="2"/>
        <v>9479867.2238976751</v>
      </c>
      <c r="L30" s="103">
        <f t="shared" si="3"/>
        <v>1163871.8020670274</v>
      </c>
      <c r="N30" s="155">
        <f t="shared" si="4"/>
        <v>10.882356064906537</v>
      </c>
      <c r="O30" s="155">
        <f t="shared" si="0"/>
        <v>7.9286711459925066</v>
      </c>
      <c r="P30" s="155">
        <f t="shared" si="1"/>
        <v>0.54474787028544946</v>
      </c>
    </row>
    <row r="31" spans="1:16" x14ac:dyDescent="0.25">
      <c r="G31" s="105">
        <f t="shared" si="8"/>
        <v>27</v>
      </c>
      <c r="H31" s="105">
        <f t="shared" si="6"/>
        <v>2052</v>
      </c>
      <c r="I31" s="156">
        <f t="shared" si="5"/>
        <v>1.7642166144999001</v>
      </c>
      <c r="J31" s="92">
        <f t="shared" si="7"/>
        <v>8.7152707983437789</v>
      </c>
      <c r="K31" s="103">
        <f t="shared" si="2"/>
        <v>9644342.9202322997</v>
      </c>
      <c r="L31" s="103">
        <f t="shared" si="3"/>
        <v>1106602.7830213925</v>
      </c>
      <c r="N31" s="155">
        <f t="shared" si="4"/>
        <v>11.071164942632665</v>
      </c>
      <c r="O31" s="155">
        <f t="shared" si="0"/>
        <v>8.0662335903754769</v>
      </c>
      <c r="P31" s="155">
        <f t="shared" si="1"/>
        <v>0.55419924583490199</v>
      </c>
    </row>
    <row r="32" spans="1:16" x14ac:dyDescent="0.25">
      <c r="G32" s="105">
        <f t="shared" si="8"/>
        <v>28</v>
      </c>
      <c r="H32" s="105">
        <f t="shared" si="6"/>
        <v>2053</v>
      </c>
      <c r="I32" s="156">
        <f t="shared" si="5"/>
        <v>1.7948257727614734</v>
      </c>
      <c r="J32" s="92">
        <f t="shared" si="7"/>
        <v>9.3253397542278442</v>
      </c>
      <c r="K32" s="103">
        <f t="shared" si="2"/>
        <v>9811672.2698983308</v>
      </c>
      <c r="L32" s="103">
        <f t="shared" si="3"/>
        <v>1052151.7208474895</v>
      </c>
      <c r="N32" s="155">
        <f t="shared" si="4"/>
        <v>11.263249654387343</v>
      </c>
      <c r="O32" s="155">
        <f t="shared" si="0"/>
        <v>8.2061827431684904</v>
      </c>
      <c r="P32" s="155">
        <f t="shared" si="1"/>
        <v>0.56381460275013762</v>
      </c>
    </row>
    <row r="33" spans="7:16" x14ac:dyDescent="0.25">
      <c r="G33" s="105">
        <f t="shared" si="8"/>
        <v>29</v>
      </c>
      <c r="H33" s="105">
        <f t="shared" si="6"/>
        <v>2054</v>
      </c>
      <c r="I33" s="156">
        <f t="shared" si="5"/>
        <v>1.8259659999188849</v>
      </c>
      <c r="J33" s="92">
        <f t="shared" si="7"/>
        <v>9.9781135370237948</v>
      </c>
      <c r="K33" s="103">
        <f t="shared" si="2"/>
        <v>9981904.7837810665</v>
      </c>
      <c r="L33" s="103">
        <f t="shared" si="3"/>
        <v>1000379.9562656011</v>
      </c>
      <c r="N33" s="155">
        <f t="shared" si="4"/>
        <v>11.458667035890963</v>
      </c>
      <c r="O33" s="155">
        <f t="shared" si="0"/>
        <v>8.348560013762464</v>
      </c>
      <c r="P33" s="155">
        <f t="shared" si="1"/>
        <v>0.57359678610785247</v>
      </c>
    </row>
    <row r="34" spans="7:16" x14ac:dyDescent="0.25">
      <c r="G34" s="105">
        <f t="shared" si="8"/>
        <v>30</v>
      </c>
      <c r="H34" s="105">
        <f t="shared" si="6"/>
        <v>2055</v>
      </c>
      <c r="I34" s="156">
        <f t="shared" si="5"/>
        <v>1.8576465100174775</v>
      </c>
      <c r="J34" s="92">
        <f t="shared" si="7"/>
        <v>10.676581484615461</v>
      </c>
      <c r="K34" s="103">
        <f t="shared" si="2"/>
        <v>10155090.831779666</v>
      </c>
      <c r="L34" s="103">
        <f t="shared" si="3"/>
        <v>951155.65281010198</v>
      </c>
      <c r="N34" s="155">
        <f t="shared" si="4"/>
        <v>11.657474908963671</v>
      </c>
      <c r="O34" s="155">
        <f t="shared" si="0"/>
        <v>8.4934075300012424</v>
      </c>
      <c r="P34" s="155">
        <f t="shared" si="1"/>
        <v>0.58354869034682366</v>
      </c>
    </row>
    <row r="35" spans="7:16" ht="18.75" x14ac:dyDescent="0.3">
      <c r="G35" s="3" t="s">
        <v>80</v>
      </c>
      <c r="H35" s="108"/>
      <c r="I35" s="108"/>
      <c r="J35" s="108"/>
      <c r="K35" s="109">
        <f>SUM(K5:K34)</f>
        <v>240041956.17643952</v>
      </c>
      <c r="L35" s="124">
        <f>SUM(L5:L34)</f>
        <v>65128383.145807937</v>
      </c>
      <c r="N35" s="144">
        <f>SUM(N5:N34)</f>
        <v>275.55470724775438</v>
      </c>
      <c r="O35" s="144">
        <f t="shared" ref="O35:P35" si="10">SUM(O5:O34)</f>
        <v>200.76375404984014</v>
      </c>
      <c r="P35" s="144">
        <f t="shared" si="10"/>
        <v>13.793689438669727</v>
      </c>
    </row>
    <row r="37" spans="7:16" x14ac:dyDescent="0.25">
      <c r="G37" s="99" t="s">
        <v>180</v>
      </c>
    </row>
  </sheetData>
  <mergeCells count="3">
    <mergeCell ref="A3:E3"/>
    <mergeCell ref="A4:E4"/>
    <mergeCell ref="N3:P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3EA99-EDCB-461C-9227-BA1E5E8C6149}">
  <sheetPr>
    <tabColor theme="4" tint="0.39997558519241921"/>
  </sheetPr>
  <dimension ref="A1:H219"/>
  <sheetViews>
    <sheetView topLeftCell="A10" workbookViewId="0">
      <selection activeCell="B13" sqref="B13"/>
    </sheetView>
  </sheetViews>
  <sheetFormatPr defaultColWidth="9.140625" defaultRowHeight="12.75" x14ac:dyDescent="0.25"/>
  <cols>
    <col min="1" max="1" width="36.28515625" style="10" customWidth="1"/>
    <col min="2" max="2" width="128.85546875" style="10" customWidth="1"/>
    <col min="3" max="3" width="9.140625" style="9"/>
    <col min="4" max="4" width="44.7109375" style="9" customWidth="1"/>
    <col min="5" max="7" width="9.140625" style="9"/>
    <col min="8" max="16384" width="9.140625" style="10"/>
  </cols>
  <sheetData>
    <row r="1" spans="1:8" x14ac:dyDescent="0.25">
      <c r="A1" s="8"/>
      <c r="B1" s="9"/>
    </row>
    <row r="2" spans="1:8" ht="23.25" x14ac:dyDescent="0.25">
      <c r="A2" s="6" t="str">
        <f>'Title Page'!A2</f>
        <v>Benefit-Cost Analysis Spreadsheet for the Safety Improvements on Oklahoma Rural Roadways</v>
      </c>
      <c r="B2" s="6"/>
    </row>
    <row r="3" spans="1:8" x14ac:dyDescent="0.25">
      <c r="A3" s="11"/>
      <c r="B3" s="9"/>
    </row>
    <row r="4" spans="1:8" x14ac:dyDescent="0.25">
      <c r="A4" s="11"/>
      <c r="B4" s="9"/>
      <c r="C4" s="12"/>
      <c r="D4" s="12"/>
      <c r="E4" s="12"/>
      <c r="F4" s="12"/>
      <c r="G4" s="12"/>
      <c r="H4" s="13"/>
    </row>
    <row r="5" spans="1:8" ht="26.25" customHeight="1" x14ac:dyDescent="0.25">
      <c r="A5" s="157" t="s">
        <v>3</v>
      </c>
      <c r="B5" s="157"/>
      <c r="C5" s="12"/>
      <c r="D5" s="12"/>
      <c r="E5" s="12"/>
      <c r="F5" s="12"/>
      <c r="G5" s="12"/>
      <c r="H5" s="13"/>
    </row>
    <row r="6" spans="1:8" s="13" customFormat="1" ht="35.25" customHeight="1" x14ac:dyDescent="0.25">
      <c r="A6" s="158" t="s">
        <v>4</v>
      </c>
      <c r="B6" s="158"/>
      <c r="C6" s="12"/>
      <c r="D6" s="12"/>
      <c r="E6" s="12"/>
      <c r="F6" s="12"/>
      <c r="G6" s="12"/>
    </row>
    <row r="7" spans="1:8" s="13" customFormat="1" x14ac:dyDescent="0.25">
      <c r="C7" s="12"/>
      <c r="D7" s="12"/>
      <c r="E7" s="12"/>
      <c r="F7" s="12"/>
      <c r="G7" s="12"/>
    </row>
    <row r="8" spans="1:8" s="13" customFormat="1" x14ac:dyDescent="0.25">
      <c r="A8" s="14" t="s">
        <v>5</v>
      </c>
      <c r="B8" s="14" t="s">
        <v>6</v>
      </c>
      <c r="C8" s="12"/>
      <c r="D8" s="12"/>
      <c r="E8" s="12"/>
      <c r="F8" s="12"/>
      <c r="G8" s="12"/>
    </row>
    <row r="9" spans="1:8" s="13" customFormat="1" x14ac:dyDescent="0.25">
      <c r="A9" s="159" t="s">
        <v>7</v>
      </c>
      <c r="B9" s="126" t="s">
        <v>8</v>
      </c>
      <c r="C9" s="12"/>
      <c r="D9" s="12"/>
      <c r="E9" s="12"/>
      <c r="F9" s="12"/>
      <c r="G9" s="12"/>
    </row>
    <row r="10" spans="1:8" s="13" customFormat="1" x14ac:dyDescent="0.25">
      <c r="A10" s="159"/>
      <c r="B10" s="126" t="s">
        <v>9</v>
      </c>
      <c r="C10" s="12"/>
      <c r="D10" s="12"/>
      <c r="E10" s="12"/>
      <c r="F10" s="12"/>
      <c r="G10" s="12"/>
    </row>
    <row r="11" spans="1:8" s="13" customFormat="1" x14ac:dyDescent="0.25">
      <c r="A11" s="159"/>
      <c r="B11" s="126" t="s">
        <v>10</v>
      </c>
      <c r="C11" s="12"/>
      <c r="D11" s="12"/>
      <c r="E11" s="12"/>
      <c r="F11" s="12"/>
      <c r="G11" s="12"/>
    </row>
    <row r="12" spans="1:8" s="13" customFormat="1" ht="15" customHeight="1" x14ac:dyDescent="0.25">
      <c r="A12" s="126"/>
      <c r="B12" s="126" t="s">
        <v>11</v>
      </c>
      <c r="C12" s="12"/>
      <c r="D12" s="12"/>
      <c r="E12" s="12"/>
      <c r="F12" s="12"/>
      <c r="G12" s="12"/>
    </row>
    <row r="13" spans="1:8" s="13" customFormat="1" ht="22.5" customHeight="1" x14ac:dyDescent="0.25">
      <c r="A13" s="16" t="s">
        <v>12</v>
      </c>
      <c r="B13" s="16" t="s">
        <v>13</v>
      </c>
      <c r="C13" s="12"/>
      <c r="D13" s="12"/>
      <c r="E13" s="12"/>
      <c r="F13" s="12"/>
      <c r="G13" s="12"/>
    </row>
    <row r="14" spans="1:8" s="13" customFormat="1" ht="22.5" customHeight="1" x14ac:dyDescent="0.25">
      <c r="A14" s="16" t="s">
        <v>14</v>
      </c>
      <c r="B14" s="16" t="s">
        <v>15</v>
      </c>
      <c r="C14" s="12"/>
      <c r="D14" s="12"/>
      <c r="E14" s="12"/>
      <c r="F14" s="12"/>
      <c r="G14" s="12"/>
    </row>
    <row r="15" spans="1:8" s="13" customFormat="1" ht="22.5" customHeight="1" x14ac:dyDescent="0.25">
      <c r="A15" s="16" t="s">
        <v>16</v>
      </c>
      <c r="B15" s="16" t="s">
        <v>17</v>
      </c>
      <c r="C15" s="12"/>
      <c r="D15" s="12"/>
      <c r="E15" s="12"/>
      <c r="F15" s="12"/>
      <c r="G15" s="12"/>
    </row>
    <row r="16" spans="1:8" s="13" customFormat="1" ht="22.5" customHeight="1" x14ac:dyDescent="0.25">
      <c r="A16" s="15" t="s">
        <v>18</v>
      </c>
      <c r="B16" s="15" t="s">
        <v>19</v>
      </c>
      <c r="C16" s="12"/>
      <c r="D16" s="12"/>
      <c r="E16" s="12"/>
      <c r="F16" s="12"/>
      <c r="G16" s="12"/>
    </row>
    <row r="17" spans="1:7" s="13" customFormat="1" ht="22.5" customHeight="1" x14ac:dyDescent="0.25">
      <c r="A17" s="15" t="s">
        <v>20</v>
      </c>
      <c r="B17" s="15" t="s">
        <v>21</v>
      </c>
      <c r="C17" s="12"/>
      <c r="D17" s="12"/>
      <c r="E17" s="12"/>
      <c r="F17" s="12"/>
      <c r="G17" s="12"/>
    </row>
    <row r="18" spans="1:7" s="13" customFormat="1" ht="22.5" customHeight="1" x14ac:dyDescent="0.25">
      <c r="A18" s="15" t="s">
        <v>22</v>
      </c>
      <c r="B18" s="15" t="s">
        <v>23</v>
      </c>
      <c r="C18" s="12"/>
      <c r="D18" s="12"/>
      <c r="E18" s="12"/>
      <c r="F18" s="12"/>
      <c r="G18" s="12"/>
    </row>
    <row r="19" spans="1:7" s="13" customFormat="1" ht="22.5" customHeight="1" x14ac:dyDescent="0.25">
      <c r="A19" s="125" t="s">
        <v>24</v>
      </c>
      <c r="B19" s="125" t="s">
        <v>25</v>
      </c>
      <c r="C19" s="12"/>
      <c r="D19" s="12"/>
      <c r="E19" s="12"/>
      <c r="F19" s="12"/>
      <c r="G19" s="12"/>
    </row>
    <row r="20" spans="1:7" s="13" customFormat="1" ht="22.5" customHeight="1" x14ac:dyDescent="0.25">
      <c r="A20" s="125" t="s">
        <v>26</v>
      </c>
      <c r="B20" s="125" t="s">
        <v>27</v>
      </c>
      <c r="C20" s="12"/>
      <c r="D20" s="12"/>
      <c r="E20" s="12"/>
      <c r="F20" s="12"/>
      <c r="G20" s="12"/>
    </row>
    <row r="21" spans="1:7" s="9" customFormat="1" x14ac:dyDescent="0.25"/>
    <row r="22" spans="1:7" s="9" customFormat="1" x14ac:dyDescent="0.25"/>
    <row r="23" spans="1:7" s="9" customFormat="1" x14ac:dyDescent="0.25"/>
    <row r="24" spans="1:7" s="9" customFormat="1" x14ac:dyDescent="0.25"/>
    <row r="25" spans="1:7" s="9" customFormat="1" x14ac:dyDescent="0.25"/>
    <row r="26" spans="1:7" s="9" customFormat="1" x14ac:dyDescent="0.25"/>
    <row r="27" spans="1:7" s="9" customFormat="1" x14ac:dyDescent="0.25"/>
    <row r="28" spans="1:7" s="9" customFormat="1" x14ac:dyDescent="0.25"/>
    <row r="29" spans="1:7" s="9" customFormat="1" x14ac:dyDescent="0.25"/>
    <row r="30" spans="1:7" s="9" customFormat="1" x14ac:dyDescent="0.25"/>
    <row r="31" spans="1:7" s="9" customFormat="1" x14ac:dyDescent="0.25"/>
    <row r="32" spans="1:7" s="9" customFormat="1" x14ac:dyDescent="0.25"/>
    <row r="33" s="9" customFormat="1" x14ac:dyDescent="0.25"/>
    <row r="34" s="9" customFormat="1" x14ac:dyDescent="0.25"/>
    <row r="35" s="9" customFormat="1" x14ac:dyDescent="0.25"/>
    <row r="36" s="9" customFormat="1" x14ac:dyDescent="0.25"/>
    <row r="37" s="9" customFormat="1" x14ac:dyDescent="0.25"/>
    <row r="38" s="9" customFormat="1" x14ac:dyDescent="0.25"/>
    <row r="39" s="9" customFormat="1" x14ac:dyDescent="0.25"/>
    <row r="40" s="9" customFormat="1" x14ac:dyDescent="0.25"/>
    <row r="41" s="9" customFormat="1" x14ac:dyDescent="0.25"/>
    <row r="42" s="9" customFormat="1" x14ac:dyDescent="0.25"/>
    <row r="43" s="9" customFormat="1" x14ac:dyDescent="0.25"/>
    <row r="44" s="9" customFormat="1" x14ac:dyDescent="0.25"/>
    <row r="45" s="9" customFormat="1" x14ac:dyDescent="0.25"/>
    <row r="46" s="9" customFormat="1" x14ac:dyDescent="0.25"/>
    <row r="47" s="9" customFormat="1" x14ac:dyDescent="0.25"/>
    <row r="48" s="9" customFormat="1" x14ac:dyDescent="0.25"/>
    <row r="49" s="9" customFormat="1" x14ac:dyDescent="0.25"/>
    <row r="50" s="9" customFormat="1" x14ac:dyDescent="0.25"/>
    <row r="51" s="9" customFormat="1" x14ac:dyDescent="0.25"/>
    <row r="52" s="9" customFormat="1" x14ac:dyDescent="0.25"/>
    <row r="53" s="9" customFormat="1" x14ac:dyDescent="0.25"/>
    <row r="54" s="9" customFormat="1" x14ac:dyDescent="0.25"/>
    <row r="55" s="9" customFormat="1" x14ac:dyDescent="0.25"/>
    <row r="56" s="9" customFormat="1" x14ac:dyDescent="0.25"/>
    <row r="57" s="9" customFormat="1" x14ac:dyDescent="0.25"/>
    <row r="58" s="9" customFormat="1" x14ac:dyDescent="0.25"/>
    <row r="59" s="9" customFormat="1" x14ac:dyDescent="0.25"/>
    <row r="60" s="9" customFormat="1" x14ac:dyDescent="0.25"/>
    <row r="61" s="9" customFormat="1" x14ac:dyDescent="0.25"/>
    <row r="62" s="9" customFormat="1" x14ac:dyDescent="0.25"/>
    <row r="63" s="9" customFormat="1" x14ac:dyDescent="0.25"/>
    <row r="64" s="9" customFormat="1" x14ac:dyDescent="0.25"/>
    <row r="65" s="9" customFormat="1" x14ac:dyDescent="0.25"/>
    <row r="66" s="9" customFormat="1" x14ac:dyDescent="0.25"/>
    <row r="67" s="9" customFormat="1" x14ac:dyDescent="0.25"/>
    <row r="68" s="9" customFormat="1" x14ac:dyDescent="0.25"/>
    <row r="69" s="9" customFormat="1" x14ac:dyDescent="0.25"/>
    <row r="70" s="9" customFormat="1" x14ac:dyDescent="0.25"/>
    <row r="71" s="9" customFormat="1" x14ac:dyDescent="0.25"/>
    <row r="72" s="9" customFormat="1" x14ac:dyDescent="0.25"/>
    <row r="73" s="9" customFormat="1" x14ac:dyDescent="0.25"/>
    <row r="74" s="9" customFormat="1" x14ac:dyDescent="0.25"/>
    <row r="75" s="9" customFormat="1" x14ac:dyDescent="0.25"/>
    <row r="76" s="9" customFormat="1" x14ac:dyDescent="0.25"/>
    <row r="77" s="9" customFormat="1" x14ac:dyDescent="0.25"/>
    <row r="78" s="9" customFormat="1" x14ac:dyDescent="0.25"/>
    <row r="79" s="9" customFormat="1" x14ac:dyDescent="0.25"/>
    <row r="80" s="9" customFormat="1" x14ac:dyDescent="0.25"/>
    <row r="81" s="9" customFormat="1" x14ac:dyDescent="0.25"/>
    <row r="82" s="9" customFormat="1" x14ac:dyDescent="0.25"/>
    <row r="83" s="9" customFormat="1" x14ac:dyDescent="0.25"/>
    <row r="84" s="9" customFormat="1" x14ac:dyDescent="0.25"/>
    <row r="85" s="9" customFormat="1" x14ac:dyDescent="0.25"/>
    <row r="86" s="9" customFormat="1" x14ac:dyDescent="0.25"/>
    <row r="87" s="9" customFormat="1" x14ac:dyDescent="0.25"/>
    <row r="88" s="9" customFormat="1" x14ac:dyDescent="0.25"/>
    <row r="89" s="9" customFormat="1" x14ac:dyDescent="0.25"/>
    <row r="90" s="9" customFormat="1" x14ac:dyDescent="0.25"/>
    <row r="91" s="9" customFormat="1" x14ac:dyDescent="0.25"/>
    <row r="92" s="9" customFormat="1" x14ac:dyDescent="0.25"/>
    <row r="93" s="9" customFormat="1" x14ac:dyDescent="0.25"/>
    <row r="94" s="9" customFormat="1" x14ac:dyDescent="0.25"/>
    <row r="95" s="9" customFormat="1" x14ac:dyDescent="0.25"/>
    <row r="96" s="9" customFormat="1" x14ac:dyDescent="0.25"/>
    <row r="97" s="9" customFormat="1" x14ac:dyDescent="0.25"/>
    <row r="98" s="9" customFormat="1" x14ac:dyDescent="0.25"/>
    <row r="99" s="9" customFormat="1" x14ac:dyDescent="0.25"/>
    <row r="100" s="9" customFormat="1" x14ac:dyDescent="0.25"/>
    <row r="101" s="9" customFormat="1" x14ac:dyDescent="0.25"/>
    <row r="102" s="9" customFormat="1" x14ac:dyDescent="0.25"/>
    <row r="103" s="9" customFormat="1" x14ac:dyDescent="0.25"/>
    <row r="104" s="9" customFormat="1" x14ac:dyDescent="0.25"/>
    <row r="105" s="9" customFormat="1" x14ac:dyDescent="0.25"/>
    <row r="106" s="9" customFormat="1" x14ac:dyDescent="0.25"/>
    <row r="107" s="9" customFormat="1" x14ac:dyDescent="0.25"/>
    <row r="108" s="9" customFormat="1" x14ac:dyDescent="0.25"/>
    <row r="109" s="9" customFormat="1" x14ac:dyDescent="0.25"/>
    <row r="110" s="9" customFormat="1" x14ac:dyDescent="0.25"/>
    <row r="111" s="9" customFormat="1" x14ac:dyDescent="0.25"/>
    <row r="112" s="9" customFormat="1" x14ac:dyDescent="0.25"/>
    <row r="113" s="9" customFormat="1" x14ac:dyDescent="0.25"/>
    <row r="114" s="9" customFormat="1" x14ac:dyDescent="0.25"/>
    <row r="115" s="9" customFormat="1" x14ac:dyDescent="0.25"/>
    <row r="116" s="9" customFormat="1" x14ac:dyDescent="0.25"/>
    <row r="117" s="9" customFormat="1" x14ac:dyDescent="0.25"/>
    <row r="118" s="9" customFormat="1" x14ac:dyDescent="0.25"/>
    <row r="119" s="9" customFormat="1" x14ac:dyDescent="0.25"/>
    <row r="120" s="9" customFormat="1" x14ac:dyDescent="0.25"/>
    <row r="121" s="9" customFormat="1" x14ac:dyDescent="0.25"/>
    <row r="122" s="9" customFormat="1" x14ac:dyDescent="0.25"/>
    <row r="123" s="9" customFormat="1" x14ac:dyDescent="0.25"/>
    <row r="124" s="9" customFormat="1" x14ac:dyDescent="0.25"/>
    <row r="125" s="9" customFormat="1" x14ac:dyDescent="0.25"/>
    <row r="126" s="9" customFormat="1" x14ac:dyDescent="0.25"/>
    <row r="127" s="9" customFormat="1" x14ac:dyDescent="0.25"/>
    <row r="128" s="9" customFormat="1" x14ac:dyDescent="0.25"/>
    <row r="129" s="9" customFormat="1" x14ac:dyDescent="0.25"/>
    <row r="130" s="9" customFormat="1" x14ac:dyDescent="0.25"/>
    <row r="131" s="9" customFormat="1" x14ac:dyDescent="0.25"/>
    <row r="132" s="9" customFormat="1" x14ac:dyDescent="0.25"/>
    <row r="133" s="9" customFormat="1" x14ac:dyDescent="0.25"/>
    <row r="134" s="9" customFormat="1" x14ac:dyDescent="0.25"/>
    <row r="135" s="9" customFormat="1" x14ac:dyDescent="0.25"/>
    <row r="136" s="9" customFormat="1" x14ac:dyDescent="0.25"/>
    <row r="137" s="9" customFormat="1" x14ac:dyDescent="0.25"/>
    <row r="138" s="9" customFormat="1" x14ac:dyDescent="0.25"/>
    <row r="139" s="9" customFormat="1" x14ac:dyDescent="0.25"/>
    <row r="140" s="9" customFormat="1" x14ac:dyDescent="0.25"/>
    <row r="141" s="9" customFormat="1" x14ac:dyDescent="0.25"/>
    <row r="142" s="9" customFormat="1" x14ac:dyDescent="0.25"/>
    <row r="143" s="9" customFormat="1" x14ac:dyDescent="0.25"/>
    <row r="144" s="9" customFormat="1" x14ac:dyDescent="0.25"/>
    <row r="145" s="9" customFormat="1" x14ac:dyDescent="0.25"/>
    <row r="146" s="9" customFormat="1" x14ac:dyDescent="0.25"/>
    <row r="147" s="9" customFormat="1" x14ac:dyDescent="0.25"/>
    <row r="148" s="9" customFormat="1" x14ac:dyDescent="0.25"/>
    <row r="149" s="9" customFormat="1" x14ac:dyDescent="0.25"/>
    <row r="150" s="9" customFormat="1" x14ac:dyDescent="0.25"/>
    <row r="151" s="9" customFormat="1" x14ac:dyDescent="0.25"/>
    <row r="152" s="9" customFormat="1" x14ac:dyDescent="0.25"/>
    <row r="153" s="9" customFormat="1" x14ac:dyDescent="0.25"/>
    <row r="154" s="9" customFormat="1" x14ac:dyDescent="0.25"/>
    <row r="155" s="9" customFormat="1" x14ac:dyDescent="0.25"/>
    <row r="156" s="9" customFormat="1" x14ac:dyDescent="0.25"/>
    <row r="157" s="9" customFormat="1" x14ac:dyDescent="0.25"/>
    <row r="158" s="9" customFormat="1" x14ac:dyDescent="0.25"/>
    <row r="159" s="9" customFormat="1" x14ac:dyDescent="0.25"/>
    <row r="160" s="9" customFormat="1" x14ac:dyDescent="0.25"/>
    <row r="161" s="9" customFormat="1" x14ac:dyDescent="0.25"/>
    <row r="162" s="9" customFormat="1" x14ac:dyDescent="0.25"/>
    <row r="163" s="9" customFormat="1" x14ac:dyDescent="0.25"/>
    <row r="164" s="9" customFormat="1" x14ac:dyDescent="0.25"/>
    <row r="165" s="9" customFormat="1" x14ac:dyDescent="0.25"/>
    <row r="166" s="9" customFormat="1" x14ac:dyDescent="0.25"/>
    <row r="167" s="9" customFormat="1" x14ac:dyDescent="0.25"/>
    <row r="168" s="9" customFormat="1" x14ac:dyDescent="0.25"/>
    <row r="169" s="9" customFormat="1" x14ac:dyDescent="0.25"/>
    <row r="170" s="9" customFormat="1" x14ac:dyDescent="0.25"/>
    <row r="171" s="9" customFormat="1" x14ac:dyDescent="0.25"/>
    <row r="172" s="9" customFormat="1" x14ac:dyDescent="0.25"/>
    <row r="173" s="9" customFormat="1" x14ac:dyDescent="0.25"/>
    <row r="174" s="9" customFormat="1" x14ac:dyDescent="0.25"/>
    <row r="175" s="9" customFormat="1" x14ac:dyDescent="0.25"/>
    <row r="176" s="9" customFormat="1" x14ac:dyDescent="0.25"/>
    <row r="177" s="9" customFormat="1" x14ac:dyDescent="0.25"/>
    <row r="178" s="9" customFormat="1" x14ac:dyDescent="0.25"/>
    <row r="179" s="9" customFormat="1" x14ac:dyDescent="0.25"/>
    <row r="180" s="9" customFormat="1" x14ac:dyDescent="0.25"/>
    <row r="181" s="9" customFormat="1" x14ac:dyDescent="0.25"/>
    <row r="182" s="9" customFormat="1" x14ac:dyDescent="0.25"/>
    <row r="183" s="9" customFormat="1" x14ac:dyDescent="0.25"/>
    <row r="184" s="9" customFormat="1" x14ac:dyDescent="0.25"/>
    <row r="185" s="9" customFormat="1" x14ac:dyDescent="0.25"/>
    <row r="186" s="9" customFormat="1" x14ac:dyDescent="0.25"/>
    <row r="187" s="9" customFormat="1" x14ac:dyDescent="0.25"/>
    <row r="188" s="9" customFormat="1" x14ac:dyDescent="0.25"/>
    <row r="189" s="9" customFormat="1" x14ac:dyDescent="0.25"/>
    <row r="190" s="9" customFormat="1" x14ac:dyDescent="0.25"/>
    <row r="191" s="9" customFormat="1" x14ac:dyDescent="0.25"/>
    <row r="192" s="9" customFormat="1" x14ac:dyDescent="0.25"/>
    <row r="193" s="9" customFormat="1" x14ac:dyDescent="0.25"/>
    <row r="194" s="9" customFormat="1" x14ac:dyDescent="0.25"/>
    <row r="195" s="9" customFormat="1" x14ac:dyDescent="0.25"/>
    <row r="196" s="9" customFormat="1" x14ac:dyDescent="0.25"/>
    <row r="197" s="9" customFormat="1" x14ac:dyDescent="0.25"/>
    <row r="198" s="9" customFormat="1" x14ac:dyDescent="0.25"/>
    <row r="199" s="9" customFormat="1" x14ac:dyDescent="0.25"/>
    <row r="200" s="9" customFormat="1" x14ac:dyDescent="0.25"/>
    <row r="201" s="9" customFormat="1" x14ac:dyDescent="0.25"/>
    <row r="202" s="9" customFormat="1" x14ac:dyDescent="0.25"/>
    <row r="203" s="9" customFormat="1" x14ac:dyDescent="0.25"/>
    <row r="204" s="9" customFormat="1" x14ac:dyDescent="0.25"/>
    <row r="205" s="9" customFormat="1" x14ac:dyDescent="0.25"/>
    <row r="206" s="9" customFormat="1" x14ac:dyDescent="0.25"/>
    <row r="207" s="9" customFormat="1" x14ac:dyDescent="0.25"/>
    <row r="208" s="9" customFormat="1" x14ac:dyDescent="0.25"/>
    <row r="209" s="9" customFormat="1" x14ac:dyDescent="0.25"/>
    <row r="210" s="9" customFormat="1" x14ac:dyDescent="0.25"/>
    <row r="211" s="9" customFormat="1" x14ac:dyDescent="0.25"/>
    <row r="212" s="9" customFormat="1" x14ac:dyDescent="0.25"/>
    <row r="213" s="9" customFormat="1" x14ac:dyDescent="0.25"/>
    <row r="214" s="9" customFormat="1" x14ac:dyDescent="0.25"/>
    <row r="215" s="9" customFormat="1" x14ac:dyDescent="0.25"/>
    <row r="216" s="9" customFormat="1" x14ac:dyDescent="0.25"/>
    <row r="217" s="9" customFormat="1" x14ac:dyDescent="0.25"/>
    <row r="218" s="9" customFormat="1" x14ac:dyDescent="0.25"/>
    <row r="219" s="9" customFormat="1" x14ac:dyDescent="0.25"/>
  </sheetData>
  <mergeCells count="3">
    <mergeCell ref="A5:B5"/>
    <mergeCell ref="A6:B6"/>
    <mergeCell ref="A9:A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59FAD-BBF2-4C0D-BBF2-7C3A240BEFCB}">
  <sheetPr>
    <tabColor rgb="FF00B0F0"/>
  </sheetPr>
  <dimension ref="A1:O15"/>
  <sheetViews>
    <sheetView workbookViewId="0">
      <selection activeCell="A13" sqref="A13:F15"/>
    </sheetView>
  </sheetViews>
  <sheetFormatPr defaultRowHeight="15" x14ac:dyDescent="0.25"/>
  <cols>
    <col min="1" max="1" width="32.140625" customWidth="1"/>
    <col min="2" max="2" width="19.5703125" customWidth="1"/>
    <col min="3" max="3" width="16.42578125" style="42" customWidth="1"/>
    <col min="4" max="4" width="23" style="43" customWidth="1"/>
    <col min="5" max="5" width="58.140625" customWidth="1"/>
    <col min="6" max="6" width="60.140625" style="2" customWidth="1"/>
    <col min="7" max="7" width="40" customWidth="1"/>
    <col min="9" max="9" width="19" customWidth="1"/>
  </cols>
  <sheetData>
    <row r="1" spans="1:15" x14ac:dyDescent="0.25">
      <c r="A1" s="17"/>
      <c r="B1" s="17"/>
      <c r="C1" s="18"/>
      <c r="D1" s="19"/>
      <c r="E1" s="17"/>
      <c r="F1" s="20"/>
      <c r="G1" s="17"/>
      <c r="H1" s="17"/>
      <c r="I1" s="17"/>
      <c r="J1" s="17"/>
      <c r="K1" s="17"/>
      <c r="L1" s="17"/>
      <c r="M1" s="17"/>
      <c r="N1" s="17"/>
      <c r="O1" s="17"/>
    </row>
    <row r="2" spans="1:15" ht="23.25" x14ac:dyDescent="0.25">
      <c r="A2" s="6" t="str">
        <f>'Title Page'!A2</f>
        <v>Benefit-Cost Analysis Spreadsheet for the Safety Improvements on Oklahoma Rural Roadways</v>
      </c>
      <c r="B2" s="17"/>
      <c r="C2" s="18"/>
      <c r="D2" s="19"/>
      <c r="E2" s="17"/>
      <c r="F2" s="20"/>
      <c r="G2" s="17"/>
      <c r="H2" s="17"/>
      <c r="I2" s="17"/>
      <c r="J2" s="17"/>
      <c r="K2" s="17"/>
      <c r="L2" s="17"/>
      <c r="M2" s="17"/>
      <c r="N2" s="17"/>
      <c r="O2" s="17"/>
    </row>
    <row r="3" spans="1:15" x14ac:dyDescent="0.25">
      <c r="A3" s="21"/>
      <c r="B3" s="21"/>
      <c r="C3" s="22"/>
      <c r="D3" s="23"/>
      <c r="E3" s="21"/>
      <c r="F3" s="24"/>
      <c r="G3" s="17"/>
      <c r="H3" s="17"/>
      <c r="I3" s="17"/>
      <c r="J3" s="17"/>
      <c r="K3" s="17"/>
      <c r="L3" s="17"/>
      <c r="M3" s="17"/>
      <c r="N3" s="17"/>
      <c r="O3" s="17"/>
    </row>
    <row r="4" spans="1:15" s="28" customFormat="1" x14ac:dyDescent="0.25">
      <c r="A4" s="25" t="s">
        <v>28</v>
      </c>
      <c r="B4" s="36"/>
      <c r="C4" s="26" t="s">
        <v>29</v>
      </c>
      <c r="D4" s="26" t="s">
        <v>30</v>
      </c>
      <c r="E4" s="27" t="s">
        <v>31</v>
      </c>
      <c r="F4" s="27" t="s">
        <v>32</v>
      </c>
    </row>
    <row r="5" spans="1:15" s="28" customFormat="1" ht="50.25" customHeight="1" x14ac:dyDescent="0.25">
      <c r="A5" s="29" t="s">
        <v>33</v>
      </c>
      <c r="B5" s="29"/>
      <c r="C5" s="93">
        <v>7.0000000000000007E-2</v>
      </c>
      <c r="D5" s="35"/>
      <c r="E5" s="30" t="s">
        <v>34</v>
      </c>
      <c r="F5" s="31" t="s">
        <v>35</v>
      </c>
    </row>
    <row r="6" spans="1:15" s="28" customFormat="1" ht="25.5" customHeight="1" x14ac:dyDescent="0.25">
      <c r="A6" s="25" t="s">
        <v>36</v>
      </c>
      <c r="B6" s="25" t="s">
        <v>37</v>
      </c>
      <c r="C6" s="26" t="s">
        <v>29</v>
      </c>
      <c r="D6" s="26" t="s">
        <v>30</v>
      </c>
      <c r="E6" s="27" t="s">
        <v>31</v>
      </c>
      <c r="F6" s="27" t="s">
        <v>38</v>
      </c>
    </row>
    <row r="7" spans="1:15" s="28" customFormat="1" ht="30" customHeight="1" x14ac:dyDescent="0.25">
      <c r="A7" s="32" t="s">
        <v>39</v>
      </c>
      <c r="B7" s="33"/>
      <c r="C7" s="38">
        <v>302600</v>
      </c>
      <c r="D7" s="39" t="s">
        <v>40</v>
      </c>
      <c r="E7" s="33" t="s">
        <v>34</v>
      </c>
      <c r="F7" s="37" t="s">
        <v>35</v>
      </c>
      <c r="I7" s="40"/>
    </row>
    <row r="8" spans="1:15" s="28" customFormat="1" ht="30" customHeight="1" x14ac:dyDescent="0.25">
      <c r="A8" s="32" t="s">
        <v>41</v>
      </c>
      <c r="B8" s="33"/>
      <c r="C8" s="38">
        <v>12837400</v>
      </c>
      <c r="D8" s="39" t="s">
        <v>40</v>
      </c>
      <c r="E8" s="33" t="s">
        <v>34</v>
      </c>
      <c r="F8" s="37" t="s">
        <v>35</v>
      </c>
    </row>
    <row r="9" spans="1:15" s="28" customFormat="1" ht="69" customHeight="1" x14ac:dyDescent="0.25">
      <c r="A9" s="33" t="s">
        <v>42</v>
      </c>
      <c r="B9" s="33"/>
      <c r="C9" s="38">
        <v>8041</v>
      </c>
      <c r="D9" s="41" t="s">
        <v>43</v>
      </c>
      <c r="E9" s="33" t="s">
        <v>34</v>
      </c>
      <c r="F9" s="37" t="s">
        <v>35</v>
      </c>
      <c r="G9" s="34" t="s">
        <v>44</v>
      </c>
      <c r="I9" s="40"/>
    </row>
    <row r="10" spans="1:15" x14ac:dyDescent="0.25">
      <c r="A10" s="25" t="s">
        <v>45</v>
      </c>
      <c r="B10" s="25" t="s">
        <v>37</v>
      </c>
      <c r="C10" s="26" t="s">
        <v>29</v>
      </c>
      <c r="D10" s="26" t="s">
        <v>30</v>
      </c>
      <c r="E10" s="27" t="s">
        <v>31</v>
      </c>
      <c r="F10" s="27" t="s">
        <v>38</v>
      </c>
    </row>
    <row r="11" spans="1:15" ht="45" x14ac:dyDescent="0.25">
      <c r="A11" s="29" t="s">
        <v>46</v>
      </c>
      <c r="B11" s="29" t="s">
        <v>47</v>
      </c>
      <c r="C11" s="152">
        <v>32</v>
      </c>
      <c r="D11" s="153" t="s">
        <v>48</v>
      </c>
      <c r="E11" s="30" t="s">
        <v>34</v>
      </c>
      <c r="F11" s="31" t="s">
        <v>35</v>
      </c>
    </row>
    <row r="12" spans="1:15" ht="45" x14ac:dyDescent="0.25">
      <c r="A12" s="29" t="s">
        <v>49</v>
      </c>
      <c r="B12" s="29" t="s">
        <v>50</v>
      </c>
      <c r="C12" s="152">
        <v>17.8</v>
      </c>
      <c r="D12" s="153" t="s">
        <v>51</v>
      </c>
      <c r="E12" s="30" t="s">
        <v>34</v>
      </c>
      <c r="F12" s="31" t="s">
        <v>35</v>
      </c>
    </row>
    <row r="13" spans="1:15" x14ac:dyDescent="0.25">
      <c r="A13" s="25" t="s">
        <v>52</v>
      </c>
      <c r="B13" s="25" t="s">
        <v>37</v>
      </c>
      <c r="C13" s="26" t="s">
        <v>29</v>
      </c>
      <c r="D13" s="26" t="s">
        <v>30</v>
      </c>
      <c r="E13" s="27" t="s">
        <v>31</v>
      </c>
      <c r="F13" s="27" t="s">
        <v>32</v>
      </c>
    </row>
    <row r="14" spans="1:15" ht="60" x14ac:dyDescent="0.25">
      <c r="A14" s="29" t="s">
        <v>53</v>
      </c>
      <c r="B14" s="29" t="s">
        <v>54</v>
      </c>
      <c r="C14" s="154">
        <v>1.1399999999999999</v>
      </c>
      <c r="D14" s="35" t="s">
        <v>55</v>
      </c>
      <c r="E14" s="30" t="s">
        <v>56</v>
      </c>
      <c r="F14" s="31" t="s">
        <v>57</v>
      </c>
    </row>
    <row r="15" spans="1:15" ht="45" x14ac:dyDescent="0.25">
      <c r="A15" s="29" t="s">
        <v>58</v>
      </c>
      <c r="B15" s="29" t="s">
        <v>59</v>
      </c>
      <c r="C15" s="154">
        <v>1.67</v>
      </c>
      <c r="D15" s="35" t="s">
        <v>55</v>
      </c>
      <c r="E15" s="30" t="s">
        <v>34</v>
      </c>
      <c r="F15" s="31" t="s">
        <v>35</v>
      </c>
    </row>
  </sheetData>
  <hyperlinks>
    <hyperlink ref="G9" r:id="rId1" xr:uid="{C73E9426-B054-470A-9D7E-96B9D43F6E95}"/>
    <hyperlink ref="F14" r:id="rId2" xr:uid="{6887393A-9F12-40D4-A9F1-9713E13AC129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75A9D-9AEB-433D-B3F4-84F84A127DA3}">
  <sheetPr>
    <tabColor theme="9" tint="0.39997558519241921"/>
  </sheetPr>
  <dimension ref="A2:R40"/>
  <sheetViews>
    <sheetView topLeftCell="A7" workbookViewId="0">
      <selection activeCell="B22" sqref="B22"/>
    </sheetView>
  </sheetViews>
  <sheetFormatPr defaultColWidth="8.85546875" defaultRowHeight="15" x14ac:dyDescent="0.25"/>
  <cols>
    <col min="1" max="1" width="41.42578125" customWidth="1"/>
    <col min="2" max="2" width="26.140625" customWidth="1"/>
    <col min="3" max="3" width="16.7109375" customWidth="1"/>
    <col min="4" max="4" width="28" style="44" bestFit="1" customWidth="1"/>
    <col min="5" max="5" width="20.5703125" style="4" customWidth="1"/>
    <col min="6" max="6" width="21.85546875" style="4" customWidth="1"/>
  </cols>
  <sheetData>
    <row r="2" spans="1:6" ht="23.25" x14ac:dyDescent="0.25">
      <c r="A2" s="6" t="str">
        <f>'Title Page'!A2</f>
        <v>Benefit-Cost Analysis Spreadsheet for the Safety Improvements on Oklahoma Rural Roadways</v>
      </c>
    </row>
    <row r="4" spans="1:6" s="4" customFormat="1" ht="30" x14ac:dyDescent="0.25">
      <c r="A4" s="45" t="s">
        <v>60</v>
      </c>
      <c r="B4" s="46" t="s">
        <v>61</v>
      </c>
      <c r="C4" s="47"/>
      <c r="D4" s="47"/>
    </row>
    <row r="5" spans="1:6" s="4" customFormat="1" x14ac:dyDescent="0.25">
      <c r="A5" s="48" t="s">
        <v>62</v>
      </c>
      <c r="B5" s="49">
        <f>'BCA Summary Discounted'!F40</f>
        <v>65128383.145807952</v>
      </c>
      <c r="C5" s="50"/>
      <c r="D5" s="47"/>
    </row>
    <row r="6" spans="1:6" x14ac:dyDescent="0.25">
      <c r="A6" s="48" t="s">
        <v>63</v>
      </c>
      <c r="B6" s="49">
        <f>'BCA Summary Discounted'!D40</f>
        <v>26976320.535897702</v>
      </c>
      <c r="C6" s="50"/>
      <c r="D6" s="47"/>
      <c r="E6" s="47"/>
      <c r="F6"/>
    </row>
    <row r="7" spans="1:6" x14ac:dyDescent="0.25">
      <c r="A7" s="48" t="s">
        <v>64</v>
      </c>
      <c r="B7" s="49">
        <f>'Residual Value of Assets '!E20</f>
        <v>776638.48076729698</v>
      </c>
      <c r="C7" s="50"/>
      <c r="D7" s="47"/>
      <c r="E7" s="47"/>
      <c r="F7"/>
    </row>
    <row r="8" spans="1:6" x14ac:dyDescent="0.25">
      <c r="A8" s="51" t="s">
        <v>65</v>
      </c>
      <c r="B8" s="52">
        <f>SUM(B5:B7)</f>
        <v>92881342.162472948</v>
      </c>
      <c r="C8" s="50"/>
      <c r="D8" s="47"/>
      <c r="E8" s="47"/>
      <c r="F8" s="47"/>
    </row>
    <row r="9" spans="1:6" x14ac:dyDescent="0.25">
      <c r="A9" s="48"/>
      <c r="B9" s="49"/>
      <c r="D9" s="47"/>
      <c r="E9" s="47"/>
      <c r="F9" s="47"/>
    </row>
    <row r="10" spans="1:6" ht="21" customHeight="1" x14ac:dyDescent="0.25">
      <c r="A10" s="53" t="s">
        <v>66</v>
      </c>
      <c r="B10" s="54">
        <f>'BCA Summary Discounted'!G40</f>
        <v>108161471.06819129</v>
      </c>
      <c r="C10" s="55"/>
      <c r="D10" s="47"/>
      <c r="E10" s="47"/>
      <c r="F10" s="47"/>
    </row>
    <row r="11" spans="1:6" x14ac:dyDescent="0.25">
      <c r="A11" s="51" t="s">
        <v>67</v>
      </c>
      <c r="B11" s="56">
        <f>B8/B10</f>
        <v>0.85872854025732637</v>
      </c>
      <c r="C11" s="55"/>
      <c r="D11" s="47"/>
      <c r="E11" s="47"/>
      <c r="F11" s="47"/>
    </row>
    <row r="12" spans="1:6" x14ac:dyDescent="0.25">
      <c r="A12" s="51" t="s">
        <v>68</v>
      </c>
      <c r="B12" s="52">
        <f>B8-B10</f>
        <v>-15280128.905718341</v>
      </c>
      <c r="C12" s="55"/>
      <c r="D12"/>
      <c r="E12"/>
      <c r="F12"/>
    </row>
    <row r="13" spans="1:6" x14ac:dyDescent="0.25">
      <c r="A13" s="58"/>
      <c r="B13" s="57"/>
      <c r="C13" s="55"/>
      <c r="D13"/>
      <c r="E13"/>
      <c r="F13"/>
    </row>
    <row r="14" spans="1:6" x14ac:dyDescent="0.25">
      <c r="A14" s="45" t="s">
        <v>60</v>
      </c>
      <c r="B14" s="45" t="s">
        <v>69</v>
      </c>
      <c r="C14" s="55"/>
      <c r="D14"/>
      <c r="E14"/>
      <c r="F14"/>
    </row>
    <row r="15" spans="1:6" ht="18.75" customHeight="1" x14ac:dyDescent="0.25">
      <c r="A15" s="48" t="s">
        <v>62</v>
      </c>
      <c r="B15" s="49">
        <f>'BCA Summary Nominal'!F40</f>
        <v>240041956.17643952</v>
      </c>
      <c r="C15" s="59"/>
      <c r="D15"/>
      <c r="E15"/>
      <c r="F15"/>
    </row>
    <row r="16" spans="1:6" x14ac:dyDescent="0.25">
      <c r="A16" s="48" t="s">
        <v>70</v>
      </c>
      <c r="B16" s="49">
        <f>'BCA Summary Nominal'!D40</f>
        <v>65000000</v>
      </c>
      <c r="C16" s="59"/>
      <c r="D16"/>
      <c r="E16"/>
      <c r="F16"/>
    </row>
    <row r="17" spans="1:18" x14ac:dyDescent="0.25">
      <c r="A17" s="48" t="s">
        <v>64</v>
      </c>
      <c r="B17" s="49">
        <f>'Residual Value of Assets '!E19</f>
        <v>8291844.0239999993</v>
      </c>
      <c r="C17" s="55"/>
      <c r="D17"/>
      <c r="E17"/>
      <c r="F17"/>
    </row>
    <row r="18" spans="1:18" x14ac:dyDescent="0.25">
      <c r="A18" s="51" t="s">
        <v>65</v>
      </c>
      <c r="B18" s="52">
        <f>SUM(B15:B17)</f>
        <v>313333800.20043951</v>
      </c>
      <c r="C18" s="60"/>
      <c r="D18" s="61"/>
      <c r="E18"/>
      <c r="F18"/>
      <c r="H18" s="62"/>
      <c r="I18" s="61"/>
      <c r="J18" s="61"/>
      <c r="M18" s="62"/>
      <c r="N18" s="61"/>
      <c r="O18" s="61"/>
    </row>
    <row r="19" spans="1:18" x14ac:dyDescent="0.25">
      <c r="A19" s="48"/>
      <c r="B19" s="63"/>
      <c r="E19"/>
      <c r="F19"/>
      <c r="H19" s="62"/>
      <c r="I19" s="61"/>
      <c r="J19" s="61"/>
      <c r="M19" s="62"/>
      <c r="N19" s="61"/>
      <c r="O19" s="61"/>
    </row>
    <row r="20" spans="1:18" x14ac:dyDescent="0.25">
      <c r="A20" s="53" t="s">
        <v>66</v>
      </c>
      <c r="B20" s="54">
        <f>'BCA Summary Nominal'!G40</f>
        <v>136865665.00000003</v>
      </c>
      <c r="C20" s="60"/>
      <c r="G20" s="61"/>
      <c r="K20" s="62"/>
      <c r="L20" s="61"/>
      <c r="M20" s="61"/>
      <c r="P20" s="62"/>
      <c r="Q20" s="61"/>
      <c r="R20" s="61"/>
    </row>
    <row r="21" spans="1:18" x14ac:dyDescent="0.25">
      <c r="A21" s="51" t="s">
        <v>67</v>
      </c>
      <c r="B21" s="56">
        <f>B18/B20</f>
        <v>2.2893528497482509</v>
      </c>
      <c r="C21" s="60"/>
      <c r="D21" s="64"/>
      <c r="E21" s="47"/>
      <c r="F21" s="47"/>
      <c r="G21" s="61"/>
      <c r="K21" s="62"/>
      <c r="L21" s="61"/>
      <c r="M21" s="61"/>
      <c r="P21" s="62"/>
      <c r="Q21" s="61"/>
      <c r="R21" s="61"/>
    </row>
    <row r="22" spans="1:18" x14ac:dyDescent="0.25">
      <c r="A22" s="51" t="s">
        <v>68</v>
      </c>
      <c r="B22" s="52">
        <f>B18-B20</f>
        <v>176468135.20043948</v>
      </c>
      <c r="C22" s="60"/>
      <c r="D22" s="64"/>
      <c r="E22" s="65"/>
      <c r="F22" s="47"/>
      <c r="G22" s="66"/>
      <c r="K22" s="62"/>
      <c r="L22" s="61"/>
      <c r="M22" s="61"/>
      <c r="P22" s="62"/>
      <c r="Q22" s="61"/>
      <c r="R22" s="61"/>
    </row>
    <row r="23" spans="1:18" x14ac:dyDescent="0.25">
      <c r="C23" s="60"/>
      <c r="D23" s="64"/>
      <c r="E23" s="47"/>
      <c r="F23" s="47"/>
      <c r="G23" s="61"/>
      <c r="K23" s="62"/>
      <c r="L23" s="61"/>
      <c r="M23" s="61"/>
      <c r="P23" s="62"/>
      <c r="Q23" s="61"/>
      <c r="R23" s="61"/>
    </row>
    <row r="24" spans="1:18" x14ac:dyDescent="0.25">
      <c r="B24" s="67"/>
      <c r="C24" s="60"/>
      <c r="D24" s="64"/>
      <c r="E24" s="47"/>
      <c r="F24" s="47"/>
      <c r="G24" s="61"/>
      <c r="K24" s="62"/>
      <c r="L24" s="61"/>
      <c r="M24" s="61"/>
      <c r="P24" s="62"/>
      <c r="Q24" s="61"/>
      <c r="R24" s="61"/>
    </row>
    <row r="25" spans="1:18" x14ac:dyDescent="0.25">
      <c r="C25" s="68"/>
      <c r="D25" s="69"/>
      <c r="G25" s="70"/>
      <c r="K25" s="71"/>
      <c r="L25" s="70"/>
      <c r="M25" s="70"/>
      <c r="P25" s="71"/>
      <c r="Q25" s="70"/>
      <c r="R25" s="70"/>
    </row>
    <row r="26" spans="1:18" x14ac:dyDescent="0.25">
      <c r="B26" s="72"/>
      <c r="C26" s="68"/>
      <c r="D26" s="69"/>
      <c r="G26" s="70"/>
      <c r="K26" s="71"/>
      <c r="L26" s="70"/>
      <c r="M26" s="70"/>
      <c r="P26" s="71"/>
      <c r="Q26" s="70"/>
      <c r="R26" s="70"/>
    </row>
    <row r="27" spans="1:18" x14ac:dyDescent="0.25">
      <c r="B27" s="72"/>
      <c r="C27" s="73"/>
      <c r="D27" s="69"/>
      <c r="G27" s="74"/>
      <c r="K27" s="71"/>
      <c r="L27" s="74"/>
      <c r="M27" s="74"/>
      <c r="P27" s="71"/>
      <c r="Q27" s="74"/>
      <c r="R27" s="74"/>
    </row>
    <row r="28" spans="1:18" x14ac:dyDescent="0.25">
      <c r="C28" s="75"/>
      <c r="D28" s="69"/>
    </row>
    <row r="29" spans="1:18" x14ac:dyDescent="0.25">
      <c r="C29" s="75"/>
      <c r="D29" s="69"/>
    </row>
    <row r="30" spans="1:18" x14ac:dyDescent="0.25">
      <c r="C30" s="75"/>
      <c r="D30" s="69"/>
    </row>
    <row r="31" spans="1:18" x14ac:dyDescent="0.25">
      <c r="C31" s="75"/>
      <c r="D31" s="69"/>
    </row>
    <row r="32" spans="1:18" x14ac:dyDescent="0.25">
      <c r="D32" s="69"/>
    </row>
    <row r="33" spans="1:6" x14ac:dyDescent="0.25">
      <c r="D33" s="69"/>
    </row>
    <row r="34" spans="1:6" x14ac:dyDescent="0.25">
      <c r="D34" s="69"/>
    </row>
    <row r="35" spans="1:6" x14ac:dyDescent="0.25">
      <c r="D35" s="69"/>
    </row>
    <row r="36" spans="1:6" x14ac:dyDescent="0.25">
      <c r="D36" s="69"/>
    </row>
    <row r="37" spans="1:6" x14ac:dyDescent="0.25">
      <c r="A37" s="1"/>
      <c r="B37" s="1"/>
      <c r="D37" s="69"/>
    </row>
    <row r="38" spans="1:6" x14ac:dyDescent="0.25">
      <c r="D38" s="69"/>
      <c r="F38" s="76"/>
    </row>
    <row r="39" spans="1:6" s="1" customFormat="1" x14ac:dyDescent="0.25">
      <c r="A39"/>
      <c r="B39"/>
      <c r="D39" s="77"/>
      <c r="E39" s="76"/>
      <c r="F39" s="76"/>
    </row>
    <row r="40" spans="1:6" s="1" customFormat="1" x14ac:dyDescent="0.25">
      <c r="A40"/>
      <c r="B40"/>
      <c r="C40" s="78"/>
      <c r="D40" s="79"/>
      <c r="E40" s="76"/>
      <c r="F40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1BB0B-D18C-4D34-A804-BEC5E12C7EF4}">
  <sheetPr>
    <tabColor theme="9" tint="0.39997558519241921"/>
  </sheetPr>
  <dimension ref="A2:H49"/>
  <sheetViews>
    <sheetView workbookViewId="0">
      <selection activeCell="G6" sqref="G6:H40"/>
    </sheetView>
  </sheetViews>
  <sheetFormatPr defaultColWidth="9.140625" defaultRowHeight="15" x14ac:dyDescent="0.25"/>
  <cols>
    <col min="1" max="1" width="12.5703125" style="4" customWidth="1"/>
    <col min="2" max="2" width="9.140625" style="4" customWidth="1"/>
    <col min="3" max="3" width="16.28515625" bestFit="1" customWidth="1"/>
    <col min="4" max="6" width="16.5703125" customWidth="1"/>
    <col min="7" max="7" width="15.42578125" customWidth="1"/>
    <col min="8" max="8" width="18" bestFit="1" customWidth="1"/>
    <col min="10" max="10" width="13.42578125" customWidth="1"/>
  </cols>
  <sheetData>
    <row r="2" spans="1:8" ht="23.25" x14ac:dyDescent="0.25">
      <c r="A2" s="6" t="str">
        <f>'Title Page'!A2</f>
        <v>Benefit-Cost Analysis Spreadsheet for the Safety Improvements on Oklahoma Rural Roadways</v>
      </c>
    </row>
    <row r="4" spans="1:8" s="1" customFormat="1" ht="63" customHeight="1" x14ac:dyDescent="0.25">
      <c r="A4" s="162" t="s">
        <v>71</v>
      </c>
      <c r="B4" s="84">
        <f>'Default Values'!C5</f>
        <v>7.0000000000000007E-2</v>
      </c>
      <c r="C4" s="163" t="s">
        <v>72</v>
      </c>
      <c r="D4" s="163"/>
      <c r="E4" s="163"/>
      <c r="F4" s="90" t="s">
        <v>73</v>
      </c>
      <c r="G4" s="160" t="s">
        <v>66</v>
      </c>
      <c r="H4" s="161" t="s">
        <v>65</v>
      </c>
    </row>
    <row r="5" spans="1:8" ht="75" x14ac:dyDescent="0.25">
      <c r="A5" s="162"/>
      <c r="B5" s="86" t="s">
        <v>74</v>
      </c>
      <c r="C5" s="85" t="s">
        <v>75</v>
      </c>
      <c r="D5" s="87" t="s">
        <v>76</v>
      </c>
      <c r="E5" s="87" t="s">
        <v>77</v>
      </c>
      <c r="F5" s="88" t="s">
        <v>78</v>
      </c>
      <c r="G5" s="160"/>
      <c r="H5" s="161"/>
    </row>
    <row r="6" spans="1:8" ht="45" x14ac:dyDescent="0.25">
      <c r="A6" s="85" t="s">
        <v>79</v>
      </c>
      <c r="B6" s="86"/>
      <c r="C6" s="145">
        <f>'Construction Costs'!C6</f>
        <v>20257996</v>
      </c>
      <c r="D6" s="140">
        <v>0</v>
      </c>
      <c r="E6" s="145">
        <v>0</v>
      </c>
      <c r="F6" s="146">
        <v>0</v>
      </c>
      <c r="G6" s="141">
        <f>C6</f>
        <v>20257996</v>
      </c>
      <c r="H6" s="142">
        <v>0</v>
      </c>
    </row>
    <row r="7" spans="1:8" x14ac:dyDescent="0.25">
      <c r="A7" s="85">
        <v>2023</v>
      </c>
      <c r="B7" s="139">
        <f>B8/(1+B4)</f>
        <v>1.2250429999999999</v>
      </c>
      <c r="C7" s="145">
        <f>'Construction Costs'!C7</f>
        <v>19361858.782857146</v>
      </c>
      <c r="D7" s="140">
        <f>-'O&amp;M Costs'!L6</f>
        <v>0</v>
      </c>
      <c r="E7" s="145">
        <v>0</v>
      </c>
      <c r="F7" s="146">
        <v>0</v>
      </c>
      <c r="G7" s="141">
        <f>C7</f>
        <v>19361858.782857146</v>
      </c>
      <c r="H7" s="142">
        <f>F7+E7+D7</f>
        <v>0</v>
      </c>
    </row>
    <row r="8" spans="1:8" x14ac:dyDescent="0.25">
      <c r="A8" s="85">
        <v>2024</v>
      </c>
      <c r="B8" s="139">
        <f>1*(1+'Default Values'!C5)^('BCA Summary Nominal'!A8-2020)</f>
        <v>1.31079601</v>
      </c>
      <c r="C8" s="145">
        <f>'Construction Costs'!C8</f>
        <v>55370982.197142862</v>
      </c>
      <c r="D8" s="140">
        <f>-'O&amp;M Costs'!L7</f>
        <v>6000000</v>
      </c>
      <c r="E8" s="145">
        <v>0</v>
      </c>
      <c r="F8" s="146">
        <v>0</v>
      </c>
      <c r="G8" s="141">
        <f t="shared" ref="G8:G39" si="0">C8</f>
        <v>55370982.197142862</v>
      </c>
      <c r="H8" s="142">
        <f t="shared" ref="H8:H39" si="1">F8+E8+D8</f>
        <v>6000000</v>
      </c>
    </row>
    <row r="9" spans="1:8" x14ac:dyDescent="0.25">
      <c r="A9" s="89">
        <v>2025</v>
      </c>
      <c r="B9" s="139">
        <f>B8*(1+'Default Values'!$C$5)</f>
        <v>1.4025517307000002</v>
      </c>
      <c r="C9" s="145">
        <f>'Construction Costs'!C9</f>
        <v>41874828.020000003</v>
      </c>
      <c r="D9" s="140">
        <f>-'O&amp;M Costs'!L8</f>
        <v>6000000</v>
      </c>
      <c r="E9" s="145">
        <v>0</v>
      </c>
      <c r="F9" s="146">
        <v>0</v>
      </c>
      <c r="G9" s="141">
        <f t="shared" si="0"/>
        <v>41874828.020000003</v>
      </c>
      <c r="H9" s="142">
        <f t="shared" si="1"/>
        <v>6000000</v>
      </c>
    </row>
    <row r="10" spans="1:8" x14ac:dyDescent="0.25">
      <c r="A10" s="89">
        <f t="shared" ref="A10:A30" si="2">A9+1</f>
        <v>2026</v>
      </c>
      <c r="B10" s="139">
        <f>B9*(1+'Default Values'!$C$5)</f>
        <v>1.5007303518490003</v>
      </c>
      <c r="C10" s="145">
        <v>0</v>
      </c>
      <c r="D10" s="140">
        <f>-'O&amp;M Costs'!L9</f>
        <v>6000000</v>
      </c>
      <c r="E10" s="145">
        <v>0</v>
      </c>
      <c r="F10" s="146">
        <f>'Safety Benefits'!K5</f>
        <v>6166553.7180498224</v>
      </c>
      <c r="G10" s="141">
        <f t="shared" si="0"/>
        <v>0</v>
      </c>
      <c r="H10" s="142">
        <f t="shared" si="1"/>
        <v>12166553.718049822</v>
      </c>
    </row>
    <row r="11" spans="1:8" x14ac:dyDescent="0.25">
      <c r="A11" s="89">
        <f t="shared" si="2"/>
        <v>2027</v>
      </c>
      <c r="B11" s="139">
        <f>B10*(1+'Default Values'!$C$5)</f>
        <v>1.6057814764784304</v>
      </c>
      <c r="C11" s="145">
        <v>0</v>
      </c>
      <c r="D11" s="140">
        <f>-'O&amp;M Costs'!L10</f>
        <v>6000000</v>
      </c>
      <c r="E11" s="145">
        <v>0</v>
      </c>
      <c r="F11" s="146">
        <f>'Safety Benefits'!K6</f>
        <v>6273543.4250579868</v>
      </c>
      <c r="G11" s="141">
        <f t="shared" si="0"/>
        <v>0</v>
      </c>
      <c r="H11" s="142">
        <f t="shared" si="1"/>
        <v>12273543.425057987</v>
      </c>
    </row>
    <row r="12" spans="1:8" x14ac:dyDescent="0.25">
      <c r="A12" s="89">
        <f t="shared" si="2"/>
        <v>2028</v>
      </c>
      <c r="B12" s="139">
        <f>B11*(1+'Default Values'!$C$5)</f>
        <v>1.7181861798319207</v>
      </c>
      <c r="C12" s="145">
        <v>0</v>
      </c>
      <c r="D12" s="140">
        <f>-'O&amp;M Costs'!L11</f>
        <v>1000000</v>
      </c>
      <c r="E12" s="145">
        <v>0</v>
      </c>
      <c r="F12" s="146">
        <f>'Safety Benefits'!K7</f>
        <v>6382389.4034827435</v>
      </c>
      <c r="G12" s="141">
        <f t="shared" si="0"/>
        <v>0</v>
      </c>
      <c r="H12" s="142">
        <f t="shared" si="1"/>
        <v>7382389.4034827435</v>
      </c>
    </row>
    <row r="13" spans="1:8" x14ac:dyDescent="0.25">
      <c r="A13" s="89">
        <f t="shared" si="2"/>
        <v>2029</v>
      </c>
      <c r="B13" s="139">
        <f>B12*(1+'Default Values'!$C$5)</f>
        <v>1.8384592124201553</v>
      </c>
      <c r="C13" s="145">
        <v>0</v>
      </c>
      <c r="D13" s="140">
        <f>-'O&amp;M Costs'!L12</f>
        <v>0</v>
      </c>
      <c r="E13" s="145">
        <v>0</v>
      </c>
      <c r="F13" s="146">
        <f>'Safety Benefits'!K8</f>
        <v>6493123.8596331682</v>
      </c>
      <c r="G13" s="141">
        <f t="shared" si="0"/>
        <v>0</v>
      </c>
      <c r="H13" s="142">
        <f t="shared" si="1"/>
        <v>6493123.8596331682</v>
      </c>
    </row>
    <row r="14" spans="1:8" x14ac:dyDescent="0.25">
      <c r="A14" s="89">
        <f t="shared" si="2"/>
        <v>2030</v>
      </c>
      <c r="B14" s="139">
        <f>B13*(1+'Default Values'!$C$5)</f>
        <v>1.9671513572895662</v>
      </c>
      <c r="C14" s="145">
        <v>0</v>
      </c>
      <c r="D14" s="140">
        <f>-'O&amp;M Costs'!L13</f>
        <v>0</v>
      </c>
      <c r="E14" s="145">
        <v>0</v>
      </c>
      <c r="F14" s="146">
        <f>'Safety Benefits'!K9</f>
        <v>6605779.558597804</v>
      </c>
      <c r="G14" s="141">
        <f t="shared" si="0"/>
        <v>0</v>
      </c>
      <c r="H14" s="142">
        <f t="shared" si="1"/>
        <v>6605779.558597804</v>
      </c>
    </row>
    <row r="15" spans="1:8" x14ac:dyDescent="0.25">
      <c r="A15" s="89">
        <f t="shared" si="2"/>
        <v>2031</v>
      </c>
      <c r="B15" s="139">
        <f>B14*(1+'Default Values'!$C$5)</f>
        <v>2.1048519522998359</v>
      </c>
      <c r="C15" s="145">
        <v>0</v>
      </c>
      <c r="D15" s="140">
        <f>-'O&amp;M Costs'!L14</f>
        <v>0</v>
      </c>
      <c r="E15" s="145">
        <v>0</v>
      </c>
      <c r="F15" s="146">
        <f>'Safety Benefits'!K10</f>
        <v>6720389.8339394759</v>
      </c>
      <c r="G15" s="141">
        <f t="shared" si="0"/>
        <v>0</v>
      </c>
      <c r="H15" s="142">
        <f t="shared" si="1"/>
        <v>6720389.8339394759</v>
      </c>
    </row>
    <row r="16" spans="1:8" x14ac:dyDescent="0.25">
      <c r="A16" s="89">
        <f t="shared" si="2"/>
        <v>2032</v>
      </c>
      <c r="B16" s="139">
        <f>B15*(1+'Default Values'!$C$5)</f>
        <v>2.2521915889608244</v>
      </c>
      <c r="C16" s="145">
        <v>0</v>
      </c>
      <c r="D16" s="140">
        <f>-'O&amp;M Costs'!L15</f>
        <v>1000000</v>
      </c>
      <c r="E16" s="145">
        <v>0</v>
      </c>
      <c r="F16" s="146">
        <f>'Safety Benefits'!K11</f>
        <v>6836988.5975583252</v>
      </c>
      <c r="G16" s="141">
        <f t="shared" si="0"/>
        <v>0</v>
      </c>
      <c r="H16" s="142">
        <f t="shared" si="1"/>
        <v>7836988.5975583252</v>
      </c>
    </row>
    <row r="17" spans="1:8" x14ac:dyDescent="0.25">
      <c r="A17" s="89">
        <f t="shared" si="2"/>
        <v>2033</v>
      </c>
      <c r="B17" s="139">
        <f>B16*(1+'Default Values'!$C$5)</f>
        <v>2.4098450001880822</v>
      </c>
      <c r="C17" s="145">
        <v>0</v>
      </c>
      <c r="D17" s="140">
        <f>-'O&amp;M Costs'!L16</f>
        <v>0</v>
      </c>
      <c r="E17" s="145">
        <v>0</v>
      </c>
      <c r="F17" s="146">
        <f>'Safety Benefits'!K12</f>
        <v>6955610.3497259617</v>
      </c>
      <c r="G17" s="141">
        <f t="shared" si="0"/>
        <v>0</v>
      </c>
      <c r="H17" s="142">
        <f t="shared" si="1"/>
        <v>6955610.3497259617</v>
      </c>
    </row>
    <row r="18" spans="1:8" x14ac:dyDescent="0.25">
      <c r="A18" s="89">
        <f t="shared" si="2"/>
        <v>2034</v>
      </c>
      <c r="B18" s="139">
        <f>B17*(1+'Default Values'!$C$5)</f>
        <v>2.5785341502012482</v>
      </c>
      <c r="C18" s="145">
        <v>0</v>
      </c>
      <c r="D18" s="140">
        <f>-'O&amp;M Costs'!L17</f>
        <v>6000000</v>
      </c>
      <c r="E18" s="145">
        <v>0</v>
      </c>
      <c r="F18" s="146">
        <f>'Safety Benefits'!K13</f>
        <v>7076290.1892937077</v>
      </c>
      <c r="G18" s="141">
        <f t="shared" si="0"/>
        <v>0</v>
      </c>
      <c r="H18" s="142">
        <f t="shared" si="1"/>
        <v>13076290.189293709</v>
      </c>
    </row>
    <row r="19" spans="1:8" x14ac:dyDescent="0.25">
      <c r="A19" s="89">
        <f t="shared" si="2"/>
        <v>2035</v>
      </c>
      <c r="B19" s="139">
        <f>B18*(1+'Default Values'!$C$5)</f>
        <v>2.7590315407153359</v>
      </c>
      <c r="C19" s="145">
        <v>0</v>
      </c>
      <c r="D19" s="140">
        <f>-'O&amp;M Costs'!L18</f>
        <v>6000000</v>
      </c>
      <c r="E19" s="145">
        <v>0</v>
      </c>
      <c r="F19" s="146">
        <f>'Safety Benefits'!K14</f>
        <v>7199063.8240779536</v>
      </c>
      <c r="G19" s="141">
        <f t="shared" si="0"/>
        <v>0</v>
      </c>
      <c r="H19" s="142">
        <f t="shared" si="1"/>
        <v>13199063.824077953</v>
      </c>
    </row>
    <row r="20" spans="1:8" x14ac:dyDescent="0.25">
      <c r="A20" s="89">
        <f t="shared" si="2"/>
        <v>2036</v>
      </c>
      <c r="B20" s="139">
        <f>B19*(1+'Default Values'!$C$5)</f>
        <v>2.9521637485654098</v>
      </c>
      <c r="C20" s="145">
        <v>0</v>
      </c>
      <c r="D20" s="140">
        <f>-'O&amp;M Costs'!L19</f>
        <v>7000000</v>
      </c>
      <c r="E20" s="145">
        <v>0</v>
      </c>
      <c r="F20" s="146">
        <f>'Safety Benefits'!K15</f>
        <v>7323967.5814257059</v>
      </c>
      <c r="G20" s="141">
        <f t="shared" si="0"/>
        <v>0</v>
      </c>
      <c r="H20" s="142">
        <f t="shared" si="1"/>
        <v>14323967.581425706</v>
      </c>
    </row>
    <row r="21" spans="1:8" x14ac:dyDescent="0.25">
      <c r="A21" s="89">
        <f t="shared" si="2"/>
        <v>2037</v>
      </c>
      <c r="B21" s="139">
        <f>B20*(1+'Default Values'!$C$5)</f>
        <v>3.1588152109649887</v>
      </c>
      <c r="C21" s="145">
        <v>0</v>
      </c>
      <c r="D21" s="140">
        <f>-'O&amp;M Costs'!L20</f>
        <v>6000000</v>
      </c>
      <c r="E21" s="145">
        <v>0</v>
      </c>
      <c r="F21" s="146">
        <f>'Safety Benefits'!K16</f>
        <v>7451038.4189634416</v>
      </c>
      <c r="G21" s="141">
        <f t="shared" si="0"/>
        <v>0</v>
      </c>
      <c r="H21" s="142">
        <f t="shared" si="1"/>
        <v>13451038.418963442</v>
      </c>
    </row>
    <row r="22" spans="1:8" x14ac:dyDescent="0.25">
      <c r="A22" s="89">
        <f t="shared" si="2"/>
        <v>2038</v>
      </c>
      <c r="B22" s="139">
        <f>B21*(1+'Default Values'!$C$5)</f>
        <v>3.3799322757325383</v>
      </c>
      <c r="C22" s="145">
        <v>0</v>
      </c>
      <c r="D22" s="140">
        <f>-'O&amp;M Costs'!L21</f>
        <v>0</v>
      </c>
      <c r="E22" s="145">
        <v>0</v>
      </c>
      <c r="F22" s="146">
        <f>'Safety Benefits'!K17</f>
        <v>7580313.9355324563</v>
      </c>
      <c r="G22" s="141">
        <f t="shared" si="0"/>
        <v>0</v>
      </c>
      <c r="H22" s="142">
        <f t="shared" si="1"/>
        <v>7580313.9355324563</v>
      </c>
    </row>
    <row r="23" spans="1:8" x14ac:dyDescent="0.25">
      <c r="A23" s="89">
        <f t="shared" si="2"/>
        <v>2039</v>
      </c>
      <c r="B23" s="139">
        <f>B22*(1+'Default Values'!$C$5)</f>
        <v>3.616527535033816</v>
      </c>
      <c r="C23" s="145">
        <v>0</v>
      </c>
      <c r="D23" s="140">
        <f>-'O&amp;M Costs'!L22</f>
        <v>0</v>
      </c>
      <c r="E23" s="145">
        <v>0</v>
      </c>
      <c r="F23" s="146">
        <f>'Safety Benefits'!K18</f>
        <v>7711832.3823139444</v>
      </c>
      <c r="G23" s="141">
        <f t="shared" si="0"/>
        <v>0</v>
      </c>
      <c r="H23" s="142">
        <f t="shared" si="1"/>
        <v>7711832.3823139444</v>
      </c>
    </row>
    <row r="24" spans="1:8" x14ac:dyDescent="0.25">
      <c r="A24" s="89">
        <f t="shared" si="2"/>
        <v>2040</v>
      </c>
      <c r="B24" s="139">
        <f>B23*(1+'Default Values'!$C$5)</f>
        <v>3.8696844624861835</v>
      </c>
      <c r="C24" s="145">
        <v>0</v>
      </c>
      <c r="D24" s="140">
        <f>-'O&amp;M Costs'!L23</f>
        <v>1000000</v>
      </c>
      <c r="E24" s="145">
        <v>0</v>
      </c>
      <c r="F24" s="146">
        <f>'Safety Benefits'!K19</f>
        <v>7845632.6741470909</v>
      </c>
      <c r="G24" s="141">
        <f t="shared" si="0"/>
        <v>0</v>
      </c>
      <c r="H24" s="142">
        <f t="shared" si="1"/>
        <v>8845632.6741470918</v>
      </c>
    </row>
    <row r="25" spans="1:8" x14ac:dyDescent="0.25">
      <c r="A25" s="89">
        <f t="shared" si="2"/>
        <v>2041</v>
      </c>
      <c r="B25" s="139">
        <f>B24*(1+'Default Values'!$C$5)</f>
        <v>4.1405623748602167</v>
      </c>
      <c r="C25" s="145">
        <v>0</v>
      </c>
      <c r="D25" s="140">
        <f>-'O&amp;M Costs'!L24</f>
        <v>-6000000</v>
      </c>
      <c r="E25" s="145">
        <v>0</v>
      </c>
      <c r="F25" s="146">
        <f>'Safety Benefits'!K20</f>
        <v>7981754.4010435427</v>
      </c>
      <c r="G25" s="141">
        <f t="shared" si="0"/>
        <v>0</v>
      </c>
      <c r="H25" s="142">
        <f t="shared" si="1"/>
        <v>1981754.4010435427</v>
      </c>
    </row>
    <row r="26" spans="1:8" x14ac:dyDescent="0.25">
      <c r="A26" s="89">
        <f t="shared" si="2"/>
        <v>2042</v>
      </c>
      <c r="B26" s="139">
        <f>B25*(1+'Default Values'!$C$5)</f>
        <v>4.4304017411004324</v>
      </c>
      <c r="C26" s="145">
        <v>0</v>
      </c>
      <c r="D26" s="140">
        <f>-'O&amp;M Costs'!L25</f>
        <v>-6000000</v>
      </c>
      <c r="E26" s="145">
        <v>0</v>
      </c>
      <c r="F26" s="146">
        <f>'Safety Benefits'!K21</f>
        <v>8120237.8399016485</v>
      </c>
      <c r="G26" s="141">
        <f t="shared" si="0"/>
        <v>0</v>
      </c>
      <c r="H26" s="142">
        <f t="shared" si="1"/>
        <v>2120237.8399016485</v>
      </c>
    </row>
    <row r="27" spans="1:8" x14ac:dyDescent="0.25">
      <c r="A27" s="89">
        <f t="shared" si="2"/>
        <v>2043</v>
      </c>
      <c r="B27" s="139">
        <f>B26*(1+'Default Values'!$C$5)</f>
        <v>4.7405298629774633</v>
      </c>
      <c r="C27" s="145">
        <v>0</v>
      </c>
      <c r="D27" s="140">
        <f>-'O&amp;M Costs'!L26</f>
        <v>-6000000</v>
      </c>
      <c r="E27" s="145">
        <v>0</v>
      </c>
      <c r="F27" s="146">
        <f>'Safety Benefits'!K22</f>
        <v>8261123.9664239418</v>
      </c>
      <c r="G27" s="141">
        <f t="shared" si="0"/>
        <v>0</v>
      </c>
      <c r="H27" s="142">
        <f t="shared" si="1"/>
        <v>2261123.9664239418</v>
      </c>
    </row>
    <row r="28" spans="1:8" x14ac:dyDescent="0.25">
      <c r="A28" s="89">
        <f t="shared" si="2"/>
        <v>2044</v>
      </c>
      <c r="B28" s="139">
        <f>B27*(1+'Default Values'!$C$5)</f>
        <v>5.0723669533858864</v>
      </c>
      <c r="C28" s="145">
        <v>0</v>
      </c>
      <c r="D28" s="140">
        <f>-'O&amp;M Costs'!L27</f>
        <v>0</v>
      </c>
      <c r="E28" s="145">
        <v>0</v>
      </c>
      <c r="F28" s="146">
        <f>'Safety Benefits'!K23</f>
        <v>8404454.4672413971</v>
      </c>
      <c r="G28" s="141">
        <f t="shared" si="0"/>
        <v>0</v>
      </c>
      <c r="H28" s="142">
        <f t="shared" si="1"/>
        <v>8404454.4672413971</v>
      </c>
    </row>
    <row r="29" spans="1:8" x14ac:dyDescent="0.25">
      <c r="A29" s="89">
        <f t="shared" si="2"/>
        <v>2045</v>
      </c>
      <c r="B29" s="139">
        <f>B28*(1+'Default Values'!$C$5)</f>
        <v>5.4274326401228992</v>
      </c>
      <c r="C29" s="145">
        <v>0</v>
      </c>
      <c r="D29" s="140">
        <f>-'O&amp;M Costs'!L28</f>
        <v>6000000</v>
      </c>
      <c r="E29" s="145">
        <v>0</v>
      </c>
      <c r="F29" s="146">
        <f>'Safety Benefits'!K24</f>
        <v>8550271.7522480357</v>
      </c>
      <c r="G29" s="141">
        <f t="shared" si="0"/>
        <v>0</v>
      </c>
      <c r="H29" s="142">
        <f t="shared" si="1"/>
        <v>14550271.752248036</v>
      </c>
    </row>
    <row r="30" spans="1:8" x14ac:dyDescent="0.25">
      <c r="A30" s="89">
        <f t="shared" si="2"/>
        <v>2046</v>
      </c>
      <c r="B30" s="139">
        <f>B29*(1+'Default Values'!$C$5)</f>
        <v>5.8073529249315028</v>
      </c>
      <c r="C30" s="145">
        <v>0</v>
      </c>
      <c r="D30" s="140">
        <f>-'O&amp;M Costs'!L29</f>
        <v>6000000</v>
      </c>
      <c r="E30" s="145">
        <v>0</v>
      </c>
      <c r="F30" s="146">
        <f>'Safety Benefits'!K25</f>
        <v>8698618.9671495389</v>
      </c>
      <c r="G30" s="141">
        <f t="shared" si="0"/>
        <v>0</v>
      </c>
      <c r="H30" s="142">
        <f t="shared" si="1"/>
        <v>14698618.967149539</v>
      </c>
    </row>
    <row r="31" spans="1:8" x14ac:dyDescent="0.25">
      <c r="A31" s="89">
        <f>A30+1</f>
        <v>2047</v>
      </c>
      <c r="B31" s="139">
        <f>B30*(1+B$4)</f>
        <v>6.2138676296767086</v>
      </c>
      <c r="C31" s="145">
        <v>0</v>
      </c>
      <c r="D31" s="140">
        <f>-'O&amp;M Costs'!L30</f>
        <v>6000000</v>
      </c>
      <c r="E31" s="145">
        <v>0</v>
      </c>
      <c r="F31" s="146">
        <f>'Safety Benefits'!K26</f>
        <v>8849540.0062295832</v>
      </c>
      <c r="G31" s="141">
        <f t="shared" si="0"/>
        <v>0</v>
      </c>
      <c r="H31" s="142">
        <f t="shared" si="1"/>
        <v>14849540.006229583</v>
      </c>
    </row>
    <row r="32" spans="1:8" x14ac:dyDescent="0.25">
      <c r="A32" s="89">
        <f t="shared" ref="A32:A39" si="3">A31+1</f>
        <v>2048</v>
      </c>
      <c r="B32" s="139">
        <f t="shared" ref="B32:B39" si="4">B31*(1+B$4)</f>
        <v>6.6488383637540789</v>
      </c>
      <c r="C32" s="145">
        <v>0</v>
      </c>
      <c r="D32" s="140">
        <f>-'O&amp;M Costs'!L31</f>
        <v>0</v>
      </c>
      <c r="E32" s="145">
        <v>0</v>
      </c>
      <c r="F32" s="146">
        <f>'Safety Benefits'!K27</f>
        <v>9003079.5253376663</v>
      </c>
      <c r="G32" s="141">
        <f t="shared" si="0"/>
        <v>0</v>
      </c>
      <c r="H32" s="142">
        <f t="shared" si="1"/>
        <v>9003079.5253376663</v>
      </c>
    </row>
    <row r="33" spans="1:8" x14ac:dyDescent="0.25">
      <c r="A33" s="89">
        <f t="shared" si="3"/>
        <v>2049</v>
      </c>
      <c r="B33" s="139">
        <f t="shared" si="4"/>
        <v>7.1142570492168646</v>
      </c>
      <c r="C33" s="145">
        <v>0</v>
      </c>
      <c r="D33" s="140">
        <f>-'O&amp;M Costs'!L32</f>
        <v>0</v>
      </c>
      <c r="E33" s="145">
        <v>0</v>
      </c>
      <c r="F33" s="146">
        <f>'Safety Benefits'!K28</f>
        <v>9159282.9551022742</v>
      </c>
      <c r="G33" s="141">
        <f t="shared" si="0"/>
        <v>0</v>
      </c>
      <c r="H33" s="142">
        <f t="shared" si="1"/>
        <v>9159282.9551022742</v>
      </c>
    </row>
    <row r="34" spans="1:8" x14ac:dyDescent="0.25">
      <c r="A34" s="89">
        <f t="shared" si="3"/>
        <v>2050</v>
      </c>
      <c r="B34" s="139">
        <f t="shared" si="4"/>
        <v>7.6122550426620457</v>
      </c>
      <c r="C34" s="145">
        <v>0</v>
      </c>
      <c r="D34" s="140">
        <f>-'O&amp;M Costs'!L33</f>
        <v>1000000</v>
      </c>
      <c r="E34" s="145">
        <v>0</v>
      </c>
      <c r="F34" s="146">
        <f>'Safety Benefits'!K29</f>
        <v>9318196.5143732987</v>
      </c>
      <c r="G34" s="141">
        <f t="shared" si="0"/>
        <v>0</v>
      </c>
      <c r="H34" s="142">
        <f t="shared" si="1"/>
        <v>10318196.514373299</v>
      </c>
    </row>
    <row r="35" spans="1:8" x14ac:dyDescent="0.25">
      <c r="A35" s="89">
        <f t="shared" si="3"/>
        <v>2051</v>
      </c>
      <c r="B35" s="139">
        <f t="shared" si="4"/>
        <v>8.1451128956483885</v>
      </c>
      <c r="C35" s="145">
        <v>0</v>
      </c>
      <c r="D35" s="140">
        <f>-'O&amp;M Costs'!L34</f>
        <v>0</v>
      </c>
      <c r="E35" s="145">
        <v>0</v>
      </c>
      <c r="F35" s="146">
        <f>'Safety Benefits'!K30</f>
        <v>9479867.2238976751</v>
      </c>
      <c r="G35" s="141">
        <f t="shared" si="0"/>
        <v>0</v>
      </c>
      <c r="H35" s="142">
        <f t="shared" si="1"/>
        <v>9479867.2238976751</v>
      </c>
    </row>
    <row r="36" spans="1:8" x14ac:dyDescent="0.25">
      <c r="A36" s="89">
        <f t="shared" si="3"/>
        <v>2052</v>
      </c>
      <c r="B36" s="139">
        <f t="shared" si="4"/>
        <v>8.7152707983437754</v>
      </c>
      <c r="C36" s="145">
        <v>0</v>
      </c>
      <c r="D36" s="140">
        <f>-'O&amp;M Costs'!L35</f>
        <v>0</v>
      </c>
      <c r="E36" s="145">
        <v>0</v>
      </c>
      <c r="F36" s="146">
        <f>'Safety Benefits'!K31</f>
        <v>9644342.9202322997</v>
      </c>
      <c r="G36" s="141">
        <f t="shared" si="0"/>
        <v>0</v>
      </c>
      <c r="H36" s="142">
        <f t="shared" si="1"/>
        <v>9644342.9202322997</v>
      </c>
    </row>
    <row r="37" spans="1:8" x14ac:dyDescent="0.25">
      <c r="A37" s="89">
        <f t="shared" si="3"/>
        <v>2053</v>
      </c>
      <c r="B37" s="139">
        <f t="shared" si="4"/>
        <v>9.3253397542278407</v>
      </c>
      <c r="C37" s="145">
        <v>0</v>
      </c>
      <c r="D37" s="140">
        <f>-'O&amp;M Costs'!L36</f>
        <v>0</v>
      </c>
      <c r="E37" s="145">
        <v>0</v>
      </c>
      <c r="F37" s="146">
        <f>'Safety Benefits'!K32</f>
        <v>9811672.2698983308</v>
      </c>
      <c r="G37" s="141">
        <f t="shared" si="0"/>
        <v>0</v>
      </c>
      <c r="H37" s="142">
        <f t="shared" si="1"/>
        <v>9811672.2698983308</v>
      </c>
    </row>
    <row r="38" spans="1:8" x14ac:dyDescent="0.25">
      <c r="A38" s="89">
        <f t="shared" si="3"/>
        <v>2054</v>
      </c>
      <c r="B38" s="139">
        <f t="shared" si="4"/>
        <v>9.9781135370237894</v>
      </c>
      <c r="C38" s="145">
        <v>0</v>
      </c>
      <c r="D38" s="140">
        <f>-'O&amp;M Costs'!L37</f>
        <v>6000000</v>
      </c>
      <c r="E38" s="145">
        <v>0</v>
      </c>
      <c r="F38" s="146">
        <f>'Safety Benefits'!K33</f>
        <v>9981904.7837810665</v>
      </c>
      <c r="G38" s="141">
        <f t="shared" si="0"/>
        <v>0</v>
      </c>
      <c r="H38" s="142">
        <f t="shared" si="1"/>
        <v>15981904.783781067</v>
      </c>
    </row>
    <row r="39" spans="1:8" x14ac:dyDescent="0.25">
      <c r="A39" s="89">
        <f t="shared" si="3"/>
        <v>2055</v>
      </c>
      <c r="B39" s="139">
        <f t="shared" si="4"/>
        <v>10.676581484615456</v>
      </c>
      <c r="C39" s="145">
        <v>0</v>
      </c>
      <c r="D39" s="140">
        <f>-'O&amp;M Costs'!L38</f>
        <v>6000000</v>
      </c>
      <c r="E39" s="140">
        <f>'Residual Value of Assets '!E19</f>
        <v>8291844.0239999993</v>
      </c>
      <c r="F39" s="146">
        <f>'Safety Benefits'!K34</f>
        <v>10155090.831779666</v>
      </c>
      <c r="G39" s="141">
        <f t="shared" si="0"/>
        <v>0</v>
      </c>
      <c r="H39" s="142">
        <f t="shared" si="1"/>
        <v>24446934.855779666</v>
      </c>
    </row>
    <row r="40" spans="1:8" ht="15.75" x14ac:dyDescent="0.25">
      <c r="A40" s="91" t="s">
        <v>80</v>
      </c>
      <c r="C40" s="147">
        <f>SUM(C6:C39)</f>
        <v>136865665.00000003</v>
      </c>
      <c r="D40" s="147">
        <f t="shared" ref="D40:H40" si="5">SUM(D6:D39)</f>
        <v>65000000</v>
      </c>
      <c r="E40" s="147">
        <f t="shared" si="5"/>
        <v>8291844.0239999993</v>
      </c>
      <c r="F40" s="148">
        <f t="shared" si="5"/>
        <v>240041956.17643952</v>
      </c>
      <c r="G40" s="141">
        <f t="shared" si="5"/>
        <v>136865665.00000003</v>
      </c>
      <c r="H40" s="142">
        <f t="shared" si="5"/>
        <v>313333800.20043951</v>
      </c>
    </row>
    <row r="41" spans="1:8" ht="15.75" x14ac:dyDescent="0.25">
      <c r="A41" s="91"/>
    </row>
    <row r="42" spans="1:8" ht="15.75" x14ac:dyDescent="0.25">
      <c r="A42" s="91"/>
    </row>
    <row r="43" spans="1:8" ht="15.75" x14ac:dyDescent="0.25">
      <c r="A43" s="91"/>
    </row>
    <row r="44" spans="1:8" ht="15.75" x14ac:dyDescent="0.25">
      <c r="A44" s="91"/>
    </row>
    <row r="45" spans="1:8" ht="15.75" x14ac:dyDescent="0.25">
      <c r="A45" s="91"/>
    </row>
    <row r="46" spans="1:8" ht="15.75" x14ac:dyDescent="0.25">
      <c r="A46" s="91"/>
    </row>
    <row r="47" spans="1:8" ht="15.75" x14ac:dyDescent="0.25">
      <c r="A47" s="91"/>
    </row>
    <row r="48" spans="1:8" ht="15.75" x14ac:dyDescent="0.25">
      <c r="A48" s="91"/>
    </row>
    <row r="49" spans="1:1" ht="15.75" x14ac:dyDescent="0.25">
      <c r="A49" s="91"/>
    </row>
  </sheetData>
  <mergeCells count="4">
    <mergeCell ref="G4:G5"/>
    <mergeCell ref="H4:H5"/>
    <mergeCell ref="A4:A5"/>
    <mergeCell ref="C4:E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2A72E-F695-407F-9297-A4C9CFC2C4FE}">
  <sheetPr>
    <tabColor theme="9" tint="0.39997558519241921"/>
  </sheetPr>
  <dimension ref="A2:H49"/>
  <sheetViews>
    <sheetView workbookViewId="0">
      <selection activeCell="G6" sqref="G6:H40"/>
    </sheetView>
  </sheetViews>
  <sheetFormatPr defaultColWidth="9.140625" defaultRowHeight="15" x14ac:dyDescent="0.25"/>
  <cols>
    <col min="1" max="1" width="11.42578125" style="4" customWidth="1"/>
    <col min="2" max="2" width="9.140625" style="4" customWidth="1"/>
    <col min="3" max="3" width="16.28515625" bestFit="1" customWidth="1"/>
    <col min="4" max="6" width="16.5703125" customWidth="1"/>
    <col min="7" max="7" width="15.42578125" customWidth="1"/>
    <col min="8" max="8" width="18" bestFit="1" customWidth="1"/>
    <col min="10" max="10" width="13.42578125" customWidth="1"/>
  </cols>
  <sheetData>
    <row r="2" spans="1:8" ht="23.25" x14ac:dyDescent="0.25">
      <c r="A2" s="6" t="str">
        <f>'Title Page'!A2</f>
        <v>Benefit-Cost Analysis Spreadsheet for the Safety Improvements on Oklahoma Rural Roadways</v>
      </c>
    </row>
    <row r="4" spans="1:8" s="1" customFormat="1" ht="63" customHeight="1" x14ac:dyDescent="0.25">
      <c r="A4" s="162" t="s">
        <v>71</v>
      </c>
      <c r="B4" s="84">
        <f>'Default Values'!C5</f>
        <v>7.0000000000000007E-2</v>
      </c>
      <c r="C4" s="163" t="s">
        <v>72</v>
      </c>
      <c r="D4" s="163"/>
      <c r="E4" s="163"/>
      <c r="F4" s="90" t="s">
        <v>73</v>
      </c>
      <c r="G4" s="160" t="s">
        <v>66</v>
      </c>
      <c r="H4" s="161" t="s">
        <v>65</v>
      </c>
    </row>
    <row r="5" spans="1:8" ht="75" x14ac:dyDescent="0.25">
      <c r="A5" s="162"/>
      <c r="B5" s="86" t="s">
        <v>74</v>
      </c>
      <c r="C5" s="85" t="s">
        <v>75</v>
      </c>
      <c r="D5" s="87" t="s">
        <v>76</v>
      </c>
      <c r="E5" s="87" t="s">
        <v>77</v>
      </c>
      <c r="F5" s="88" t="s">
        <v>78</v>
      </c>
      <c r="G5" s="160"/>
      <c r="H5" s="161"/>
    </row>
    <row r="6" spans="1:8" ht="45" x14ac:dyDescent="0.25">
      <c r="A6" s="85" t="s">
        <v>79</v>
      </c>
      <c r="B6" s="86">
        <v>1</v>
      </c>
      <c r="C6" s="145">
        <f>'BCA Summary Nominal'!C6/'BCA Summary Discounted'!B6</f>
        <v>20257996</v>
      </c>
      <c r="D6" s="140">
        <v>0</v>
      </c>
      <c r="E6" s="145">
        <v>0</v>
      </c>
      <c r="F6" s="146">
        <v>0</v>
      </c>
      <c r="G6" s="141">
        <f>C6</f>
        <v>20257996</v>
      </c>
      <c r="H6" s="142">
        <v>0</v>
      </c>
    </row>
    <row r="7" spans="1:8" x14ac:dyDescent="0.25">
      <c r="A7" s="85">
        <v>2023</v>
      </c>
      <c r="B7" s="139">
        <f>B8/(1+B4)</f>
        <v>1.2250429999999999</v>
      </c>
      <c r="C7" s="145">
        <f>'BCA Summary Nominal'!C7/'BCA Summary Discounted'!$B7</f>
        <v>15805044.217106786</v>
      </c>
      <c r="D7" s="140">
        <f>'BCA Summary Nominal'!D7/'BCA Summary Discounted'!$B7</f>
        <v>0</v>
      </c>
      <c r="E7" s="145">
        <f>'BCA Summary Nominal'!E7/'BCA Summary Discounted'!$B7</f>
        <v>0</v>
      </c>
      <c r="F7" s="146">
        <f>'BCA Summary Nominal'!F7/'BCA Summary Discounted'!$B7</f>
        <v>0</v>
      </c>
      <c r="G7" s="141">
        <f>C7</f>
        <v>15805044.217106786</v>
      </c>
      <c r="H7" s="142">
        <f>F7+E7+D7</f>
        <v>0</v>
      </c>
    </row>
    <row r="8" spans="1:8" x14ac:dyDescent="0.25">
      <c r="A8" s="85">
        <v>2024</v>
      </c>
      <c r="B8" s="139">
        <f>1*(1+'Default Values'!C5)^('BCA Summary Nominal'!A8-2020)</f>
        <v>1.31079601</v>
      </c>
      <c r="C8" s="145">
        <f>'BCA Summary Nominal'!C8/'BCA Summary Discounted'!$B8</f>
        <v>42242257.204569049</v>
      </c>
      <c r="D8" s="140">
        <f>'BCA Summary Nominal'!D8/'BCA Summary Discounted'!$B8</f>
        <v>4577371.2722851513</v>
      </c>
      <c r="E8" s="145">
        <f>'BCA Summary Nominal'!E8/'BCA Summary Discounted'!$B8</f>
        <v>0</v>
      </c>
      <c r="F8" s="146">
        <f>'BCA Summary Nominal'!F8/'BCA Summary Discounted'!$B8</f>
        <v>0</v>
      </c>
      <c r="G8" s="141">
        <f t="shared" ref="G8:G39" si="0">C8</f>
        <v>42242257.204569049</v>
      </c>
      <c r="H8" s="142">
        <f t="shared" ref="H8:H39" si="1">F8+E8+D8</f>
        <v>4577371.2722851513</v>
      </c>
    </row>
    <row r="9" spans="1:8" x14ac:dyDescent="0.25">
      <c r="A9" s="89">
        <v>2025</v>
      </c>
      <c r="B9" s="139">
        <f>B8*(1+'Default Values'!$C$5)</f>
        <v>1.4025517307000002</v>
      </c>
      <c r="C9" s="145">
        <f>'BCA Summary Nominal'!C9/'BCA Summary Discounted'!$B9</f>
        <v>29856173.646515466</v>
      </c>
      <c r="D9" s="140">
        <f>'BCA Summary Nominal'!D9/'BCA Summary Discounted'!$B9</f>
        <v>4277917.0769020105</v>
      </c>
      <c r="E9" s="145">
        <f>'BCA Summary Nominal'!E9/'BCA Summary Discounted'!$B9</f>
        <v>0</v>
      </c>
      <c r="F9" s="146">
        <f>'BCA Summary Nominal'!F9/'BCA Summary Discounted'!$B9</f>
        <v>0</v>
      </c>
      <c r="G9" s="141">
        <f t="shared" si="0"/>
        <v>29856173.646515466</v>
      </c>
      <c r="H9" s="142">
        <f t="shared" si="1"/>
        <v>4277917.0769020105</v>
      </c>
    </row>
    <row r="10" spans="1:8" x14ac:dyDescent="0.25">
      <c r="A10" s="89">
        <f t="shared" ref="A10:A30" si="2">A9+1</f>
        <v>2026</v>
      </c>
      <c r="B10" s="139">
        <f>B9*(1+'Default Values'!$C$5)</f>
        <v>1.5007303518490003</v>
      </c>
      <c r="C10" s="145">
        <f>'BCA Summary Nominal'!C10/'BCA Summary Discounted'!$B10</f>
        <v>0</v>
      </c>
      <c r="D10" s="140">
        <f>'BCA Summary Nominal'!D10/'BCA Summary Discounted'!$B10</f>
        <v>3998053.3428990748</v>
      </c>
      <c r="E10" s="145">
        <f>'BCA Summary Nominal'!E10/'BCA Summary Discounted'!$B10</f>
        <v>0</v>
      </c>
      <c r="F10" s="146">
        <f>'BCA Summary Nominal'!F10/'BCA Summary Discounted'!$B10</f>
        <v>4109035.1177693019</v>
      </c>
      <c r="G10" s="141">
        <f t="shared" si="0"/>
        <v>0</v>
      </c>
      <c r="H10" s="142">
        <f t="shared" si="1"/>
        <v>8107088.4606683766</v>
      </c>
    </row>
    <row r="11" spans="1:8" x14ac:dyDescent="0.25">
      <c r="A11" s="89">
        <f t="shared" si="2"/>
        <v>2027</v>
      </c>
      <c r="B11" s="139">
        <f>B10*(1+'Default Values'!$C$5)</f>
        <v>1.6057814764784304</v>
      </c>
      <c r="C11" s="145">
        <f>'BCA Summary Nominal'!C11/'BCA Summary Discounted'!$B11</f>
        <v>0</v>
      </c>
      <c r="D11" s="140">
        <f>'BCA Summary Nominal'!D11/'BCA Summary Discounted'!$B11</f>
        <v>3736498.4513075463</v>
      </c>
      <c r="E11" s="145">
        <f>'BCA Summary Nominal'!E11/'BCA Summary Discounted'!$B11</f>
        <v>0</v>
      </c>
      <c r="F11" s="146">
        <f>'BCA Summary Nominal'!F11/'BCA Summary Discounted'!$B11</f>
        <v>3906847.5486566345</v>
      </c>
      <c r="G11" s="141">
        <f t="shared" si="0"/>
        <v>0</v>
      </c>
      <c r="H11" s="142">
        <f t="shared" si="1"/>
        <v>7643345.9999641813</v>
      </c>
    </row>
    <row r="12" spans="1:8" x14ac:dyDescent="0.25">
      <c r="A12" s="89">
        <f t="shared" si="2"/>
        <v>2028</v>
      </c>
      <c r="B12" s="139">
        <f>B11*(1+'Default Values'!$C$5)</f>
        <v>1.7181861798319207</v>
      </c>
      <c r="C12" s="145">
        <f>'BCA Summary Nominal'!C12/'BCA Summary Discounted'!$B12</f>
        <v>0</v>
      </c>
      <c r="D12" s="140">
        <f>'BCA Summary Nominal'!D12/'BCA Summary Discounted'!$B12</f>
        <v>582009.10456503823</v>
      </c>
      <c r="E12" s="145">
        <f>'BCA Summary Nominal'!E12/'BCA Summary Discounted'!$B12</f>
        <v>0</v>
      </c>
      <c r="F12" s="146">
        <f>'BCA Summary Nominal'!F12/'BCA Summary Discounted'!$B12</f>
        <v>3714608.7417063806</v>
      </c>
      <c r="G12" s="141">
        <f t="shared" si="0"/>
        <v>0</v>
      </c>
      <c r="H12" s="142">
        <f t="shared" si="1"/>
        <v>4296617.846271419</v>
      </c>
    </row>
    <row r="13" spans="1:8" x14ac:dyDescent="0.25">
      <c r="A13" s="89">
        <f t="shared" si="2"/>
        <v>2029</v>
      </c>
      <c r="B13" s="139">
        <f>B12*(1+'Default Values'!$C$5)</f>
        <v>1.8384592124201553</v>
      </c>
      <c r="C13" s="145">
        <f>'BCA Summary Nominal'!C13/'BCA Summary Discounted'!$B13</f>
        <v>0</v>
      </c>
      <c r="D13" s="140">
        <f>'BCA Summary Nominal'!D13/'BCA Summary Discounted'!$B13</f>
        <v>0</v>
      </c>
      <c r="E13" s="145">
        <f>'BCA Summary Nominal'!E13/'BCA Summary Discounted'!$B13</f>
        <v>0</v>
      </c>
      <c r="F13" s="146">
        <f>'BCA Summary Nominal'!F13/'BCA Summary Discounted'!$B13</f>
        <v>3531829.1620326964</v>
      </c>
      <c r="G13" s="141">
        <f t="shared" si="0"/>
        <v>0</v>
      </c>
      <c r="H13" s="142">
        <f t="shared" si="1"/>
        <v>3531829.1620326964</v>
      </c>
    </row>
    <row r="14" spans="1:8" x14ac:dyDescent="0.25">
      <c r="A14" s="89">
        <f t="shared" si="2"/>
        <v>2030</v>
      </c>
      <c r="B14" s="139">
        <f>B13*(1+'Default Values'!$C$5)</f>
        <v>1.9671513572895662</v>
      </c>
      <c r="C14" s="145">
        <f>'BCA Summary Nominal'!C14/'BCA Summary Discounted'!$B14</f>
        <v>0</v>
      </c>
      <c r="D14" s="140">
        <f>'BCA Summary Nominal'!D14/'BCA Summary Discounted'!$B14</f>
        <v>0</v>
      </c>
      <c r="E14" s="145">
        <f>'BCA Summary Nominal'!E14/'BCA Summary Discounted'!$B14</f>
        <v>0</v>
      </c>
      <c r="F14" s="146">
        <f>'BCA Summary Nominal'!F14/'BCA Summary Discounted'!$B14</f>
        <v>3358043.3626111811</v>
      </c>
      <c r="G14" s="141">
        <f t="shared" si="0"/>
        <v>0</v>
      </c>
      <c r="H14" s="142">
        <f t="shared" si="1"/>
        <v>3358043.3626111811</v>
      </c>
    </row>
    <row r="15" spans="1:8" x14ac:dyDescent="0.25">
      <c r="A15" s="89">
        <f t="shared" si="2"/>
        <v>2031</v>
      </c>
      <c r="B15" s="139">
        <f>B14*(1+'Default Values'!$C$5)</f>
        <v>2.1048519522998359</v>
      </c>
      <c r="C15" s="145">
        <f>'BCA Summary Nominal'!C15/'BCA Summary Discounted'!$B15</f>
        <v>0</v>
      </c>
      <c r="D15" s="140">
        <f>'BCA Summary Nominal'!D15/'BCA Summary Discounted'!$B15</f>
        <v>0</v>
      </c>
      <c r="E15" s="145">
        <f>'BCA Summary Nominal'!E15/'BCA Summary Discounted'!$B15</f>
        <v>0</v>
      </c>
      <c r="F15" s="146">
        <f>'BCA Summary Nominal'!F15/'BCA Summary Discounted'!$B15</f>
        <v>3192808.799021014</v>
      </c>
      <c r="G15" s="141">
        <f t="shared" si="0"/>
        <v>0</v>
      </c>
      <c r="H15" s="142">
        <f t="shared" si="1"/>
        <v>3192808.799021014</v>
      </c>
    </row>
    <row r="16" spans="1:8" x14ac:dyDescent="0.25">
      <c r="A16" s="89">
        <f t="shared" si="2"/>
        <v>2032</v>
      </c>
      <c r="B16" s="139">
        <f>B15*(1+'Default Values'!$C$5)</f>
        <v>2.2521915889608244</v>
      </c>
      <c r="C16" s="145">
        <f>'BCA Summary Nominal'!C16/'BCA Summary Discounted'!$B16</f>
        <v>0</v>
      </c>
      <c r="D16" s="140">
        <f>'BCA Summary Nominal'!D16/'BCA Summary Discounted'!$B16</f>
        <v>444011.9592407351</v>
      </c>
      <c r="E16" s="145">
        <f>'BCA Summary Nominal'!E16/'BCA Summary Discounted'!$B16</f>
        <v>0</v>
      </c>
      <c r="F16" s="146">
        <f>'BCA Summary Nominal'!F16/'BCA Summary Discounted'!$B16</f>
        <v>3035704.7025084379</v>
      </c>
      <c r="G16" s="141">
        <f t="shared" si="0"/>
        <v>0</v>
      </c>
      <c r="H16" s="142">
        <f t="shared" si="1"/>
        <v>3479716.661749173</v>
      </c>
    </row>
    <row r="17" spans="1:8" x14ac:dyDescent="0.25">
      <c r="A17" s="89">
        <f t="shared" si="2"/>
        <v>2033</v>
      </c>
      <c r="B17" s="139">
        <f>B16*(1+'Default Values'!$C$5)</f>
        <v>2.4098450001880822</v>
      </c>
      <c r="C17" s="145">
        <f>'BCA Summary Nominal'!C17/'BCA Summary Discounted'!$B17</f>
        <v>0</v>
      </c>
      <c r="D17" s="140">
        <f>'BCA Summary Nominal'!D17/'BCA Summary Discounted'!$B17</f>
        <v>0</v>
      </c>
      <c r="E17" s="145">
        <f>'BCA Summary Nominal'!E17/'BCA Summary Discounted'!$B17</f>
        <v>0</v>
      </c>
      <c r="F17" s="146">
        <f>'BCA Summary Nominal'!F17/'BCA Summary Discounted'!$B17</f>
        <v>2886331.0085018305</v>
      </c>
      <c r="G17" s="141">
        <f t="shared" si="0"/>
        <v>0</v>
      </c>
      <c r="H17" s="142">
        <f t="shared" si="1"/>
        <v>2886331.0085018305</v>
      </c>
    </row>
    <row r="18" spans="1:8" x14ac:dyDescent="0.25">
      <c r="A18" s="89">
        <f t="shared" si="2"/>
        <v>2034</v>
      </c>
      <c r="B18" s="139">
        <f>B17*(1+'Default Values'!$C$5)</f>
        <v>2.5785341502012482</v>
      </c>
      <c r="C18" s="145">
        <f>'BCA Summary Nominal'!C18/'BCA Summary Discounted'!$B18</f>
        <v>0</v>
      </c>
      <c r="D18" s="140">
        <f>'BCA Summary Nominal'!D18/'BCA Summary Discounted'!$B18</f>
        <v>2326903.4461039482</v>
      </c>
      <c r="E18" s="145">
        <f>'BCA Summary Nominal'!E18/'BCA Summary Discounted'!$B18</f>
        <v>0</v>
      </c>
      <c r="F18" s="146">
        <f>'BCA Summary Nominal'!F18/'BCA Summary Discounted'!$B18</f>
        <v>2744307.337849848</v>
      </c>
      <c r="G18" s="141">
        <f t="shared" si="0"/>
        <v>0</v>
      </c>
      <c r="H18" s="142">
        <f t="shared" si="1"/>
        <v>5071210.7839537961</v>
      </c>
    </row>
    <row r="19" spans="1:8" x14ac:dyDescent="0.25">
      <c r="A19" s="89">
        <f t="shared" si="2"/>
        <v>2035</v>
      </c>
      <c r="B19" s="139">
        <f>B18*(1+'Default Values'!$C$5)</f>
        <v>2.7590315407153359</v>
      </c>
      <c r="C19" s="145">
        <f>'BCA Summary Nominal'!C19/'BCA Summary Discounted'!$B19</f>
        <v>0</v>
      </c>
      <c r="D19" s="140">
        <f>'BCA Summary Nominal'!D19/'BCA Summary Discounted'!$B19</f>
        <v>2174676.117854157</v>
      </c>
      <c r="E19" s="145">
        <f>'BCA Summary Nominal'!E19/'BCA Summary Discounted'!$B19</f>
        <v>0</v>
      </c>
      <c r="F19" s="146">
        <f>'BCA Summary Nominal'!F19/'BCA Summary Discounted'!$B19</f>
        <v>2609272.0281883576</v>
      </c>
      <c r="G19" s="141">
        <f t="shared" si="0"/>
        <v>0</v>
      </c>
      <c r="H19" s="142">
        <f t="shared" si="1"/>
        <v>4783948.1460425146</v>
      </c>
    </row>
    <row r="20" spans="1:8" x14ac:dyDescent="0.25">
      <c r="A20" s="89">
        <f t="shared" si="2"/>
        <v>2036</v>
      </c>
      <c r="B20" s="139">
        <f>B19*(1+'Default Values'!$C$5)</f>
        <v>2.9521637485654098</v>
      </c>
      <c r="C20" s="145">
        <f>'BCA Summary Nominal'!C20/'BCA Summary Discounted'!$B20</f>
        <v>0</v>
      </c>
      <c r="D20" s="140">
        <f>'BCA Summary Nominal'!D20/'BCA Summary Discounted'!$B20</f>
        <v>2371142.1845761831</v>
      </c>
      <c r="E20" s="145">
        <f>'BCA Summary Nominal'!E20/'BCA Summary Discounted'!$B20</f>
        <v>0</v>
      </c>
      <c r="F20" s="146">
        <f>'BCA Summary Nominal'!F20/'BCA Summary Discounted'!$B20</f>
        <v>2480881.2129695565</v>
      </c>
      <c r="G20" s="141">
        <f t="shared" si="0"/>
        <v>0</v>
      </c>
      <c r="H20" s="142">
        <f t="shared" si="1"/>
        <v>4852023.39754574</v>
      </c>
    </row>
    <row r="21" spans="1:8" x14ac:dyDescent="0.25">
      <c r="A21" s="89">
        <f t="shared" si="2"/>
        <v>2037</v>
      </c>
      <c r="B21" s="139">
        <f>B20*(1+'Default Values'!$C$5)</f>
        <v>3.1588152109649887</v>
      </c>
      <c r="C21" s="145">
        <f>'BCA Summary Nominal'!C21/'BCA Summary Discounted'!$B21</f>
        <v>0</v>
      </c>
      <c r="D21" s="140">
        <f>'BCA Summary Nominal'!D21/'BCA Summary Discounted'!$B21</f>
        <v>1899446.3427846592</v>
      </c>
      <c r="E21" s="145">
        <f>'BCA Summary Nominal'!E21/'BCA Summary Discounted'!$B21</f>
        <v>0</v>
      </c>
      <c r="F21" s="146">
        <f>'BCA Summary Nominal'!F21/'BCA Summary Discounted'!$B21</f>
        <v>2358807.9458080167</v>
      </c>
      <c r="G21" s="141">
        <f t="shared" si="0"/>
        <v>0</v>
      </c>
      <c r="H21" s="142">
        <f t="shared" si="1"/>
        <v>4258254.2885926757</v>
      </c>
    </row>
    <row r="22" spans="1:8" x14ac:dyDescent="0.25">
      <c r="A22" s="89">
        <f t="shared" si="2"/>
        <v>2038</v>
      </c>
      <c r="B22" s="139">
        <f>B21*(1+'Default Values'!$C$5)</f>
        <v>3.3799322757325383</v>
      </c>
      <c r="C22" s="145">
        <f>'BCA Summary Nominal'!C22/'BCA Summary Discounted'!$B22</f>
        <v>0</v>
      </c>
      <c r="D22" s="140">
        <f>'BCA Summary Nominal'!D22/'BCA Summary Discounted'!$B22</f>
        <v>0</v>
      </c>
      <c r="E22" s="145">
        <f>'BCA Summary Nominal'!E22/'BCA Summary Discounted'!$B22</f>
        <v>0</v>
      </c>
      <c r="F22" s="146">
        <f>'BCA Summary Nominal'!F22/'BCA Summary Discounted'!$B22</f>
        <v>2242741.367913818</v>
      </c>
      <c r="G22" s="141">
        <f t="shared" si="0"/>
        <v>0</v>
      </c>
      <c r="H22" s="142">
        <f t="shared" si="1"/>
        <v>2242741.367913818</v>
      </c>
    </row>
    <row r="23" spans="1:8" x14ac:dyDescent="0.25">
      <c r="A23" s="89">
        <f t="shared" si="2"/>
        <v>2039</v>
      </c>
      <c r="B23" s="139">
        <f>B22*(1+'Default Values'!$C$5)</f>
        <v>3.616527535033816</v>
      </c>
      <c r="C23" s="145">
        <f>'BCA Summary Nominal'!C23/'BCA Summary Discounted'!$B23</f>
        <v>0</v>
      </c>
      <c r="D23" s="140">
        <f>'BCA Summary Nominal'!D23/'BCA Summary Discounted'!$B23</f>
        <v>0</v>
      </c>
      <c r="E23" s="145">
        <f>'BCA Summary Nominal'!E23/'BCA Summary Discounted'!$B23</f>
        <v>0</v>
      </c>
      <c r="F23" s="146">
        <f>'BCA Summary Nominal'!F23/'BCA Summary Discounted'!$B23</f>
        <v>2132385.9164926377</v>
      </c>
      <c r="G23" s="141">
        <f t="shared" si="0"/>
        <v>0</v>
      </c>
      <c r="H23" s="142">
        <f t="shared" si="1"/>
        <v>2132385.9164926377</v>
      </c>
    </row>
    <row r="24" spans="1:8" x14ac:dyDescent="0.25">
      <c r="A24" s="89">
        <f t="shared" si="2"/>
        <v>2040</v>
      </c>
      <c r="B24" s="139">
        <f>B23*(1+'Default Values'!$C$5)</f>
        <v>3.8696844624861835</v>
      </c>
      <c r="C24" s="145">
        <f>'BCA Summary Nominal'!C24/'BCA Summary Discounted'!$B24</f>
        <v>0</v>
      </c>
      <c r="D24" s="140">
        <f>'BCA Summary Nominal'!D24/'BCA Summary Discounted'!$B24</f>
        <v>258419.00281386843</v>
      </c>
      <c r="E24" s="145">
        <f>'BCA Summary Nominal'!E24/'BCA Summary Discounted'!$B24</f>
        <v>0</v>
      </c>
      <c r="F24" s="146">
        <f>'BCA Summary Nominal'!F24/'BCA Summary Discounted'!$B24</f>
        <v>2027460.5720969951</v>
      </c>
      <c r="G24" s="141">
        <f t="shared" si="0"/>
        <v>0</v>
      </c>
      <c r="H24" s="142">
        <f t="shared" si="1"/>
        <v>2285879.5749108633</v>
      </c>
    </row>
    <row r="25" spans="1:8" x14ac:dyDescent="0.25">
      <c r="A25" s="89">
        <f t="shared" si="2"/>
        <v>2041</v>
      </c>
      <c r="B25" s="139">
        <f>B24*(1+'Default Values'!$C$5)</f>
        <v>4.1405623748602167</v>
      </c>
      <c r="C25" s="145">
        <f>'BCA Summary Nominal'!C25/'BCA Summary Discounted'!$B25</f>
        <v>0</v>
      </c>
      <c r="D25" s="140">
        <f>'BCA Summary Nominal'!D25/'BCA Summary Discounted'!$B25</f>
        <v>-1449078.5204515986</v>
      </c>
      <c r="E25" s="145">
        <f>'BCA Summary Nominal'!E25/'BCA Summary Discounted'!$B25</f>
        <v>0</v>
      </c>
      <c r="F25" s="146">
        <f>'BCA Summary Nominal'!F25/'BCA Summary Discounted'!$B25</f>
        <v>1927698.1430120354</v>
      </c>
      <c r="G25" s="141">
        <f t="shared" si="0"/>
        <v>0</v>
      </c>
      <c r="H25" s="142">
        <f t="shared" si="1"/>
        <v>478619.62256043684</v>
      </c>
    </row>
    <row r="26" spans="1:8" x14ac:dyDescent="0.25">
      <c r="A26" s="89">
        <f t="shared" si="2"/>
        <v>2042</v>
      </c>
      <c r="B26" s="139">
        <f>B25*(1+'Default Values'!$C$5)</f>
        <v>4.4304017411004324</v>
      </c>
      <c r="C26" s="145">
        <f>'BCA Summary Nominal'!C26/'BCA Summary Discounted'!$B26</f>
        <v>0</v>
      </c>
      <c r="D26" s="140">
        <f>'BCA Summary Nominal'!D26/'BCA Summary Discounted'!$B26</f>
        <v>-1354278.9910762601</v>
      </c>
      <c r="E26" s="145">
        <f>'BCA Summary Nominal'!E26/'BCA Summary Discounted'!$B26</f>
        <v>0</v>
      </c>
      <c r="F26" s="146">
        <f>'BCA Summary Nominal'!F26/'BCA Summary Discounted'!$B26</f>
        <v>1832844.5848535458</v>
      </c>
      <c r="G26" s="141">
        <f t="shared" si="0"/>
        <v>0</v>
      </c>
      <c r="H26" s="142">
        <f t="shared" si="1"/>
        <v>478565.59377728566</v>
      </c>
    </row>
    <row r="27" spans="1:8" x14ac:dyDescent="0.25">
      <c r="A27" s="89">
        <f t="shared" si="2"/>
        <v>2043</v>
      </c>
      <c r="B27" s="139">
        <f>B26*(1+'Default Values'!$C$5)</f>
        <v>4.7405298629774633</v>
      </c>
      <c r="C27" s="145">
        <f>'BCA Summary Nominal'!C27/'BCA Summary Discounted'!$B27</f>
        <v>0</v>
      </c>
      <c r="D27" s="140">
        <f>'BCA Summary Nominal'!D27/'BCA Summary Discounted'!$B27</f>
        <v>-1265681.3000712711</v>
      </c>
      <c r="E27" s="145">
        <f>'BCA Summary Nominal'!E27/'BCA Summary Discounted'!$B27</f>
        <v>0</v>
      </c>
      <c r="F27" s="146">
        <f>'BCA Summary Nominal'!F27/'BCA Summary Discounted'!$B27</f>
        <v>1742658.353645565</v>
      </c>
      <c r="G27" s="141">
        <f t="shared" si="0"/>
        <v>0</v>
      </c>
      <c r="H27" s="142">
        <f t="shared" si="1"/>
        <v>476977.05357429385</v>
      </c>
    </row>
    <row r="28" spans="1:8" x14ac:dyDescent="0.25">
      <c r="A28" s="89">
        <f t="shared" si="2"/>
        <v>2044</v>
      </c>
      <c r="B28" s="139">
        <f>B27*(1+'Default Values'!$C$5)</f>
        <v>5.0723669533858864</v>
      </c>
      <c r="C28" s="145">
        <f>'BCA Summary Nominal'!C28/'BCA Summary Discounted'!$B28</f>
        <v>0</v>
      </c>
      <c r="D28" s="140">
        <f>'BCA Summary Nominal'!D28/'BCA Summary Discounted'!$B28</f>
        <v>0</v>
      </c>
      <c r="E28" s="145">
        <f>'BCA Summary Nominal'!E28/'BCA Summary Discounted'!$B28</f>
        <v>0</v>
      </c>
      <c r="F28" s="146">
        <f>'BCA Summary Nominal'!F28/'BCA Summary Discounted'!$B28</f>
        <v>1656909.7907302012</v>
      </c>
      <c r="G28" s="141">
        <f t="shared" si="0"/>
        <v>0</v>
      </c>
      <c r="H28" s="142">
        <f t="shared" si="1"/>
        <v>1656909.7907302012</v>
      </c>
    </row>
    <row r="29" spans="1:8" x14ac:dyDescent="0.25">
      <c r="A29" s="89">
        <f t="shared" si="2"/>
        <v>2045</v>
      </c>
      <c r="B29" s="139">
        <f>B28*(1+'Default Values'!$C$5)</f>
        <v>5.4274326401228992</v>
      </c>
      <c r="C29" s="145">
        <f>'BCA Summary Nominal'!C29/'BCA Summary Discounted'!$B29</f>
        <v>0</v>
      </c>
      <c r="D29" s="140">
        <f>'BCA Summary Nominal'!D29/'BCA Summary Discounted'!$B29</f>
        <v>1105495.0651334359</v>
      </c>
      <c r="E29" s="145">
        <f>'BCA Summary Nominal'!E29/'BCA Summary Discounted'!$B29</f>
        <v>0</v>
      </c>
      <c r="F29" s="146">
        <f>'BCA Summary Nominal'!F29/'BCA Summary Discounted'!$B29</f>
        <v>1575380.5379433364</v>
      </c>
      <c r="G29" s="141">
        <f t="shared" si="0"/>
        <v>0</v>
      </c>
      <c r="H29" s="142">
        <f t="shared" si="1"/>
        <v>2680875.6030767723</v>
      </c>
    </row>
    <row r="30" spans="1:8" x14ac:dyDescent="0.25">
      <c r="A30" s="89">
        <f t="shared" si="2"/>
        <v>2046</v>
      </c>
      <c r="B30" s="139">
        <f>B29*(1+'Default Values'!$C$5)</f>
        <v>5.8073529249315028</v>
      </c>
      <c r="C30" s="145">
        <f>'BCA Summary Nominal'!C30/'BCA Summary Discounted'!$B30</f>
        <v>0</v>
      </c>
      <c r="D30" s="140">
        <f>'BCA Summary Nominal'!D30/'BCA Summary Discounted'!$B30</f>
        <v>1033172.9580686315</v>
      </c>
      <c r="E30" s="145">
        <f>'BCA Summary Nominal'!E30/'BCA Summary Discounted'!$B30</f>
        <v>0</v>
      </c>
      <c r="F30" s="146">
        <f>'BCA Summary Nominal'!F30/'BCA Summary Discounted'!$B30</f>
        <v>1497862.9815669656</v>
      </c>
      <c r="G30" s="141">
        <f t="shared" si="0"/>
        <v>0</v>
      </c>
      <c r="H30" s="142">
        <f t="shared" si="1"/>
        <v>2531035.9396355972</v>
      </c>
    </row>
    <row r="31" spans="1:8" x14ac:dyDescent="0.25">
      <c r="A31" s="89">
        <f>A30+1</f>
        <v>2047</v>
      </c>
      <c r="B31" s="139">
        <f>B30*(1+B$4)</f>
        <v>6.2138676296767086</v>
      </c>
      <c r="C31" s="145">
        <f>'BCA Summary Nominal'!C31/'BCA Summary Discounted'!$B31</f>
        <v>0</v>
      </c>
      <c r="D31" s="140">
        <f>'BCA Summary Nominal'!D31/'BCA Summary Discounted'!$B31</f>
        <v>965582.20380245929</v>
      </c>
      <c r="E31" s="145">
        <f>'BCA Summary Nominal'!E31/'BCA Summary Discounted'!$B31</f>
        <v>0</v>
      </c>
      <c r="F31" s="146">
        <f>'BCA Summary Nominal'!F31/'BCA Summary Discounted'!$B31</f>
        <v>1424159.7236421984</v>
      </c>
      <c r="G31" s="141">
        <f t="shared" si="0"/>
        <v>0</v>
      </c>
      <c r="H31" s="142">
        <f t="shared" si="1"/>
        <v>2389741.9274446578</v>
      </c>
    </row>
    <row r="32" spans="1:8" x14ac:dyDescent="0.25">
      <c r="A32" s="89">
        <f t="shared" ref="A32:A39" si="3">A31+1</f>
        <v>2048</v>
      </c>
      <c r="B32" s="139">
        <f t="shared" ref="B32:B39" si="4">B31*(1+B$4)</f>
        <v>6.6488383637540789</v>
      </c>
      <c r="C32" s="145">
        <f>'BCA Summary Nominal'!C32/'BCA Summary Discounted'!$B32</f>
        <v>0</v>
      </c>
      <c r="D32" s="140">
        <f>'BCA Summary Nominal'!D32/'BCA Summary Discounted'!$B32</f>
        <v>0</v>
      </c>
      <c r="E32" s="145">
        <f>'BCA Summary Nominal'!E32/'BCA Summary Discounted'!$B32</f>
        <v>0</v>
      </c>
      <c r="F32" s="146">
        <f>'BCA Summary Nominal'!F32/'BCA Summary Discounted'!$B32</f>
        <v>1354083.0792966264</v>
      </c>
      <c r="G32" s="141">
        <f t="shared" si="0"/>
        <v>0</v>
      </c>
      <c r="H32" s="142">
        <f t="shared" si="1"/>
        <v>1354083.0792966264</v>
      </c>
    </row>
    <row r="33" spans="1:8" x14ac:dyDescent="0.25">
      <c r="A33" s="89">
        <f t="shared" si="3"/>
        <v>2049</v>
      </c>
      <c r="B33" s="139">
        <f t="shared" si="4"/>
        <v>7.1142570492168646</v>
      </c>
      <c r="C33" s="145">
        <f>'BCA Summary Nominal'!C33/'BCA Summary Discounted'!$B33</f>
        <v>0</v>
      </c>
      <c r="D33" s="140">
        <f>'BCA Summary Nominal'!D33/'BCA Summary Discounted'!$B33</f>
        <v>0</v>
      </c>
      <c r="E33" s="145">
        <f>'BCA Summary Nominal'!E33/'BCA Summary Discounted'!$B33</f>
        <v>0</v>
      </c>
      <c r="F33" s="146">
        <f>'BCA Summary Nominal'!F33/'BCA Summary Discounted'!$B33</f>
        <v>1287454.5988060026</v>
      </c>
      <c r="G33" s="141">
        <f t="shared" si="0"/>
        <v>0</v>
      </c>
      <c r="H33" s="142">
        <f t="shared" si="1"/>
        <v>1287454.5988060026</v>
      </c>
    </row>
    <row r="34" spans="1:8" x14ac:dyDescent="0.25">
      <c r="A34" s="89">
        <f t="shared" si="3"/>
        <v>2050</v>
      </c>
      <c r="B34" s="139">
        <f t="shared" si="4"/>
        <v>7.6122550426620457</v>
      </c>
      <c r="C34" s="145">
        <f>'BCA Summary Nominal'!C34/'BCA Summary Discounted'!$B34</f>
        <v>0</v>
      </c>
      <c r="D34" s="140">
        <f>'BCA Summary Nominal'!D34/'BCA Summary Discounted'!$B34</f>
        <v>131367.11715458953</v>
      </c>
      <c r="E34" s="145">
        <f>'BCA Summary Nominal'!E34/'BCA Summary Discounted'!$B34</f>
        <v>0</v>
      </c>
      <c r="F34" s="146">
        <f>'BCA Summary Nominal'!F34/'BCA Summary Discounted'!$B34</f>
        <v>1224104.6131731651</v>
      </c>
      <c r="G34" s="141">
        <f t="shared" si="0"/>
        <v>0</v>
      </c>
      <c r="H34" s="142">
        <f t="shared" si="1"/>
        <v>1355471.7303277547</v>
      </c>
    </row>
    <row r="35" spans="1:8" x14ac:dyDescent="0.25">
      <c r="A35" s="89">
        <f t="shared" si="3"/>
        <v>2051</v>
      </c>
      <c r="B35" s="139">
        <f t="shared" si="4"/>
        <v>8.1451128956483885</v>
      </c>
      <c r="C35" s="145">
        <f>'BCA Summary Nominal'!C35/'BCA Summary Discounted'!$B35</f>
        <v>0</v>
      </c>
      <c r="D35" s="140">
        <f>'BCA Summary Nominal'!D35/'BCA Summary Discounted'!$B35</f>
        <v>0</v>
      </c>
      <c r="E35" s="145">
        <f>'BCA Summary Nominal'!E35/'BCA Summary Discounted'!$B35</f>
        <v>0</v>
      </c>
      <c r="F35" s="146">
        <f>'BCA Summary Nominal'!F35/'BCA Summary Discounted'!$B35</f>
        <v>1163871.8020670277</v>
      </c>
      <c r="G35" s="141">
        <f t="shared" si="0"/>
        <v>0</v>
      </c>
      <c r="H35" s="142">
        <f t="shared" si="1"/>
        <v>1163871.8020670277</v>
      </c>
    </row>
    <row r="36" spans="1:8" x14ac:dyDescent="0.25">
      <c r="A36" s="89">
        <f t="shared" si="3"/>
        <v>2052</v>
      </c>
      <c r="B36" s="139">
        <f t="shared" si="4"/>
        <v>8.7152707983437754</v>
      </c>
      <c r="C36" s="145">
        <f>'BCA Summary Nominal'!C36/'BCA Summary Discounted'!$B36</f>
        <v>0</v>
      </c>
      <c r="D36" s="140">
        <f>'BCA Summary Nominal'!D36/'BCA Summary Discounted'!$B36</f>
        <v>0</v>
      </c>
      <c r="E36" s="145">
        <f>'BCA Summary Nominal'!E36/'BCA Summary Discounted'!$B36</f>
        <v>0</v>
      </c>
      <c r="F36" s="146">
        <f>'BCA Summary Nominal'!F36/'BCA Summary Discounted'!$B36</f>
        <v>1106602.783021393</v>
      </c>
      <c r="G36" s="141">
        <f t="shared" si="0"/>
        <v>0</v>
      </c>
      <c r="H36" s="142">
        <f t="shared" si="1"/>
        <v>1106602.783021393</v>
      </c>
    </row>
    <row r="37" spans="1:8" x14ac:dyDescent="0.25">
      <c r="A37" s="89">
        <f t="shared" si="3"/>
        <v>2053</v>
      </c>
      <c r="B37" s="139">
        <f t="shared" si="4"/>
        <v>9.3253397542278407</v>
      </c>
      <c r="C37" s="145">
        <f>'BCA Summary Nominal'!C37/'BCA Summary Discounted'!$B37</f>
        <v>0</v>
      </c>
      <c r="D37" s="140">
        <f>'BCA Summary Nominal'!D37/'BCA Summary Discounted'!$B37</f>
        <v>0</v>
      </c>
      <c r="E37" s="145">
        <f>'BCA Summary Nominal'!E37/'BCA Summary Discounted'!$B37</f>
        <v>0</v>
      </c>
      <c r="F37" s="146">
        <f>'BCA Summary Nominal'!F37/'BCA Summary Discounted'!$B37</f>
        <v>1052151.7208474898</v>
      </c>
      <c r="G37" s="141">
        <f t="shared" si="0"/>
        <v>0</v>
      </c>
      <c r="H37" s="142">
        <f t="shared" si="1"/>
        <v>1052151.7208474898</v>
      </c>
    </row>
    <row r="38" spans="1:8" x14ac:dyDescent="0.25">
      <c r="A38" s="89">
        <f t="shared" si="3"/>
        <v>2054</v>
      </c>
      <c r="B38" s="139">
        <f t="shared" si="4"/>
        <v>9.9781135370237894</v>
      </c>
      <c r="C38" s="145">
        <f>'BCA Summary Nominal'!C38/'BCA Summary Discounted'!$B38</f>
        <v>0</v>
      </c>
      <c r="D38" s="140">
        <f>'BCA Summary Nominal'!D38/'BCA Summary Discounted'!$B38</f>
        <v>601316.06818633608</v>
      </c>
      <c r="E38" s="145">
        <f>'BCA Summary Nominal'!E38/'BCA Summary Discounted'!$B38</f>
        <v>0</v>
      </c>
      <c r="F38" s="146">
        <f>'BCA Summary Nominal'!F38/'BCA Summary Discounted'!$B38</f>
        <v>1000379.9562656017</v>
      </c>
      <c r="G38" s="141">
        <f t="shared" si="0"/>
        <v>0</v>
      </c>
      <c r="H38" s="142">
        <f t="shared" si="1"/>
        <v>1601696.0244519378</v>
      </c>
    </row>
    <row r="39" spans="1:8" x14ac:dyDescent="0.25">
      <c r="A39" s="89">
        <f t="shared" si="3"/>
        <v>2055</v>
      </c>
      <c r="B39" s="139">
        <f t="shared" si="4"/>
        <v>10.676581484615456</v>
      </c>
      <c r="C39" s="145">
        <f>'BCA Summary Nominal'!C39/'BCA Summary Discounted'!$B39</f>
        <v>0</v>
      </c>
      <c r="D39" s="140">
        <f>'BCA Summary Nominal'!D39/'BCA Summary Discounted'!$B39</f>
        <v>561977.63381900557</v>
      </c>
      <c r="E39" s="140">
        <f>'BCA Summary Nominal'!E39/'BCA Summary Discounted'!$B39</f>
        <v>776638.48076729698</v>
      </c>
      <c r="F39" s="146">
        <f>'BCA Summary Nominal'!F39/'BCA Summary Discounted'!$B39</f>
        <v>951155.65281010245</v>
      </c>
      <c r="G39" s="141">
        <f t="shared" si="0"/>
        <v>0</v>
      </c>
      <c r="H39" s="142">
        <f t="shared" si="1"/>
        <v>2289771.7673964049</v>
      </c>
    </row>
    <row r="40" spans="1:8" ht="15.75" x14ac:dyDescent="0.25">
      <c r="A40" s="91" t="s">
        <v>80</v>
      </c>
      <c r="C40" s="147">
        <f>SUM(C6:C39)</f>
        <v>108161471.06819129</v>
      </c>
      <c r="D40" s="147">
        <f t="shared" ref="D40:H40" si="5">SUM(D6:D39)</f>
        <v>26976320.535897702</v>
      </c>
      <c r="E40" s="147">
        <f t="shared" si="5"/>
        <v>776638.48076729698</v>
      </c>
      <c r="F40" s="148">
        <f t="shared" si="5"/>
        <v>65128383.145807952</v>
      </c>
      <c r="G40" s="141">
        <f t="shared" si="5"/>
        <v>108161471.06819129</v>
      </c>
      <c r="H40" s="142">
        <f t="shared" si="5"/>
        <v>92881342.162472978</v>
      </c>
    </row>
    <row r="41" spans="1:8" ht="15.75" x14ac:dyDescent="0.25">
      <c r="A41" s="91"/>
    </row>
    <row r="42" spans="1:8" ht="15.75" x14ac:dyDescent="0.25">
      <c r="A42" s="91"/>
    </row>
    <row r="43" spans="1:8" ht="15.75" x14ac:dyDescent="0.25">
      <c r="A43" s="91"/>
    </row>
    <row r="44" spans="1:8" ht="15.75" x14ac:dyDescent="0.25">
      <c r="A44" s="91"/>
    </row>
    <row r="45" spans="1:8" ht="15.75" x14ac:dyDescent="0.25">
      <c r="A45" s="91"/>
    </row>
    <row r="46" spans="1:8" ht="15.75" x14ac:dyDescent="0.25">
      <c r="A46" s="91"/>
    </row>
    <row r="47" spans="1:8" ht="15.75" x14ac:dyDescent="0.25">
      <c r="A47" s="91"/>
    </row>
    <row r="48" spans="1:8" ht="15.75" x14ac:dyDescent="0.25">
      <c r="A48" s="91"/>
    </row>
    <row r="49" spans="1:1" ht="15.75" x14ac:dyDescent="0.25">
      <c r="A49" s="91"/>
    </row>
  </sheetData>
  <mergeCells count="4">
    <mergeCell ref="A4:A5"/>
    <mergeCell ref="C4:E4"/>
    <mergeCell ref="G4:G5"/>
    <mergeCell ref="H4:H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673FC-1A0F-47DC-82DC-D3F3EF7D62C2}">
  <sheetPr>
    <tabColor theme="7" tint="0.79998168889431442"/>
  </sheetPr>
  <dimension ref="A1:O58"/>
  <sheetViews>
    <sheetView workbookViewId="0">
      <selection activeCell="D11" sqref="D11"/>
    </sheetView>
  </sheetViews>
  <sheetFormatPr defaultRowHeight="15" x14ac:dyDescent="0.25"/>
  <cols>
    <col min="1" max="1" width="10.140625" bestFit="1" customWidth="1"/>
    <col min="2" max="2" width="14.28515625" customWidth="1"/>
    <col min="3" max="3" width="20.5703125" customWidth="1"/>
    <col min="4" max="4" width="13.85546875" customWidth="1"/>
    <col min="6" max="6" width="13.5703125" customWidth="1"/>
    <col min="11" max="13" width="12.7109375" customWidth="1"/>
    <col min="15" max="15" width="11.7109375" bestFit="1" customWidth="1"/>
  </cols>
  <sheetData>
    <row r="1" spans="1:5" ht="23.25" x14ac:dyDescent="0.25">
      <c r="A1" s="6" t="str">
        <f>'Title Page'!A2</f>
        <v>Benefit-Cost Analysis Spreadsheet for the Safety Improvements on Oklahoma Rural Roadways</v>
      </c>
    </row>
    <row r="2" spans="1:5" ht="23.25" x14ac:dyDescent="0.25">
      <c r="A2" s="6"/>
    </row>
    <row r="5" spans="1:5" x14ac:dyDescent="0.25">
      <c r="B5" s="80" t="s">
        <v>71</v>
      </c>
      <c r="C5" s="80" t="s">
        <v>81</v>
      </c>
      <c r="D5" s="80" t="s">
        <v>82</v>
      </c>
    </row>
    <row r="6" spans="1:5" x14ac:dyDescent="0.25">
      <c r="B6" s="150">
        <v>2020</v>
      </c>
      <c r="C6" s="151">
        <v>20257996</v>
      </c>
      <c r="D6" s="151">
        <v>20257996</v>
      </c>
    </row>
    <row r="7" spans="1:5" x14ac:dyDescent="0.25">
      <c r="B7" s="112">
        <v>2023</v>
      </c>
      <c r="C7" s="81">
        <f>K29</f>
        <v>19361858.782857146</v>
      </c>
      <c r="D7" s="81">
        <f>C7/E7</f>
        <v>15805044.217106786</v>
      </c>
      <c r="E7">
        <f>E8/1.07</f>
        <v>1.2250429999999999</v>
      </c>
    </row>
    <row r="8" spans="1:5" x14ac:dyDescent="0.25">
      <c r="B8" s="112">
        <v>2024</v>
      </c>
      <c r="C8" s="81">
        <f>L29</f>
        <v>55370982.197142862</v>
      </c>
      <c r="D8" s="81">
        <f t="shared" ref="D8:D9" si="0">C8/E8</f>
        <v>42242257.204569049</v>
      </c>
      <c r="E8">
        <v>1.31079601</v>
      </c>
    </row>
    <row r="9" spans="1:5" x14ac:dyDescent="0.25">
      <c r="B9" s="112">
        <v>2025</v>
      </c>
      <c r="C9" s="81">
        <f>M29</f>
        <v>41874828.020000003</v>
      </c>
      <c r="D9" s="81">
        <f t="shared" si="0"/>
        <v>29856173.646515466</v>
      </c>
      <c r="E9">
        <v>1.4025517307000002</v>
      </c>
    </row>
    <row r="11" spans="1:5" x14ac:dyDescent="0.25">
      <c r="B11" s="83" t="s">
        <v>80</v>
      </c>
      <c r="C11" s="81">
        <f>SUM(C6:C9)</f>
        <v>136865665.00000003</v>
      </c>
      <c r="D11" s="81">
        <f>SUM(D6:D9)</f>
        <v>108161471.06819129</v>
      </c>
    </row>
    <row r="13" spans="1:5" x14ac:dyDescent="0.25">
      <c r="A13" s="149" t="s">
        <v>83</v>
      </c>
    </row>
    <row r="18" spans="1:15" x14ac:dyDescent="0.25">
      <c r="A18" s="165" t="s">
        <v>18</v>
      </c>
      <c r="B18" s="165"/>
      <c r="C18" s="165"/>
      <c r="D18" s="165"/>
      <c r="G18" s="164" t="s">
        <v>84</v>
      </c>
      <c r="H18" s="164"/>
      <c r="I18" s="164"/>
      <c r="K18" s="164" t="s">
        <v>85</v>
      </c>
      <c r="L18" s="164"/>
      <c r="M18" s="164"/>
    </row>
    <row r="19" spans="1:15" x14ac:dyDescent="0.25">
      <c r="A19" s="117" t="s">
        <v>86</v>
      </c>
      <c r="B19" s="117" t="s">
        <v>87</v>
      </c>
      <c r="C19" s="117" t="s">
        <v>88</v>
      </c>
      <c r="D19" s="117" t="s">
        <v>89</v>
      </c>
      <c r="G19" s="117">
        <v>2023</v>
      </c>
      <c r="H19" s="117">
        <v>2024</v>
      </c>
      <c r="I19" s="117">
        <v>2025</v>
      </c>
      <c r="J19" s="1"/>
      <c r="K19" s="114">
        <v>2023</v>
      </c>
      <c r="L19" s="114">
        <v>2024</v>
      </c>
      <c r="M19" s="114">
        <v>2025</v>
      </c>
    </row>
    <row r="20" spans="1:15" x14ac:dyDescent="0.25">
      <c r="A20" s="127" t="s">
        <v>90</v>
      </c>
      <c r="B20" s="128">
        <v>17862597</v>
      </c>
      <c r="C20" s="129">
        <v>45525</v>
      </c>
      <c r="D20" s="129">
        <v>45890</v>
      </c>
      <c r="G20" s="118"/>
      <c r="H20" s="118">
        <v>0.34</v>
      </c>
      <c r="I20" s="118">
        <v>0.66</v>
      </c>
      <c r="K20" s="119">
        <f>G20*$B20</f>
        <v>0</v>
      </c>
      <c r="L20" s="119">
        <f t="shared" ref="L20:L27" si="1">H20*$B20</f>
        <v>6073282.9800000004</v>
      </c>
      <c r="M20" s="119">
        <f t="shared" ref="M20:M27" si="2">I20*$B20</f>
        <v>11789314.020000001</v>
      </c>
    </row>
    <row r="21" spans="1:15" x14ac:dyDescent="0.25">
      <c r="A21" s="127" t="s">
        <v>91</v>
      </c>
      <c r="B21" s="128">
        <v>12664880</v>
      </c>
      <c r="C21" s="129">
        <v>45308</v>
      </c>
      <c r="D21" s="129">
        <v>45758</v>
      </c>
      <c r="G21" s="118"/>
      <c r="H21" s="118">
        <v>0.75</v>
      </c>
      <c r="I21" s="118">
        <v>0.25</v>
      </c>
      <c r="K21" s="119">
        <f t="shared" ref="K21:K27" si="3">G21*$B21</f>
        <v>0</v>
      </c>
      <c r="L21" s="119">
        <f t="shared" si="1"/>
        <v>9498660</v>
      </c>
      <c r="M21" s="119">
        <f t="shared" si="2"/>
        <v>3166220</v>
      </c>
    </row>
    <row r="22" spans="1:15" x14ac:dyDescent="0.25">
      <c r="A22" s="127" t="s">
        <v>92</v>
      </c>
      <c r="B22" s="128">
        <v>17440124</v>
      </c>
      <c r="C22" s="129">
        <v>45035</v>
      </c>
      <c r="D22" s="129">
        <v>45395</v>
      </c>
      <c r="G22" s="118">
        <v>0.66</v>
      </c>
      <c r="H22" s="118">
        <v>0.34</v>
      </c>
      <c r="I22" s="118"/>
      <c r="K22" s="119">
        <f t="shared" si="3"/>
        <v>11510481.84</v>
      </c>
      <c r="L22" s="119">
        <f t="shared" si="1"/>
        <v>5929642.1600000001</v>
      </c>
      <c r="M22" s="119">
        <f t="shared" si="2"/>
        <v>0</v>
      </c>
    </row>
    <row r="23" spans="1:15" x14ac:dyDescent="0.25">
      <c r="A23" s="127" t="s">
        <v>93</v>
      </c>
      <c r="B23" s="128">
        <v>9821017</v>
      </c>
      <c r="C23" s="129">
        <v>45308</v>
      </c>
      <c r="D23" s="129">
        <v>45533</v>
      </c>
      <c r="G23" s="118"/>
      <c r="H23" s="118">
        <v>1</v>
      </c>
      <c r="I23" s="118"/>
      <c r="K23" s="119">
        <f t="shared" si="3"/>
        <v>0</v>
      </c>
      <c r="L23" s="119">
        <f t="shared" si="1"/>
        <v>9821017</v>
      </c>
      <c r="M23" s="119">
        <f t="shared" si="2"/>
        <v>0</v>
      </c>
    </row>
    <row r="24" spans="1:15" x14ac:dyDescent="0.25">
      <c r="A24" s="127" t="s">
        <v>94</v>
      </c>
      <c r="B24" s="128">
        <v>8112463</v>
      </c>
      <c r="C24" s="129">
        <v>45189</v>
      </c>
      <c r="D24" s="129">
        <v>45399</v>
      </c>
      <c r="G24" s="118">
        <v>0.6</v>
      </c>
      <c r="H24" s="118">
        <v>0.4</v>
      </c>
      <c r="I24" s="118"/>
      <c r="K24" s="119">
        <f t="shared" si="3"/>
        <v>4867477.8</v>
      </c>
      <c r="L24" s="119">
        <f t="shared" si="1"/>
        <v>3244985.2</v>
      </c>
      <c r="M24" s="119">
        <f t="shared" si="2"/>
        <v>0</v>
      </c>
    </row>
    <row r="25" spans="1:15" x14ac:dyDescent="0.25">
      <c r="A25" s="127" t="s">
        <v>95</v>
      </c>
      <c r="B25" s="128">
        <v>17400000</v>
      </c>
      <c r="C25" s="129">
        <v>45581</v>
      </c>
      <c r="D25" s="129">
        <v>45941</v>
      </c>
      <c r="G25" s="118"/>
      <c r="H25" s="118">
        <f>2/12</f>
        <v>0.16666666666666666</v>
      </c>
      <c r="I25" s="118">
        <f>10/12</f>
        <v>0.83333333333333337</v>
      </c>
      <c r="K25" s="119">
        <f t="shared" si="3"/>
        <v>0</v>
      </c>
      <c r="L25" s="119">
        <f t="shared" si="1"/>
        <v>2900000</v>
      </c>
      <c r="M25" s="119">
        <f t="shared" si="2"/>
        <v>14500000</v>
      </c>
    </row>
    <row r="26" spans="1:15" x14ac:dyDescent="0.25">
      <c r="A26" s="127" t="s">
        <v>96</v>
      </c>
      <c r="B26" s="128">
        <v>8468000</v>
      </c>
      <c r="C26" s="129">
        <v>45245</v>
      </c>
      <c r="D26" s="129">
        <v>45465</v>
      </c>
      <c r="G26" s="118">
        <f>1/7</f>
        <v>0.14285714285714285</v>
      </c>
      <c r="H26" s="118">
        <f>6/7</f>
        <v>0.8571428571428571</v>
      </c>
      <c r="I26" s="118"/>
      <c r="K26" s="119">
        <f t="shared" si="3"/>
        <v>1209714.2857142857</v>
      </c>
      <c r="L26" s="119">
        <f t="shared" si="1"/>
        <v>7258285.7142857136</v>
      </c>
      <c r="M26" s="119">
        <f t="shared" si="2"/>
        <v>0</v>
      </c>
    </row>
    <row r="27" spans="1:15" x14ac:dyDescent="0.25">
      <c r="A27" s="127" t="s">
        <v>97</v>
      </c>
      <c r="B27" s="128">
        <v>24838588</v>
      </c>
      <c r="C27" s="129">
        <v>45217</v>
      </c>
      <c r="D27" s="129">
        <v>46072</v>
      </c>
      <c r="E27" t="s">
        <v>98</v>
      </c>
      <c r="G27" s="118">
        <f>2/28</f>
        <v>7.1428571428571425E-2</v>
      </c>
      <c r="H27" s="118">
        <f>12/28</f>
        <v>0.42857142857142855</v>
      </c>
      <c r="I27" s="118">
        <v>0.5</v>
      </c>
      <c r="K27" s="119">
        <f t="shared" si="3"/>
        <v>1774184.857142857</v>
      </c>
      <c r="L27" s="119">
        <f t="shared" si="1"/>
        <v>10645109.142857142</v>
      </c>
      <c r="M27" s="119">
        <f t="shared" si="2"/>
        <v>12419294</v>
      </c>
    </row>
    <row r="28" spans="1:15" ht="15.75" thickBot="1" x14ac:dyDescent="0.3">
      <c r="A28" s="111" t="s">
        <v>99</v>
      </c>
      <c r="B28" s="113">
        <v>116607669</v>
      </c>
      <c r="K28" s="121"/>
      <c r="L28" s="121"/>
      <c r="M28" s="121"/>
    </row>
    <row r="29" spans="1:15" ht="15.75" thickTop="1" x14ac:dyDescent="0.25">
      <c r="K29" s="122">
        <f>SUM(K20:K27)</f>
        <v>19361858.782857146</v>
      </c>
      <c r="L29" s="122">
        <f t="shared" ref="L29:M29" si="4">SUM(L20:L27)</f>
        <v>55370982.197142862</v>
      </c>
      <c r="M29" s="122">
        <f t="shared" si="4"/>
        <v>41874828.020000003</v>
      </c>
      <c r="O29" s="103"/>
    </row>
    <row r="30" spans="1:15" x14ac:dyDescent="0.25">
      <c r="C30" s="115"/>
      <c r="D30" s="4"/>
      <c r="E30" s="116"/>
      <c r="F30" s="115"/>
    </row>
    <row r="31" spans="1:15" x14ac:dyDescent="0.25">
      <c r="C31" s="115"/>
      <c r="D31" s="4"/>
      <c r="E31" s="116"/>
      <c r="F31" s="115"/>
      <c r="K31" s="103"/>
    </row>
    <row r="32" spans="1:15" x14ac:dyDescent="0.25">
      <c r="C32" s="115"/>
      <c r="D32" s="4"/>
      <c r="E32" s="116"/>
      <c r="F32" s="115"/>
    </row>
    <row r="33" spans="3:6" x14ac:dyDescent="0.25">
      <c r="C33" s="115"/>
      <c r="D33" s="4"/>
      <c r="E33" s="116"/>
      <c r="F33" s="115"/>
    </row>
    <row r="34" spans="3:6" x14ac:dyDescent="0.25">
      <c r="C34" s="115"/>
      <c r="D34" s="4"/>
      <c r="E34" s="116"/>
      <c r="F34" s="115"/>
    </row>
    <row r="35" spans="3:6" x14ac:dyDescent="0.25">
      <c r="C35" s="115"/>
      <c r="D35" s="4"/>
      <c r="E35" s="116"/>
      <c r="F35" s="115"/>
    </row>
    <row r="36" spans="3:6" x14ac:dyDescent="0.25">
      <c r="C36" s="115"/>
      <c r="D36" s="4"/>
      <c r="E36" s="116"/>
      <c r="F36" s="115"/>
    </row>
    <row r="37" spans="3:6" x14ac:dyDescent="0.25">
      <c r="C37" s="115"/>
      <c r="D37" s="4"/>
      <c r="E37" s="116"/>
      <c r="F37" s="115"/>
    </row>
    <row r="58" spans="2:3" x14ac:dyDescent="0.25">
      <c r="B58" t="s">
        <v>100</v>
      </c>
      <c r="C58" t="s">
        <v>101</v>
      </c>
    </row>
  </sheetData>
  <mergeCells count="3">
    <mergeCell ref="G18:I18"/>
    <mergeCell ref="K18:M18"/>
    <mergeCell ref="A18:D1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3D25C-F229-4DB6-A469-919A26D924CB}">
  <sheetPr>
    <tabColor theme="7" tint="0.79998168889431442"/>
  </sheetPr>
  <dimension ref="A1:S44"/>
  <sheetViews>
    <sheetView topLeftCell="A7" workbookViewId="0">
      <selection activeCell="Q6" sqref="Q6:Q39"/>
    </sheetView>
  </sheetViews>
  <sheetFormatPr defaultRowHeight="15" x14ac:dyDescent="0.25"/>
  <cols>
    <col min="3" max="3" width="13.5703125" bestFit="1" customWidth="1"/>
    <col min="4" max="4" width="15.42578125" bestFit="1" customWidth="1"/>
    <col min="5" max="5" width="8.28515625" customWidth="1"/>
    <col min="6" max="6" width="7.28515625" customWidth="1"/>
    <col min="7" max="9" width="16.5703125" customWidth="1"/>
    <col min="11" max="12" width="13.5703125" customWidth="1"/>
    <col min="13" max="13" width="11.28515625" customWidth="1"/>
    <col min="15" max="16" width="11.42578125" customWidth="1"/>
    <col min="17" max="17" width="16.28515625" customWidth="1"/>
  </cols>
  <sheetData>
    <row r="1" spans="1:19" ht="23.25" x14ac:dyDescent="0.25">
      <c r="A1" s="6" t="str">
        <f>'Title Page'!A2</f>
        <v>Benefit-Cost Analysis Spreadsheet for the Safety Improvements on Oklahoma Rural Roadways</v>
      </c>
    </row>
    <row r="4" spans="1:19" x14ac:dyDescent="0.25">
      <c r="B4" s="166" t="s">
        <v>102</v>
      </c>
      <c r="C4" s="166"/>
      <c r="D4" s="166"/>
      <c r="E4" s="4"/>
      <c r="F4" s="166" t="s">
        <v>103</v>
      </c>
      <c r="G4" s="166"/>
      <c r="H4" s="166"/>
      <c r="I4" s="166"/>
      <c r="K4" s="166" t="s">
        <v>104</v>
      </c>
      <c r="L4" s="166"/>
      <c r="N4" s="166" t="s">
        <v>105</v>
      </c>
      <c r="O4" s="166"/>
      <c r="P4" s="166"/>
      <c r="Q4" s="166"/>
    </row>
    <row r="5" spans="1:19" ht="45" x14ac:dyDescent="0.25">
      <c r="B5" s="135" t="s">
        <v>71</v>
      </c>
      <c r="C5" s="134" t="s">
        <v>106</v>
      </c>
      <c r="D5" s="134" t="s">
        <v>80</v>
      </c>
      <c r="E5" s="131"/>
      <c r="F5" s="134" t="s">
        <v>71</v>
      </c>
      <c r="G5" s="134" t="s">
        <v>107</v>
      </c>
      <c r="H5" s="134" t="s">
        <v>108</v>
      </c>
      <c r="I5" s="134" t="s">
        <v>80</v>
      </c>
      <c r="K5" s="134" t="s">
        <v>71</v>
      </c>
      <c r="L5" s="134" t="s">
        <v>109</v>
      </c>
      <c r="N5" s="134" t="s">
        <v>71</v>
      </c>
      <c r="O5" s="135" t="s">
        <v>102</v>
      </c>
      <c r="P5" s="134" t="s">
        <v>103</v>
      </c>
      <c r="Q5" s="134" t="s">
        <v>109</v>
      </c>
      <c r="S5" s="136" t="s">
        <v>110</v>
      </c>
    </row>
    <row r="6" spans="1:19" x14ac:dyDescent="0.25">
      <c r="B6" s="120">
        <v>2023</v>
      </c>
      <c r="C6" s="130"/>
      <c r="D6" s="130">
        <f>C6</f>
        <v>0</v>
      </c>
      <c r="E6" s="132"/>
      <c r="F6" s="120">
        <v>2023</v>
      </c>
      <c r="G6" s="130"/>
      <c r="H6" s="130"/>
      <c r="I6" s="130">
        <f>G6+H6</f>
        <v>0</v>
      </c>
      <c r="K6" s="120">
        <v>2023</v>
      </c>
      <c r="L6" s="119">
        <f>D6-I6</f>
        <v>0</v>
      </c>
      <c r="N6" s="120">
        <v>2023</v>
      </c>
      <c r="O6" s="130">
        <f t="shared" ref="O6:O38" si="0">D6/$S6</f>
        <v>0</v>
      </c>
      <c r="P6" s="130">
        <f t="shared" ref="P6:P38" si="1">I6/$S6</f>
        <v>0</v>
      </c>
      <c r="Q6" s="119">
        <f>O6-P6</f>
        <v>0</v>
      </c>
      <c r="S6" s="82">
        <f>S7/1.07</f>
        <v>1.2250429999999999</v>
      </c>
    </row>
    <row r="7" spans="1:19" x14ac:dyDescent="0.25">
      <c r="B7" s="120">
        <v>2024</v>
      </c>
      <c r="C7" s="130"/>
      <c r="D7" s="130">
        <f t="shared" ref="D7:D38" si="2">C7</f>
        <v>0</v>
      </c>
      <c r="E7" s="132"/>
      <c r="F7" s="120">
        <v>2024</v>
      </c>
      <c r="G7" s="130">
        <v>6000000</v>
      </c>
      <c r="H7" s="130"/>
      <c r="I7" s="130">
        <f t="shared" ref="I7:I38" si="3">G7+H7</f>
        <v>6000000</v>
      </c>
      <c r="K7" s="120">
        <v>2024</v>
      </c>
      <c r="L7" s="119">
        <f t="shared" ref="L7:L38" si="4">D7-I7</f>
        <v>-6000000</v>
      </c>
      <c r="N7" s="120">
        <v>2024</v>
      </c>
      <c r="O7" s="130">
        <f t="shared" si="0"/>
        <v>0</v>
      </c>
      <c r="P7" s="130">
        <f t="shared" si="1"/>
        <v>4577371.2722851513</v>
      </c>
      <c r="Q7" s="119">
        <f t="shared" ref="Q7:Q38" si="5">O7-P7</f>
        <v>-4577371.2722851513</v>
      </c>
      <c r="S7" s="82">
        <v>1.31079601</v>
      </c>
    </row>
    <row r="8" spans="1:19" x14ac:dyDescent="0.25">
      <c r="B8" s="120">
        <v>2025</v>
      </c>
      <c r="C8" s="130"/>
      <c r="D8" s="130">
        <f t="shared" si="2"/>
        <v>0</v>
      </c>
      <c r="E8" s="132"/>
      <c r="F8" s="120">
        <v>2025</v>
      </c>
      <c r="G8" s="130">
        <v>6000000</v>
      </c>
      <c r="H8" s="130"/>
      <c r="I8" s="130">
        <f t="shared" si="3"/>
        <v>6000000</v>
      </c>
      <c r="K8" s="120">
        <v>2025</v>
      </c>
      <c r="L8" s="119">
        <f t="shared" si="4"/>
        <v>-6000000</v>
      </c>
      <c r="N8" s="120">
        <v>2025</v>
      </c>
      <c r="O8" s="130">
        <f t="shared" si="0"/>
        <v>0</v>
      </c>
      <c r="P8" s="130">
        <f t="shared" si="1"/>
        <v>4277917.0769020105</v>
      </c>
      <c r="Q8" s="119">
        <f t="shared" si="5"/>
        <v>-4277917.0769020105</v>
      </c>
      <c r="S8" s="82">
        <v>1.4025517307000002</v>
      </c>
    </row>
    <row r="9" spans="1:19" x14ac:dyDescent="0.25">
      <c r="B9" s="120">
        <v>2026</v>
      </c>
      <c r="C9" s="130"/>
      <c r="D9" s="130">
        <f t="shared" si="2"/>
        <v>0</v>
      </c>
      <c r="E9" s="132"/>
      <c r="F9" s="120">
        <v>2026</v>
      </c>
      <c r="G9" s="130">
        <v>6000000</v>
      </c>
      <c r="H9" s="130"/>
      <c r="I9" s="130">
        <f t="shared" si="3"/>
        <v>6000000</v>
      </c>
      <c r="K9" s="120">
        <v>2026</v>
      </c>
      <c r="L9" s="119">
        <f t="shared" si="4"/>
        <v>-6000000</v>
      </c>
      <c r="N9" s="120">
        <v>2026</v>
      </c>
      <c r="O9" s="130">
        <f t="shared" si="0"/>
        <v>0</v>
      </c>
      <c r="P9" s="130">
        <f t="shared" si="1"/>
        <v>3998053.3428990748</v>
      </c>
      <c r="Q9" s="119">
        <f t="shared" si="5"/>
        <v>-3998053.3428990748</v>
      </c>
      <c r="S9" s="82">
        <v>1.5007303518490003</v>
      </c>
    </row>
    <row r="10" spans="1:19" x14ac:dyDescent="0.25">
      <c r="B10" s="120">
        <v>2027</v>
      </c>
      <c r="C10" s="130"/>
      <c r="D10" s="130">
        <f t="shared" si="2"/>
        <v>0</v>
      </c>
      <c r="E10" s="132"/>
      <c r="F10" s="120">
        <v>2027</v>
      </c>
      <c r="G10" s="130">
        <v>6000000</v>
      </c>
      <c r="H10" s="130"/>
      <c r="I10" s="130">
        <f t="shared" si="3"/>
        <v>6000000</v>
      </c>
      <c r="K10" s="120">
        <v>2027</v>
      </c>
      <c r="L10" s="119">
        <f t="shared" si="4"/>
        <v>-6000000</v>
      </c>
      <c r="N10" s="120">
        <v>2027</v>
      </c>
      <c r="O10" s="130">
        <f t="shared" si="0"/>
        <v>0</v>
      </c>
      <c r="P10" s="130">
        <f t="shared" si="1"/>
        <v>3736498.4513075463</v>
      </c>
      <c r="Q10" s="119">
        <f t="shared" si="5"/>
        <v>-3736498.4513075463</v>
      </c>
      <c r="S10" s="82">
        <v>1.6057814764784304</v>
      </c>
    </row>
    <row r="11" spans="1:19" x14ac:dyDescent="0.25">
      <c r="B11" s="120">
        <v>2028</v>
      </c>
      <c r="C11" s="130"/>
      <c r="D11" s="130">
        <f t="shared" si="2"/>
        <v>0</v>
      </c>
      <c r="E11" s="132"/>
      <c r="F11" s="120">
        <v>2028</v>
      </c>
      <c r="G11" s="130"/>
      <c r="H11" s="130">
        <v>1000000</v>
      </c>
      <c r="I11" s="130">
        <f t="shared" si="3"/>
        <v>1000000</v>
      </c>
      <c r="K11" s="120">
        <v>2028</v>
      </c>
      <c r="L11" s="119">
        <f t="shared" si="4"/>
        <v>-1000000</v>
      </c>
      <c r="N11" s="120">
        <v>2028</v>
      </c>
      <c r="O11" s="130">
        <f t="shared" si="0"/>
        <v>0</v>
      </c>
      <c r="P11" s="130">
        <f t="shared" si="1"/>
        <v>582009.10456503823</v>
      </c>
      <c r="Q11" s="119">
        <f t="shared" si="5"/>
        <v>-582009.10456503823</v>
      </c>
      <c r="S11" s="82">
        <v>1.7181861798319207</v>
      </c>
    </row>
    <row r="12" spans="1:19" x14ac:dyDescent="0.25">
      <c r="B12" s="120">
        <v>2029</v>
      </c>
      <c r="C12" s="130"/>
      <c r="D12" s="130">
        <f t="shared" si="2"/>
        <v>0</v>
      </c>
      <c r="E12" s="132"/>
      <c r="F12" s="120">
        <v>2029</v>
      </c>
      <c r="G12" s="130"/>
      <c r="H12" s="130"/>
      <c r="I12" s="130">
        <f t="shared" si="3"/>
        <v>0</v>
      </c>
      <c r="K12" s="120">
        <v>2029</v>
      </c>
      <c r="L12" s="119">
        <f t="shared" si="4"/>
        <v>0</v>
      </c>
      <c r="N12" s="120">
        <v>2029</v>
      </c>
      <c r="O12" s="130">
        <f t="shared" si="0"/>
        <v>0</v>
      </c>
      <c r="P12" s="130">
        <f t="shared" si="1"/>
        <v>0</v>
      </c>
      <c r="Q12" s="119">
        <f t="shared" si="5"/>
        <v>0</v>
      </c>
      <c r="S12" s="82">
        <v>1.8384592124201553</v>
      </c>
    </row>
    <row r="13" spans="1:19" x14ac:dyDescent="0.25">
      <c r="B13" s="120">
        <v>2030</v>
      </c>
      <c r="C13" s="130"/>
      <c r="D13" s="130">
        <f t="shared" si="2"/>
        <v>0</v>
      </c>
      <c r="E13" s="132"/>
      <c r="F13" s="120">
        <v>2030</v>
      </c>
      <c r="G13" s="130"/>
      <c r="H13" s="130"/>
      <c r="I13" s="130">
        <f t="shared" si="3"/>
        <v>0</v>
      </c>
      <c r="K13" s="120">
        <v>2030</v>
      </c>
      <c r="L13" s="119">
        <f t="shared" si="4"/>
        <v>0</v>
      </c>
      <c r="N13" s="120">
        <v>2030</v>
      </c>
      <c r="O13" s="130">
        <f t="shared" si="0"/>
        <v>0</v>
      </c>
      <c r="P13" s="130">
        <f t="shared" si="1"/>
        <v>0</v>
      </c>
      <c r="Q13" s="119">
        <f t="shared" si="5"/>
        <v>0</v>
      </c>
      <c r="S13" s="82">
        <v>1.9671513572895662</v>
      </c>
    </row>
    <row r="14" spans="1:19" x14ac:dyDescent="0.25">
      <c r="B14" s="120">
        <v>2031</v>
      </c>
      <c r="C14" s="130"/>
      <c r="D14" s="130">
        <f t="shared" si="2"/>
        <v>0</v>
      </c>
      <c r="E14" s="132"/>
      <c r="F14" s="120">
        <v>2031</v>
      </c>
      <c r="G14" s="130"/>
      <c r="H14" s="130"/>
      <c r="I14" s="130">
        <f t="shared" si="3"/>
        <v>0</v>
      </c>
      <c r="K14" s="120">
        <v>2031</v>
      </c>
      <c r="L14" s="119">
        <f t="shared" si="4"/>
        <v>0</v>
      </c>
      <c r="N14" s="120">
        <v>2031</v>
      </c>
      <c r="O14" s="130">
        <f t="shared" si="0"/>
        <v>0</v>
      </c>
      <c r="P14" s="130">
        <f t="shared" si="1"/>
        <v>0</v>
      </c>
      <c r="Q14" s="119">
        <f t="shared" si="5"/>
        <v>0</v>
      </c>
      <c r="S14" s="82">
        <v>2.1048519522998359</v>
      </c>
    </row>
    <row r="15" spans="1:19" x14ac:dyDescent="0.25">
      <c r="B15" s="120">
        <v>2032</v>
      </c>
      <c r="C15" s="130"/>
      <c r="D15" s="130">
        <f t="shared" si="2"/>
        <v>0</v>
      </c>
      <c r="E15" s="132"/>
      <c r="F15" s="120">
        <v>2032</v>
      </c>
      <c r="G15" s="130"/>
      <c r="H15" s="130">
        <v>1000000</v>
      </c>
      <c r="I15" s="130">
        <f t="shared" si="3"/>
        <v>1000000</v>
      </c>
      <c r="K15" s="120">
        <v>2032</v>
      </c>
      <c r="L15" s="119">
        <f t="shared" si="4"/>
        <v>-1000000</v>
      </c>
      <c r="N15" s="120">
        <v>2032</v>
      </c>
      <c r="O15" s="130">
        <f t="shared" si="0"/>
        <v>0</v>
      </c>
      <c r="P15" s="130">
        <f t="shared" si="1"/>
        <v>444011.9592407351</v>
      </c>
      <c r="Q15" s="119">
        <f t="shared" si="5"/>
        <v>-444011.9592407351</v>
      </c>
      <c r="S15" s="82">
        <v>2.2521915889608244</v>
      </c>
    </row>
    <row r="16" spans="1:19" x14ac:dyDescent="0.25">
      <c r="B16" s="120">
        <v>2033</v>
      </c>
      <c r="C16" s="130"/>
      <c r="D16" s="130">
        <f t="shared" si="2"/>
        <v>0</v>
      </c>
      <c r="E16" s="132"/>
      <c r="F16" s="120">
        <v>2033</v>
      </c>
      <c r="G16" s="130"/>
      <c r="H16" s="130"/>
      <c r="I16" s="130">
        <f t="shared" si="3"/>
        <v>0</v>
      </c>
      <c r="K16" s="120">
        <v>2033</v>
      </c>
      <c r="L16" s="119">
        <f t="shared" si="4"/>
        <v>0</v>
      </c>
      <c r="N16" s="120">
        <v>2033</v>
      </c>
      <c r="O16" s="130">
        <f t="shared" si="0"/>
        <v>0</v>
      </c>
      <c r="P16" s="130">
        <f t="shared" si="1"/>
        <v>0</v>
      </c>
      <c r="Q16" s="119">
        <f t="shared" si="5"/>
        <v>0</v>
      </c>
      <c r="S16" s="82">
        <v>2.4098450001880822</v>
      </c>
    </row>
    <row r="17" spans="2:19" x14ac:dyDescent="0.25">
      <c r="B17" s="120">
        <v>2034</v>
      </c>
      <c r="C17" s="130"/>
      <c r="D17" s="130">
        <f t="shared" si="2"/>
        <v>0</v>
      </c>
      <c r="E17" s="132"/>
      <c r="F17" s="120">
        <v>2034</v>
      </c>
      <c r="G17" s="130">
        <v>6000000</v>
      </c>
      <c r="H17" s="130"/>
      <c r="I17" s="130">
        <f t="shared" si="3"/>
        <v>6000000</v>
      </c>
      <c r="K17" s="120">
        <v>2034</v>
      </c>
      <c r="L17" s="119">
        <f t="shared" si="4"/>
        <v>-6000000</v>
      </c>
      <c r="N17" s="120">
        <v>2034</v>
      </c>
      <c r="O17" s="130">
        <f t="shared" si="0"/>
        <v>0</v>
      </c>
      <c r="P17" s="130">
        <f t="shared" si="1"/>
        <v>2326903.4461039482</v>
      </c>
      <c r="Q17" s="119">
        <f t="shared" si="5"/>
        <v>-2326903.4461039482</v>
      </c>
      <c r="S17" s="82">
        <v>2.5785341502012482</v>
      </c>
    </row>
    <row r="18" spans="2:19" x14ac:dyDescent="0.25">
      <c r="B18" s="120">
        <v>2035</v>
      </c>
      <c r="C18" s="130"/>
      <c r="D18" s="130">
        <f t="shared" si="2"/>
        <v>0</v>
      </c>
      <c r="E18" s="132"/>
      <c r="F18" s="120">
        <v>2035</v>
      </c>
      <c r="G18" s="130">
        <v>6000000</v>
      </c>
      <c r="H18" s="130"/>
      <c r="I18" s="130">
        <f t="shared" si="3"/>
        <v>6000000</v>
      </c>
      <c r="K18" s="120">
        <v>2035</v>
      </c>
      <c r="L18" s="119">
        <f t="shared" si="4"/>
        <v>-6000000</v>
      </c>
      <c r="N18" s="120">
        <v>2035</v>
      </c>
      <c r="O18" s="130">
        <f t="shared" si="0"/>
        <v>0</v>
      </c>
      <c r="P18" s="130">
        <f t="shared" si="1"/>
        <v>2174676.117854157</v>
      </c>
      <c r="Q18" s="119">
        <f t="shared" si="5"/>
        <v>-2174676.117854157</v>
      </c>
      <c r="S18" s="82">
        <v>2.7590315407153359</v>
      </c>
    </row>
    <row r="19" spans="2:19" x14ac:dyDescent="0.25">
      <c r="B19" s="120">
        <v>2036</v>
      </c>
      <c r="C19" s="130"/>
      <c r="D19" s="130">
        <f t="shared" si="2"/>
        <v>0</v>
      </c>
      <c r="E19" s="132"/>
      <c r="F19" s="120">
        <v>2036</v>
      </c>
      <c r="G19" s="130">
        <v>6000000</v>
      </c>
      <c r="H19" s="130">
        <v>1000000</v>
      </c>
      <c r="I19" s="130">
        <f t="shared" si="3"/>
        <v>7000000</v>
      </c>
      <c r="K19" s="120">
        <v>2036</v>
      </c>
      <c r="L19" s="119">
        <f t="shared" si="4"/>
        <v>-7000000</v>
      </c>
      <c r="N19" s="120">
        <v>2036</v>
      </c>
      <c r="O19" s="130">
        <f t="shared" si="0"/>
        <v>0</v>
      </c>
      <c r="P19" s="130">
        <f t="shared" si="1"/>
        <v>2371142.1845761831</v>
      </c>
      <c r="Q19" s="119">
        <f t="shared" si="5"/>
        <v>-2371142.1845761831</v>
      </c>
      <c r="S19" s="82">
        <v>2.9521637485654098</v>
      </c>
    </row>
    <row r="20" spans="2:19" x14ac:dyDescent="0.25">
      <c r="B20" s="120">
        <v>2037</v>
      </c>
      <c r="C20" s="130"/>
      <c r="D20" s="130">
        <f t="shared" si="2"/>
        <v>0</v>
      </c>
      <c r="E20" s="132"/>
      <c r="F20" s="120">
        <v>2037</v>
      </c>
      <c r="G20" s="130">
        <v>6000000</v>
      </c>
      <c r="H20" s="130"/>
      <c r="I20" s="130">
        <f t="shared" si="3"/>
        <v>6000000</v>
      </c>
      <c r="K20" s="120">
        <v>2037</v>
      </c>
      <c r="L20" s="119">
        <f t="shared" si="4"/>
        <v>-6000000</v>
      </c>
      <c r="N20" s="120">
        <v>2037</v>
      </c>
      <c r="O20" s="130">
        <f t="shared" si="0"/>
        <v>0</v>
      </c>
      <c r="P20" s="130">
        <f t="shared" si="1"/>
        <v>1899446.3427846592</v>
      </c>
      <c r="Q20" s="119">
        <f t="shared" si="5"/>
        <v>-1899446.3427846592</v>
      </c>
      <c r="S20" s="82">
        <v>3.1588152109649887</v>
      </c>
    </row>
    <row r="21" spans="2:19" x14ac:dyDescent="0.25">
      <c r="B21" s="120">
        <v>2038</v>
      </c>
      <c r="C21" s="130"/>
      <c r="D21" s="130">
        <f t="shared" si="2"/>
        <v>0</v>
      </c>
      <c r="E21" s="132"/>
      <c r="F21" s="120">
        <v>2038</v>
      </c>
      <c r="G21" s="130"/>
      <c r="H21" s="130"/>
      <c r="I21" s="130">
        <f t="shared" si="3"/>
        <v>0</v>
      </c>
      <c r="K21" s="120">
        <v>2038</v>
      </c>
      <c r="L21" s="119">
        <f t="shared" si="4"/>
        <v>0</v>
      </c>
      <c r="N21" s="120">
        <v>2038</v>
      </c>
      <c r="O21" s="130">
        <f t="shared" si="0"/>
        <v>0</v>
      </c>
      <c r="P21" s="130">
        <f t="shared" si="1"/>
        <v>0</v>
      </c>
      <c r="Q21" s="119">
        <f t="shared" si="5"/>
        <v>0</v>
      </c>
      <c r="S21" s="82">
        <v>3.3799322757325383</v>
      </c>
    </row>
    <row r="22" spans="2:19" x14ac:dyDescent="0.25">
      <c r="B22" s="120">
        <v>2039</v>
      </c>
      <c r="C22" s="130"/>
      <c r="D22" s="130">
        <f t="shared" si="2"/>
        <v>0</v>
      </c>
      <c r="E22" s="132"/>
      <c r="F22" s="120">
        <v>2039</v>
      </c>
      <c r="G22" s="130"/>
      <c r="H22" s="130"/>
      <c r="I22" s="130">
        <f t="shared" si="3"/>
        <v>0</v>
      </c>
      <c r="K22" s="120">
        <v>2039</v>
      </c>
      <c r="L22" s="119">
        <f t="shared" si="4"/>
        <v>0</v>
      </c>
      <c r="N22" s="120">
        <v>2039</v>
      </c>
      <c r="O22" s="130">
        <f t="shared" si="0"/>
        <v>0</v>
      </c>
      <c r="P22" s="130">
        <f t="shared" si="1"/>
        <v>0</v>
      </c>
      <c r="Q22" s="119">
        <f t="shared" si="5"/>
        <v>0</v>
      </c>
      <c r="S22" s="82">
        <v>3.616527535033816</v>
      </c>
    </row>
    <row r="23" spans="2:19" x14ac:dyDescent="0.25">
      <c r="B23" s="120">
        <v>2040</v>
      </c>
      <c r="C23" s="130"/>
      <c r="D23" s="130">
        <f t="shared" si="2"/>
        <v>0</v>
      </c>
      <c r="E23" s="132"/>
      <c r="F23" s="120">
        <v>2040</v>
      </c>
      <c r="G23" s="130"/>
      <c r="H23" s="130">
        <v>1000000</v>
      </c>
      <c r="I23" s="130">
        <f t="shared" si="3"/>
        <v>1000000</v>
      </c>
      <c r="K23" s="120">
        <v>2040</v>
      </c>
      <c r="L23" s="119">
        <f t="shared" si="4"/>
        <v>-1000000</v>
      </c>
      <c r="N23" s="120">
        <v>2040</v>
      </c>
      <c r="O23" s="130">
        <f t="shared" si="0"/>
        <v>0</v>
      </c>
      <c r="P23" s="130">
        <f t="shared" si="1"/>
        <v>258419.00281386843</v>
      </c>
      <c r="Q23" s="119">
        <f t="shared" si="5"/>
        <v>-258419.00281386843</v>
      </c>
      <c r="S23" s="82">
        <v>3.8696844624861835</v>
      </c>
    </row>
    <row r="24" spans="2:19" x14ac:dyDescent="0.25">
      <c r="B24" s="120">
        <v>2041</v>
      </c>
      <c r="C24" s="130">
        <v>6000000</v>
      </c>
      <c r="D24" s="130">
        <f t="shared" si="2"/>
        <v>6000000</v>
      </c>
      <c r="E24" s="132"/>
      <c r="F24" s="120">
        <v>2041</v>
      </c>
      <c r="G24" s="130"/>
      <c r="H24" s="130"/>
      <c r="I24" s="130">
        <f t="shared" si="3"/>
        <v>0</v>
      </c>
      <c r="K24" s="120">
        <v>2041</v>
      </c>
      <c r="L24" s="119">
        <f t="shared" si="4"/>
        <v>6000000</v>
      </c>
      <c r="N24" s="120">
        <v>2041</v>
      </c>
      <c r="O24" s="130">
        <f t="shared" si="0"/>
        <v>1449078.5204515986</v>
      </c>
      <c r="P24" s="130">
        <f t="shared" si="1"/>
        <v>0</v>
      </c>
      <c r="Q24" s="119">
        <f t="shared" si="5"/>
        <v>1449078.5204515986</v>
      </c>
      <c r="S24" s="82">
        <v>4.1405623748602167</v>
      </c>
    </row>
    <row r="25" spans="2:19" x14ac:dyDescent="0.25">
      <c r="B25" s="120">
        <v>2042</v>
      </c>
      <c r="C25" s="130">
        <v>6000000</v>
      </c>
      <c r="D25" s="130">
        <f t="shared" si="2"/>
        <v>6000000</v>
      </c>
      <c r="E25" s="132"/>
      <c r="F25" s="120">
        <v>2042</v>
      </c>
      <c r="G25" s="130"/>
      <c r="H25" s="130"/>
      <c r="I25" s="130">
        <f t="shared" si="3"/>
        <v>0</v>
      </c>
      <c r="K25" s="120">
        <v>2042</v>
      </c>
      <c r="L25" s="119">
        <f t="shared" si="4"/>
        <v>6000000</v>
      </c>
      <c r="N25" s="120">
        <v>2042</v>
      </c>
      <c r="O25" s="130">
        <f t="shared" si="0"/>
        <v>1354278.9910762601</v>
      </c>
      <c r="P25" s="130">
        <f t="shared" si="1"/>
        <v>0</v>
      </c>
      <c r="Q25" s="119">
        <f t="shared" si="5"/>
        <v>1354278.9910762601</v>
      </c>
      <c r="S25" s="82">
        <v>4.4304017411004324</v>
      </c>
    </row>
    <row r="26" spans="2:19" x14ac:dyDescent="0.25">
      <c r="B26" s="120">
        <f>B25+1</f>
        <v>2043</v>
      </c>
      <c r="C26" s="130">
        <v>6000000</v>
      </c>
      <c r="D26" s="130">
        <f t="shared" si="2"/>
        <v>6000000</v>
      </c>
      <c r="E26" s="101"/>
      <c r="F26" s="120">
        <f>F25+1</f>
        <v>2043</v>
      </c>
      <c r="G26" s="133"/>
      <c r="H26" s="133"/>
      <c r="I26" s="130">
        <f t="shared" si="3"/>
        <v>0</v>
      </c>
      <c r="K26" s="120">
        <f>K25+1</f>
        <v>2043</v>
      </c>
      <c r="L26" s="119">
        <f t="shared" si="4"/>
        <v>6000000</v>
      </c>
      <c r="N26" s="120">
        <f>N25+1</f>
        <v>2043</v>
      </c>
      <c r="O26" s="130">
        <f t="shared" si="0"/>
        <v>1265681.3000712711</v>
      </c>
      <c r="P26" s="130">
        <f t="shared" si="1"/>
        <v>0</v>
      </c>
      <c r="Q26" s="119">
        <f t="shared" si="5"/>
        <v>1265681.3000712711</v>
      </c>
      <c r="S26" s="82">
        <v>4.7405298629774633</v>
      </c>
    </row>
    <row r="27" spans="2:19" x14ac:dyDescent="0.25">
      <c r="B27" s="120">
        <f t="shared" ref="B27:B37" si="6">B26+1</f>
        <v>2044</v>
      </c>
      <c r="C27" s="130">
        <v>6000000</v>
      </c>
      <c r="D27" s="130">
        <f t="shared" si="2"/>
        <v>6000000</v>
      </c>
      <c r="F27" s="120">
        <f t="shared" ref="F27:F37" si="7">F26+1</f>
        <v>2044</v>
      </c>
      <c r="G27" s="130">
        <v>6000000</v>
      </c>
      <c r="H27" s="120"/>
      <c r="I27" s="130">
        <f t="shared" si="3"/>
        <v>6000000</v>
      </c>
      <c r="K27" s="120">
        <f t="shared" ref="K27:K37" si="8">K26+1</f>
        <v>2044</v>
      </c>
      <c r="L27" s="119">
        <f t="shared" si="4"/>
        <v>0</v>
      </c>
      <c r="N27" s="120">
        <f t="shared" ref="N27:N37" si="9">N26+1</f>
        <v>2044</v>
      </c>
      <c r="O27" s="130">
        <f t="shared" si="0"/>
        <v>1182879.7196927764</v>
      </c>
      <c r="P27" s="130">
        <f t="shared" si="1"/>
        <v>1182879.7196927764</v>
      </c>
      <c r="Q27" s="119">
        <f t="shared" si="5"/>
        <v>0</v>
      </c>
      <c r="S27" s="82">
        <v>5.0723669533858864</v>
      </c>
    </row>
    <row r="28" spans="2:19" x14ac:dyDescent="0.25">
      <c r="B28" s="120">
        <f t="shared" si="6"/>
        <v>2045</v>
      </c>
      <c r="C28" s="120"/>
      <c r="D28" s="130">
        <f t="shared" si="2"/>
        <v>0</v>
      </c>
      <c r="F28" s="120">
        <f t="shared" si="7"/>
        <v>2045</v>
      </c>
      <c r="G28" s="130">
        <v>6000000</v>
      </c>
      <c r="H28" s="120"/>
      <c r="I28" s="130">
        <f t="shared" si="3"/>
        <v>6000000</v>
      </c>
      <c r="K28" s="120">
        <f t="shared" si="8"/>
        <v>2045</v>
      </c>
      <c r="L28" s="119">
        <f t="shared" si="4"/>
        <v>-6000000</v>
      </c>
      <c r="N28" s="120">
        <f t="shared" si="9"/>
        <v>2045</v>
      </c>
      <c r="O28" s="130">
        <f t="shared" si="0"/>
        <v>0</v>
      </c>
      <c r="P28" s="130">
        <f t="shared" si="1"/>
        <v>1105495.0651334359</v>
      </c>
      <c r="Q28" s="119">
        <f t="shared" si="5"/>
        <v>-1105495.0651334359</v>
      </c>
      <c r="S28" s="82">
        <v>5.4274326401228992</v>
      </c>
    </row>
    <row r="29" spans="2:19" x14ac:dyDescent="0.25">
      <c r="B29" s="120">
        <f t="shared" si="6"/>
        <v>2046</v>
      </c>
      <c r="C29" s="120"/>
      <c r="D29" s="130">
        <f t="shared" si="2"/>
        <v>0</v>
      </c>
      <c r="F29" s="120">
        <f t="shared" si="7"/>
        <v>2046</v>
      </c>
      <c r="G29" s="130">
        <v>6000000</v>
      </c>
      <c r="H29" s="120"/>
      <c r="I29" s="130">
        <f t="shared" si="3"/>
        <v>6000000</v>
      </c>
      <c r="K29" s="120">
        <f t="shared" si="8"/>
        <v>2046</v>
      </c>
      <c r="L29" s="119">
        <f t="shared" si="4"/>
        <v>-6000000</v>
      </c>
      <c r="N29" s="120">
        <f t="shared" si="9"/>
        <v>2046</v>
      </c>
      <c r="O29" s="130">
        <f t="shared" si="0"/>
        <v>0</v>
      </c>
      <c r="P29" s="130">
        <f t="shared" si="1"/>
        <v>1033172.9580686315</v>
      </c>
      <c r="Q29" s="119">
        <f t="shared" si="5"/>
        <v>-1033172.9580686315</v>
      </c>
      <c r="S29" s="82">
        <v>5.8073529249315028</v>
      </c>
    </row>
    <row r="30" spans="2:19" x14ac:dyDescent="0.25">
      <c r="B30" s="120">
        <f t="shared" si="6"/>
        <v>2047</v>
      </c>
      <c r="C30" s="120"/>
      <c r="D30" s="130">
        <f t="shared" si="2"/>
        <v>0</v>
      </c>
      <c r="F30" s="120">
        <f t="shared" si="7"/>
        <v>2047</v>
      </c>
      <c r="G30" s="130">
        <v>6000000</v>
      </c>
      <c r="H30" s="120"/>
      <c r="I30" s="130">
        <f t="shared" si="3"/>
        <v>6000000</v>
      </c>
      <c r="K30" s="120">
        <f t="shared" si="8"/>
        <v>2047</v>
      </c>
      <c r="L30" s="119">
        <f t="shared" si="4"/>
        <v>-6000000</v>
      </c>
      <c r="N30" s="120">
        <f t="shared" si="9"/>
        <v>2047</v>
      </c>
      <c r="O30" s="130">
        <f t="shared" si="0"/>
        <v>0</v>
      </c>
      <c r="P30" s="130">
        <f t="shared" si="1"/>
        <v>965582.20380245929</v>
      </c>
      <c r="Q30" s="119">
        <f t="shared" si="5"/>
        <v>-965582.20380245929</v>
      </c>
      <c r="S30" s="82">
        <f>S29*1.07</f>
        <v>6.2138676296767086</v>
      </c>
    </row>
    <row r="31" spans="2:19" x14ac:dyDescent="0.25">
      <c r="B31" s="120">
        <f t="shared" si="6"/>
        <v>2048</v>
      </c>
      <c r="C31" s="120"/>
      <c r="D31" s="130">
        <f t="shared" si="2"/>
        <v>0</v>
      </c>
      <c r="F31" s="120">
        <f t="shared" si="7"/>
        <v>2048</v>
      </c>
      <c r="G31" s="120"/>
      <c r="H31" s="120"/>
      <c r="I31" s="130">
        <f t="shared" si="3"/>
        <v>0</v>
      </c>
      <c r="K31" s="120">
        <f t="shared" si="8"/>
        <v>2048</v>
      </c>
      <c r="L31" s="119">
        <f t="shared" si="4"/>
        <v>0</v>
      </c>
      <c r="N31" s="120">
        <f t="shared" si="9"/>
        <v>2048</v>
      </c>
      <c r="O31" s="130">
        <f t="shared" si="0"/>
        <v>0</v>
      </c>
      <c r="P31" s="130">
        <f t="shared" si="1"/>
        <v>0</v>
      </c>
      <c r="Q31" s="119">
        <f t="shared" si="5"/>
        <v>0</v>
      </c>
      <c r="S31" s="82">
        <f t="shared" ref="S31:S38" si="10">S30*1.07</f>
        <v>6.6488383637540789</v>
      </c>
    </row>
    <row r="32" spans="2:19" x14ac:dyDescent="0.25">
      <c r="B32" s="120">
        <f t="shared" si="6"/>
        <v>2049</v>
      </c>
      <c r="C32" s="120"/>
      <c r="D32" s="130">
        <f t="shared" si="2"/>
        <v>0</v>
      </c>
      <c r="F32" s="120">
        <f t="shared" si="7"/>
        <v>2049</v>
      </c>
      <c r="G32" s="120"/>
      <c r="H32" s="120"/>
      <c r="I32" s="130">
        <f t="shared" si="3"/>
        <v>0</v>
      </c>
      <c r="K32" s="120">
        <f t="shared" si="8"/>
        <v>2049</v>
      </c>
      <c r="L32" s="119">
        <f t="shared" si="4"/>
        <v>0</v>
      </c>
      <c r="N32" s="120">
        <f t="shared" si="9"/>
        <v>2049</v>
      </c>
      <c r="O32" s="130">
        <f t="shared" si="0"/>
        <v>0</v>
      </c>
      <c r="P32" s="130">
        <f t="shared" si="1"/>
        <v>0</v>
      </c>
      <c r="Q32" s="119">
        <f t="shared" si="5"/>
        <v>0</v>
      </c>
      <c r="S32" s="82">
        <f t="shared" si="10"/>
        <v>7.1142570492168646</v>
      </c>
    </row>
    <row r="33" spans="2:19" x14ac:dyDescent="0.25">
      <c r="B33" s="120">
        <f t="shared" si="6"/>
        <v>2050</v>
      </c>
      <c r="C33" s="120"/>
      <c r="D33" s="130">
        <f t="shared" si="2"/>
        <v>0</v>
      </c>
      <c r="F33" s="120">
        <f t="shared" si="7"/>
        <v>2050</v>
      </c>
      <c r="G33" s="120"/>
      <c r="H33" s="130">
        <v>1000000</v>
      </c>
      <c r="I33" s="130">
        <f t="shared" si="3"/>
        <v>1000000</v>
      </c>
      <c r="K33" s="120">
        <f t="shared" si="8"/>
        <v>2050</v>
      </c>
      <c r="L33" s="119">
        <f t="shared" si="4"/>
        <v>-1000000</v>
      </c>
      <c r="N33" s="120">
        <f t="shared" si="9"/>
        <v>2050</v>
      </c>
      <c r="O33" s="130">
        <f t="shared" si="0"/>
        <v>0</v>
      </c>
      <c r="P33" s="130">
        <f t="shared" si="1"/>
        <v>131367.11715458953</v>
      </c>
      <c r="Q33" s="119">
        <f t="shared" si="5"/>
        <v>-131367.11715458953</v>
      </c>
      <c r="S33" s="82">
        <f t="shared" si="10"/>
        <v>7.6122550426620457</v>
      </c>
    </row>
    <row r="34" spans="2:19" x14ac:dyDescent="0.25">
      <c r="B34" s="120">
        <f t="shared" si="6"/>
        <v>2051</v>
      </c>
      <c r="C34" s="130"/>
      <c r="D34" s="130">
        <f t="shared" si="2"/>
        <v>0</v>
      </c>
      <c r="F34" s="120">
        <f t="shared" si="7"/>
        <v>2051</v>
      </c>
      <c r="G34" s="120"/>
      <c r="H34" s="120"/>
      <c r="I34" s="130">
        <f t="shared" si="3"/>
        <v>0</v>
      </c>
      <c r="K34" s="120">
        <f t="shared" si="8"/>
        <v>2051</v>
      </c>
      <c r="L34" s="119">
        <f t="shared" si="4"/>
        <v>0</v>
      </c>
      <c r="N34" s="120">
        <f t="shared" si="9"/>
        <v>2051</v>
      </c>
      <c r="O34" s="130">
        <f t="shared" si="0"/>
        <v>0</v>
      </c>
      <c r="P34" s="130">
        <f t="shared" si="1"/>
        <v>0</v>
      </c>
      <c r="Q34" s="119">
        <f t="shared" si="5"/>
        <v>0</v>
      </c>
      <c r="S34" s="82">
        <f t="shared" si="10"/>
        <v>8.1451128956483885</v>
      </c>
    </row>
    <row r="35" spans="2:19" x14ac:dyDescent="0.25">
      <c r="B35" s="120">
        <f t="shared" si="6"/>
        <v>2052</v>
      </c>
      <c r="C35" s="130"/>
      <c r="D35" s="130">
        <f t="shared" si="2"/>
        <v>0</v>
      </c>
      <c r="F35" s="120">
        <f t="shared" si="7"/>
        <v>2052</v>
      </c>
      <c r="G35" s="120"/>
      <c r="H35" s="120"/>
      <c r="I35" s="130">
        <f t="shared" si="3"/>
        <v>0</v>
      </c>
      <c r="K35" s="120">
        <f t="shared" si="8"/>
        <v>2052</v>
      </c>
      <c r="L35" s="119">
        <f t="shared" si="4"/>
        <v>0</v>
      </c>
      <c r="N35" s="120">
        <f t="shared" si="9"/>
        <v>2052</v>
      </c>
      <c r="O35" s="130">
        <f t="shared" si="0"/>
        <v>0</v>
      </c>
      <c r="P35" s="130">
        <f t="shared" si="1"/>
        <v>0</v>
      </c>
      <c r="Q35" s="119">
        <f t="shared" si="5"/>
        <v>0</v>
      </c>
      <c r="S35" s="82">
        <f t="shared" si="10"/>
        <v>8.7152707983437754</v>
      </c>
    </row>
    <row r="36" spans="2:19" x14ac:dyDescent="0.25">
      <c r="B36" s="120">
        <f t="shared" si="6"/>
        <v>2053</v>
      </c>
      <c r="C36" s="120"/>
      <c r="D36" s="130">
        <f t="shared" si="2"/>
        <v>0</v>
      </c>
      <c r="F36" s="120">
        <f t="shared" si="7"/>
        <v>2053</v>
      </c>
      <c r="G36" s="120"/>
      <c r="H36" s="120"/>
      <c r="I36" s="130">
        <f t="shared" si="3"/>
        <v>0</v>
      </c>
      <c r="K36" s="120">
        <f t="shared" si="8"/>
        <v>2053</v>
      </c>
      <c r="L36" s="119">
        <f t="shared" si="4"/>
        <v>0</v>
      </c>
      <c r="N36" s="120">
        <f t="shared" si="9"/>
        <v>2053</v>
      </c>
      <c r="O36" s="130">
        <f t="shared" si="0"/>
        <v>0</v>
      </c>
      <c r="P36" s="130">
        <f t="shared" si="1"/>
        <v>0</v>
      </c>
      <c r="Q36" s="119">
        <f t="shared" si="5"/>
        <v>0</v>
      </c>
      <c r="S36" s="82">
        <f t="shared" si="10"/>
        <v>9.3253397542278407</v>
      </c>
    </row>
    <row r="37" spans="2:19" x14ac:dyDescent="0.25">
      <c r="B37" s="120">
        <f t="shared" si="6"/>
        <v>2054</v>
      </c>
      <c r="C37" s="120"/>
      <c r="D37" s="130">
        <f t="shared" si="2"/>
        <v>0</v>
      </c>
      <c r="F37" s="120">
        <f t="shared" si="7"/>
        <v>2054</v>
      </c>
      <c r="G37" s="130">
        <v>6000000</v>
      </c>
      <c r="H37" s="120"/>
      <c r="I37" s="130">
        <f t="shared" si="3"/>
        <v>6000000</v>
      </c>
      <c r="K37" s="120">
        <f t="shared" si="8"/>
        <v>2054</v>
      </c>
      <c r="L37" s="119">
        <f t="shared" si="4"/>
        <v>-6000000</v>
      </c>
      <c r="N37" s="120">
        <f t="shared" si="9"/>
        <v>2054</v>
      </c>
      <c r="O37" s="130">
        <f t="shared" si="0"/>
        <v>0</v>
      </c>
      <c r="P37" s="130">
        <f t="shared" si="1"/>
        <v>601316.06818633608</v>
      </c>
      <c r="Q37" s="119">
        <f t="shared" si="5"/>
        <v>-601316.06818633608</v>
      </c>
      <c r="S37" s="82">
        <f t="shared" si="10"/>
        <v>9.9781135370237894</v>
      </c>
    </row>
    <row r="38" spans="2:19" x14ac:dyDescent="0.25">
      <c r="B38" s="120">
        <f>B37+1</f>
        <v>2055</v>
      </c>
      <c r="C38" s="120"/>
      <c r="D38" s="130">
        <f t="shared" si="2"/>
        <v>0</v>
      </c>
      <c r="F38" s="120">
        <f>F37+1</f>
        <v>2055</v>
      </c>
      <c r="G38" s="130">
        <v>6000000</v>
      </c>
      <c r="H38" s="120"/>
      <c r="I38" s="130">
        <f t="shared" si="3"/>
        <v>6000000</v>
      </c>
      <c r="K38" s="120">
        <f>K37+1</f>
        <v>2055</v>
      </c>
      <c r="L38" s="119">
        <f t="shared" si="4"/>
        <v>-6000000</v>
      </c>
      <c r="N38" s="120">
        <f>N37+1</f>
        <v>2055</v>
      </c>
      <c r="O38" s="130">
        <f t="shared" si="0"/>
        <v>0</v>
      </c>
      <c r="P38" s="130">
        <f t="shared" si="1"/>
        <v>561977.63381900557</v>
      </c>
      <c r="Q38" s="119">
        <f t="shared" si="5"/>
        <v>-561977.63381900557</v>
      </c>
      <c r="S38" s="82">
        <f t="shared" si="10"/>
        <v>10.676581484615456</v>
      </c>
    </row>
    <row r="39" spans="2:19" ht="18.75" x14ac:dyDescent="0.3">
      <c r="B39" s="120" t="s">
        <v>80</v>
      </c>
      <c r="C39" s="119">
        <f>SUM(C6:C38)</f>
        <v>24000000</v>
      </c>
      <c r="D39" s="119">
        <f>SUM(D6:D38)</f>
        <v>24000000</v>
      </c>
      <c r="F39" s="120" t="s">
        <v>80</v>
      </c>
      <c r="G39" s="119">
        <f t="shared" ref="G39:I39" si="11">SUM(G6:G38)</f>
        <v>84000000</v>
      </c>
      <c r="H39" s="119">
        <f t="shared" si="11"/>
        <v>5000000</v>
      </c>
      <c r="I39" s="119">
        <f t="shared" si="11"/>
        <v>89000000</v>
      </c>
      <c r="K39" s="114" t="s">
        <v>80</v>
      </c>
      <c r="L39" s="119">
        <f>D39-I39</f>
        <v>-65000000</v>
      </c>
      <c r="N39" s="114" t="s">
        <v>80</v>
      </c>
      <c r="O39" s="137">
        <f t="shared" ref="O39" si="12">SUM(O6:O38)</f>
        <v>5251918.5312919058</v>
      </c>
      <c r="P39" s="137">
        <f t="shared" ref="P39" si="13">SUM(P6:P38)</f>
        <v>32228239.067189608</v>
      </c>
      <c r="Q39" s="138">
        <f t="shared" ref="Q39" si="14">SUM(Q6:Q38)</f>
        <v>-26976320.535897702</v>
      </c>
    </row>
    <row r="40" spans="2:19" x14ac:dyDescent="0.25">
      <c r="B40" s="99" t="s">
        <v>111</v>
      </c>
      <c r="C40" s="99"/>
      <c r="D40" s="99"/>
      <c r="E40" s="99"/>
      <c r="F40" s="99" t="s">
        <v>111</v>
      </c>
      <c r="G40" s="99"/>
    </row>
    <row r="43" spans="2:19" ht="60" x14ac:dyDescent="0.25">
      <c r="C43" s="2" t="s">
        <v>112</v>
      </c>
      <c r="G43" s="2" t="s">
        <v>113</v>
      </c>
    </row>
    <row r="44" spans="2:19" ht="60" x14ac:dyDescent="0.25">
      <c r="C44" s="2" t="s">
        <v>114</v>
      </c>
      <c r="G44" s="2" t="s">
        <v>115</v>
      </c>
    </row>
  </sheetData>
  <mergeCells count="4">
    <mergeCell ref="N4:Q4"/>
    <mergeCell ref="K4:L4"/>
    <mergeCell ref="B4:D4"/>
    <mergeCell ref="F4:I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A6863-205B-452A-89B9-9EB09092C42A}">
  <sheetPr>
    <tabColor theme="7" tint="0.79998168889431442"/>
  </sheetPr>
  <dimension ref="A1:G21"/>
  <sheetViews>
    <sheetView workbookViewId="0">
      <selection activeCell="F10" sqref="F10"/>
    </sheetView>
  </sheetViews>
  <sheetFormatPr defaultRowHeight="15" x14ac:dyDescent="0.25"/>
  <cols>
    <col min="2" max="2" width="29.7109375" customWidth="1"/>
    <col min="3" max="3" width="13.28515625" bestFit="1" customWidth="1"/>
    <col min="4" max="4" width="14.28515625" bestFit="1" customWidth="1"/>
    <col min="5" max="5" width="11.7109375" customWidth="1"/>
    <col min="6" max="6" width="12.5703125" bestFit="1" customWidth="1"/>
    <col min="9" max="9" width="10.85546875" customWidth="1"/>
  </cols>
  <sheetData>
    <row r="1" spans="1:7" ht="23.25" x14ac:dyDescent="0.25">
      <c r="A1" s="6" t="str">
        <f>'Title Page'!A2</f>
        <v>Benefit-Cost Analysis Spreadsheet for the Safety Improvements on Oklahoma Rural Roadways</v>
      </c>
    </row>
    <row r="5" spans="1:7" ht="26.25" x14ac:dyDescent="0.4">
      <c r="B5" s="167" t="s">
        <v>116</v>
      </c>
      <c r="C5" s="167"/>
      <c r="D5" s="167"/>
      <c r="E5" s="167"/>
      <c r="F5" s="167"/>
      <c r="G5" s="167"/>
    </row>
    <row r="7" spans="1:7" ht="60" x14ac:dyDescent="0.25">
      <c r="B7" s="168" t="s">
        <v>86</v>
      </c>
      <c r="C7" s="143" t="s">
        <v>117</v>
      </c>
      <c r="D7" s="143" t="s">
        <v>118</v>
      </c>
      <c r="E7" s="117" t="s">
        <v>119</v>
      </c>
    </row>
    <row r="8" spans="1:7" x14ac:dyDescent="0.25">
      <c r="B8" s="169"/>
      <c r="C8" s="117" t="s">
        <v>120</v>
      </c>
      <c r="D8" s="117" t="s">
        <v>120</v>
      </c>
      <c r="E8" s="117" t="s">
        <v>120</v>
      </c>
    </row>
    <row r="9" spans="1:7" x14ac:dyDescent="0.25">
      <c r="B9" s="127" t="s">
        <v>90</v>
      </c>
      <c r="C9" s="119">
        <v>0</v>
      </c>
      <c r="D9" s="119">
        <v>318199.59999999998</v>
      </c>
      <c r="E9" s="137">
        <f>C9+D9</f>
        <v>318199.59999999998</v>
      </c>
    </row>
    <row r="10" spans="1:7" x14ac:dyDescent="0.25">
      <c r="B10" s="127" t="s">
        <v>121</v>
      </c>
      <c r="C10" s="119">
        <v>0</v>
      </c>
      <c r="D10" s="119">
        <v>0</v>
      </c>
      <c r="E10" s="137">
        <f t="shared" ref="E10:E16" si="0">C10+D10</f>
        <v>0</v>
      </c>
    </row>
    <row r="11" spans="1:7" x14ac:dyDescent="0.25">
      <c r="B11" s="127" t="s">
        <v>92</v>
      </c>
      <c r="C11" s="119">
        <v>7589323.1999999993</v>
      </c>
      <c r="D11" s="119">
        <v>0</v>
      </c>
      <c r="E11" s="137">
        <f t="shared" si="0"/>
        <v>7589323.1999999993</v>
      </c>
    </row>
    <row r="12" spans="1:7" x14ac:dyDescent="0.25">
      <c r="B12" s="127" t="s">
        <v>93</v>
      </c>
      <c r="C12" s="119">
        <v>0</v>
      </c>
      <c r="D12" s="119">
        <v>1020544.7999999999</v>
      </c>
      <c r="E12" s="137">
        <f t="shared" si="0"/>
        <v>1020544.7999999999</v>
      </c>
    </row>
    <row r="13" spans="1:7" x14ac:dyDescent="0.25">
      <c r="B13" s="127" t="s">
        <v>94</v>
      </c>
      <c r="C13" s="119">
        <v>0</v>
      </c>
      <c r="D13" s="119">
        <v>252544.75999999998</v>
      </c>
      <c r="E13" s="137">
        <f t="shared" si="0"/>
        <v>252544.75999999998</v>
      </c>
    </row>
    <row r="14" spans="1:7" x14ac:dyDescent="0.25">
      <c r="B14" s="127" t="s">
        <v>95</v>
      </c>
      <c r="C14" s="119">
        <v>0</v>
      </c>
      <c r="D14" s="119">
        <v>460891.19999999995</v>
      </c>
      <c r="E14" s="137">
        <f t="shared" si="0"/>
        <v>460891.19999999995</v>
      </c>
    </row>
    <row r="15" spans="1:7" x14ac:dyDescent="0.25">
      <c r="B15" s="127" t="s">
        <v>96</v>
      </c>
      <c r="C15" s="119">
        <v>0</v>
      </c>
      <c r="D15" s="119">
        <v>1333017.48</v>
      </c>
      <c r="E15" s="137">
        <f t="shared" si="0"/>
        <v>1333017.48</v>
      </c>
    </row>
    <row r="16" spans="1:7" x14ac:dyDescent="0.25">
      <c r="B16" s="127" t="s">
        <v>97</v>
      </c>
      <c r="C16" s="119">
        <v>3973618.28</v>
      </c>
      <c r="D16" s="119">
        <v>0</v>
      </c>
      <c r="E16" s="137">
        <f t="shared" si="0"/>
        <v>3973618.28</v>
      </c>
    </row>
    <row r="17" spans="1:5" x14ac:dyDescent="0.25">
      <c r="B17" s="120"/>
      <c r="C17" s="119"/>
      <c r="D17" s="119"/>
      <c r="E17" s="114"/>
    </row>
    <row r="18" spans="1:5" x14ac:dyDescent="0.25">
      <c r="B18" s="127" t="s">
        <v>80</v>
      </c>
      <c r="C18" s="119">
        <f>SUM(C9:C16)</f>
        <v>11562941.479999999</v>
      </c>
      <c r="D18" s="119">
        <f>SUM(D9:D16)</f>
        <v>3385197.84</v>
      </c>
      <c r="E18" s="137">
        <f t="shared" ref="E18:E20" si="1">C18+D18</f>
        <v>14948139.319999998</v>
      </c>
    </row>
    <row r="19" spans="1:5" x14ac:dyDescent="0.25">
      <c r="B19" s="117" t="s">
        <v>122</v>
      </c>
      <c r="C19" s="137">
        <f>C18*(45/75)</f>
        <v>6937764.8879999993</v>
      </c>
      <c r="D19" s="137">
        <f>D18*(20/50)</f>
        <v>1354079.1359999999</v>
      </c>
      <c r="E19" s="137">
        <f t="shared" si="1"/>
        <v>8291844.0239999993</v>
      </c>
    </row>
    <row r="20" spans="1:5" x14ac:dyDescent="0.25">
      <c r="A20" s="82">
        <v>10.676581484615456</v>
      </c>
      <c r="B20" s="117" t="s">
        <v>123</v>
      </c>
      <c r="C20" s="137">
        <f>C19/A20</f>
        <v>649811.44929180306</v>
      </c>
      <c r="D20" s="137">
        <f>D19/A20</f>
        <v>126827.03147549392</v>
      </c>
      <c r="E20" s="137">
        <f t="shared" si="1"/>
        <v>776638.48076729698</v>
      </c>
    </row>
    <row r="21" spans="1:5" x14ac:dyDescent="0.25">
      <c r="A21">
        <v>2055</v>
      </c>
    </row>
  </sheetData>
  <mergeCells count="2">
    <mergeCell ref="B5:G5"/>
    <mergeCell ref="B7:B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732FAF92C6BD43913D1B8554C5CA89" ma:contentTypeVersion="18" ma:contentTypeDescription="Create a new document." ma:contentTypeScope="" ma:versionID="765281045f871ba0e4adc21a69a77e40">
  <xsd:schema xmlns:xsd="http://www.w3.org/2001/XMLSchema" xmlns:xs="http://www.w3.org/2001/XMLSchema" xmlns:p="http://schemas.microsoft.com/office/2006/metadata/properties" xmlns:ns1="http://schemas.microsoft.com/sharepoint/v3" xmlns:ns2="f40aa4e5-11f0-47b3-bb66-a9479c39c64d" xmlns:ns3="44259822-5f70-4047-b4aa-84c0187a967b" targetNamespace="http://schemas.microsoft.com/office/2006/metadata/properties" ma:root="true" ma:fieldsID="b4c9b4399ca725b51fe4871b0f1b942c" ns1:_="" ns2:_="" ns3:_="">
    <xsd:import namespace="http://schemas.microsoft.com/sharepoint/v3"/>
    <xsd:import namespace="f40aa4e5-11f0-47b3-bb66-a9479c39c64d"/>
    <xsd:import namespace="44259822-5f70-4047-b4aa-84c0187a96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Processed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aa4e5-11f0-47b3-bb66-a9479c39c6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Processed" ma:index="22" nillable="true" ma:displayName="Processed" ma:default="0" ma:internalName="Processed">
      <xsd:simpleType>
        <xsd:restriction base="dms:Boolean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259822-5f70-4047-b4aa-84c0187a9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Processed xmlns="f40aa4e5-11f0-47b3-bb66-a9479c39c64d">false</Processed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0293B3-DC66-44AE-8B4D-95BC3D36D47E}"/>
</file>

<file path=customXml/itemProps2.xml><?xml version="1.0" encoding="utf-8"?>
<ds:datastoreItem xmlns:ds="http://schemas.openxmlformats.org/officeDocument/2006/customXml" ds:itemID="{4CBB38DE-0671-4AC2-9B8D-385EC7AB1379}">
  <ds:schemaRefs>
    <ds:schemaRef ds:uri="http://schemas.microsoft.com/office/2006/metadata/properties"/>
    <ds:schemaRef ds:uri="http://schemas.microsoft.com/office/infopath/2007/PartnerControls"/>
    <ds:schemaRef ds:uri="02a238c2-2618-4de5-94a3-a7e6fa2b7949"/>
    <ds:schemaRef ds:uri="5edd2bc4-d6f4-4aaf-ad4c-5d3e717e92cd"/>
  </ds:schemaRefs>
</ds:datastoreItem>
</file>

<file path=customXml/itemProps3.xml><?xml version="1.0" encoding="utf-8"?>
<ds:datastoreItem xmlns:ds="http://schemas.openxmlformats.org/officeDocument/2006/customXml" ds:itemID="{A0996905-61DE-48B2-A22B-F611E556543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Title Page</vt:lpstr>
      <vt:lpstr>About the Spreadsheets</vt:lpstr>
      <vt:lpstr>Default Values</vt:lpstr>
      <vt:lpstr>BCA Summary</vt:lpstr>
      <vt:lpstr>BCA Summary Nominal</vt:lpstr>
      <vt:lpstr>BCA Summary Discounted</vt:lpstr>
      <vt:lpstr>Construction Costs</vt:lpstr>
      <vt:lpstr>O&amp;M Costs</vt:lpstr>
      <vt:lpstr>Residual Value of Assets </vt:lpstr>
      <vt:lpstr>Crash Rates</vt:lpstr>
      <vt:lpstr>Safety Benefits</vt:lpstr>
    </vt:vector>
  </TitlesOfParts>
  <Manager/>
  <Company>Cambridge Systematics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Stock</dc:creator>
  <cp:keywords/>
  <dc:description/>
  <cp:lastModifiedBy>Price Armstrong</cp:lastModifiedBy>
  <cp:revision/>
  <dcterms:created xsi:type="dcterms:W3CDTF">2022-04-12T18:43:57Z</dcterms:created>
  <dcterms:modified xsi:type="dcterms:W3CDTF">2022-05-19T19:14:21Z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0x010100F5732FAF92C6BD43913D1B8554C5CA89</vt:lpwstr>
  </property>
  <property fmtid="{D5CDD505-2E9C-101B-9397-08002B2CF9AE}" pid="3" name="MediaServiceImageTags">
    <vt:lpwstr/>
  </property>
</Properties>
</file>