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APM\Grants\MPDG\RURAL\At-Grade Rail Safety Improvements to Reestablish the Heartland Flyer Northern Extension\Website\2. Benefit Cost Analysis\"/>
    </mc:Choice>
  </mc:AlternateContent>
  <xr:revisionPtr revIDLastSave="0" documentId="8_{19E5B700-0415-4DD2-BA2A-CFAA29ECA70B}" xr6:coauthVersionLast="47" xr6:coauthVersionMax="47" xr10:uidLastSave="{00000000-0000-0000-0000-000000000000}"/>
  <bookViews>
    <workbookView xWindow="-120" yWindow="-120" windowWidth="29040" windowHeight="15840" tabRatio="861" xr2:uid="{AFCA1C5A-ED62-4D70-B9D2-FC11E4357655}"/>
  </bookViews>
  <sheets>
    <sheet name="BCA" sheetId="6" r:id="rId1"/>
    <sheet name="Crossing Inventory Data" sheetId="1" r:id="rId2"/>
    <sheet name="Crash data collection" sheetId="2" r:id="rId3"/>
    <sheet name="Crashes total" sheetId="13" r:id="rId4"/>
    <sheet name="CMFs" sheetId="12" r:id="rId5"/>
    <sheet name="Crash costs" sheetId="10" r:id="rId6"/>
    <sheet name="Capital costs" sheetId="5" r:id="rId7"/>
    <sheet name="Traffic at Crossings" sheetId="11" r:id="rId8"/>
    <sheet name="Look Up Data (1)" sheetId="8" r:id="rId9"/>
    <sheet name="Look Up Data (2)" sheetId="7" r:id="rId10"/>
  </sheets>
  <definedNames>
    <definedName name="_xlnm._FilterDatabase" localSheetId="2" hidden="1">'Crash data collection'!$A$2:$H$107</definedName>
    <definedName name="_xlnm._FilterDatabase" localSheetId="3" hidden="1">'Crashes total'!$A$1:$J$39</definedName>
    <definedName name="_xlnm._FilterDatabase" localSheetId="1" hidden="1">'Crossing Inventory Data'!$B$1:$Q$53</definedName>
  </definedNames>
  <calcPr calcId="191028"/>
  <pivotCaches>
    <pivotCache cacheId="2" r:id="rId11"/>
    <pivotCache cacheId="3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3" i="5" l="1"/>
  <c r="D42" i="5"/>
  <c r="D41" i="5"/>
  <c r="D37" i="5"/>
  <c r="D29" i="5"/>
  <c r="D30" i="5"/>
  <c r="D31" i="5"/>
  <c r="D32" i="5"/>
  <c r="D33" i="5"/>
  <c r="D34" i="5"/>
  <c r="D35" i="5"/>
  <c r="D36" i="5"/>
  <c r="D28" i="5"/>
  <c r="F5" i="5"/>
  <c r="G5" i="5"/>
  <c r="H5" i="5"/>
  <c r="I5" i="5"/>
  <c r="E5" i="5"/>
  <c r="D5" i="5" l="1"/>
  <c r="A49" i="1"/>
  <c r="A50" i="1"/>
  <c r="A51" i="1"/>
  <c r="A47" i="1"/>
  <c r="A38" i="1"/>
  <c r="A32" i="1"/>
  <c r="A33" i="1"/>
  <c r="A34" i="1"/>
  <c r="A26" i="1"/>
  <c r="A27" i="1"/>
  <c r="A28" i="1"/>
  <c r="A20" i="1"/>
  <c r="A21" i="1"/>
  <c r="A18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2" i="1"/>
  <c r="J21" i="12"/>
  <c r="J22" i="12"/>
  <c r="J23" i="12"/>
  <c r="J20" i="12"/>
  <c r="G47" i="12" l="1"/>
  <c r="F47" i="12"/>
  <c r="E47" i="12"/>
  <c r="C40" i="12"/>
  <c r="C39" i="12"/>
  <c r="C38" i="12"/>
  <c r="C32" i="12"/>
  <c r="C31" i="12"/>
  <c r="C30" i="12"/>
  <c r="C29" i="12"/>
  <c r="C23" i="12"/>
  <c r="D23" i="12" s="1"/>
  <c r="D22" i="12"/>
  <c r="D21" i="12"/>
  <c r="D20" i="12"/>
  <c r="D6" i="12"/>
  <c r="C11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3" i="2"/>
  <c r="F6" i="5"/>
  <c r="G6" i="5"/>
  <c r="H6" i="5"/>
  <c r="I6" i="5"/>
  <c r="E6" i="5"/>
  <c r="D30" i="12" l="1"/>
  <c r="G30" i="12"/>
  <c r="E31" i="12"/>
  <c r="E39" i="12" s="1"/>
  <c r="F31" i="12"/>
  <c r="F39" i="12" s="1"/>
  <c r="G31" i="12"/>
  <c r="G39" i="12" s="1"/>
  <c r="E32" i="12"/>
  <c r="E40" i="12" s="1"/>
  <c r="F32" i="12"/>
  <c r="F40" i="12" s="1"/>
  <c r="G32" i="12"/>
  <c r="G40" i="12" s="1"/>
  <c r="E29" i="12"/>
  <c r="F29" i="12"/>
  <c r="G29" i="12"/>
  <c r="E30" i="12"/>
  <c r="F30" i="12"/>
  <c r="C33" i="12"/>
  <c r="E20" i="12"/>
  <c r="E22" i="12"/>
  <c r="E21" i="12"/>
  <c r="D29" i="12"/>
  <c r="D31" i="12"/>
  <c r="D39" i="12" s="1"/>
  <c r="D32" i="12"/>
  <c r="D40" i="12" s="1"/>
  <c r="G33" i="12" l="1"/>
  <c r="K20" i="12" s="1"/>
  <c r="F33" i="12"/>
  <c r="K21" i="12" s="1"/>
  <c r="E33" i="12"/>
  <c r="K22" i="12" s="1"/>
  <c r="E38" i="12"/>
  <c r="D38" i="12"/>
  <c r="D33" i="12"/>
  <c r="F38" i="12"/>
  <c r="G38" i="12"/>
  <c r="AD3" i="2"/>
  <c r="AE3" i="2"/>
  <c r="AD4" i="2"/>
  <c r="AE4" i="2"/>
  <c r="AD5" i="2"/>
  <c r="AE5" i="2"/>
  <c r="AD6" i="2"/>
  <c r="AE6" i="2"/>
  <c r="AD7" i="2"/>
  <c r="AE7" i="2"/>
  <c r="AD8" i="2"/>
  <c r="AE8" i="2"/>
  <c r="AD9" i="2"/>
  <c r="AE9" i="2"/>
  <c r="AD10" i="2"/>
  <c r="AE10" i="2"/>
  <c r="AD11" i="2"/>
  <c r="AE11" i="2"/>
  <c r="AD12" i="2"/>
  <c r="AE12" i="2"/>
  <c r="AD13" i="2"/>
  <c r="AE13" i="2"/>
  <c r="AD14" i="2"/>
  <c r="AE14" i="2"/>
  <c r="AD15" i="2"/>
  <c r="AE15" i="2"/>
  <c r="AD16" i="2"/>
  <c r="AE16" i="2"/>
  <c r="AD17" i="2"/>
  <c r="AE17" i="2"/>
  <c r="AD18" i="2"/>
  <c r="AE18" i="2"/>
  <c r="AD19" i="2"/>
  <c r="AE19" i="2"/>
  <c r="AD20" i="2"/>
  <c r="AE20" i="2"/>
  <c r="AD21" i="2"/>
  <c r="AE21" i="2"/>
  <c r="AD22" i="2"/>
  <c r="AE22" i="2"/>
  <c r="AD23" i="2"/>
  <c r="AE23" i="2"/>
  <c r="AD24" i="2"/>
  <c r="AE24" i="2"/>
  <c r="AD25" i="2"/>
  <c r="AE25" i="2"/>
  <c r="AD26" i="2"/>
  <c r="AE26" i="2"/>
  <c r="AD27" i="2"/>
  <c r="AE27" i="2"/>
  <c r="AD28" i="2"/>
  <c r="AE28" i="2"/>
  <c r="AD29" i="2"/>
  <c r="AE29" i="2"/>
  <c r="AD30" i="2"/>
  <c r="AE30" i="2"/>
  <c r="AD31" i="2"/>
  <c r="AE31" i="2"/>
  <c r="AD32" i="2"/>
  <c r="AE32" i="2"/>
  <c r="AD33" i="2"/>
  <c r="AE33" i="2"/>
  <c r="AD34" i="2"/>
  <c r="AE34" i="2"/>
  <c r="AD35" i="2"/>
  <c r="AE35" i="2"/>
  <c r="AC4" i="2"/>
  <c r="AC5" i="2"/>
  <c r="AC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" i="2"/>
  <c r="D8" i="5"/>
  <c r="D7" i="5"/>
  <c r="C4" i="10"/>
  <c r="G3" i="10"/>
  <c r="H3" i="10" s="1"/>
  <c r="I3" i="10" s="1"/>
  <c r="B14" i="8"/>
  <c r="B13" i="8"/>
  <c r="D5" i="6"/>
  <c r="D4" i="6"/>
  <c r="E3" i="6"/>
  <c r="E4" i="6" s="1"/>
  <c r="E2" i="6"/>
  <c r="F2" i="6" s="1"/>
  <c r="G2" i="6" s="1"/>
  <c r="H2" i="6" s="1"/>
  <c r="I2" i="6" s="1"/>
  <c r="J2" i="6" s="1"/>
  <c r="K2" i="6" s="1"/>
  <c r="L2" i="6" s="1"/>
  <c r="M2" i="6" s="1"/>
  <c r="N2" i="6" s="1"/>
  <c r="O2" i="6" s="1"/>
  <c r="P2" i="6" s="1"/>
  <c r="Q2" i="6" s="1"/>
  <c r="R2" i="6" s="1"/>
  <c r="S2" i="6" s="1"/>
  <c r="T2" i="6" s="1"/>
  <c r="U2" i="6" s="1"/>
  <c r="V2" i="6" s="1"/>
  <c r="W2" i="6" s="1"/>
  <c r="X2" i="6" s="1"/>
  <c r="Y2" i="6" s="1"/>
  <c r="Z2" i="6" s="1"/>
  <c r="AA2" i="6" s="1"/>
  <c r="AB2" i="6" s="1"/>
  <c r="AC2" i="6" s="1"/>
  <c r="AD2" i="6" s="1"/>
  <c r="AE2" i="6" s="1"/>
  <c r="AF2" i="6" s="1"/>
  <c r="AG2" i="6" s="1"/>
  <c r="AH2" i="6" s="1"/>
  <c r="AI2" i="6" s="1"/>
  <c r="AJ2" i="6" s="1"/>
  <c r="AK2" i="6" s="1"/>
  <c r="K23" i="12" l="1"/>
  <c r="E41" i="12"/>
  <c r="F41" i="12"/>
  <c r="J38" i="12"/>
  <c r="G41" i="12"/>
  <c r="J3" i="10"/>
  <c r="I38" i="12"/>
  <c r="H38" i="12"/>
  <c r="J40" i="12"/>
  <c r="J39" i="12"/>
  <c r="I39" i="12"/>
  <c r="H40" i="12"/>
  <c r="H39" i="12"/>
  <c r="I40" i="12"/>
  <c r="AE39" i="2"/>
  <c r="AD39" i="2"/>
  <c r="AC39" i="2"/>
  <c r="AC38" i="2"/>
  <c r="AE38" i="2"/>
  <c r="AD38" i="2"/>
  <c r="E5" i="6"/>
  <c r="F3" i="6"/>
  <c r="G3" i="6"/>
  <c r="G50" i="12" l="1"/>
  <c r="C15" i="10" s="1"/>
  <c r="G49" i="12"/>
  <c r="F50" i="12"/>
  <c r="C16" i="10" s="1"/>
  <c r="D16" i="10" s="1"/>
  <c r="F49" i="12"/>
  <c r="E49" i="12"/>
  <c r="E50" i="12"/>
  <c r="C17" i="10" s="1"/>
  <c r="D17" i="10" s="1"/>
  <c r="F48" i="12"/>
  <c r="C8" i="10" s="1"/>
  <c r="D8" i="10" s="1"/>
  <c r="G48" i="12"/>
  <c r="C7" i="10" s="1"/>
  <c r="E48" i="12"/>
  <c r="C9" i="10" s="1"/>
  <c r="D9" i="10" s="1"/>
  <c r="K3" i="10"/>
  <c r="G5" i="6"/>
  <c r="G4" i="6"/>
  <c r="G9" i="6" s="1"/>
  <c r="F5" i="6"/>
  <c r="F4" i="6"/>
  <c r="H3" i="6"/>
  <c r="C10" i="10" l="1"/>
  <c r="D10" i="10" s="1"/>
  <c r="D7" i="10"/>
  <c r="D15" i="10"/>
  <c r="C18" i="10"/>
  <c r="D18" i="10" s="1"/>
  <c r="L3" i="10"/>
  <c r="H5" i="6"/>
  <c r="H4" i="6"/>
  <c r="H9" i="6" s="1"/>
  <c r="I3" i="6"/>
  <c r="M3" i="10" l="1"/>
  <c r="I5" i="6"/>
  <c r="I4" i="6"/>
  <c r="I9" i="6" s="1"/>
  <c r="J3" i="6"/>
  <c r="N3" i="10" l="1"/>
  <c r="M16" i="10" s="1"/>
  <c r="J5" i="6"/>
  <c r="J4" i="6"/>
  <c r="J9" i="6" s="1"/>
  <c r="K3" i="6"/>
  <c r="M9" i="10" l="1"/>
  <c r="N17" i="10"/>
  <c r="N16" i="10"/>
  <c r="N15" i="10"/>
  <c r="I15" i="10"/>
  <c r="I16" i="10"/>
  <c r="I17" i="10"/>
  <c r="J16" i="10"/>
  <c r="J15" i="10"/>
  <c r="J17" i="10"/>
  <c r="K16" i="10"/>
  <c r="K15" i="10"/>
  <c r="K17" i="10"/>
  <c r="L15" i="10"/>
  <c r="L17" i="10"/>
  <c r="L16" i="10"/>
  <c r="M15" i="10"/>
  <c r="M17" i="10"/>
  <c r="N7" i="10"/>
  <c r="N9" i="10"/>
  <c r="N8" i="10"/>
  <c r="I9" i="10"/>
  <c r="I8" i="10"/>
  <c r="I7" i="10"/>
  <c r="J9" i="10"/>
  <c r="J7" i="10"/>
  <c r="J8" i="10"/>
  <c r="K9" i="10"/>
  <c r="K7" i="10"/>
  <c r="K8" i="10"/>
  <c r="L7" i="10"/>
  <c r="L8" i="10"/>
  <c r="L9" i="10"/>
  <c r="M8" i="10"/>
  <c r="M26" i="10" s="1"/>
  <c r="M33" i="10" s="1"/>
  <c r="M7" i="10"/>
  <c r="O3" i="10"/>
  <c r="K5" i="6"/>
  <c r="K4" i="6"/>
  <c r="K9" i="6" s="1"/>
  <c r="L3" i="6"/>
  <c r="I27" i="10" l="1"/>
  <c r="I34" i="10" s="1"/>
  <c r="L27" i="10"/>
  <c r="L34" i="10" s="1"/>
  <c r="K27" i="10"/>
  <c r="K34" i="10" s="1"/>
  <c r="K26" i="10"/>
  <c r="K33" i="10" s="1"/>
  <c r="J25" i="10"/>
  <c r="J32" i="10" s="1"/>
  <c r="I26" i="10"/>
  <c r="I33" i="10" s="1"/>
  <c r="I25" i="10"/>
  <c r="I32" i="10" s="1"/>
  <c r="L26" i="10"/>
  <c r="L33" i="10" s="1"/>
  <c r="N27" i="10"/>
  <c r="N34" i="10" s="1"/>
  <c r="J26" i="10"/>
  <c r="J33" i="10" s="1"/>
  <c r="N25" i="10"/>
  <c r="N32" i="10" s="1"/>
  <c r="N26" i="10"/>
  <c r="N33" i="10" s="1"/>
  <c r="J27" i="10"/>
  <c r="J34" i="10" s="1"/>
  <c r="M27" i="10"/>
  <c r="M34" i="10" s="1"/>
  <c r="M25" i="10"/>
  <c r="M32" i="10" s="1"/>
  <c r="L25" i="10"/>
  <c r="L32" i="10" s="1"/>
  <c r="K25" i="10"/>
  <c r="K32" i="10" s="1"/>
  <c r="O17" i="10"/>
  <c r="O16" i="10"/>
  <c r="O15" i="10"/>
  <c r="O7" i="10"/>
  <c r="O8" i="10"/>
  <c r="O9" i="10"/>
  <c r="P3" i="10"/>
  <c r="L5" i="6"/>
  <c r="L4" i="6"/>
  <c r="M3" i="6"/>
  <c r="K28" i="10" l="1"/>
  <c r="I14" i="6" s="1"/>
  <c r="O27" i="10"/>
  <c r="L28" i="10"/>
  <c r="J14" i="6" s="1"/>
  <c r="J28" i="10"/>
  <c r="H14" i="6" s="1"/>
  <c r="I28" i="10"/>
  <c r="G14" i="6" s="1"/>
  <c r="M28" i="10"/>
  <c r="K14" i="6" s="1"/>
  <c r="O25" i="10"/>
  <c r="O32" i="10" s="1"/>
  <c r="O26" i="10"/>
  <c r="O33" i="10" s="1"/>
  <c r="N28" i="10"/>
  <c r="L14" i="6" s="1"/>
  <c r="P16" i="10"/>
  <c r="P17" i="10"/>
  <c r="P15" i="10"/>
  <c r="P9" i="10"/>
  <c r="P7" i="10"/>
  <c r="P8" i="10"/>
  <c r="Q3" i="10"/>
  <c r="M4" i="6"/>
  <c r="B9" i="6" s="1"/>
  <c r="M5" i="6"/>
  <c r="N3" i="6"/>
  <c r="O34" i="10" l="1"/>
  <c r="P27" i="10"/>
  <c r="O28" i="10"/>
  <c r="M14" i="6" s="1"/>
  <c r="P25" i="10"/>
  <c r="P32" i="10" s="1"/>
  <c r="P26" i="10"/>
  <c r="P33" i="10" s="1"/>
  <c r="Q15" i="10"/>
  <c r="Q17" i="10"/>
  <c r="Q16" i="10"/>
  <c r="Q7" i="10"/>
  <c r="Q8" i="10"/>
  <c r="Q9" i="10"/>
  <c r="R3" i="10"/>
  <c r="N5" i="6"/>
  <c r="N4" i="6"/>
  <c r="O3" i="6"/>
  <c r="P34" i="10" l="1"/>
  <c r="Q27" i="10"/>
  <c r="Q26" i="10"/>
  <c r="Q33" i="10" s="1"/>
  <c r="Q25" i="10"/>
  <c r="Q32" i="10" s="1"/>
  <c r="P28" i="10"/>
  <c r="N14" i="6" s="1"/>
  <c r="R15" i="10"/>
  <c r="R16" i="10"/>
  <c r="R17" i="10"/>
  <c r="R7" i="10"/>
  <c r="R8" i="10"/>
  <c r="R9" i="10"/>
  <c r="S3" i="10"/>
  <c r="O5" i="6"/>
  <c r="O4" i="6"/>
  <c r="P3" i="6"/>
  <c r="Q34" i="10" l="1"/>
  <c r="Q28" i="10"/>
  <c r="O14" i="6" s="1"/>
  <c r="R26" i="10"/>
  <c r="R33" i="10" s="1"/>
  <c r="R27" i="10"/>
  <c r="R34" i="10" s="1"/>
  <c r="R25" i="10"/>
  <c r="R32" i="10" s="1"/>
  <c r="S15" i="10"/>
  <c r="S17" i="10"/>
  <c r="S16" i="10"/>
  <c r="S9" i="10"/>
  <c r="S7" i="10"/>
  <c r="S8" i="10"/>
  <c r="T3" i="10"/>
  <c r="P4" i="6"/>
  <c r="P5" i="6"/>
  <c r="Q3" i="6"/>
  <c r="S27" i="10" l="1"/>
  <c r="S25" i="10"/>
  <c r="S26" i="10"/>
  <c r="R28" i="10"/>
  <c r="P14" i="6" s="1"/>
  <c r="T17" i="10"/>
  <c r="T16" i="10"/>
  <c r="T15" i="10"/>
  <c r="T8" i="10"/>
  <c r="T9" i="10"/>
  <c r="T7" i="10"/>
  <c r="U3" i="10"/>
  <c r="Q4" i="6"/>
  <c r="Q5" i="6"/>
  <c r="R3" i="6"/>
  <c r="S33" i="10" l="1"/>
  <c r="S32" i="10"/>
  <c r="S34" i="10"/>
  <c r="T27" i="10"/>
  <c r="T26" i="10"/>
  <c r="S28" i="10"/>
  <c r="Q14" i="6" s="1"/>
  <c r="T25" i="10"/>
  <c r="U16" i="10"/>
  <c r="U15" i="10"/>
  <c r="U17" i="10"/>
  <c r="U8" i="10"/>
  <c r="U7" i="10"/>
  <c r="U9" i="10"/>
  <c r="V3" i="10"/>
  <c r="R5" i="6"/>
  <c r="R4" i="6"/>
  <c r="S3" i="6"/>
  <c r="T32" i="10" l="1"/>
  <c r="T33" i="10"/>
  <c r="T34" i="10"/>
  <c r="U27" i="10"/>
  <c r="T28" i="10"/>
  <c r="R14" i="6" s="1"/>
  <c r="U25" i="10"/>
  <c r="U32" i="10" s="1"/>
  <c r="U26" i="10"/>
  <c r="U33" i="10" s="1"/>
  <c r="V16" i="10"/>
  <c r="V15" i="10"/>
  <c r="V17" i="10"/>
  <c r="V7" i="10"/>
  <c r="V9" i="10"/>
  <c r="V8" i="10"/>
  <c r="W3" i="10"/>
  <c r="S5" i="6"/>
  <c r="S4" i="6"/>
  <c r="T3" i="6"/>
  <c r="U34" i="10" l="1"/>
  <c r="V27" i="10"/>
  <c r="U28" i="10"/>
  <c r="S14" i="6" s="1"/>
  <c r="V26" i="10"/>
  <c r="V33" i="10" s="1"/>
  <c r="V25" i="10"/>
  <c r="V32" i="10" s="1"/>
  <c r="W16" i="10"/>
  <c r="W17" i="10"/>
  <c r="W15" i="10"/>
  <c r="W9" i="10"/>
  <c r="W8" i="10"/>
  <c r="W7" i="10"/>
  <c r="X3" i="10"/>
  <c r="T5" i="6"/>
  <c r="T4" i="6"/>
  <c r="U3" i="6"/>
  <c r="V34" i="10" l="1"/>
  <c r="W27" i="10"/>
  <c r="V28" i="10"/>
  <c r="T14" i="6" s="1"/>
  <c r="W26" i="10"/>
  <c r="W33" i="10" s="1"/>
  <c r="W25" i="10"/>
  <c r="W32" i="10" s="1"/>
  <c r="X15" i="10"/>
  <c r="X17" i="10"/>
  <c r="X16" i="10"/>
  <c r="X9" i="10"/>
  <c r="X7" i="10"/>
  <c r="X8" i="10"/>
  <c r="Y3" i="10"/>
  <c r="U5" i="6"/>
  <c r="U4" i="6"/>
  <c r="V3" i="6"/>
  <c r="W34" i="10" l="1"/>
  <c r="X27" i="10"/>
  <c r="W28" i="10"/>
  <c r="U14" i="6" s="1"/>
  <c r="X26" i="10"/>
  <c r="X25" i="10"/>
  <c r="X32" i="10" s="1"/>
  <c r="Y17" i="10"/>
  <c r="Y16" i="10"/>
  <c r="Y15" i="10"/>
  <c r="Y7" i="10"/>
  <c r="Y9" i="10"/>
  <c r="Y8" i="10"/>
  <c r="Z3" i="10"/>
  <c r="V5" i="6"/>
  <c r="V4" i="6"/>
  <c r="W3" i="6"/>
  <c r="X34" i="10" l="1"/>
  <c r="X33" i="10"/>
  <c r="Y27" i="10"/>
  <c r="X28" i="10"/>
  <c r="V14" i="6" s="1"/>
  <c r="Y25" i="10"/>
  <c r="Y26" i="10"/>
  <c r="Z17" i="10"/>
  <c r="Z16" i="10"/>
  <c r="Z15" i="10"/>
  <c r="Z7" i="10"/>
  <c r="Z9" i="10"/>
  <c r="Z8" i="10"/>
  <c r="AA3" i="10"/>
  <c r="W5" i="6"/>
  <c r="W4" i="6"/>
  <c r="X3" i="6"/>
  <c r="Y33" i="10" l="1"/>
  <c r="Y32" i="10"/>
  <c r="Y34" i="10"/>
  <c r="Z27" i="10"/>
  <c r="Y28" i="10"/>
  <c r="W14" i="6" s="1"/>
  <c r="Z25" i="10"/>
  <c r="Z32" i="10" s="1"/>
  <c r="Z26" i="10"/>
  <c r="Z33" i="10" s="1"/>
  <c r="AA17" i="10"/>
  <c r="AA15" i="10"/>
  <c r="AA16" i="10"/>
  <c r="AA7" i="10"/>
  <c r="AA9" i="10"/>
  <c r="AA8" i="10"/>
  <c r="AB3" i="10"/>
  <c r="X5" i="6"/>
  <c r="X4" i="6"/>
  <c r="Y3" i="6"/>
  <c r="Z34" i="10" l="1"/>
  <c r="AA27" i="10"/>
  <c r="AA34" i="10" s="1"/>
  <c r="AA26" i="10"/>
  <c r="AA33" i="10" s="1"/>
  <c r="Z28" i="10"/>
  <c r="X14" i="6" s="1"/>
  <c r="AA25" i="10"/>
  <c r="AA32" i="10" s="1"/>
  <c r="AB16" i="10"/>
  <c r="AB17" i="10"/>
  <c r="AB15" i="10"/>
  <c r="AB9" i="10"/>
  <c r="AB7" i="10"/>
  <c r="AB8" i="10"/>
  <c r="AC3" i="10"/>
  <c r="Y4" i="6"/>
  <c r="Y5" i="6"/>
  <c r="Z3" i="6"/>
  <c r="AA28" i="10" l="1"/>
  <c r="Y14" i="6" s="1"/>
  <c r="AB27" i="10"/>
  <c r="AB34" i="10" s="1"/>
  <c r="AB25" i="10"/>
  <c r="AB32" i="10" s="1"/>
  <c r="AB26" i="10"/>
  <c r="AB33" i="10" s="1"/>
  <c r="AC15" i="10"/>
  <c r="AC17" i="10"/>
  <c r="AC16" i="10"/>
  <c r="AC8" i="10"/>
  <c r="AC9" i="10"/>
  <c r="AC7" i="10"/>
  <c r="AD3" i="10"/>
  <c r="Z5" i="6"/>
  <c r="Z4" i="6"/>
  <c r="AA3" i="6"/>
  <c r="AC27" i="10" l="1"/>
  <c r="AB28" i="10"/>
  <c r="Z14" i="6" s="1"/>
  <c r="AC25" i="10"/>
  <c r="AC32" i="10" s="1"/>
  <c r="AC26" i="10"/>
  <c r="AC33" i="10" s="1"/>
  <c r="AD15" i="10"/>
  <c r="AD17" i="10"/>
  <c r="AD16" i="10"/>
  <c r="AD9" i="10"/>
  <c r="AD7" i="10"/>
  <c r="AD8" i="10"/>
  <c r="AE3" i="10"/>
  <c r="AA5" i="6"/>
  <c r="AA4" i="6"/>
  <c r="AB3" i="6"/>
  <c r="AC34" i="10" l="1"/>
  <c r="AD27" i="10"/>
  <c r="AC28" i="10"/>
  <c r="AA14" i="6" s="1"/>
  <c r="AD26" i="10"/>
  <c r="AD33" i="10" s="1"/>
  <c r="AD25" i="10"/>
  <c r="AD32" i="10" s="1"/>
  <c r="AE15" i="10"/>
  <c r="AE17" i="10"/>
  <c r="AE16" i="10"/>
  <c r="AE7" i="10"/>
  <c r="AE9" i="10"/>
  <c r="AE27" i="10" s="1"/>
  <c r="AE8" i="10"/>
  <c r="AF3" i="10"/>
  <c r="AB4" i="6"/>
  <c r="AB5" i="6"/>
  <c r="AC3" i="6"/>
  <c r="AD34" i="10" l="1"/>
  <c r="AD28" i="10"/>
  <c r="AB14" i="6" s="1"/>
  <c r="AE26" i="10"/>
  <c r="AE25" i="10"/>
  <c r="AF17" i="10"/>
  <c r="AF15" i="10"/>
  <c r="AF16" i="10"/>
  <c r="AF8" i="10"/>
  <c r="AF9" i="10"/>
  <c r="AF27" i="10" s="1"/>
  <c r="AF7" i="10"/>
  <c r="AG3" i="10"/>
  <c r="AC4" i="6"/>
  <c r="AE34" i="10" s="1"/>
  <c r="AC5" i="6"/>
  <c r="AD3" i="6"/>
  <c r="AE33" i="10" l="1"/>
  <c r="AE28" i="10"/>
  <c r="AE32" i="10"/>
  <c r="AC14" i="6"/>
  <c r="AF25" i="10"/>
  <c r="AF32" i="10" s="1"/>
  <c r="AF26" i="10"/>
  <c r="AF33" i="10" s="1"/>
  <c r="AG16" i="10"/>
  <c r="AG15" i="10"/>
  <c r="AG17" i="10"/>
  <c r="AG8" i="10"/>
  <c r="AG7" i="10"/>
  <c r="AG9" i="10"/>
  <c r="AH3" i="10"/>
  <c r="AD5" i="6"/>
  <c r="AD4" i="6"/>
  <c r="AF34" i="10" s="1"/>
  <c r="AE3" i="6"/>
  <c r="AG27" i="10" l="1"/>
  <c r="AF28" i="10"/>
  <c r="AD14" i="6" s="1"/>
  <c r="AG25" i="10"/>
  <c r="AG32" i="10" s="1"/>
  <c r="AG26" i="10"/>
  <c r="AG33" i="10" s="1"/>
  <c r="AH16" i="10"/>
  <c r="AH17" i="10"/>
  <c r="AH15" i="10"/>
  <c r="AH7" i="10"/>
  <c r="AH9" i="10"/>
  <c r="AH8" i="10"/>
  <c r="AI3" i="10"/>
  <c r="AE5" i="6"/>
  <c r="AE4" i="6"/>
  <c r="AF3" i="6"/>
  <c r="AG34" i="10" l="1"/>
  <c r="AH27" i="10"/>
  <c r="AG28" i="10"/>
  <c r="AE14" i="6" s="1"/>
  <c r="AH25" i="10"/>
  <c r="AH32" i="10" s="1"/>
  <c r="AH26" i="10"/>
  <c r="AH33" i="10" s="1"/>
  <c r="AI16" i="10"/>
  <c r="AI17" i="10"/>
  <c r="AI15" i="10"/>
  <c r="AI7" i="10"/>
  <c r="AI9" i="10"/>
  <c r="AI8" i="10"/>
  <c r="AJ3" i="10"/>
  <c r="AF5" i="6"/>
  <c r="AF4" i="6"/>
  <c r="AG3" i="6"/>
  <c r="AH34" i="10" l="1"/>
  <c r="AI27" i="10"/>
  <c r="AH28" i="10"/>
  <c r="AF14" i="6" s="1"/>
  <c r="AI25" i="10"/>
  <c r="AI26" i="10"/>
  <c r="AI33" i="10" s="1"/>
  <c r="AJ15" i="10"/>
  <c r="AJ17" i="10"/>
  <c r="AJ16" i="10"/>
  <c r="AJ9" i="10"/>
  <c r="AJ7" i="10"/>
  <c r="AJ8" i="10"/>
  <c r="AK3" i="10"/>
  <c r="AG5" i="6"/>
  <c r="AG4" i="6"/>
  <c r="AH3" i="6"/>
  <c r="AI34" i="10" l="1"/>
  <c r="AI32" i="10"/>
  <c r="AI28" i="10"/>
  <c r="AG14" i="6" s="1"/>
  <c r="AJ27" i="10"/>
  <c r="AJ26" i="10"/>
  <c r="AJ33" i="10" s="1"/>
  <c r="AJ25" i="10"/>
  <c r="AJ32" i="10" s="1"/>
  <c r="AK17" i="10"/>
  <c r="AK16" i="10"/>
  <c r="AK15" i="10"/>
  <c r="AK7" i="10"/>
  <c r="AK9" i="10"/>
  <c r="AK8" i="10"/>
  <c r="AL3" i="10"/>
  <c r="AH5" i="6"/>
  <c r="AH4" i="6"/>
  <c r="AI3" i="6"/>
  <c r="AJ34" i="10" l="1"/>
  <c r="AK27" i="10"/>
  <c r="AJ28" i="10"/>
  <c r="AH14" i="6" s="1"/>
  <c r="AK25" i="10"/>
  <c r="AK32" i="10" s="1"/>
  <c r="AK26" i="10"/>
  <c r="AK33" i="10" s="1"/>
  <c r="AL17" i="10"/>
  <c r="AL16" i="10"/>
  <c r="AL15" i="10"/>
  <c r="AL7" i="10"/>
  <c r="AL9" i="10"/>
  <c r="AL27" i="10" s="1"/>
  <c r="AL8" i="10"/>
  <c r="AM3" i="10"/>
  <c r="AI5" i="6"/>
  <c r="AI4" i="6"/>
  <c r="AJ3" i="6"/>
  <c r="AK34" i="10" l="1"/>
  <c r="AK28" i="10"/>
  <c r="AI14" i="6" s="1"/>
  <c r="AL25" i="10"/>
  <c r="AL26" i="10"/>
  <c r="AM17" i="10"/>
  <c r="E17" i="10" s="1"/>
  <c r="AM16" i="10"/>
  <c r="E16" i="10" s="1"/>
  <c r="AM15" i="10"/>
  <c r="E15" i="10" s="1"/>
  <c r="AM9" i="10"/>
  <c r="E9" i="10" s="1"/>
  <c r="AM7" i="10"/>
  <c r="E7" i="10" s="1"/>
  <c r="AM8" i="10"/>
  <c r="E8" i="10" s="1"/>
  <c r="AJ5" i="6"/>
  <c r="AJ4" i="6"/>
  <c r="AL34" i="10" s="1"/>
  <c r="AK3" i="6"/>
  <c r="AL33" i="10" l="1"/>
  <c r="AL32" i="10"/>
  <c r="AL28" i="10"/>
  <c r="AJ14" i="6" s="1"/>
  <c r="AM27" i="10"/>
  <c r="AM25" i="10"/>
  <c r="AM26" i="10"/>
  <c r="AK4" i="6"/>
  <c r="AK5" i="6"/>
  <c r="AM34" i="10" l="1"/>
  <c r="C34" i="10" s="1"/>
  <c r="AM33" i="10"/>
  <c r="C33" i="10" s="1"/>
  <c r="AM32" i="10"/>
  <c r="C32" i="10" s="1"/>
  <c r="C35" i="10" s="1"/>
  <c r="AM28" i="10"/>
  <c r="AK14" i="6" s="1"/>
  <c r="C27" i="10" l="1"/>
  <c r="C26" i="10"/>
  <c r="C25" i="10"/>
  <c r="C28" i="10" l="1"/>
  <c r="B14" i="6"/>
  <c r="B19" i="6" s="1"/>
  <c r="A42" i="7"/>
  <c r="A38" i="7"/>
  <c r="L37" i="7"/>
  <c r="L38" i="7" s="1"/>
  <c r="L39" i="7" s="1"/>
  <c r="L40" i="7" s="1"/>
  <c r="L41" i="7" s="1"/>
  <c r="L42" i="7" s="1"/>
  <c r="L43" i="7" s="1"/>
  <c r="L44" i="7" s="1"/>
  <c r="L45" i="7" s="1"/>
  <c r="J37" i="7"/>
  <c r="J38" i="7" s="1"/>
  <c r="J39" i="7" s="1"/>
  <c r="J40" i="7" s="1"/>
  <c r="J41" i="7" s="1"/>
  <c r="J42" i="7" s="1"/>
  <c r="J43" i="7" s="1"/>
  <c r="J44" i="7" s="1"/>
  <c r="J45" i="7" s="1"/>
  <c r="I37" i="7"/>
  <c r="I38" i="7" s="1"/>
  <c r="I39" i="7" s="1"/>
  <c r="I40" i="7" s="1"/>
  <c r="I41" i="7" s="1"/>
  <c r="I42" i="7" s="1"/>
  <c r="I43" i="7" s="1"/>
  <c r="I44" i="7" s="1"/>
  <c r="I45" i="7" s="1"/>
  <c r="L36" i="7"/>
  <c r="J36" i="7"/>
  <c r="I36" i="7"/>
  <c r="F33" i="7"/>
  <c r="E32" i="7"/>
  <c r="D32" i="7"/>
  <c r="C32" i="7"/>
  <c r="B32" i="7"/>
  <c r="E31" i="7"/>
  <c r="D31" i="7"/>
  <c r="C31" i="7"/>
  <c r="B31" i="7"/>
  <c r="F30" i="7"/>
  <c r="E30" i="7"/>
  <c r="D30" i="7"/>
  <c r="C30" i="7"/>
  <c r="B30" i="7"/>
  <c r="F8" i="7"/>
  <c r="F32" i="7" s="1"/>
  <c r="T7" i="7"/>
  <c r="T8" i="7" s="1"/>
  <c r="T9" i="7" s="1"/>
  <c r="T10" i="7" s="1"/>
  <c r="T11" i="7" s="1"/>
  <c r="T12" i="7" s="1"/>
  <c r="T13" i="7" s="1"/>
  <c r="T14" i="7" s="1"/>
  <c r="T15" i="7" s="1"/>
  <c r="T16" i="7" s="1"/>
  <c r="T17" i="7" s="1"/>
  <c r="T18" i="7" s="1"/>
  <c r="T19" i="7" s="1"/>
  <c r="T20" i="7" s="1"/>
  <c r="T21" i="7" s="1"/>
  <c r="T22" i="7" s="1"/>
  <c r="T23" i="7" s="1"/>
  <c r="T24" i="7" s="1"/>
  <c r="T25" i="7" s="1"/>
  <c r="T26" i="7" s="1"/>
  <c r="T27" i="7" s="1"/>
  <c r="T28" i="7" s="1"/>
  <c r="T29" i="7" s="1"/>
  <c r="T30" i="7" s="1"/>
  <c r="T31" i="7" s="1"/>
  <c r="T32" i="7" s="1"/>
  <c r="T33" i="7" s="1"/>
  <c r="T34" i="7" s="1"/>
  <c r="T35" i="7" s="1"/>
  <c r="T36" i="7" s="1"/>
  <c r="T37" i="7" s="1"/>
  <c r="T38" i="7" s="1"/>
  <c r="T39" i="7" s="1"/>
  <c r="T40" i="7" s="1"/>
  <c r="T41" i="7" s="1"/>
  <c r="T42" i="7" s="1"/>
  <c r="T43" i="7" s="1"/>
  <c r="T44" i="7" s="1"/>
  <c r="T45" i="7" s="1"/>
  <c r="S7" i="7"/>
  <c r="S8" i="7" s="1"/>
  <c r="S9" i="7" s="1"/>
  <c r="S10" i="7" s="1"/>
  <c r="S11" i="7" s="1"/>
  <c r="S12" i="7" s="1"/>
  <c r="S13" i="7" s="1"/>
  <c r="S14" i="7" s="1"/>
  <c r="S15" i="7" s="1"/>
  <c r="S16" i="7" s="1"/>
  <c r="S17" i="7" s="1"/>
  <c r="S18" i="7" s="1"/>
  <c r="S19" i="7" s="1"/>
  <c r="S20" i="7" s="1"/>
  <c r="S21" i="7" s="1"/>
  <c r="S22" i="7" s="1"/>
  <c r="S23" i="7" s="1"/>
  <c r="S24" i="7" s="1"/>
  <c r="S25" i="7" s="1"/>
  <c r="S26" i="7" s="1"/>
  <c r="S27" i="7" s="1"/>
  <c r="S28" i="7" s="1"/>
  <c r="S29" i="7" s="1"/>
  <c r="S30" i="7" s="1"/>
  <c r="S31" i="7" s="1"/>
  <c r="S32" i="7" s="1"/>
  <c r="S33" i="7" s="1"/>
  <c r="S34" i="7" s="1"/>
  <c r="S35" i="7" s="1"/>
  <c r="S36" i="7" s="1"/>
  <c r="S37" i="7" s="1"/>
  <c r="S38" i="7" s="1"/>
  <c r="S39" i="7" s="1"/>
  <c r="S40" i="7" s="1"/>
  <c r="S41" i="7" s="1"/>
  <c r="S42" i="7" s="1"/>
  <c r="S43" i="7" s="1"/>
  <c r="S44" i="7" s="1"/>
  <c r="S45" i="7" s="1"/>
  <c r="R7" i="7"/>
  <c r="R8" i="7" s="1"/>
  <c r="R9" i="7" s="1"/>
  <c r="R10" i="7" s="1"/>
  <c r="R11" i="7" s="1"/>
  <c r="R12" i="7" s="1"/>
  <c r="R13" i="7" s="1"/>
  <c r="R14" i="7" s="1"/>
  <c r="R15" i="7" s="1"/>
  <c r="R16" i="7" s="1"/>
  <c r="R17" i="7" s="1"/>
  <c r="R18" i="7" s="1"/>
  <c r="R19" i="7" s="1"/>
  <c r="R20" i="7" s="1"/>
  <c r="R21" i="7" s="1"/>
  <c r="R22" i="7" s="1"/>
  <c r="R23" i="7" s="1"/>
  <c r="R24" i="7" s="1"/>
  <c r="R25" i="7" s="1"/>
  <c r="R26" i="7" s="1"/>
  <c r="R27" i="7" s="1"/>
  <c r="R28" i="7" s="1"/>
  <c r="R29" i="7" s="1"/>
  <c r="R30" i="7" s="1"/>
  <c r="R31" i="7" s="1"/>
  <c r="R32" i="7" s="1"/>
  <c r="R33" i="7" s="1"/>
  <c r="R34" i="7" s="1"/>
  <c r="R35" i="7" s="1"/>
  <c r="R36" i="7" s="1"/>
  <c r="R37" i="7" s="1"/>
  <c r="R38" i="7" s="1"/>
  <c r="R39" i="7" s="1"/>
  <c r="R40" i="7" s="1"/>
  <c r="R41" i="7" s="1"/>
  <c r="R42" i="7" s="1"/>
  <c r="R43" i="7" s="1"/>
  <c r="R44" i="7" s="1"/>
  <c r="R45" i="7" s="1"/>
  <c r="Q7" i="7"/>
  <c r="Q8" i="7" s="1"/>
  <c r="Q9" i="7" s="1"/>
  <c r="Q10" i="7" s="1"/>
  <c r="Q11" i="7" s="1"/>
  <c r="Q12" i="7" s="1"/>
  <c r="Q13" i="7" s="1"/>
  <c r="Q14" i="7" s="1"/>
  <c r="Q15" i="7" s="1"/>
  <c r="Q16" i="7" s="1"/>
  <c r="Q17" i="7" s="1"/>
  <c r="Q18" i="7" s="1"/>
  <c r="Q19" i="7" s="1"/>
  <c r="Q20" i="7" s="1"/>
  <c r="Q21" i="7" s="1"/>
  <c r="Q22" i="7" s="1"/>
  <c r="Q23" i="7" s="1"/>
  <c r="Q24" i="7" s="1"/>
  <c r="Q25" i="7" s="1"/>
  <c r="Q26" i="7" s="1"/>
  <c r="Q27" i="7" s="1"/>
  <c r="Q28" i="7" s="1"/>
  <c r="Q29" i="7" s="1"/>
  <c r="Q30" i="7" s="1"/>
  <c r="Q31" i="7" s="1"/>
  <c r="Q32" i="7" s="1"/>
  <c r="Q33" i="7" s="1"/>
  <c r="Q34" i="7" s="1"/>
  <c r="Q35" i="7" s="1"/>
  <c r="Q36" i="7" s="1"/>
  <c r="Q37" i="7" s="1"/>
  <c r="Q38" i="7" s="1"/>
  <c r="Q39" i="7" s="1"/>
  <c r="Q40" i="7" s="1"/>
  <c r="Q41" i="7" s="1"/>
  <c r="Q42" i="7" s="1"/>
  <c r="Q43" i="7" s="1"/>
  <c r="Q44" i="7" s="1"/>
  <c r="Q45" i="7" s="1"/>
  <c r="P7" i="7"/>
  <c r="P8" i="7" s="1"/>
  <c r="P9" i="7" s="1"/>
  <c r="P10" i="7" s="1"/>
  <c r="P11" i="7" s="1"/>
  <c r="P12" i="7" s="1"/>
  <c r="P13" i="7" s="1"/>
  <c r="P14" i="7" s="1"/>
  <c r="P15" i="7" s="1"/>
  <c r="P16" i="7" s="1"/>
  <c r="P17" i="7" s="1"/>
  <c r="P18" i="7" s="1"/>
  <c r="P19" i="7" s="1"/>
  <c r="P20" i="7" s="1"/>
  <c r="P21" i="7" s="1"/>
  <c r="P22" i="7" s="1"/>
  <c r="P23" i="7" s="1"/>
  <c r="P24" i="7" s="1"/>
  <c r="P25" i="7" s="1"/>
  <c r="P26" i="7" s="1"/>
  <c r="P27" i="7" s="1"/>
  <c r="P28" i="7" s="1"/>
  <c r="P29" i="7" s="1"/>
  <c r="P30" i="7" s="1"/>
  <c r="P31" i="7" s="1"/>
  <c r="P32" i="7" s="1"/>
  <c r="P33" i="7" s="1"/>
  <c r="P34" i="7" s="1"/>
  <c r="P35" i="7" s="1"/>
  <c r="P36" i="7" s="1"/>
  <c r="P37" i="7" s="1"/>
  <c r="P38" i="7" s="1"/>
  <c r="P39" i="7" s="1"/>
  <c r="P40" i="7" s="1"/>
  <c r="P41" i="7" s="1"/>
  <c r="P42" i="7" s="1"/>
  <c r="P43" i="7" s="1"/>
  <c r="P44" i="7" s="1"/>
  <c r="P45" i="7" s="1"/>
  <c r="F7" i="7"/>
  <c r="F31" i="7" s="1"/>
  <c r="F6" i="7"/>
  <c r="G102" i="8"/>
  <c r="C94" i="8"/>
  <c r="C92" i="8"/>
  <c r="C91" i="8"/>
  <c r="C90" i="8"/>
  <c r="AV49" i="8"/>
  <c r="AV48" i="8"/>
  <c r="B9" i="8"/>
  <c r="B7" i="8"/>
  <c r="B15" i="6" l="1"/>
  <c r="B20" i="6" s="1"/>
  <c r="D90" i="8"/>
  <c r="D91" i="8"/>
  <c r="D92" i="8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I55" i="1"/>
  <c r="H55" i="1"/>
  <c r="G55" i="1"/>
  <c r="B99" i="8" l="1"/>
  <c r="J55" i="1"/>
  <c r="J5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Allison Van Twisk</author>
  </authors>
  <commentList>
    <comment ref="B16" authorId="0" shapeId="0" xr:uid="{52AF20B5-7457-4CC1-96DE-D62BA4D6C43E}">
      <text>
        <r>
          <rPr>
            <b/>
            <sz val="9"/>
            <color indexed="81"/>
            <rFont val="Tahoma"/>
            <family val="2"/>
          </rPr>
          <t>Allison Van Twisk:</t>
        </r>
        <r>
          <rPr>
            <sz val="9"/>
            <color indexed="81"/>
            <rFont val="Tahoma"/>
            <family val="2"/>
          </rPr>
          <t xml:space="preserve">
A guess to standardize names with Poe Crash ALT
</t>
        </r>
      </text>
    </comment>
    <comment ref="B33" authorId="0" shapeId="0" xr:uid="{66A3CB91-9B23-465C-B8E3-8DA167782880}">
      <text>
        <r>
          <rPr>
            <b/>
            <sz val="9"/>
            <color indexed="81"/>
            <rFont val="Tahoma"/>
            <family val="2"/>
          </rPr>
          <t>Allison Van Twisk:</t>
        </r>
        <r>
          <rPr>
            <sz val="9"/>
            <color indexed="81"/>
            <rFont val="Tahoma"/>
            <family val="2"/>
          </rPr>
          <t xml:space="preserve">
a guess to standardize names with Poe Crash ALT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tc={74797D7C-70A9-4DEB-99AD-1509847BEA01}</author>
    <author>tc={086C346B-2EF9-4768-AE3F-2253A9B86DA2}</author>
    <author>tc={6F0D4185-6718-453C-B07B-A9EA217E2F4A}</author>
    <author>tc={CA00841E-21F6-4098-B311-1313DB5129F9}</author>
  </authors>
  <commentList>
    <comment ref="D1" authorId="0" shapeId="0" xr:uid="{74797D7C-70A9-4DEB-99AD-1509847BEA01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Just use drop down, all we need to differentiate between vehicle and ped</t>
        </r>
      </text>
    </comment>
    <comment ref="F1" authorId="1" shapeId="0" xr:uid="{086C346B-2EF9-4768-AE3F-2253A9B86DA2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put comma and all values if more than one type</t>
        </r>
      </text>
    </comment>
    <comment ref="G1" authorId="2" shapeId="0" xr:uid="{6F0D4185-6718-453C-B07B-A9EA217E2F4A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Drop down box</t>
        </r>
      </text>
    </comment>
    <comment ref="B2" authorId="3" shapeId="0" xr:uid="{CA00841E-21F6-4098-B311-1313DB5129F9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Can just link to the Historical Crash tab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tc={65E5D719-54FF-4989-B734-6F8999AFCA2B}</author>
    <author>tc={CBC9D531-5604-4E35-BEA4-66CC7BC199C4}</author>
    <author>tc={DDA1E00E-FAD7-4F11-BA31-95615C691E36}</author>
    <author>tc={E473CA0F-B7DC-4828-84B0-797578D6FCDF}</author>
  </authors>
  <commentList>
    <comment ref="C19" authorId="0" shapeId="0" xr:uid="{65E5D719-54FF-4989-B734-6F8999AFCA2B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Total Number of crashes Redrock subdivision (over 20 years). From Poe Associates</t>
        </r>
      </text>
    </comment>
    <comment ref="B28" authorId="1" shapeId="0" xr:uid="{CBC9D531-5604-4E35-BEA4-66CC7BC199C4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historically all deaths on Cants and FLG</t>
        </r>
      </text>
    </comment>
    <comment ref="B32" authorId="2" shapeId="0" xr:uid="{DDA1E00E-FAD7-4F11-BA31-95615C691E36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Passive</t>
        </r>
      </text>
    </comment>
    <comment ref="C40" authorId="3" shapeId="0" xr:uid="{E473CA0F-B7DC-4828-84B0-797578D6FCDF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Ask Poe / High street about this one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tc={934027AB-87C2-4350-BFC1-97A685E5068A}</author>
  </authors>
  <commentList>
    <comment ref="C6" authorId="0" shapeId="0" xr:uid="{934027AB-87C2-4350-BFC1-97A685E5068A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Look at switch in CMFs tab to change alt</t>
        </r>
      </text>
    </comment>
  </commentList>
</comments>
</file>

<file path=xl/sharedStrings.xml><?xml version="1.0" encoding="utf-8"?>
<sst xmlns="http://schemas.openxmlformats.org/spreadsheetml/2006/main" count="1440" uniqueCount="583">
  <si>
    <t>DOT</t>
  </si>
  <si>
    <t>City</t>
  </si>
  <si>
    <t>Street</t>
  </si>
  <si>
    <t>Current Installation</t>
  </si>
  <si>
    <t>Proposed surface</t>
  </si>
  <si>
    <t>Proposed Signal</t>
  </si>
  <si>
    <t>Proposed Median</t>
  </si>
  <si>
    <t>Estimated Cost To Upgrade</t>
  </si>
  <si>
    <t>FRA Incident Report</t>
  </si>
  <si>
    <t>Legend</t>
  </si>
  <si>
    <t>Improvement Costs</t>
  </si>
  <si>
    <t>012084G</t>
  </si>
  <si>
    <t>OKC</t>
  </si>
  <si>
    <t>Wilshire</t>
  </si>
  <si>
    <t>Cants, FLG</t>
  </si>
  <si>
    <t>https://safetydata.fra.dot.gov/OfficeofSafety/publicsite/Crossing/Crossing.aspx?phasetype=C&amp;rpttype=A&amp;txtcrossingnum=012084G</t>
  </si>
  <si>
    <t>FLG = Flashing lights and gates</t>
  </si>
  <si>
    <t>Surface = $100,000.00</t>
  </si>
  <si>
    <t>012076P</t>
  </si>
  <si>
    <t>Hefner</t>
  </si>
  <si>
    <t>https://safetydata.fra.dot.gov/OfficeofSafety/publicsite/Crossing/Crossing.aspx?phasetype=C&amp;rpttype=A&amp;txtcrossingnum=012076P</t>
  </si>
  <si>
    <t>Xbuck = Crossbucks</t>
  </si>
  <si>
    <t>Signal = $300,000.00</t>
  </si>
  <si>
    <t>012248V</t>
  </si>
  <si>
    <t>122nd</t>
  </si>
  <si>
    <t>https://safetydata.fra.dot.gov/OfficeofSafety/publicsite/Crossing/Crossing.aspx?phasetype=C&amp;rpttype=A&amp;txtcrossingnum=012248V</t>
  </si>
  <si>
    <t>FL = Flashing lights</t>
  </si>
  <si>
    <t>Medians = $100,000.00</t>
  </si>
  <si>
    <t>012074B</t>
  </si>
  <si>
    <t>Memorial</t>
  </si>
  <si>
    <t>https://safetydata.fra.dot.gov/OfficeofSafety/publicsite/Crossing/Crossing.aspx?phasetype=C&amp;rpttype=A&amp;txtcrossingnum=012074B</t>
  </si>
  <si>
    <t>MED = Median</t>
  </si>
  <si>
    <t>012073U</t>
  </si>
  <si>
    <t>Kelly</t>
  </si>
  <si>
    <t>https://safetydata.fra.dot.gov/OfficeofSafety/publicsite/Crossing/Crossing.aspx?phasetype=C&amp;rpttype=A&amp;txtcrossingnum=012073U</t>
  </si>
  <si>
    <t>Cant = Cantilever</t>
  </si>
  <si>
    <t>011921P</t>
  </si>
  <si>
    <t>Ponca City</t>
  </si>
  <si>
    <t>Albany Ave.</t>
  </si>
  <si>
    <t>FLG</t>
  </si>
  <si>
    <t>https://safetydata.fra.dot.gov/OfficeofSafety/publicsite/Crossing/Crossing.aspx?phasetype=C&amp;rpttype=A&amp;txtcrossingnum=011921P</t>
  </si>
  <si>
    <t>011927F</t>
  </si>
  <si>
    <t>Grand</t>
  </si>
  <si>
    <t>https://safetydata.fra.dot.gov/OfficeofSafety/publicsite/Crossing/Crossing.aspx?phasetype=C&amp;rpttype=A&amp;txtcrossingnum=011927F</t>
  </si>
  <si>
    <t>011926Y</t>
  </si>
  <si>
    <t>Cleveland</t>
  </si>
  <si>
    <t>https://safetydata.fra.dot.gov/OfficeofSafety/publicsite/Crossing/Crossing.aspx?phasetype=C&amp;rpttype=A&amp;txtcrossingnum=011926Y</t>
  </si>
  <si>
    <t>011917A</t>
  </si>
  <si>
    <t>Hartford</t>
  </si>
  <si>
    <t>https://safetydata.fra.dot.gov/OfficeofSafety/publicsite/Crossing/Crossing.aspx?phasetype=C&amp;rpttype=A&amp;txtcrossingnum=011917A</t>
  </si>
  <si>
    <t>012082T</t>
  </si>
  <si>
    <t>NW 89th</t>
  </si>
  <si>
    <t>https://safetydata.fra.dot.gov/OfficeofSafety/publicsite/Crossing/Crossing.aspx?phasetype=C&amp;rpttype=A&amp;txtcrossingnum=012082T</t>
  </si>
  <si>
    <t>012081L</t>
  </si>
  <si>
    <t>NW 92nd</t>
  </si>
  <si>
    <t>https://safetydata.fra.dot.gov/OfficeofSafety/publicsite/Crossing/Crossing.aspx?phasetype=C&amp;rpttype=A&amp;txtcrossingnum=012081L</t>
  </si>
  <si>
    <t>012078D</t>
  </si>
  <si>
    <t>NW 96th</t>
  </si>
  <si>
    <t>https://safetydata.fra.dot.gov/OfficeofSafety/publicsite/Crossing/Crossing.aspx?phasetype=C&amp;rpttype=A&amp;txtcrossingnum=012078D</t>
  </si>
  <si>
    <t>012037Y</t>
  </si>
  <si>
    <t>Guthrie</t>
  </si>
  <si>
    <t>Oklahoma Ave.</t>
  </si>
  <si>
    <t>https://safetydata.fra.dot.gov/OfficeofSafety/publicsite/Crossing/Crossing.aspx?phasetype=C&amp;rpttype=A&amp;txtcrossingnum=012037Y</t>
  </si>
  <si>
    <t>011979X</t>
  </si>
  <si>
    <t>Perry</t>
  </si>
  <si>
    <t>Cedar St.</t>
  </si>
  <si>
    <t>https://safetydata.fra.dot.gov/OfficeofSafety/publicsite/Crossing/Crossing.aspx?phasetype=C&amp;rpttype=A&amp;txtcrossingnum=011979X</t>
  </si>
  <si>
    <t>011976C</t>
  </si>
  <si>
    <t>Fir St.</t>
  </si>
  <si>
    <t>https://safetydata.fra.dot.gov/OfficeofSafety/publicsite/Crossing/Crossing.aspx?phasetype=C&amp;rpttype=A&amp;txtcrossingnum=011976C</t>
  </si>
  <si>
    <t>011975V</t>
  </si>
  <si>
    <t>Ivanhoe St.</t>
  </si>
  <si>
    <t>No recorded incidents</t>
  </si>
  <si>
    <t>011920H</t>
  </si>
  <si>
    <t>Brookfield Ave.</t>
  </si>
  <si>
    <t>https://safetydata.fra.dot.gov/OfficeofSafety/publicsite/Crossing/Crossing.aspx?phasetype=C&amp;rpttype=A&amp;txtcrossingnum=011920H</t>
  </si>
  <si>
    <t>011918G</t>
  </si>
  <si>
    <t>Emporia Ave.</t>
  </si>
  <si>
    <t>011914E</t>
  </si>
  <si>
    <t xml:space="preserve">Hubbard Road </t>
  </si>
  <si>
    <t>https://safetydata.fra.dot.gov/OfficeofSafety/publicsite/Crossing/Crossing.aspx?phasetype=C&amp;rpttype=A&amp;txtcrossingnum=011914E</t>
  </si>
  <si>
    <t>011901D</t>
  </si>
  <si>
    <t>Newkirk</t>
  </si>
  <si>
    <t xml:space="preserve">6th St. </t>
  </si>
  <si>
    <t>https://safetydata.fra.dot.gov/OfficeofSafety/publicsite/Crossing/Crossing.aspx?phasetype=C&amp;rpttype=A&amp;txtcrossingnum=011901D</t>
  </si>
  <si>
    <t>012047E</t>
  </si>
  <si>
    <t>Prairie Grove Road</t>
  </si>
  <si>
    <t>FL</t>
  </si>
  <si>
    <t>012030B</t>
  </si>
  <si>
    <t>Sooner Road</t>
  </si>
  <si>
    <t>Xbucks</t>
  </si>
  <si>
    <t>012029G</t>
  </si>
  <si>
    <t>CR 0740</t>
  </si>
  <si>
    <t>012026L</t>
  </si>
  <si>
    <t>CR 0720</t>
  </si>
  <si>
    <t>012023R</t>
  </si>
  <si>
    <t>Mulhall</t>
  </si>
  <si>
    <t>CR 0700</t>
  </si>
  <si>
    <t>https://safetydata.fra.dot.gov/OfficeofSafety/publicsite/Crossing/Crossing.aspx?phasetype=C&amp;rpttype=A&amp;txtcrossingnum=012023R</t>
  </si>
  <si>
    <t>012021C</t>
  </si>
  <si>
    <t>CR 0680</t>
  </si>
  <si>
    <t>https://safetydata.fra.dot.gov/OfficeofSafety/publicsite/Crossing/Crossing.aspx?phasetype=C&amp;rpttype=A&amp;txtcrossingnum=012021C</t>
  </si>
  <si>
    <t>012004L</t>
  </si>
  <si>
    <t>Orlando</t>
  </si>
  <si>
    <t>CR 0600</t>
  </si>
  <si>
    <t>https://safetydata.fra.dot.gov/OfficeofSafety/publicsite/Crossing/Crossing.aspx?phasetype=C&amp;rpttype=A&amp;txtcrossingnum=012004L</t>
  </si>
  <si>
    <t>011997V</t>
  </si>
  <si>
    <t>E0570</t>
  </si>
  <si>
    <t>011996N</t>
  </si>
  <si>
    <t>N3170</t>
  </si>
  <si>
    <t>011994A</t>
  </si>
  <si>
    <t>CR 80</t>
  </si>
  <si>
    <t>011992L</t>
  </si>
  <si>
    <t>E0540</t>
  </si>
  <si>
    <t>https://safetydata.fra.dot.gov/OfficeofSafety/publicsite/Crossing/Crossing.aspx?phasetype=C&amp;rpttype=A&amp;txtcrossingnum=011992L</t>
  </si>
  <si>
    <t>011990X</t>
  </si>
  <si>
    <t>25th St.</t>
  </si>
  <si>
    <t>https://safetydata.fra.dot.gov/OfficeofSafety/publicsite/Crossing/Crossing.aspx?phasetype=C&amp;rpttype=A&amp;txtcrossingnum=011990X</t>
  </si>
  <si>
    <t>011985B</t>
  </si>
  <si>
    <t>E0520</t>
  </si>
  <si>
    <t>https://safetydata.fra.dot.gov/OfficeofSafety/publicsite/Crossing/Crossing.aspx?phasetype=C&amp;rpttype=A&amp;txtcrossingnum=011985B</t>
  </si>
  <si>
    <t>011974N</t>
  </si>
  <si>
    <t>Boundary Road</t>
  </si>
  <si>
    <t>011970L</t>
  </si>
  <si>
    <t>E0480</t>
  </si>
  <si>
    <t>011966W</t>
  </si>
  <si>
    <t>E0470</t>
  </si>
  <si>
    <t>011964H</t>
  </si>
  <si>
    <t>N3250</t>
  </si>
  <si>
    <t>https://safetydata.fra.dot.gov/OfficeofSafety/publicsite/Crossing/Crossing.aspx?phasetype=C&amp;rpttype=A&amp;txtcrossingnum=011964H</t>
  </si>
  <si>
    <t>011962U</t>
  </si>
  <si>
    <t>E0450</t>
  </si>
  <si>
    <t>011959L</t>
  </si>
  <si>
    <t>Red Rock</t>
  </si>
  <si>
    <t>E0435</t>
  </si>
  <si>
    <t>011956R</t>
  </si>
  <si>
    <t>E0410</t>
  </si>
  <si>
    <t>011954C</t>
  </si>
  <si>
    <t>E0390</t>
  </si>
  <si>
    <t>011950A</t>
  </si>
  <si>
    <t>E0360</t>
  </si>
  <si>
    <t>011949F</t>
  </si>
  <si>
    <t>Marland</t>
  </si>
  <si>
    <t>E0350</t>
  </si>
  <si>
    <t>011948Y</t>
  </si>
  <si>
    <t>E0340</t>
  </si>
  <si>
    <t>011947S</t>
  </si>
  <si>
    <t>E0330</t>
  </si>
  <si>
    <t>011946K</t>
  </si>
  <si>
    <t>E0320</t>
  </si>
  <si>
    <t>https://safetydata.fra.dot.gov/OfficeofSafety/publicsite/Crossing/Crossing.aspx?phasetype=C&amp;rpttype=A&amp;txtcrossingnum=011946K</t>
  </si>
  <si>
    <t>011943P</t>
  </si>
  <si>
    <t>E0300</t>
  </si>
  <si>
    <t>011941B</t>
  </si>
  <si>
    <t>Cowboy Hill PL/E0280</t>
  </si>
  <si>
    <t>https://safetydata.fra.dot.gov/OfficeofSafety/publicsite/Crossing/Crossing.aspx?phasetype=C&amp;rpttype=A&amp;txtcrossingnum=011941B</t>
  </si>
  <si>
    <t>011910C</t>
  </si>
  <si>
    <t>Tower Road</t>
  </si>
  <si>
    <t>https://safetydata.fra.dot.gov/OfficeofSafety/publicsite/Crossing/Crossing.aspx?phasetype=C&amp;rpttype=A&amp;txtcrossingnum=011910C</t>
  </si>
  <si>
    <t>011909H</t>
  </si>
  <si>
    <t>Furguson Ave</t>
  </si>
  <si>
    <t>https://safetydata.fra.dot.gov/OfficeofSafety/publicsite/Crossing/Crossing.aspx?phasetype=C&amp;rpttype=A&amp;txtcrossingnum=011909H</t>
  </si>
  <si>
    <t>011906M</t>
  </si>
  <si>
    <t>Adobe Road</t>
  </si>
  <si>
    <t>011891A</t>
  </si>
  <si>
    <t>Judo Road</t>
  </si>
  <si>
    <t>TOTAL</t>
  </si>
  <si>
    <t>Box #</t>
  </si>
  <si>
    <t>PDF Page/ Incident #</t>
  </si>
  <si>
    <t>At Grade Crossing # (DOT)</t>
  </si>
  <si>
    <t>Year of Incident</t>
  </si>
  <si>
    <t>Highway user involved (PED or vehicle)</t>
  </si>
  <si>
    <t>Speed</t>
  </si>
  <si>
    <t>Type of warning</t>
  </si>
  <si>
    <t>Driver was</t>
  </si>
  <si>
    <t>Vehicle</t>
  </si>
  <si>
    <t>Pedestrian</t>
  </si>
  <si>
    <t>Other (Unspecified)</t>
  </si>
  <si>
    <t>Other (Bicyclist)</t>
  </si>
  <si>
    <t>killed</t>
  </si>
  <si>
    <t>injured</t>
  </si>
  <si>
    <t>uninjured</t>
  </si>
  <si>
    <t>blank</t>
  </si>
  <si>
    <t>1, 2</t>
  </si>
  <si>
    <t>1, 2, 3, 6, 7</t>
  </si>
  <si>
    <t>1, 3</t>
  </si>
  <si>
    <t>1, 2, 6</t>
  </si>
  <si>
    <t>1, 2, 6, 11</t>
  </si>
  <si>
    <t>1, 2, 11</t>
  </si>
  <si>
    <t xml:space="preserve">1, 2, 3, 6, 7 </t>
  </si>
  <si>
    <t xml:space="preserve">1, 2 </t>
  </si>
  <si>
    <t>1, 2, 10</t>
  </si>
  <si>
    <t>1, 3, 11</t>
  </si>
  <si>
    <t>3, 6</t>
  </si>
  <si>
    <t>1, 3, 6</t>
  </si>
  <si>
    <t xml:space="preserve">1, 3, 6 </t>
  </si>
  <si>
    <t>2, 3</t>
  </si>
  <si>
    <t>3, 6, 7</t>
  </si>
  <si>
    <t>3, 7</t>
  </si>
  <si>
    <t>3, 11</t>
  </si>
  <si>
    <t>Total</t>
  </si>
  <si>
    <t>At grade crossings</t>
  </si>
  <si>
    <t>No injury (PDO equivalent)</t>
  </si>
  <si>
    <t>Non-incapacitating Injury (=OK Severity 3)</t>
  </si>
  <si>
    <t xml:space="preserve">Fatal </t>
  </si>
  <si>
    <t>Box 32 -Type of warning</t>
  </si>
  <si>
    <t>Gates</t>
  </si>
  <si>
    <t>Cantilever FLS</t>
  </si>
  <si>
    <t>Standard FLS</t>
  </si>
  <si>
    <t>Wig wags</t>
  </si>
  <si>
    <t>Hwy. traffic signals</t>
  </si>
  <si>
    <t>Audible</t>
  </si>
  <si>
    <t>Crossbucks</t>
  </si>
  <si>
    <t>Watchman Crossing</t>
  </si>
  <si>
    <t>Stop signs</t>
  </si>
  <si>
    <t>Flagged by crew</t>
  </si>
  <si>
    <t>Other</t>
  </si>
  <si>
    <t>None (sp</t>
  </si>
  <si>
    <t>Total (mil$)</t>
  </si>
  <si>
    <t>Year</t>
  </si>
  <si>
    <t>%</t>
  </si>
  <si>
    <t>Base Year Y for Discounting</t>
  </si>
  <si>
    <t>Discounted Costs</t>
  </si>
  <si>
    <t>Present Value</t>
  </si>
  <si>
    <t xml:space="preserve">Build Capital Costs </t>
  </si>
  <si>
    <t>At Grade Crossing Improvements</t>
  </si>
  <si>
    <t>Discounted Benefits</t>
  </si>
  <si>
    <t>Safety</t>
  </si>
  <si>
    <t>Emissions</t>
  </si>
  <si>
    <t>Total Discounted Benefits</t>
  </si>
  <si>
    <t>Summary</t>
  </si>
  <si>
    <t>Benefit Cost Ratio (all elements)</t>
  </si>
  <si>
    <t>Net Present Value (all elements)</t>
  </si>
  <si>
    <t>General Parameters</t>
  </si>
  <si>
    <t>Source</t>
  </si>
  <si>
    <t>Discount Rate</t>
  </si>
  <si>
    <t>USDOT 2022 BCA Guidance</t>
  </si>
  <si>
    <t>Discount Rate (Carbon Emissions)</t>
  </si>
  <si>
    <t>Annualization factor</t>
  </si>
  <si>
    <t>Average Hourly Truck Operator Cost</t>
  </si>
  <si>
    <t>Seconds to hours conversion</t>
  </si>
  <si>
    <t>Grams to tons conversion</t>
  </si>
  <si>
    <t>Kilograms to metric tons conversion</t>
  </si>
  <si>
    <t>US tons to metric tons conversion</t>
  </si>
  <si>
    <t>Reduced Pavement Damage Cost</t>
  </si>
  <si>
    <t>Roadway maintenance cost/truck VMT</t>
  </si>
  <si>
    <t>FHWA Comprehensive Truck Size and Weight Study, updated; Bai, et al, Estimating Highway Pavement Costs Attributed to Truck Traffic, 2009.</t>
  </si>
  <si>
    <t>Annual projected % growth (annual tons) - Rail</t>
  </si>
  <si>
    <t>Oklahoma Freight Transportation Plan 2018-2022,  p54 freight forecast (2015-2045 annualized)</t>
  </si>
  <si>
    <t>https://oklahoma</t>
  </si>
  <si>
    <t>gov/content/dam/ok/en/odot/documents/federal-grants/infra/2018/grady-county-us-81-realignment/reports-and-technical-information/draft-oklahoma-freight-plan-2018-2022</t>
  </si>
  <si>
    <t>pdf</t>
  </si>
  <si>
    <t>Annual projected % growth (annual tons) - Truck</t>
  </si>
  <si>
    <t>Source: TREDIS Data Sources and Default Values (2021); US EPA Motor Vehicle Emission Simulator (MOVES3) (2021); USDOT March 2022 BCA Guidance updated</t>
  </si>
  <si>
    <r>
      <t>Emissions Savings Pe</t>
    </r>
    <r>
      <rPr>
        <b/>
        <sz val="11"/>
        <color theme="1"/>
        <rFont val="Calibri"/>
        <family val="2"/>
        <scheme val="minor"/>
      </rPr>
      <t>r Truck Mile (g/VMT</t>
    </r>
    <r>
      <rPr>
        <b/>
        <u/>
        <sz val="11"/>
        <color theme="1"/>
        <rFont val="Calibri"/>
        <family val="2"/>
        <scheme val="minor"/>
      </rPr>
      <t>)</t>
    </r>
  </si>
  <si>
    <t>CO2</t>
  </si>
  <si>
    <t>NOX</t>
  </si>
  <si>
    <t>PM2.5</t>
  </si>
  <si>
    <t>SO2</t>
  </si>
  <si>
    <t>VOC</t>
  </si>
  <si>
    <t xml:space="preserve">Emissions Savings Per Mile (metric tons per vehicle VMT) </t>
  </si>
  <si>
    <t>Emissions values ($ per metric ton)</t>
  </si>
  <si>
    <t>CRASH REDUCTIONS</t>
  </si>
  <si>
    <t>Value of Accidents KABCO Values</t>
  </si>
  <si>
    <t>Unit</t>
  </si>
  <si>
    <t>2020$</t>
  </si>
  <si>
    <t>$/Crash</t>
  </si>
  <si>
    <t>Possible Injury (=OK Severity 2)</t>
  </si>
  <si>
    <t>Incapacitating Injury (=OK Severity 4)</t>
  </si>
  <si>
    <t>Hourly Value of Time</t>
  </si>
  <si>
    <t>Passengers (All Purposes)</t>
  </si>
  <si>
    <t>Truck Drivers</t>
  </si>
  <si>
    <t>Truck VOC per truck mile</t>
  </si>
  <si>
    <t>FUEL CONSUMPTION</t>
  </si>
  <si>
    <t>Estimated gallons of fuel (or kwh) consumed per vehicle mile traveled.</t>
  </si>
  <si>
    <t>Mode</t>
  </si>
  <si>
    <t>2020 Data Year</t>
  </si>
  <si>
    <t>Passenger Car</t>
  </si>
  <si>
    <t>Bus (diesel)</t>
  </si>
  <si>
    <t>Bus Rapid Transit (BRT) (diesel)</t>
  </si>
  <si>
    <t>All Trucks</t>
  </si>
  <si>
    <t>Tractor Trailer</t>
  </si>
  <si>
    <t>Light/Medium Duty Truck</t>
  </si>
  <si>
    <t>Light Rail (electric propulsion)</t>
  </si>
  <si>
    <t>7.6932 kWh</t>
  </si>
  <si>
    <t>Heavy Rail (electric propulsion)</t>
  </si>
  <si>
    <t>5.5160 kWh</t>
  </si>
  <si>
    <t>Commuter Rail (diesel)</t>
  </si>
  <si>
    <t>Intercity Passenger Diesel</t>
  </si>
  <si>
    <t>Intercity Passenger Electric (High Speed Rail)</t>
  </si>
  <si>
    <t>26.5700 kWh</t>
  </si>
  <si>
    <t>Freight Rail</t>
  </si>
  <si>
    <t>Cruise Ship</t>
  </si>
  <si>
    <t>Marine Freight</t>
  </si>
  <si>
    <t>Passenger Ferry (diesel)</t>
  </si>
  <si>
    <t>Air – All</t>
  </si>
  <si>
    <t>General Aviation</t>
  </si>
  <si>
    <t>Air Taxi</t>
  </si>
  <si>
    <t>Regional Jet</t>
  </si>
  <si>
    <t>Commercial Jet</t>
  </si>
  <si>
    <t>Jumbo Jet</t>
  </si>
  <si>
    <t>Source: TREDIS Data Sources and Default Values (2021)</t>
  </si>
  <si>
    <t>TRUCK CRASH RATE AND TRUCK CRASH COST ANALYSES</t>
  </si>
  <si>
    <t>Table 46</t>
  </si>
  <si>
    <t>distribution of truck crashes by type</t>
  </si>
  <si>
    <t>value of crashes by type</t>
  </si>
  <si>
    <t>Large Trucks Involved in Crashes, by Most Harmful Event and Crash Severity, 2019</t>
  </si>
  <si>
    <t>fatal</t>
  </si>
  <si>
    <t>Most Harmful Event</t>
  </si>
  <si>
    <t>Crash Severity</t>
  </si>
  <si>
    <t>injury</t>
  </si>
  <si>
    <t>Fatal</t>
  </si>
  <si>
    <t>Injury</t>
  </si>
  <si>
    <t>Property Damage
Only</t>
  </si>
  <si>
    <t>PDO</t>
  </si>
  <si>
    <t>Number</t>
  </si>
  <si>
    <t>Percent</t>
  </si>
  <si>
    <t>Collision with Motor Vehicle in
Transport by Initial Point of Impact</t>
  </si>
  <si>
    <t>Front</t>
  </si>
  <si>
    <t>total</t>
  </si>
  <si>
    <t>Left Side</t>
  </si>
  <si>
    <t>Right Side</t>
  </si>
  <si>
    <t>Rear</t>
  </si>
  <si>
    <t>Weighted average crash cost for all three crash types, where weights are frequency of each crash type.</t>
  </si>
  <si>
    <t>Other/Unknown</t>
  </si>
  <si>
    <t xml:space="preserve"> </t>
  </si>
  <si>
    <t>Collision with Fixed Object</t>
  </si>
  <si>
    <t>Collision with Fixed
Object</t>
  </si>
  <si>
    <t>Collision with Object Not Fixed</t>
  </si>
  <si>
    <t>Nonoccupant</t>
  </si>
  <si>
    <t>-</t>
  </si>
  <si>
    <t>truck crash rate per million VMT</t>
  </si>
  <si>
    <t>crashes</t>
  </si>
  <si>
    <t>Noncollision</t>
  </si>
  <si>
    <t>total truck VMT (millions) (2019)</t>
  </si>
  <si>
    <t>FHWA Highway Statistics 2019. https://www.fhwa.dot.gov/policyinformation/statistics/2019/vm1.cfm</t>
  </si>
  <si>
    <t>Unknown</t>
  </si>
  <si>
    <t>Sources: FARS 2019 ARF, CRSS 2019</t>
  </si>
  <si>
    <t>Estimates less than 500 have been rounded to 0.</t>
  </si>
  <si>
    <t>National Highway Traffic Safety Administration's Traffic Safety Facts Annual Report, generated 06/16/2021 at 7:40 PM</t>
  </si>
  <si>
    <t xml:space="preserve">Notes: A large truck is defined as a truck with a gross vehicle weight rating (GVWR) greater than 10,000 pounds. Individual numbers may not add up to the totals due to independent rounding. Percentages are based on unrounded numbers.
</t>
  </si>
  <si>
    <t>Sources: FARS 2019 ARF; CRSS 2019; NHTSA Traffic Safety Facts Annual Report Tables. (2019). https://cdan.nhtsa.gov/tsftables/tsfar.htm#</t>
  </si>
  <si>
    <t>Source: TREDIS Data Sources and Default Values (2021); US EPA Motor Vehicle Emission Simulator (MOVES3) (2021)</t>
  </si>
  <si>
    <t>Emissions decrease adjustment factor over time to account for vehicle fleet transition</t>
  </si>
  <si>
    <t>Emissions (g) per VMT:</t>
  </si>
  <si>
    <t>Emissions Values by Year, 2020 Dollars per Metric Ton</t>
  </si>
  <si>
    <t>Emission Rate Change (2021-2025)</t>
  </si>
  <si>
    <t>PM 2.5</t>
  </si>
  <si>
    <t>VOCs</t>
  </si>
  <si>
    <t>NOx</t>
  </si>
  <si>
    <t>Pollutant</t>
  </si>
  <si>
    <t>Average Annual % Pollutant Decrease</t>
  </si>
  <si>
    <t>Light/Medium Truck</t>
  </si>
  <si>
    <t>Heavy Truck</t>
  </si>
  <si>
    <r>
      <rPr>
        <b/>
        <sz val="11"/>
        <color theme="1"/>
        <rFont val="Calibri"/>
        <family val="2"/>
        <scheme val="minor"/>
      </rPr>
      <t xml:space="preserve">Source:  </t>
    </r>
    <r>
      <rPr>
        <sz val="11"/>
        <color theme="1"/>
        <rFont val="Calibri"/>
        <family val="2"/>
        <scheme val="minor"/>
      </rPr>
      <t>Calculated using TREDIS Data Sources and Default Values (2021); US EPA Motor Vehicle Emission Simulator (MOVES3) (2021)</t>
    </r>
  </si>
  <si>
    <t>Emissions Rates (Detailed) g per VMT</t>
  </si>
  <si>
    <r>
      <t>SO</t>
    </r>
    <r>
      <rPr>
        <b/>
        <vertAlign val="subscript"/>
        <sz val="10"/>
        <color rgb="FF000000"/>
        <rFont val="Arial"/>
        <family val="2"/>
      </rPr>
      <t>2</t>
    </r>
  </si>
  <si>
    <t>Bus &amp; BRT</t>
  </si>
  <si>
    <t>Passenger Rail and Transit Rail - Diesel</t>
  </si>
  <si>
    <t>Passenger Rail and Transit Rail - Electric</t>
  </si>
  <si>
    <t>Rail Freight</t>
  </si>
  <si>
    <t>Water</t>
  </si>
  <si>
    <t>Aircraft</t>
  </si>
  <si>
    <t>Emissions (Metric Tons) per VMT:</t>
  </si>
  <si>
    <t>Grams to Metric Tons Conversion Rate</t>
  </si>
  <si>
    <t>CO2 Per Gallon of Fuel Burned:</t>
  </si>
  <si>
    <t>lbs per gallon of gasoline</t>
  </si>
  <si>
    <t>g per lb</t>
  </si>
  <si>
    <t>g per gallon</t>
  </si>
  <si>
    <t>lbs per gallon of diesel</t>
  </si>
  <si>
    <t>g per gallon of diesel</t>
  </si>
  <si>
    <t>Fuel Burn Per Mile</t>
  </si>
  <si>
    <t>Fuel Per Mile</t>
  </si>
  <si>
    <t>Gasoline</t>
  </si>
  <si>
    <t>Diesel</t>
  </si>
  <si>
    <t>Source:  Benefit Cost Analysis Guidance for Discretionary Grant Programs, Table A-6: Damage Costs for Emissions per Metric Ton*, March 2022 Revised &amp; TREDIS® Technical Documentation: Data Sources and Default Values Appendix B</t>
  </si>
  <si>
    <t xml:space="preserve">Vehicle Type Recommended Value per Mile (2020 $) </t>
  </si>
  <si>
    <t xml:space="preserve">Light Duty Vehicles1 </t>
  </si>
  <si>
    <t>Commercial Trucks 2</t>
  </si>
  <si>
    <t xml:space="preserve"> Engineering Fee</t>
  </si>
  <si>
    <t xml:space="preserve"> Contingency </t>
  </si>
  <si>
    <t>Min</t>
  </si>
  <si>
    <t>Max</t>
  </si>
  <si>
    <t>Train Speeds (mph)</t>
  </si>
  <si>
    <t>Capital Cost Analysis</t>
  </si>
  <si>
    <t>ADT</t>
  </si>
  <si>
    <t>Oklahoma City</t>
  </si>
  <si>
    <t>Crossing Trucks</t>
  </si>
  <si>
    <t xml:space="preserve">Total Highway at Grade crossings </t>
  </si>
  <si>
    <t>#</t>
  </si>
  <si>
    <t>Existing At Grade Crossing Inventory to be improved</t>
  </si>
  <si>
    <t>Cross Bucks only</t>
  </si>
  <si>
    <t>Pedestals with flashing lights</t>
  </si>
  <si>
    <t>Flashing lights on pedestals with gates</t>
  </si>
  <si>
    <t>Flashing lights, canilevers, and gates</t>
  </si>
  <si>
    <t>Source: Poe &amp; Associates Engineering &amp; ODOT</t>
  </si>
  <si>
    <t>Years</t>
  </si>
  <si>
    <t>Count of Injuries: Killed</t>
  </si>
  <si>
    <t>Queried / Sorted results</t>
  </si>
  <si>
    <t>Count of Injuries: injured</t>
  </si>
  <si>
    <t>Count of Injuries: uninjured</t>
  </si>
  <si>
    <t>Total (1990-2022)</t>
  </si>
  <si>
    <t>Total (2000-2022)</t>
  </si>
  <si>
    <t>Rural</t>
  </si>
  <si>
    <t>Urban</t>
  </si>
  <si>
    <t>Urban Rural Breakdown</t>
  </si>
  <si>
    <t>With engineering &amp; contingency</t>
  </si>
  <si>
    <t>Notes: construction begins in March 2023. One month per crossing</t>
  </si>
  <si>
    <t>Months per year for construction</t>
  </si>
  <si>
    <t>Rough Monthly Calc</t>
  </si>
  <si>
    <t>Unique types</t>
  </si>
  <si>
    <t>Crossing Type Lookup</t>
  </si>
  <si>
    <t>Crashes since 2000</t>
  </si>
  <si>
    <t>CFM ID</t>
  </si>
  <si>
    <t>Crossing Type Count</t>
  </si>
  <si>
    <t>share of crossings</t>
  </si>
  <si>
    <t>replace, repair, add flashing lights</t>
  </si>
  <si>
    <t>medians</t>
  </si>
  <si>
    <t>note: Negative is an increase in crash rates</t>
  </si>
  <si>
    <t>Install raised median with or without marked crosswalk (uncontrolled)</t>
  </si>
  <si>
    <t>Vehicle / Ped</t>
  </si>
  <si>
    <t>Install standard flashing lights</t>
  </si>
  <si>
    <t>all</t>
  </si>
  <si>
    <t>Install audible devices</t>
  </si>
  <si>
    <t>Installing gates at crossings with signs</t>
  </si>
  <si>
    <t>Crash Type</t>
  </si>
  <si>
    <t>CRF</t>
  </si>
  <si>
    <t>Crossings Affected</t>
  </si>
  <si>
    <t>Crossing Improvements</t>
  </si>
  <si>
    <t>Annual</t>
  </si>
  <si>
    <t xml:space="preserve"> Crashes </t>
  </si>
  <si>
    <t>Upgrades</t>
  </si>
  <si>
    <t>Medians</t>
  </si>
  <si>
    <t>Audio and flashing lights</t>
  </si>
  <si>
    <t xml:space="preserve">Audio </t>
  </si>
  <si>
    <t>Investments by Upgrade type</t>
  </si>
  <si>
    <t>Audio</t>
  </si>
  <si>
    <t>Audio and Flashing Lights</t>
  </si>
  <si>
    <t>CRF % Improvement</t>
  </si>
  <si>
    <t>Killed</t>
  </si>
  <si>
    <t>Injured</t>
  </si>
  <si>
    <t>Uninjured</t>
  </si>
  <si>
    <t>Share of Crossings</t>
  </si>
  <si>
    <t>Totals</t>
  </si>
  <si>
    <t>20 year totals</t>
  </si>
  <si>
    <t>Share of all crashes</t>
  </si>
  <si>
    <t>Median upgrades (20 crossings)</t>
  </si>
  <si>
    <t>No-build Crash Rates</t>
  </si>
  <si>
    <t>Audio &amp; Flashing Upgrades</t>
  </si>
  <si>
    <t>MISMATCH with Queried Data</t>
  </si>
  <si>
    <t>Queried totals</t>
  </si>
  <si>
    <t>Alternative Scaled Crash data - Poe Scaled</t>
  </si>
  <si>
    <t>Share of total crashes</t>
  </si>
  <si>
    <t>Poe &amp; ODOT Total  estimate</t>
  </si>
  <si>
    <t>Alt</t>
  </si>
  <si>
    <t>Query</t>
  </si>
  <si>
    <t>Monetized Crash Cost Savings</t>
  </si>
  <si>
    <t>No anticipated speed changes for rail and therefore no assumed traffic delay benefits at this time</t>
  </si>
  <si>
    <t>FRA query</t>
  </si>
  <si>
    <t>Poe Estimates</t>
  </si>
  <si>
    <t xml:space="preserve">Distribution for updated crash data </t>
  </si>
  <si>
    <t>Location</t>
  </si>
  <si>
    <t>Death</t>
  </si>
  <si>
    <t>Injure</t>
  </si>
  <si>
    <t>Auto</t>
  </si>
  <si>
    <t>Person</t>
  </si>
  <si>
    <t>Cause of Incident</t>
  </si>
  <si>
    <t>Equipment at Crossing</t>
  </si>
  <si>
    <t>Hefner OKC</t>
  </si>
  <si>
    <t>Went around gates</t>
  </si>
  <si>
    <t>Gates Cants Flashing Lights</t>
  </si>
  <si>
    <t>122nd OKC</t>
  </si>
  <si>
    <t>went around gates</t>
  </si>
  <si>
    <t>Memorial OKC</t>
  </si>
  <si>
    <t>Gates Flashing Lights</t>
  </si>
  <si>
    <t>Kelly OKC</t>
  </si>
  <si>
    <t>Other- hit trailer stopped on track, driver fled scene</t>
  </si>
  <si>
    <t>Albany Ave. Ponca City</t>
  </si>
  <si>
    <t>Grand Ave. Ponca City</t>
  </si>
  <si>
    <t>Gates  Cants Flashing Lights</t>
  </si>
  <si>
    <t>Cleveland Ponca</t>
  </si>
  <si>
    <t>Heartford</t>
  </si>
  <si>
    <t>89th OKC</t>
  </si>
  <si>
    <t>Stopped on track - Bicyclist struck by train</t>
  </si>
  <si>
    <t>Flashing Lights</t>
  </si>
  <si>
    <t>Stoppend on crossing</t>
  </si>
  <si>
    <t>Did not stop, disregarded crossing warning</t>
  </si>
  <si>
    <t>92nd OKC</t>
  </si>
  <si>
    <t>96th OKC</t>
  </si>
  <si>
    <t>Oklahoma Ave Guthrie</t>
  </si>
  <si>
    <t>US86 Cedar Perry</t>
  </si>
  <si>
    <t>US64 Perry</t>
  </si>
  <si>
    <t>Brookfield St Ponca</t>
  </si>
  <si>
    <t>N Hubbard Rd Ponca</t>
  </si>
  <si>
    <t>Train struck vehicle after traffic accident on crossing</t>
  </si>
  <si>
    <t>6th Newkirk</t>
  </si>
  <si>
    <t>E0700 Rd Mulhall Logan Co.</t>
  </si>
  <si>
    <t>Stopped on Crossing</t>
  </si>
  <si>
    <t>E0540 Rd Perry</t>
  </si>
  <si>
    <t>N3190 Rd Perry</t>
  </si>
  <si>
    <t>E0520 Rd Perry</t>
  </si>
  <si>
    <t>N3250 Perry</t>
  </si>
  <si>
    <t>0320 Marland</t>
  </si>
  <si>
    <t>E0280 Rd Marland</t>
  </si>
  <si>
    <t>Vlookup ID</t>
  </si>
  <si>
    <t>Wilshire OKC</t>
  </si>
  <si>
    <t>Ivanhoe St. Perry</t>
  </si>
  <si>
    <t>Emporia Ave. Ponca City</t>
  </si>
  <si>
    <t>Prairie Grove Road Guthrie</t>
  </si>
  <si>
    <t>Sooner Road Guthrie</t>
  </si>
  <si>
    <t>CR 0740 Guthrie</t>
  </si>
  <si>
    <t>CR 0720 Guthrie</t>
  </si>
  <si>
    <t>CR 0700 Mulhall</t>
  </si>
  <si>
    <t>CR 0680 Mulhall</t>
  </si>
  <si>
    <t>CR 0600 Orlando</t>
  </si>
  <si>
    <t>N3170 Perry</t>
  </si>
  <si>
    <t>CR 80 Perry</t>
  </si>
  <si>
    <t>Boundary Road Perry</t>
  </si>
  <si>
    <t>E0480 Perry</t>
  </si>
  <si>
    <t>E0470 Perry</t>
  </si>
  <si>
    <t>E0450 Perry</t>
  </si>
  <si>
    <t>E0435 Red Rock</t>
  </si>
  <si>
    <t>E0410 Red Rock</t>
  </si>
  <si>
    <t>E0390 Red Rock</t>
  </si>
  <si>
    <t>E0360 Red Rock</t>
  </si>
  <si>
    <t>E0350 Marland</t>
  </si>
  <si>
    <t>E0340 Marland</t>
  </si>
  <si>
    <t>E0330 Marland</t>
  </si>
  <si>
    <t>E0300 Marland</t>
  </si>
  <si>
    <t>Tower Road Ponca City</t>
  </si>
  <si>
    <t>Furguson Ave Ponca City</t>
  </si>
  <si>
    <t>Adobe Road Newkirk</t>
  </si>
  <si>
    <t>Judo Road Newkirk</t>
  </si>
  <si>
    <t>E0570 Rd Perry</t>
  </si>
  <si>
    <t>standardize names</t>
  </si>
  <si>
    <t>Not in Poe Crash ALT Names</t>
  </si>
  <si>
    <t>Row Labels</t>
  </si>
  <si>
    <t>#N/A</t>
  </si>
  <si>
    <t>Grand Total</t>
  </si>
  <si>
    <t>(Multiple Items)</t>
  </si>
  <si>
    <t>Sum of Death</t>
  </si>
  <si>
    <t>Queried Crashes - Based on FRA Crash reports (distribution based on events not # of injuries)</t>
  </si>
  <si>
    <t>Sum of Injure</t>
  </si>
  <si>
    <t>Summary Poe Crash ALT</t>
  </si>
  <si>
    <t>Summary Crash data Collection</t>
  </si>
  <si>
    <t>Column Labels</t>
  </si>
  <si>
    <t>Count of Driver was</t>
  </si>
  <si>
    <t>Poe Crash ALT Data</t>
  </si>
  <si>
    <t>Crash data collection</t>
  </si>
  <si>
    <t>discrepancy description</t>
  </si>
  <si>
    <t>ID not found in Poe Data</t>
  </si>
  <si>
    <t>1 less killed, 1 more injured than Poe Data</t>
  </si>
  <si>
    <t>1 less killed than Poe Data</t>
  </si>
  <si>
    <t>1 more injured than poe data</t>
  </si>
  <si>
    <t>1 less injured, 1 less killed than Poe</t>
  </si>
  <si>
    <t xml:space="preserve">3 less injured, 1 less killed than Poe </t>
  </si>
  <si>
    <t>Compare Poe and Crash data collection for years 1999+</t>
  </si>
  <si>
    <t>ID not found in Poe Data, 1 more injured</t>
  </si>
  <si>
    <t>Evaluate:</t>
  </si>
  <si>
    <t>DISCOUNTED FOR REPORT TABLES</t>
  </si>
  <si>
    <t>PDF Pg. 1 2021, 3 injuries; 2019, 1 injury, 1 killed; 2015, 2 user injuries; 2014, 1 killed; 2009, 2 injuries -- should be 8 injuries and 2 killed; Poe data is missing 2009 incident</t>
  </si>
  <si>
    <t>PDF Pg. 1 2018, 1 user injury; 2010, 1 user injury; 2007, 1 injury -- Poe data missing 2007 incident</t>
  </si>
  <si>
    <t>PDF Pg. 2 2015, 2 injury; 2013, 2 killed -- equal</t>
  </si>
  <si>
    <t>PDF Pg. 1 2006, 1 injury -- 2006 incident blank in Poe data</t>
  </si>
  <si>
    <t>2017, 2 killed; 2015, 1 injured -- equal</t>
  </si>
  <si>
    <t xml:space="preserve">Discount Factor (7%) </t>
  </si>
  <si>
    <t xml:space="preserve">Discount Factor(3%) </t>
  </si>
  <si>
    <t>Switch between alt (total injured) and queried (vehicle) crash data</t>
  </si>
  <si>
    <t>2017, 2 injured; 1999, 1 killed -- Poe data marks 2017 incident as having 2 killed</t>
  </si>
  <si>
    <t>Audible warnings</t>
  </si>
  <si>
    <t>Description</t>
  </si>
  <si>
    <t xml:space="preserve">Total Capital Cost in 2022$ </t>
  </si>
  <si>
    <t xml:space="preserve">Total Capital Cost in 2020$ </t>
  </si>
  <si>
    <t>Base year of Nominal Dollar</t>
  </si>
  <si>
    <t>Multiplier to Adj to Real 2020$</t>
  </si>
  <si>
    <t xml:space="preserve">Bureau of Economic Analysis, National Income and Product Accounts, Table 1.1.9, “Implicit Price Deflators for Gross Domestic Product” (October 2021) </t>
  </si>
  <si>
    <t>Deflation factor:</t>
  </si>
  <si>
    <t>2022 to 2020:</t>
  </si>
  <si>
    <t>Source: CPI Inflation Calculator</t>
  </si>
  <si>
    <t>CPI Inflation Calculator (bls.gov)</t>
  </si>
  <si>
    <t>in 2020$</t>
  </si>
  <si>
    <t>Cost in 2022$</t>
  </si>
  <si>
    <t>Capital cost Annual expenditures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</si>
</sst>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0"/>
    <numFmt numFmtId="166" formatCode="&quot;$&quot;#,##0.000"/>
    <numFmt numFmtId="167" formatCode="&quot;$&quot;#,##0"/>
    <numFmt numFmtId="168" formatCode="0.0%"/>
    <numFmt numFmtId="169" formatCode="&quot;$&quot;#,##0.0"/>
    <numFmt numFmtId="170" formatCode="0.00_);\(0.00\)"/>
    <numFmt numFmtId="171" formatCode="_(&quot;$&quot;* #,##0.0_);_(&quot;$&quot;* \(#,##0.0\);_(&quot;$&quot;* &quot;-&quot;??_);_(@_)"/>
    <numFmt numFmtId="172" formatCode="_(* #,##0_);_(* \(#,##0\);_(* &quot;-&quot;??_);_(@_)"/>
    <numFmt numFmtId="173" formatCode="#,##0.0000_);\(#,##0.0000\);&quot;-  &quot;;&quot; &quot;@"/>
    <numFmt numFmtId="174" formatCode="#,##0.00_);\(#,##0.00\);&quot;-  &quot;;&quot; &quot;@"/>
    <numFmt numFmtId="175" formatCode="0.0000000"/>
    <numFmt numFmtId="176" formatCode="0.0000"/>
    <numFmt numFmtId="177" formatCode="#,##0.0000_);\(#,##0.0000\)"/>
    <numFmt numFmtId="178" formatCode="0.000000"/>
    <numFmt numFmtId="179" formatCode="0.000%"/>
    <numFmt numFmtId="180" formatCode="0.0"/>
    <numFmt numFmtId="181" formatCode="###,###,###,##0"/>
    <numFmt numFmtId="182" formatCode="_(&quot;$&quot;* #,##0_);_(&quot;$&quot;* \(#,##0\);_(&quot;$&quot;* &quot;-&quot;??_);_(@_)"/>
    <numFmt numFmtId="183" formatCode="###################0"/>
    <numFmt numFmtId="184" formatCode="##########################0"/>
    <numFmt numFmtId="185" formatCode="##0.0"/>
    <numFmt numFmtId="186" formatCode="###################################################################0"/>
    <numFmt numFmtId="187" formatCode="####0"/>
    <numFmt numFmtId="188" formatCode="########################################0"/>
    <numFmt numFmtId="189" formatCode="_(* #,##0.0_);_(* \(#,##0.0\);_(* &quot;-&quot;??_);_(@_)"/>
  </numFmts>
  <fonts count="33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112277"/>
      <name val="Albany AMT"/>
    </font>
    <font>
      <b/>
      <sz val="9.5"/>
      <color rgb="FF112277"/>
      <name val="Albany AMT"/>
    </font>
    <font>
      <sz val="9.5"/>
      <color rgb="FF112277"/>
      <name val="Albany AMT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Arial"/>
      <family val="2"/>
    </font>
    <font>
      <b/>
      <vertAlign val="subscript"/>
      <sz val="10"/>
      <color rgb="FF000000"/>
      <name val="Arial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scheme val="minor"/>
    </font>
    <font>
      <sz val="9"/>
      <color indexed="81"/>
      <name val="Tahoma"/>
      <family val="2"/>
    </font>
    <font>
      <sz val="11"/>
      <color theme="0" tint="-0.499984740745262"/>
      <name val="Calibri"/>
      <family val="2"/>
      <scheme val="minor"/>
    </font>
    <font>
      <b/>
      <sz val="9"/>
      <color indexed="81"/>
      <name val="Tahoma"/>
      <family val="2"/>
    </font>
    <font>
      <sz val="8.5"/>
      <name val="Microsoft Sans Serif"/>
      <family val="2"/>
    </font>
  </fonts>
  <fills count="1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AFBFE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B0B7BB"/>
      </left>
      <right style="medium">
        <color indexed="64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C1C1C1"/>
      </left>
      <right style="medium">
        <color indexed="64"/>
      </right>
      <top style="thin">
        <color rgb="FFC1C1C1"/>
      </top>
      <bottom style="thin">
        <color rgb="FFC1C1C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rgb="FFB0B7BB"/>
      </right>
      <top/>
      <bottom/>
      <diagonal/>
    </border>
    <border>
      <left style="thin">
        <color rgb="FFC1C1C1"/>
      </left>
      <right style="thin">
        <color rgb="FFC1C1C1"/>
      </right>
      <top/>
      <bottom/>
      <diagonal/>
    </border>
    <border>
      <left style="thin">
        <color rgb="FFC1C1C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249977111117893"/>
      </right>
      <top style="medium">
        <color indexed="64"/>
      </top>
      <bottom/>
      <diagonal/>
    </border>
    <border>
      <left/>
      <right style="thin">
        <color theme="0" tint="-0.14999847407452621"/>
      </right>
      <top style="medium">
        <color indexed="64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249977111117893"/>
      </right>
      <top/>
      <bottom style="medium">
        <color indexed="64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" fillId="2" borderId="0" applyNumberFormat="0" applyBorder="0" applyAlignment="0" applyProtection="0"/>
    <xf numFmtId="0" fontId="3" fillId="0" borderId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3" fontId="12" fillId="0" borderId="0" applyFont="0" applyFill="0" applyBorder="0" applyAlignment="0" applyProtection="0"/>
    <xf numFmtId="0" fontId="28" fillId="0" borderId="0"/>
    <xf numFmtId="44" fontId="3" fillId="0" borderId="0" applyFont="0" applyFill="0" applyBorder="0" applyAlignment="0" applyProtection="0"/>
    <xf numFmtId="0" fontId="32" fillId="0" borderId="0">
      <alignment vertical="top" wrapText="1"/>
      <protection locked="0"/>
    </xf>
  </cellStyleXfs>
  <cellXfs count="348">
    <xf numFmtId="0" fontId="0" fillId="0" borderId="0" xfId="0"/>
    <xf numFmtId="164" fontId="0" fillId="0" borderId="0" xfId="0" applyNumberFormat="1"/>
    <xf numFmtId="0" fontId="3" fillId="0" borderId="0" xfId="2"/>
    <xf numFmtId="0" fontId="2" fillId="0" borderId="0" xfId="0" applyFont="1"/>
    <xf numFmtId="44" fontId="0" fillId="0" borderId="0" xfId="3" applyFont="1"/>
    <xf numFmtId="44" fontId="3" fillId="0" borderId="0" xfId="3" applyFont="1" applyFill="1" applyBorder="1" applyAlignment="1" applyProtection="1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2" applyFont="1"/>
    <xf numFmtId="8" fontId="0" fillId="0" borderId="0" xfId="0" applyNumberFormat="1"/>
    <xf numFmtId="0" fontId="7" fillId="0" borderId="0" xfId="0" applyFont="1" applyAlignment="1">
      <alignment vertical="center" wrapText="1"/>
    </xf>
    <xf numFmtId="0" fontId="8" fillId="0" borderId="0" xfId="0" applyFont="1"/>
    <xf numFmtId="0" fontId="9" fillId="0" borderId="0" xfId="0" applyFont="1"/>
    <xf numFmtId="0" fontId="0" fillId="0" borderId="0" xfId="0" applyAlignment="1">
      <alignment vertical="top"/>
    </xf>
    <xf numFmtId="165" fontId="0" fillId="0" borderId="0" xfId="0" applyNumberFormat="1"/>
    <xf numFmtId="0" fontId="9" fillId="0" borderId="0" xfId="0" applyFont="1" applyAlignment="1">
      <alignment horizontal="center"/>
    </xf>
    <xf numFmtId="166" fontId="0" fillId="0" borderId="0" xfId="3" applyNumberFormat="1" applyFont="1" applyFill="1" applyBorder="1" applyAlignment="1">
      <alignment horizontal="right"/>
    </xf>
    <xf numFmtId="167" fontId="0" fillId="0" borderId="0" xfId="3" applyNumberFormat="1" applyFont="1" applyFill="1" applyBorder="1"/>
    <xf numFmtId="0" fontId="0" fillId="0" borderId="0" xfId="0" applyAlignment="1">
      <alignment horizontal="right"/>
    </xf>
    <xf numFmtId="167" fontId="0" fillId="0" borderId="0" xfId="3" applyNumberFormat="1" applyFont="1" applyFill="1" applyBorder="1" applyAlignment="1">
      <alignment horizontal="right"/>
    </xf>
    <xf numFmtId="167" fontId="2" fillId="0" borderId="0" xfId="3" applyNumberFormat="1" applyFont="1" applyFill="1" applyBorder="1" applyAlignment="1">
      <alignment horizontal="right"/>
    </xf>
    <xf numFmtId="169" fontId="0" fillId="0" borderId="0" xfId="0" applyNumberFormat="1" applyAlignment="1">
      <alignment horizontal="right"/>
    </xf>
    <xf numFmtId="0" fontId="0" fillId="5" borderId="0" xfId="0" applyFill="1"/>
    <xf numFmtId="169" fontId="0" fillId="5" borderId="0" xfId="0" applyNumberFormat="1" applyFill="1" applyAlignment="1">
      <alignment horizontal="right"/>
    </xf>
    <xf numFmtId="0" fontId="0" fillId="5" borderId="0" xfId="0" applyFill="1" applyAlignment="1">
      <alignment horizontal="right"/>
    </xf>
    <xf numFmtId="167" fontId="0" fillId="5" borderId="0" xfId="3" applyNumberFormat="1" applyFont="1" applyFill="1" applyBorder="1" applyAlignment="1">
      <alignment horizontal="right"/>
    </xf>
    <xf numFmtId="9" fontId="0" fillId="0" borderId="0" xfId="6" applyFont="1"/>
    <xf numFmtId="0" fontId="2" fillId="5" borderId="0" xfId="0" applyFont="1" applyFill="1"/>
    <xf numFmtId="167" fontId="2" fillId="5" borderId="0" xfId="3" applyNumberFormat="1" applyFont="1" applyFill="1" applyBorder="1" applyAlignment="1">
      <alignment horizontal="right"/>
    </xf>
    <xf numFmtId="169" fontId="3" fillId="0" borderId="0" xfId="3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44" fontId="3" fillId="0" borderId="0" xfId="3" applyFont="1" applyFill="1" applyBorder="1" applyAlignment="1">
      <alignment horizontal="right"/>
    </xf>
    <xf numFmtId="170" fontId="0" fillId="0" borderId="13" xfId="3" applyNumberFormat="1" applyFont="1" applyFill="1" applyBorder="1" applyAlignment="1">
      <alignment horizontal="right"/>
    </xf>
    <xf numFmtId="167" fontId="0" fillId="0" borderId="11" xfId="3" applyNumberFormat="1" applyFont="1" applyFill="1" applyBorder="1" applyAlignment="1">
      <alignment horizontal="right"/>
    </xf>
    <xf numFmtId="171" fontId="0" fillId="0" borderId="0" xfId="3" applyNumberFormat="1" applyFont="1" applyFill="1" applyBorder="1" applyAlignment="1">
      <alignment horizontal="right"/>
    </xf>
    <xf numFmtId="0" fontId="10" fillId="0" borderId="0" xfId="0" applyFont="1"/>
    <xf numFmtId="0" fontId="11" fillId="0" borderId="0" xfId="0" applyFont="1"/>
    <xf numFmtId="172" fontId="0" fillId="0" borderId="0" xfId="5" applyNumberFormat="1" applyFont="1" applyBorder="1"/>
    <xf numFmtId="174" fontId="0" fillId="0" borderId="0" xfId="7" applyNumberFormat="1" applyFont="1" applyBorder="1"/>
    <xf numFmtId="44" fontId="0" fillId="0" borderId="0" xfId="3" applyFont="1" applyFill="1" applyBorder="1"/>
    <xf numFmtId="0" fontId="5" fillId="0" borderId="0" xfId="4"/>
    <xf numFmtId="1" fontId="0" fillId="0" borderId="0" xfId="0" applyNumberFormat="1"/>
    <xf numFmtId="175" fontId="0" fillId="0" borderId="0" xfId="0" applyNumberFormat="1"/>
    <xf numFmtId="175" fontId="0" fillId="0" borderId="0" xfId="7" applyNumberFormat="1" applyFont="1" applyBorder="1"/>
    <xf numFmtId="176" fontId="0" fillId="0" borderId="0" xfId="0" applyNumberFormat="1"/>
    <xf numFmtId="0" fontId="10" fillId="3" borderId="1" xfId="0" applyFont="1" applyFill="1" applyBorder="1" applyAlignment="1">
      <alignment horizontal="left"/>
    </xf>
    <xf numFmtId="0" fontId="13" fillId="0" borderId="0" xfId="0" applyFont="1"/>
    <xf numFmtId="0" fontId="9" fillId="6" borderId="14" xfId="0" applyFont="1" applyFill="1" applyBorder="1" applyAlignment="1">
      <alignment horizontal="left" vertical="top"/>
    </xf>
    <xf numFmtId="0" fontId="0" fillId="6" borderId="15" xfId="0" applyFill="1" applyBorder="1" applyAlignment="1">
      <alignment horizontal="right" vertical="top"/>
    </xf>
    <xf numFmtId="0" fontId="0" fillId="0" borderId="16" xfId="0" applyBorder="1" applyAlignment="1">
      <alignment horizontal="left" vertical="top"/>
    </xf>
    <xf numFmtId="177" fontId="3" fillId="0" borderId="0" xfId="5" applyNumberFormat="1" applyFont="1" applyFill="1" applyBorder="1"/>
    <xf numFmtId="177" fontId="0" fillId="0" borderId="0" xfId="5" applyNumberFormat="1" applyFont="1"/>
    <xf numFmtId="0" fontId="9" fillId="6" borderId="16" xfId="0" applyFont="1" applyFill="1" applyBorder="1" applyAlignment="1">
      <alignment horizontal="left" wrapText="1"/>
    </xf>
    <xf numFmtId="0" fontId="0" fillId="6" borderId="0" xfId="0" applyFill="1" applyAlignment="1">
      <alignment horizontal="right"/>
    </xf>
    <xf numFmtId="11" fontId="0" fillId="0" borderId="0" xfId="0" applyNumberFormat="1"/>
    <xf numFmtId="0" fontId="9" fillId="6" borderId="16" xfId="0" applyFont="1" applyFill="1" applyBorder="1" applyAlignment="1">
      <alignment horizontal="left"/>
    </xf>
    <xf numFmtId="0" fontId="0" fillId="6" borderId="0" xfId="0" applyFill="1" applyAlignment="1">
      <alignment horizontal="right" vertical="top"/>
    </xf>
    <xf numFmtId="6" fontId="0" fillId="0" borderId="0" xfId="0" applyNumberFormat="1"/>
    <xf numFmtId="0" fontId="0" fillId="0" borderId="17" xfId="0" applyBorder="1" applyAlignment="1">
      <alignment horizontal="left" vertical="top"/>
    </xf>
    <xf numFmtId="6" fontId="0" fillId="0" borderId="18" xfId="0" applyNumberFormat="1" applyBorder="1"/>
    <xf numFmtId="178" fontId="0" fillId="0" borderId="0" xfId="0" applyNumberFormat="1"/>
    <xf numFmtId="179" fontId="0" fillId="7" borderId="0" xfId="6" applyNumberFormat="1" applyFont="1" applyFill="1" applyBorder="1"/>
    <xf numFmtId="180" fontId="0" fillId="7" borderId="0" xfId="0" applyNumberFormat="1" applyFill="1"/>
    <xf numFmtId="180" fontId="0" fillId="0" borderId="0" xfId="0" applyNumberFormat="1"/>
    <xf numFmtId="0" fontId="10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172" fontId="0" fillId="0" borderId="0" xfId="5" applyNumberFormat="1" applyFont="1" applyFill="1" applyBorder="1"/>
    <xf numFmtId="5" fontId="0" fillId="0" borderId="0" xfId="0" applyNumberFormat="1"/>
    <xf numFmtId="44" fontId="0" fillId="0" borderId="0" xfId="0" applyNumberFormat="1"/>
    <xf numFmtId="44" fontId="0" fillId="0" borderId="0" xfId="3" applyFont="1" applyBorder="1"/>
    <xf numFmtId="0" fontId="14" fillId="0" borderId="0" xfId="0" applyFont="1"/>
    <xf numFmtId="0" fontId="15" fillId="8" borderId="19" xfId="0" applyFont="1" applyFill="1" applyBorder="1" applyAlignment="1">
      <alignment horizontal="center" vertical="center" wrapText="1"/>
    </xf>
    <xf numFmtId="0" fontId="15" fillId="8" borderId="10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1" xfId="0" applyFont="1" applyBorder="1" applyAlignment="1">
      <alignment vertical="center"/>
    </xf>
    <xf numFmtId="0" fontId="16" fillId="0" borderId="0" xfId="0" applyFont="1" applyAlignment="1">
      <alignment vertical="center" wrapText="1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5" xfId="0" applyBorder="1"/>
    <xf numFmtId="0" fontId="0" fillId="0" borderId="26" xfId="0" applyBorder="1"/>
    <xf numFmtId="0" fontId="0" fillId="9" borderId="16" xfId="0" applyFill="1" applyBorder="1" applyAlignment="1">
      <alignment horizontal="left"/>
    </xf>
    <xf numFmtId="0" fontId="0" fillId="9" borderId="0" xfId="0" applyFill="1" applyAlignment="1">
      <alignment horizontal="left"/>
    </xf>
    <xf numFmtId="0" fontId="0" fillId="9" borderId="24" xfId="0" applyFill="1" applyBorder="1" applyAlignment="1">
      <alignment horizontal="left"/>
    </xf>
    <xf numFmtId="181" fontId="0" fillId="0" borderId="0" xfId="0" applyNumberFormat="1"/>
    <xf numFmtId="168" fontId="0" fillId="0" borderId="0" xfId="6" applyNumberFormat="1" applyFont="1"/>
    <xf numFmtId="182" fontId="0" fillId="0" borderId="25" xfId="3" applyNumberFormat="1" applyFont="1" applyBorder="1"/>
    <xf numFmtId="0" fontId="18" fillId="10" borderId="28" xfId="0" applyFont="1" applyFill="1" applyBorder="1" applyAlignment="1">
      <alignment horizontal="center"/>
    </xf>
    <xf numFmtId="0" fontId="18" fillId="10" borderId="29" xfId="0" applyFont="1" applyFill="1" applyBorder="1" applyAlignment="1">
      <alignment horizontal="center"/>
    </xf>
    <xf numFmtId="184" fontId="18" fillId="10" borderId="28" xfId="0" applyNumberFormat="1" applyFont="1" applyFill="1" applyBorder="1" applyAlignment="1">
      <alignment horizontal="left" vertical="top"/>
    </xf>
    <xf numFmtId="181" fontId="0" fillId="11" borderId="30" xfId="0" applyNumberFormat="1" applyFill="1" applyBorder="1" applyAlignment="1">
      <alignment horizontal="right"/>
    </xf>
    <xf numFmtId="185" fontId="0" fillId="11" borderId="30" xfId="0" applyNumberFormat="1" applyFill="1" applyBorder="1" applyAlignment="1">
      <alignment horizontal="right"/>
    </xf>
    <xf numFmtId="185" fontId="0" fillId="11" borderId="31" xfId="0" applyNumberFormat="1" applyFill="1" applyBorder="1" applyAlignment="1">
      <alignment horizontal="right"/>
    </xf>
    <xf numFmtId="0" fontId="0" fillId="0" borderId="7" xfId="0" applyBorder="1"/>
    <xf numFmtId="181" fontId="0" fillId="0" borderId="2" xfId="0" applyNumberFormat="1" applyBorder="1"/>
    <xf numFmtId="9" fontId="0" fillId="0" borderId="2" xfId="0" applyNumberFormat="1" applyBorder="1"/>
    <xf numFmtId="0" fontId="0" fillId="0" borderId="6" xfId="0" applyBorder="1"/>
    <xf numFmtId="182" fontId="0" fillId="0" borderId="7" xfId="3" applyNumberFormat="1" applyFont="1" applyBorder="1"/>
    <xf numFmtId="0" fontId="0" fillId="0" borderId="14" xfId="0" applyBorder="1"/>
    <xf numFmtId="0" fontId="0" fillId="0" borderId="15" xfId="0" applyBorder="1"/>
    <xf numFmtId="0" fontId="0" fillId="0" borderId="20" xfId="0" applyBorder="1"/>
    <xf numFmtId="0" fontId="0" fillId="0" borderId="16" xfId="0" applyBorder="1"/>
    <xf numFmtId="0" fontId="12" fillId="0" borderId="0" xfId="0" applyFont="1"/>
    <xf numFmtId="0" fontId="0" fillId="0" borderId="24" xfId="0" applyBorder="1"/>
    <xf numFmtId="182" fontId="0" fillId="12" borderId="9" xfId="0" applyNumberFormat="1" applyFill="1" applyBorder="1"/>
    <xf numFmtId="0" fontId="0" fillId="0" borderId="18" xfId="0" applyBorder="1"/>
    <xf numFmtId="0" fontId="0" fillId="0" borderId="12" xfId="0" applyBorder="1"/>
    <xf numFmtId="0" fontId="18" fillId="10" borderId="28" xfId="0" applyFont="1" applyFill="1" applyBorder="1" applyAlignment="1">
      <alignment horizontal="left" vertical="top" wrapText="1"/>
    </xf>
    <xf numFmtId="187" fontId="0" fillId="11" borderId="30" xfId="0" applyNumberFormat="1" applyFill="1" applyBorder="1" applyAlignment="1">
      <alignment horizontal="right"/>
    </xf>
    <xf numFmtId="176" fontId="0" fillId="12" borderId="9" xfId="0" applyNumberFormat="1" applyFill="1" applyBorder="1"/>
    <xf numFmtId="0" fontId="0" fillId="0" borderId="32" xfId="0" applyBorder="1"/>
    <xf numFmtId="0" fontId="0" fillId="0" borderId="33" xfId="0" applyBorder="1"/>
    <xf numFmtId="181" fontId="0" fillId="3" borderId="32" xfId="0" applyNumberFormat="1" applyFill="1" applyBorder="1"/>
    <xf numFmtId="0" fontId="0" fillId="0" borderId="17" xfId="0" applyBorder="1"/>
    <xf numFmtId="0" fontId="0" fillId="0" borderId="34" xfId="0" applyBorder="1"/>
    <xf numFmtId="3" fontId="0" fillId="3" borderId="34" xfId="0" applyNumberFormat="1" applyFill="1" applyBorder="1"/>
    <xf numFmtId="186" fontId="18" fillId="10" borderId="27" xfId="0" applyNumberFormat="1" applyFont="1" applyFill="1" applyBorder="1" applyAlignment="1">
      <alignment horizontal="left" vertical="top"/>
    </xf>
    <xf numFmtId="181" fontId="2" fillId="11" borderId="30" xfId="0" applyNumberFormat="1" applyFont="1" applyFill="1" applyBorder="1" applyAlignment="1">
      <alignment horizontal="right"/>
    </xf>
    <xf numFmtId="185" fontId="2" fillId="11" borderId="30" xfId="0" applyNumberFormat="1" applyFont="1" applyFill="1" applyBorder="1" applyAlignment="1">
      <alignment horizontal="right"/>
    </xf>
    <xf numFmtId="185" fontId="2" fillId="11" borderId="31" xfId="0" applyNumberFormat="1" applyFont="1" applyFill="1" applyBorder="1" applyAlignment="1">
      <alignment horizontal="right"/>
    </xf>
    <xf numFmtId="0" fontId="0" fillId="0" borderId="35" xfId="0" applyBorder="1"/>
    <xf numFmtId="0" fontId="18" fillId="3" borderId="36" xfId="0" applyFont="1" applyFill="1" applyBorder="1" applyAlignment="1">
      <alignment horizontal="left" vertical="top"/>
    </xf>
    <xf numFmtId="183" fontId="18" fillId="3" borderId="37" xfId="0" applyNumberFormat="1" applyFont="1" applyFill="1" applyBorder="1" applyAlignment="1">
      <alignment horizontal="left" vertical="top"/>
    </xf>
    <xf numFmtId="181" fontId="0" fillId="3" borderId="38" xfId="0" applyNumberFormat="1" applyFill="1" applyBorder="1" applyAlignment="1">
      <alignment horizontal="right"/>
    </xf>
    <xf numFmtId="185" fontId="0" fillId="3" borderId="38" xfId="0" applyNumberFormat="1" applyFill="1" applyBorder="1" applyAlignment="1">
      <alignment horizontal="right"/>
    </xf>
    <xf numFmtId="181" fontId="0" fillId="3" borderId="39" xfId="0" applyNumberFormat="1" applyFill="1" applyBorder="1" applyAlignment="1">
      <alignment horizontal="right"/>
    </xf>
    <xf numFmtId="185" fontId="0" fillId="3" borderId="36" xfId="0" applyNumberFormat="1" applyFill="1" applyBorder="1" applyAlignment="1">
      <alignment horizontal="right"/>
    </xf>
    <xf numFmtId="185" fontId="0" fillId="3" borderId="35" xfId="0" applyNumberFormat="1" applyFill="1" applyBorder="1" applyAlignment="1">
      <alignment horizontal="right"/>
    </xf>
    <xf numFmtId="181" fontId="0" fillId="3" borderId="35" xfId="0" applyNumberFormat="1" applyFill="1" applyBorder="1" applyAlignment="1">
      <alignment horizontal="right"/>
    </xf>
    <xf numFmtId="0" fontId="18" fillId="3" borderId="35" xfId="0" applyFont="1" applyFill="1" applyBorder="1" applyAlignment="1">
      <alignment horizontal="left" vertical="top"/>
    </xf>
    <xf numFmtId="183" fontId="18" fillId="3" borderId="35" xfId="0" applyNumberFormat="1" applyFont="1" applyFill="1" applyBorder="1" applyAlignment="1">
      <alignment horizontal="left" vertical="top"/>
    </xf>
    <xf numFmtId="3" fontId="20" fillId="0" borderId="0" xfId="0" applyNumberFormat="1" applyFont="1" applyAlignment="1">
      <alignment horizontal="right" indent="1"/>
    </xf>
    <xf numFmtId="188" fontId="18" fillId="3" borderId="35" xfId="0" applyNumberFormat="1" applyFont="1" applyFill="1" applyBorder="1" applyAlignment="1">
      <alignment horizontal="left" vertical="top"/>
    </xf>
    <xf numFmtId="187" fontId="0" fillId="3" borderId="35" xfId="0" applyNumberFormat="1" applyFill="1" applyBorder="1" applyAlignment="1">
      <alignment horizontal="right"/>
    </xf>
    <xf numFmtId="0" fontId="0" fillId="3" borderId="35" xfId="0" applyFill="1" applyBorder="1" applyAlignment="1">
      <alignment horizontal="left"/>
    </xf>
    <xf numFmtId="0" fontId="19" fillId="3" borderId="35" xfId="0" applyFont="1" applyFill="1" applyBorder="1" applyAlignment="1">
      <alignment horizontal="left" wrapText="1"/>
    </xf>
    <xf numFmtId="0" fontId="6" fillId="13" borderId="14" xfId="0" applyFont="1" applyFill="1" applyBorder="1"/>
    <xf numFmtId="0" fontId="6" fillId="13" borderId="15" xfId="0" applyFont="1" applyFill="1" applyBorder="1"/>
    <xf numFmtId="0" fontId="6" fillId="13" borderId="20" xfId="0" applyFont="1" applyFill="1" applyBorder="1"/>
    <xf numFmtId="0" fontId="6" fillId="13" borderId="40" xfId="0" applyFont="1" applyFill="1" applyBorder="1"/>
    <xf numFmtId="0" fontId="6" fillId="13" borderId="0" xfId="0" applyFont="1" applyFill="1" applyAlignment="1">
      <alignment wrapText="1"/>
    </xf>
    <xf numFmtId="0" fontId="0" fillId="0" borderId="41" xfId="0" applyBorder="1"/>
    <xf numFmtId="43" fontId="22" fillId="0" borderId="20" xfId="0" applyNumberFormat="1" applyFont="1" applyBorder="1"/>
    <xf numFmtId="6" fontId="0" fillId="0" borderId="24" xfId="0" applyNumberFormat="1" applyBorder="1"/>
    <xf numFmtId="2" fontId="0" fillId="0" borderId="0" xfId="0" applyNumberFormat="1"/>
    <xf numFmtId="2" fontId="0" fillId="0" borderId="24" xfId="0" applyNumberFormat="1" applyBorder="1"/>
    <xf numFmtId="0" fontId="0" fillId="0" borderId="42" xfId="0" applyBorder="1" applyAlignment="1">
      <alignment horizontal="left"/>
    </xf>
    <xf numFmtId="10" fontId="0" fillId="0" borderId="15" xfId="0" applyNumberFormat="1" applyBorder="1"/>
    <xf numFmtId="0" fontId="0" fillId="0" borderId="43" xfId="0" applyBorder="1"/>
    <xf numFmtId="43" fontId="0" fillId="0" borderId="44" xfId="0" applyNumberFormat="1" applyBorder="1"/>
    <xf numFmtId="0" fontId="0" fillId="0" borderId="45" xfId="0" applyBorder="1" applyAlignment="1">
      <alignment horizontal="left"/>
    </xf>
    <xf numFmtId="10" fontId="0" fillId="0" borderId="0" xfId="0" applyNumberFormat="1"/>
    <xf numFmtId="0" fontId="0" fillId="0" borderId="46" xfId="0" applyBorder="1"/>
    <xf numFmtId="43" fontId="0" fillId="0" borderId="12" xfId="0" applyNumberFormat="1" applyBorder="1"/>
    <xf numFmtId="0" fontId="0" fillId="0" borderId="47" xfId="0" applyBorder="1" applyAlignment="1">
      <alignment horizontal="left"/>
    </xf>
    <xf numFmtId="0" fontId="15" fillId="8" borderId="13" xfId="0" applyFont="1" applyFill="1" applyBorder="1" applyAlignment="1">
      <alignment horizontal="center" vertical="center" wrapText="1"/>
    </xf>
    <xf numFmtId="0" fontId="15" fillId="8" borderId="11" xfId="0" applyFont="1" applyFill="1" applyBorder="1" applyAlignment="1">
      <alignment horizontal="center" vertical="center" wrapText="1"/>
    </xf>
    <xf numFmtId="0" fontId="15" fillId="8" borderId="18" xfId="0" applyFont="1" applyFill="1" applyBorder="1" applyAlignment="1">
      <alignment horizontal="center" vertical="center" wrapText="1"/>
    </xf>
    <xf numFmtId="0" fontId="15" fillId="8" borderId="12" xfId="0" applyFont="1" applyFill="1" applyBorder="1" applyAlignment="1">
      <alignment horizontal="center" vertical="center" wrapText="1"/>
    </xf>
    <xf numFmtId="0" fontId="6" fillId="13" borderId="19" xfId="0" applyFont="1" applyFill="1" applyBorder="1"/>
    <xf numFmtId="0" fontId="6" fillId="13" borderId="49" xfId="0" applyFont="1" applyFill="1" applyBorder="1"/>
    <xf numFmtId="0" fontId="6" fillId="13" borderId="10" xfId="0" applyFont="1" applyFill="1" applyBorder="1"/>
    <xf numFmtId="11" fontId="0" fillId="0" borderId="33" xfId="0" applyNumberFormat="1" applyBorder="1"/>
    <xf numFmtId="0" fontId="0" fillId="0" borderId="50" xfId="0" applyBorder="1"/>
    <xf numFmtId="11" fontId="0" fillId="0" borderId="32" xfId="0" applyNumberFormat="1" applyBorder="1"/>
    <xf numFmtId="11" fontId="0" fillId="0" borderId="34" xfId="0" applyNumberFormat="1" applyBorder="1"/>
    <xf numFmtId="0" fontId="0" fillId="0" borderId="1" xfId="0" applyBorder="1"/>
    <xf numFmtId="189" fontId="0" fillId="0" borderId="1" xfId="5" applyNumberFormat="1" applyFont="1" applyBorder="1"/>
    <xf numFmtId="6" fontId="0" fillId="0" borderId="12" xfId="0" applyNumberFormat="1" applyBorder="1"/>
    <xf numFmtId="2" fontId="0" fillId="0" borderId="18" xfId="0" applyNumberFormat="1" applyBorder="1"/>
    <xf numFmtId="2" fontId="0" fillId="0" borderId="12" xfId="0" applyNumberFormat="1" applyBorder="1"/>
    <xf numFmtId="43" fontId="0" fillId="0" borderId="0" xfId="0" applyNumberFormat="1"/>
    <xf numFmtId="6" fontId="7" fillId="0" borderId="0" xfId="0" applyNumberFormat="1" applyFont="1" applyAlignment="1">
      <alignment vertical="center" wrapText="1"/>
    </xf>
    <xf numFmtId="167" fontId="0" fillId="0" borderId="0" xfId="0" applyNumberFormat="1"/>
    <xf numFmtId="0" fontId="0" fillId="0" borderId="0" xfId="0" applyAlignment="1">
      <alignment horizontal="center"/>
    </xf>
    <xf numFmtId="0" fontId="9" fillId="0" borderId="0" xfId="0" applyFont="1" applyAlignment="1">
      <alignment horizontal="left"/>
    </xf>
    <xf numFmtId="0" fontId="0" fillId="0" borderId="0" xfId="0" applyAlignment="1">
      <alignment vertical="center"/>
    </xf>
    <xf numFmtId="9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/>
    </xf>
    <xf numFmtId="0" fontId="0" fillId="0" borderId="0" xfId="0" applyBorder="1"/>
    <xf numFmtId="0" fontId="0" fillId="0" borderId="2" xfId="0" applyBorder="1"/>
    <xf numFmtId="0" fontId="25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vertical="center" wrapText="1"/>
    </xf>
    <xf numFmtId="3" fontId="0" fillId="0" borderId="0" xfId="0" applyNumberFormat="1"/>
    <xf numFmtId="0" fontId="2" fillId="0" borderId="2" xfId="0" applyFont="1" applyBorder="1"/>
    <xf numFmtId="0" fontId="27" fillId="0" borderId="0" xfId="0" applyFont="1" applyAlignment="1">
      <alignment horizontal="left"/>
    </xf>
    <xf numFmtId="0" fontId="0" fillId="14" borderId="0" xfId="0" applyFill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44" fontId="0" fillId="0" borderId="0" xfId="3" applyFont="1" applyAlignment="1">
      <alignment horizontal="right"/>
    </xf>
    <xf numFmtId="6" fontId="7" fillId="0" borderId="0" xfId="0" applyNumberFormat="1" applyFont="1" applyFill="1" applyAlignment="1">
      <alignment vertical="center" wrapText="1"/>
    </xf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7" fontId="2" fillId="0" borderId="1" xfId="0" applyNumberFormat="1" applyFont="1" applyBorder="1"/>
    <xf numFmtId="0" fontId="7" fillId="0" borderId="0" xfId="0" applyFont="1" applyFill="1" applyAlignment="1">
      <alignment vertical="center" wrapText="1"/>
    </xf>
    <xf numFmtId="0" fontId="0" fillId="0" borderId="0" xfId="0" applyFill="1"/>
    <xf numFmtId="0" fontId="26" fillId="0" borderId="0" xfId="0" applyFont="1"/>
    <xf numFmtId="0" fontId="0" fillId="0" borderId="51" xfId="0" applyBorder="1"/>
    <xf numFmtId="167" fontId="0" fillId="0" borderId="51" xfId="0" applyNumberFormat="1" applyBorder="1"/>
    <xf numFmtId="0" fontId="2" fillId="0" borderId="52" xfId="0" applyFont="1" applyBorder="1"/>
    <xf numFmtId="167" fontId="2" fillId="0" borderId="52" xfId="0" applyNumberFormat="1" applyFont="1" applyBorder="1"/>
    <xf numFmtId="167" fontId="0" fillId="0" borderId="26" xfId="0" applyNumberFormat="1" applyBorder="1"/>
    <xf numFmtId="167" fontId="0" fillId="0" borderId="6" xfId="0" applyNumberFormat="1" applyBorder="1"/>
    <xf numFmtId="167" fontId="0" fillId="0" borderId="23" xfId="0" applyNumberFormat="1" applyBorder="1"/>
    <xf numFmtId="0" fontId="0" fillId="0" borderId="8" xfId="0" applyBorder="1"/>
    <xf numFmtId="0" fontId="0" fillId="0" borderId="52" xfId="0" applyBorder="1"/>
    <xf numFmtId="167" fontId="0" fillId="0" borderId="8" xfId="0" applyNumberFormat="1" applyBorder="1"/>
    <xf numFmtId="0" fontId="2" fillId="0" borderId="0" xfId="0" applyFont="1" applyBorder="1"/>
    <xf numFmtId="167" fontId="2" fillId="0" borderId="0" xfId="0" applyNumberFormat="1" applyFont="1" applyBorder="1"/>
    <xf numFmtId="0" fontId="7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0" fillId="0" borderId="21" xfId="0" applyBorder="1" applyAlignment="1">
      <alignment horizontal="right"/>
    </xf>
    <xf numFmtId="9" fontId="0" fillId="0" borderId="23" xfId="0" applyNumberFormat="1" applyBorder="1"/>
    <xf numFmtId="0" fontId="0" fillId="0" borderId="25" xfId="0" applyBorder="1" applyAlignment="1">
      <alignment horizontal="right"/>
    </xf>
    <xf numFmtId="9" fontId="0" fillId="0" borderId="26" xfId="0" applyNumberFormat="1" applyBorder="1"/>
    <xf numFmtId="0" fontId="0" fillId="0" borderId="7" xfId="0" applyBorder="1" applyAlignment="1">
      <alignment horizontal="right"/>
    </xf>
    <xf numFmtId="9" fontId="0" fillId="0" borderId="6" xfId="6" applyFont="1" applyBorder="1"/>
    <xf numFmtId="0" fontId="2" fillId="0" borderId="4" xfId="0" applyFont="1" applyBorder="1" applyAlignment="1">
      <alignment horizontal="right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4" fontId="0" fillId="0" borderId="1" xfId="3" applyFont="1" applyBorder="1"/>
    <xf numFmtId="44" fontId="2" fillId="0" borderId="1" xfId="3" applyFont="1" applyBorder="1"/>
    <xf numFmtId="164" fontId="2" fillId="0" borderId="1" xfId="0" applyNumberFormat="1" applyFont="1" applyBorder="1"/>
    <xf numFmtId="9" fontId="0" fillId="0" borderId="22" xfId="0" applyNumberFormat="1" applyBorder="1"/>
    <xf numFmtId="1" fontId="0" fillId="0" borderId="22" xfId="0" applyNumberFormat="1" applyBorder="1"/>
    <xf numFmtId="9" fontId="0" fillId="0" borderId="22" xfId="6" applyFont="1" applyBorder="1"/>
    <xf numFmtId="9" fontId="0" fillId="0" borderId="23" xfId="6" applyFont="1" applyBorder="1"/>
    <xf numFmtId="9" fontId="0" fillId="0" borderId="0" xfId="0" applyNumberFormat="1" applyBorder="1"/>
    <xf numFmtId="1" fontId="0" fillId="0" borderId="0" xfId="0" applyNumberFormat="1" applyBorder="1"/>
    <xf numFmtId="9" fontId="0" fillId="0" borderId="0" xfId="6" applyFont="1" applyBorder="1"/>
    <xf numFmtId="9" fontId="0" fillId="0" borderId="26" xfId="6" applyFont="1" applyBorder="1"/>
    <xf numFmtId="1" fontId="0" fillId="0" borderId="2" xfId="0" applyNumberFormat="1" applyBorder="1"/>
    <xf numFmtId="9" fontId="0" fillId="0" borderId="2" xfId="6" applyFont="1" applyBorder="1"/>
    <xf numFmtId="5" fontId="0" fillId="0" borderId="0" xfId="0" applyNumberFormat="1" applyAlignment="1">
      <alignment horizontal="center"/>
    </xf>
    <xf numFmtId="0" fontId="8" fillId="0" borderId="2" xfId="0" applyFont="1" applyBorder="1"/>
    <xf numFmtId="0" fontId="9" fillId="0" borderId="2" xfId="0" applyFont="1" applyBorder="1"/>
    <xf numFmtId="5" fontId="2" fillId="0" borderId="0" xfId="0" applyNumberFormat="1" applyFont="1" applyAlignment="1">
      <alignment horizontal="center"/>
    </xf>
    <xf numFmtId="0" fontId="0" fillId="0" borderId="4" xfId="0" applyBorder="1"/>
    <xf numFmtId="0" fontId="0" fillId="0" borderId="5" xfId="0" applyBorder="1"/>
    <xf numFmtId="0" fontId="2" fillId="0" borderId="3" xfId="0" applyFont="1" applyFill="1" applyBorder="1"/>
    <xf numFmtId="0" fontId="2" fillId="0" borderId="5" xfId="0" applyFont="1" applyFill="1" applyBorder="1" applyAlignment="1">
      <alignment horizontal="center"/>
    </xf>
    <xf numFmtId="0" fontId="2" fillId="0" borderId="21" xfId="0" applyFont="1" applyBorder="1"/>
    <xf numFmtId="44" fontId="0" fillId="0" borderId="22" xfId="3" applyFont="1" applyBorder="1"/>
    <xf numFmtId="44" fontId="2" fillId="0" borderId="22" xfId="3" applyFont="1" applyBorder="1" applyAlignment="1">
      <alignment horizontal="center"/>
    </xf>
    <xf numFmtId="44" fontId="2" fillId="0" borderId="22" xfId="3" applyFont="1" applyBorder="1"/>
    <xf numFmtId="0" fontId="2" fillId="0" borderId="22" xfId="0" applyFont="1" applyBorder="1" applyAlignment="1">
      <alignment horizontal="center"/>
    </xf>
    <xf numFmtId="0" fontId="2" fillId="0" borderId="23" xfId="0" applyFont="1" applyBorder="1"/>
    <xf numFmtId="37" fontId="0" fillId="0" borderId="0" xfId="3" applyNumberFormat="1" applyFont="1" applyBorder="1"/>
    <xf numFmtId="1" fontId="0" fillId="0" borderId="0" xfId="3" applyNumberFormat="1" applyFont="1" applyBorder="1"/>
    <xf numFmtId="0" fontId="0" fillId="0" borderId="25" xfId="2" applyFont="1" applyBorder="1"/>
    <xf numFmtId="0" fontId="0" fillId="0" borderId="25" xfId="2" applyFont="1" applyFill="1" applyBorder="1"/>
    <xf numFmtId="0" fontId="2" fillId="0" borderId="3" xfId="2" applyFont="1" applyFill="1" applyBorder="1"/>
    <xf numFmtId="37" fontId="2" fillId="0" borderId="4" xfId="3" applyNumberFormat="1" applyFont="1" applyBorder="1"/>
    <xf numFmtId="9" fontId="2" fillId="0" borderId="4" xfId="6" applyFont="1" applyBorder="1"/>
    <xf numFmtId="1" fontId="2" fillId="0" borderId="4" xfId="3" applyNumberFormat="1" applyFont="1" applyBorder="1"/>
    <xf numFmtId="0" fontId="2" fillId="0" borderId="0" xfId="0" applyFont="1" applyFill="1" applyBorder="1"/>
    <xf numFmtId="0" fontId="26" fillId="0" borderId="21" xfId="0" applyFont="1" applyBorder="1"/>
    <xf numFmtId="0" fontId="26" fillId="0" borderId="22" xfId="0" applyFont="1" applyBorder="1"/>
    <xf numFmtId="0" fontId="2" fillId="0" borderId="0" xfId="0" applyFont="1" applyFill="1" applyBorder="1" applyAlignment="1">
      <alignment horizontal="right"/>
    </xf>
    <xf numFmtId="0" fontId="30" fillId="0" borderId="0" xfId="0" applyFont="1"/>
    <xf numFmtId="0" fontId="0" fillId="15" borderId="1" xfId="0" applyFill="1" applyBorder="1" applyAlignment="1">
      <alignment horizontal="center"/>
    </xf>
    <xf numFmtId="165" fontId="0" fillId="0" borderId="0" xfId="0" applyNumberFormat="1" applyAlignment="1">
      <alignment horizontal="center"/>
    </xf>
    <xf numFmtId="1" fontId="0" fillId="0" borderId="23" xfId="0" applyNumberFormat="1" applyBorder="1"/>
    <xf numFmtId="1" fontId="0" fillId="0" borderId="26" xfId="0" applyNumberFormat="1" applyBorder="1"/>
    <xf numFmtId="0" fontId="2" fillId="0" borderId="7" xfId="0" applyFont="1" applyBorder="1" applyAlignment="1">
      <alignment horizontal="right"/>
    </xf>
    <xf numFmtId="1" fontId="2" fillId="0" borderId="6" xfId="0" applyNumberFormat="1" applyFont="1" applyBorder="1"/>
    <xf numFmtId="0" fontId="2" fillId="0" borderId="0" xfId="0" applyFont="1" applyAlignment="1">
      <alignment horizontal="left" vertical="top"/>
    </xf>
    <xf numFmtId="0" fontId="0" fillId="0" borderId="0" xfId="0"/>
    <xf numFmtId="0" fontId="0" fillId="0" borderId="0" xfId="0" applyAlignment="1">
      <alignment horizontal="left" vertical="top"/>
    </xf>
    <xf numFmtId="0" fontId="0" fillId="16" borderId="0" xfId="0" applyFill="1" applyAlignment="1"/>
    <xf numFmtId="0" fontId="1" fillId="2" borderId="1" xfId="1" applyBorder="1" applyAlignment="1"/>
    <xf numFmtId="44" fontId="1" fillId="2" borderId="1" xfId="3" applyFont="1" applyFill="1" applyBorder="1" applyAlignment="1"/>
    <xf numFmtId="164" fontId="1" fillId="2" borderId="1" xfId="1" applyNumberFormat="1" applyBorder="1" applyAlignment="1"/>
    <xf numFmtId="44" fontId="1" fillId="2" borderId="8" xfId="3" applyFont="1" applyFill="1" applyBorder="1" applyAlignment="1"/>
    <xf numFmtId="0" fontId="0" fillId="0" borderId="0" xfId="0" applyAlignment="1"/>
    <xf numFmtId="44" fontId="0" fillId="0" borderId="0" xfId="3" applyFont="1" applyAlignment="1"/>
    <xf numFmtId="164" fontId="0" fillId="0" borderId="0" xfId="0" applyNumberFormat="1" applyAlignment="1"/>
    <xf numFmtId="0" fontId="5" fillId="0" borderId="0" xfId="4" applyAlignment="1"/>
    <xf numFmtId="0" fontId="3" fillId="0" borderId="0" xfId="2" applyAlignment="1"/>
    <xf numFmtId="0" fontId="5" fillId="0" borderId="0" xfId="4" applyNumberFormat="1" applyFill="1" applyBorder="1" applyAlignment="1" applyProtection="1"/>
    <xf numFmtId="0" fontId="2" fillId="0" borderId="0" xfId="0" applyFont="1" applyAlignment="1"/>
    <xf numFmtId="44" fontId="2" fillId="0" borderId="0" xfId="3" applyFont="1" applyAlignment="1"/>
    <xf numFmtId="164" fontId="0" fillId="4" borderId="0" xfId="0" applyNumberFormat="1" applyFill="1" applyAlignment="1"/>
    <xf numFmtId="1" fontId="0" fillId="0" borderId="0" xfId="3" applyNumberFormat="1" applyFont="1" applyAlignment="1"/>
    <xf numFmtId="0" fontId="0" fillId="4" borderId="0" xfId="0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0" fillId="4" borderId="0" xfId="0" applyFill="1" applyAlignment="1"/>
    <xf numFmtId="0" fontId="0" fillId="0" borderId="0" xfId="0" pivotButton="1"/>
    <xf numFmtId="0" fontId="0" fillId="0" borderId="0" xfId="0" applyNumberFormat="1"/>
    <xf numFmtId="0" fontId="0" fillId="4" borderId="0" xfId="0" applyFill="1"/>
    <xf numFmtId="0" fontId="0" fillId="17" borderId="0" xfId="0" applyFill="1"/>
    <xf numFmtId="0" fontId="0" fillId="18" borderId="0" xfId="0" applyFill="1"/>
    <xf numFmtId="7" fontId="0" fillId="0" borderId="0" xfId="0" applyNumberFormat="1"/>
    <xf numFmtId="0" fontId="0" fillId="0" borderId="0" xfId="0" applyFill="1" applyAlignment="1"/>
    <xf numFmtId="0" fontId="6" fillId="13" borderId="3" xfId="0" applyFont="1" applyFill="1" applyBorder="1" applyAlignment="1">
      <alignment vertical="top" wrapText="1"/>
    </xf>
    <xf numFmtId="0" fontId="22" fillId="0" borderId="0" xfId="10" applyFont="1" applyAlignment="1">
      <protection locked="0"/>
    </xf>
    <xf numFmtId="0" fontId="22" fillId="0" borderId="0" xfId="10" applyFont="1" applyAlignment="1">
      <alignment horizontal="center"/>
      <protection locked="0"/>
    </xf>
    <xf numFmtId="0" fontId="22" fillId="7" borderId="0" xfId="10" applyFont="1" applyFill="1" applyAlignment="1">
      <alignment horizontal="center"/>
      <protection locked="0"/>
    </xf>
    <xf numFmtId="0" fontId="5" fillId="0" borderId="0" xfId="4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right"/>
    </xf>
    <xf numFmtId="44" fontId="0" fillId="0" borderId="0" xfId="3" applyFont="1" applyFill="1"/>
    <xf numFmtId="0" fontId="21" fillId="0" borderId="0" xfId="0" applyFont="1" applyFill="1" applyAlignment="1">
      <alignment wrapText="1"/>
    </xf>
    <xf numFmtId="10" fontId="21" fillId="0" borderId="0" xfId="6" applyNumberFormat="1" applyFont="1" applyFill="1"/>
    <xf numFmtId="0" fontId="1" fillId="3" borderId="3" xfId="1" applyFill="1" applyBorder="1" applyAlignment="1">
      <alignment horizontal="center"/>
    </xf>
    <xf numFmtId="0" fontId="1" fillId="3" borderId="4" xfId="1" applyFill="1" applyBorder="1" applyAlignment="1">
      <alignment horizontal="center"/>
    </xf>
    <xf numFmtId="0" fontId="1" fillId="3" borderId="5" xfId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1" fillId="2" borderId="7" xfId="1" applyNumberFormat="1" applyBorder="1" applyAlignment="1">
      <alignment horizontal="center"/>
    </xf>
    <xf numFmtId="164" fontId="1" fillId="2" borderId="2" xfId="1" applyNumberFormat="1" applyBorder="1" applyAlignment="1">
      <alignment horizontal="center"/>
    </xf>
    <xf numFmtId="164" fontId="1" fillId="2" borderId="6" xfId="1" applyNumberFormat="1" applyBorder="1" applyAlignment="1">
      <alignment horizontal="center"/>
    </xf>
    <xf numFmtId="44" fontId="2" fillId="0" borderId="51" xfId="3" applyFont="1" applyBorder="1" applyAlignment="1">
      <alignment horizontal="center"/>
    </xf>
    <xf numFmtId="44" fontId="2" fillId="0" borderId="22" xfId="3" applyFont="1" applyBorder="1" applyAlignment="1">
      <alignment horizontal="center"/>
    </xf>
    <xf numFmtId="44" fontId="2" fillId="0" borderId="23" xfId="3" applyFont="1" applyBorder="1" applyAlignment="1">
      <alignment horizontal="center"/>
    </xf>
    <xf numFmtId="44" fontId="2" fillId="0" borderId="1" xfId="3" applyFont="1" applyBorder="1" applyAlignment="1">
      <alignment horizontal="center"/>
    </xf>
    <xf numFmtId="0" fontId="19" fillId="9" borderId="16" xfId="0" applyFont="1" applyFill="1" applyBorder="1" applyAlignment="1">
      <alignment horizontal="left" wrapText="1"/>
    </xf>
    <xf numFmtId="0" fontId="0" fillId="9" borderId="0" xfId="0" applyFill="1" applyAlignment="1">
      <alignment horizontal="left"/>
    </xf>
    <xf numFmtId="0" fontId="0" fillId="9" borderId="24" xfId="0" applyFill="1" applyBorder="1" applyAlignment="1">
      <alignment horizontal="left"/>
    </xf>
    <xf numFmtId="0" fontId="19" fillId="9" borderId="17" xfId="0" applyFont="1" applyFill="1" applyBorder="1" applyAlignment="1">
      <alignment horizontal="right" wrapText="1"/>
    </xf>
    <xf numFmtId="0" fontId="0" fillId="9" borderId="18" xfId="0" applyFill="1" applyBorder="1" applyAlignment="1">
      <alignment horizontal="left"/>
    </xf>
    <xf numFmtId="0" fontId="0" fillId="9" borderId="12" xfId="0" applyFill="1" applyBorder="1" applyAlignment="1">
      <alignment horizontal="left"/>
    </xf>
    <xf numFmtId="0" fontId="1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8" fillId="10" borderId="27" xfId="0" applyFont="1" applyFill="1" applyBorder="1" applyAlignment="1">
      <alignment horizontal="left" vertical="top" wrapText="1"/>
    </xf>
    <xf numFmtId="0" fontId="18" fillId="10" borderId="27" xfId="0" applyFont="1" applyFill="1" applyBorder="1" applyAlignment="1">
      <alignment horizontal="left" vertical="top"/>
    </xf>
    <xf numFmtId="186" fontId="18" fillId="10" borderId="27" xfId="0" applyNumberFormat="1" applyFont="1" applyFill="1" applyBorder="1" applyAlignment="1">
      <alignment horizontal="left" vertical="top"/>
    </xf>
    <xf numFmtId="0" fontId="17" fillId="9" borderId="14" xfId="0" applyFont="1" applyFill="1" applyBorder="1" applyAlignment="1">
      <alignment horizontal="center" wrapText="1"/>
    </xf>
    <xf numFmtId="0" fontId="0" fillId="9" borderId="15" xfId="0" applyFill="1" applyBorder="1" applyAlignment="1">
      <alignment horizontal="left"/>
    </xf>
    <xf numFmtId="0" fontId="0" fillId="9" borderId="20" xfId="0" applyFill="1" applyBorder="1" applyAlignment="1">
      <alignment horizontal="left"/>
    </xf>
    <xf numFmtId="0" fontId="17" fillId="9" borderId="16" xfId="0" applyFont="1" applyFill="1" applyBorder="1" applyAlignment="1">
      <alignment horizontal="center" wrapText="1"/>
    </xf>
    <xf numFmtId="0" fontId="18" fillId="10" borderId="27" xfId="0" applyFont="1" applyFill="1" applyBorder="1" applyAlignment="1">
      <alignment horizontal="center" vertical="center"/>
    </xf>
    <xf numFmtId="0" fontId="18" fillId="10" borderId="28" xfId="0" applyFont="1" applyFill="1" applyBorder="1" applyAlignment="1">
      <alignment horizontal="center" vertical="center"/>
    </xf>
    <xf numFmtId="0" fontId="18" fillId="10" borderId="28" xfId="0" applyFont="1" applyFill="1" applyBorder="1" applyAlignment="1">
      <alignment horizontal="center"/>
    </xf>
    <xf numFmtId="0" fontId="18" fillId="10" borderId="29" xfId="0" applyFont="1" applyFill="1" applyBorder="1" applyAlignment="1">
      <alignment horizontal="center"/>
    </xf>
    <xf numFmtId="183" fontId="18" fillId="10" borderId="28" xfId="0" applyNumberFormat="1" applyFont="1" applyFill="1" applyBorder="1" applyAlignment="1">
      <alignment horizontal="center"/>
    </xf>
    <xf numFmtId="0" fontId="18" fillId="10" borderId="28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0" fillId="0" borderId="0" xfId="0" applyAlignment="1">
      <alignment horizontal="left" wrapText="1"/>
    </xf>
    <xf numFmtId="0" fontId="23" fillId="8" borderId="15" xfId="0" applyFont="1" applyFill="1" applyBorder="1" applyAlignment="1">
      <alignment horizontal="center" vertical="center"/>
    </xf>
    <xf numFmtId="0" fontId="23" fillId="8" borderId="48" xfId="0" applyFont="1" applyFill="1" applyBorder="1" applyAlignment="1">
      <alignment horizontal="center" vertical="center"/>
    </xf>
  </cellXfs>
  <cellStyles count="11">
    <cellStyle name="Comma" xfId="5" builtinId="3"/>
    <cellStyle name="Currency" xfId="3" builtinId="4"/>
    <cellStyle name="Currency 2" xfId="9" xr:uid="{EFD26F38-B79C-4A50-A5DF-1805CBB45D21}"/>
    <cellStyle name="Factor" xfId="7" xr:uid="{BF36397F-A027-48FA-92F1-1A4F09601041}"/>
    <cellStyle name="Good" xfId="1" builtinId="26"/>
    <cellStyle name="Hyperlink" xfId="4" builtinId="8"/>
    <cellStyle name="Normal" xfId="0" builtinId="0"/>
    <cellStyle name="Normal 2" xfId="2" xr:uid="{7A49D75A-DB4E-44CD-9638-3F050D006255}"/>
    <cellStyle name="Normal 2 2" xfId="8" xr:uid="{8688C3A6-83F4-4053-9D71-45E7BC46612D}"/>
    <cellStyle name="Normal 2 3" xfId="10" xr:uid="{7DC5FCAB-41B1-4F15-92D7-B9662AEF0352}"/>
    <cellStyle name="Percent" xfId="6" builtinId="5"/>
  </cellStyles>
  <dxfs count="5">
    <dxf>
      <numFmt numFmtId="14" formatCode="0.00%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0" tint="-0.14999847407452621"/>
        </top>
        <bottom style="thin">
          <color theme="0" tint="-0.14999847407452621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ee, Jon" id="{4BB238D2-3565-4BD9-B8E2-1F701C6529EE}" userId="S::jon.lee@ebp-us.com::6e9f5118-e38b-4f7d-9a6e-3b2b66e8570c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lison Van Twisk" refreshedDate="44692.434365162037" createdVersion="7" refreshedVersion="7" minRefreshableVersion="3" recordCount="38" xr:uid="{4E163736-84ED-458E-BC01-1ED65B8F99EE}">
  <cacheSource type="worksheet">
    <worksheetSource ref="A1:H39" sheet="Crashes total"/>
  </cacheSource>
  <cacheFields count="8">
    <cacheField name="Year" numFmtId="0">
      <sharedItems containsSemiMixedTypes="0" containsString="0" containsNumber="1" containsInteger="1" minValue="77" maxValue="2021" count="24">
        <n v="2017"/>
        <n v="2015"/>
        <n v="2004"/>
        <n v="2021"/>
        <n v="2019"/>
        <n v="2014"/>
        <n v="2018"/>
        <n v="79"/>
        <n v="2007"/>
        <n v="2010"/>
        <n v="2016"/>
        <n v="2013"/>
        <n v="2006"/>
        <n v="81"/>
        <n v="94"/>
        <n v="77"/>
        <n v="2020"/>
        <n v="2003"/>
        <n v="91"/>
        <n v="2009"/>
        <n v="2012"/>
        <n v="80"/>
        <n v="90"/>
        <n v="2000"/>
      </sharedItems>
    </cacheField>
    <cacheField name="Location" numFmtId="0">
      <sharedItems/>
    </cacheField>
    <cacheField name="Vlookup ID" numFmtId="0">
      <sharedItems count="24">
        <s v="012076P"/>
        <s v="012248V"/>
        <s v="012074B"/>
        <s v="012073U"/>
        <s v="011921P"/>
        <s v="011927F"/>
        <s v="011926Y"/>
        <s v="011917A"/>
        <s v="012082T"/>
        <s v="012081L"/>
        <s v="012078D"/>
        <s v="012037Y"/>
        <s v="011979X"/>
        <s v="011976C"/>
        <s v="011920H"/>
        <s v="011914E"/>
        <s v="011901D"/>
        <e v="#N/A"/>
        <s v="011992L"/>
        <s v="011990X"/>
        <s v="011985B"/>
        <s v="011964H"/>
        <s v="011946K"/>
        <s v="011941B"/>
      </sharedItems>
    </cacheField>
    <cacheField name="Speed" numFmtId="0">
      <sharedItems containsString="0" containsBlank="1" containsNumber="1" containsInteger="1" minValue="1" maxValue="55"/>
    </cacheField>
    <cacheField name="Death" numFmtId="0">
      <sharedItems containsString="0" containsBlank="1" containsNumber="1" containsInteger="1" minValue="1" maxValue="2"/>
    </cacheField>
    <cacheField name="Injure" numFmtId="0">
      <sharedItems containsString="0" containsBlank="1" containsNumber="1" containsInteger="1" minValue="1" maxValue="3"/>
    </cacheField>
    <cacheField name="Auto" numFmtId="0">
      <sharedItems containsString="0" containsBlank="1" containsNumber="1" containsInteger="1" minValue="1" maxValue="1"/>
    </cacheField>
    <cacheField name="Person" numFmtId="0">
      <sharedItems containsString="0" containsBlank="1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lison Van Twisk" refreshedDate="44692.436158680553" createdVersion="7" refreshedVersion="7" minRefreshableVersion="3" recordCount="105" xr:uid="{51513021-6941-419E-B41D-6D4BA1AAE42A}">
  <cacheSource type="worksheet">
    <worksheetSource ref="B2:G107" sheet="Crash data collection"/>
  </cacheSource>
  <cacheFields count="6">
    <cacheField name="At Grade Crossing # (DOT)" numFmtId="0">
      <sharedItems count="29">
        <s v="012084G"/>
        <s v="012076P"/>
        <s v="012248V"/>
        <s v="012074B"/>
        <s v="012073U"/>
        <s v="011921P"/>
        <s v="011927F"/>
        <s v="011926Y"/>
        <s v="011917A"/>
        <s v="012082T"/>
        <s v="012081L"/>
        <s v="012078D"/>
        <s v="012037Y"/>
        <s v="011979X"/>
        <s v="011976C"/>
        <s v="011920H"/>
        <s v="011914E"/>
        <s v="011901D"/>
        <s v="012023R"/>
        <s v="012021C"/>
        <s v="012004L"/>
        <s v="011992L"/>
        <s v="011990X"/>
        <s v="011985B"/>
        <s v="011964H"/>
        <s v="011946K"/>
        <s v="011941B"/>
        <s v="011910C"/>
        <s v="011909H"/>
      </sharedItems>
    </cacheField>
    <cacheField name="Year of Incident" numFmtId="0">
      <sharedItems containsSemiMixedTypes="0" containsString="0" containsNumber="1" containsInteger="1" minValue="1975" maxValue="2021" count="39">
        <n v="1999"/>
        <n v="1991"/>
        <n v="1980"/>
        <n v="1979"/>
        <n v="2017"/>
        <n v="2015"/>
        <n v="2004"/>
        <n v="1990"/>
        <n v="1989"/>
        <n v="1984"/>
        <n v="1981"/>
        <n v="2021"/>
        <n v="2019"/>
        <n v="2014"/>
        <n v="2009"/>
        <n v="1995"/>
        <n v="1986"/>
        <n v="1992"/>
        <n v="1987"/>
        <n v="1978"/>
        <n v="1977"/>
        <n v="1976"/>
        <n v="1975"/>
        <n v="2018"/>
        <n v="1998"/>
        <n v="1994"/>
        <n v="2007"/>
        <n v="2010"/>
        <n v="2016"/>
        <n v="2013"/>
        <n v="2006"/>
        <n v="2020"/>
        <n v="2003"/>
        <n v="1983"/>
        <n v="1985"/>
        <n v="2001"/>
        <n v="1996"/>
        <n v="2012"/>
        <n v="2000"/>
      </sharedItems>
    </cacheField>
    <cacheField name="Highway user involved (PED or vehicle)" numFmtId="0">
      <sharedItems/>
    </cacheField>
    <cacheField name="Speed" numFmtId="0">
      <sharedItems containsMixedTypes="1" containsNumber="1" containsInteger="1" minValue="1" maxValue="70"/>
    </cacheField>
    <cacheField name="Type of warning" numFmtId="0">
      <sharedItems containsMixedTypes="1" containsNumber="1" containsInteger="1" minValue="1" maxValue="12"/>
    </cacheField>
    <cacheField name="Driver was" numFmtId="0">
      <sharedItems count="3">
        <s v="uninjured"/>
        <s v="killed"/>
        <s v="injured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">
  <r>
    <x v="0"/>
    <s v="Hefner OKC"/>
    <x v="0"/>
    <n v="50"/>
    <n v="2"/>
    <m/>
    <n v="1"/>
    <m/>
  </r>
  <r>
    <x v="1"/>
    <s v="Hefner OKC"/>
    <x v="0"/>
    <n v="38"/>
    <m/>
    <n v="1"/>
    <n v="1"/>
    <m/>
  </r>
  <r>
    <x v="2"/>
    <s v="Hefner OKC"/>
    <x v="0"/>
    <n v="50"/>
    <m/>
    <m/>
    <n v="1"/>
    <m/>
  </r>
  <r>
    <x v="3"/>
    <s v="122nd OKC"/>
    <x v="1"/>
    <n v="48"/>
    <m/>
    <n v="3"/>
    <n v="1"/>
    <m/>
  </r>
  <r>
    <x v="4"/>
    <s v="122nd OKC"/>
    <x v="1"/>
    <n v="39"/>
    <n v="1"/>
    <n v="1"/>
    <n v="1"/>
    <m/>
  </r>
  <r>
    <x v="1"/>
    <s v="122nd OKC"/>
    <x v="1"/>
    <n v="5"/>
    <m/>
    <n v="2"/>
    <n v="1"/>
    <m/>
  </r>
  <r>
    <x v="5"/>
    <s v="122nd OKC"/>
    <x v="1"/>
    <n v="49"/>
    <n v="1"/>
    <m/>
    <m/>
    <n v="1"/>
  </r>
  <r>
    <x v="0"/>
    <s v="Memorial OKC"/>
    <x v="2"/>
    <n v="52"/>
    <n v="2"/>
    <m/>
    <n v="1"/>
    <m/>
  </r>
  <r>
    <x v="2"/>
    <s v="Memorial OKC"/>
    <x v="2"/>
    <n v="50"/>
    <m/>
    <m/>
    <n v="1"/>
    <m/>
  </r>
  <r>
    <x v="6"/>
    <s v="Kelly OKC"/>
    <x v="3"/>
    <n v="54"/>
    <m/>
    <m/>
    <n v="1"/>
    <m/>
  </r>
  <r>
    <x v="0"/>
    <s v="Albany Ave. Ponca City"/>
    <x v="4"/>
    <n v="40"/>
    <m/>
    <n v="1"/>
    <n v="1"/>
    <m/>
  </r>
  <r>
    <x v="6"/>
    <s v="Grand Ave. Ponca City"/>
    <x v="5"/>
    <n v="1"/>
    <m/>
    <m/>
    <n v="1"/>
    <m/>
  </r>
  <r>
    <x v="7"/>
    <s v="Cleveland Ponca"/>
    <x v="6"/>
    <m/>
    <m/>
    <m/>
    <m/>
    <m/>
  </r>
  <r>
    <x v="8"/>
    <s v="Heartford"/>
    <x v="7"/>
    <m/>
    <m/>
    <m/>
    <m/>
    <m/>
  </r>
  <r>
    <x v="6"/>
    <s v="89th OKC"/>
    <x v="8"/>
    <n v="35"/>
    <m/>
    <n v="1"/>
    <n v="1"/>
    <m/>
  </r>
  <r>
    <x v="0"/>
    <s v="89th OKC"/>
    <x v="8"/>
    <n v="14"/>
    <m/>
    <m/>
    <n v="1"/>
    <m/>
  </r>
  <r>
    <x v="9"/>
    <s v="89th OKC"/>
    <x v="8"/>
    <n v="35"/>
    <m/>
    <n v="1"/>
    <m/>
    <m/>
  </r>
  <r>
    <x v="10"/>
    <s v="92nd OKC"/>
    <x v="9"/>
    <n v="38"/>
    <m/>
    <m/>
    <n v="1"/>
    <m/>
  </r>
  <r>
    <x v="1"/>
    <s v="92nd OKC"/>
    <x v="9"/>
    <n v="38"/>
    <m/>
    <n v="2"/>
    <n v="1"/>
    <m/>
  </r>
  <r>
    <x v="11"/>
    <s v="92nd OKC"/>
    <x v="9"/>
    <n v="35"/>
    <n v="2"/>
    <m/>
    <m/>
    <m/>
  </r>
  <r>
    <x v="12"/>
    <s v="96th OKC"/>
    <x v="10"/>
    <m/>
    <m/>
    <m/>
    <m/>
    <m/>
  </r>
  <r>
    <x v="13"/>
    <s v="Oklahoma Ave Guthrie"/>
    <x v="11"/>
    <m/>
    <m/>
    <m/>
    <m/>
    <m/>
  </r>
  <r>
    <x v="14"/>
    <s v="US86 Cedar Perry"/>
    <x v="12"/>
    <m/>
    <m/>
    <m/>
    <m/>
    <m/>
  </r>
  <r>
    <x v="15"/>
    <s v="US64 Perry"/>
    <x v="13"/>
    <m/>
    <m/>
    <m/>
    <m/>
    <m/>
  </r>
  <r>
    <x v="7"/>
    <s v="Brookfield St Ponca"/>
    <x v="14"/>
    <m/>
    <m/>
    <m/>
    <m/>
    <m/>
  </r>
  <r>
    <x v="16"/>
    <s v="N Hubbard Rd Ponca"/>
    <x v="15"/>
    <n v="50"/>
    <m/>
    <n v="1"/>
    <n v="1"/>
    <m/>
  </r>
  <r>
    <x v="1"/>
    <s v="N Hubbard Rd Ponca"/>
    <x v="15"/>
    <n v="8"/>
    <m/>
    <n v="1"/>
    <n v="1"/>
    <m/>
  </r>
  <r>
    <x v="17"/>
    <s v="N Hubbard Rd Ponca"/>
    <x v="15"/>
    <m/>
    <m/>
    <m/>
    <n v="1"/>
    <m/>
  </r>
  <r>
    <x v="18"/>
    <s v="6th Newkirk"/>
    <x v="16"/>
    <m/>
    <m/>
    <m/>
    <m/>
    <m/>
  </r>
  <r>
    <x v="19"/>
    <s v="E0700 Rd Mulhall Logan Co."/>
    <x v="17"/>
    <n v="55"/>
    <m/>
    <m/>
    <n v="1"/>
    <m/>
  </r>
  <r>
    <x v="1"/>
    <s v="E0540 Rd Perry"/>
    <x v="18"/>
    <n v="44"/>
    <m/>
    <n v="1"/>
    <n v="1"/>
    <m/>
  </r>
  <r>
    <x v="17"/>
    <s v="N3190 Rd Perry"/>
    <x v="19"/>
    <n v="50"/>
    <m/>
    <n v="1"/>
    <n v="1"/>
    <m/>
  </r>
  <r>
    <x v="20"/>
    <s v="E0520 Rd Perry"/>
    <x v="20"/>
    <n v="54"/>
    <m/>
    <m/>
    <n v="1"/>
    <m/>
  </r>
  <r>
    <x v="7"/>
    <s v="N3250 Perry"/>
    <x v="21"/>
    <m/>
    <m/>
    <m/>
    <m/>
    <m/>
  </r>
  <r>
    <x v="21"/>
    <s v="0320 Marland"/>
    <x v="22"/>
    <m/>
    <m/>
    <m/>
    <m/>
    <m/>
  </r>
  <r>
    <x v="4"/>
    <s v="E0280 Rd Marland"/>
    <x v="23"/>
    <n v="46"/>
    <m/>
    <n v="1"/>
    <n v="1"/>
    <m/>
  </r>
  <r>
    <x v="22"/>
    <s v="Perry"/>
    <x v="17"/>
    <m/>
    <m/>
    <m/>
    <m/>
    <m/>
  </r>
  <r>
    <x v="23"/>
    <s v="Ponca City"/>
    <x v="17"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5">
  <r>
    <x v="0"/>
    <x v="0"/>
    <s v="Vehicle"/>
    <n v="50"/>
    <s v="1, 2"/>
    <x v="0"/>
  </r>
  <r>
    <x v="0"/>
    <x v="1"/>
    <s v="Vehicle"/>
    <n v="40"/>
    <n v="1"/>
    <x v="1"/>
  </r>
  <r>
    <x v="0"/>
    <x v="2"/>
    <s v="Vehicle"/>
    <n v="40"/>
    <s v="1, 2"/>
    <x v="0"/>
  </r>
  <r>
    <x v="0"/>
    <x v="2"/>
    <s v="Vehicle"/>
    <n v="28"/>
    <s v="1, 2"/>
    <x v="0"/>
  </r>
  <r>
    <x v="0"/>
    <x v="3"/>
    <s v="Vehicle"/>
    <n v="48"/>
    <s v="1, 2"/>
    <x v="2"/>
  </r>
  <r>
    <x v="0"/>
    <x v="3"/>
    <s v="Vehicle"/>
    <n v="48"/>
    <s v="1, 2"/>
    <x v="0"/>
  </r>
  <r>
    <x v="1"/>
    <x v="4"/>
    <s v="Vehicle"/>
    <n v="50"/>
    <s v="1, 2"/>
    <x v="1"/>
  </r>
  <r>
    <x v="1"/>
    <x v="5"/>
    <s v="Vehicle"/>
    <n v="38"/>
    <s v="1, 2, 3, 6, 7"/>
    <x v="2"/>
  </r>
  <r>
    <x v="1"/>
    <x v="6"/>
    <s v="Vehicle"/>
    <n v="50"/>
    <s v="1, 2"/>
    <x v="0"/>
  </r>
  <r>
    <x v="1"/>
    <x v="7"/>
    <s v="Vehicle"/>
    <n v="45"/>
    <s v="1, 3"/>
    <x v="2"/>
  </r>
  <r>
    <x v="1"/>
    <x v="8"/>
    <s v="Vehicle"/>
    <n v="40"/>
    <s v="1, 2"/>
    <x v="2"/>
  </r>
  <r>
    <x v="1"/>
    <x v="9"/>
    <s v="Vehicle"/>
    <n v="5"/>
    <s v="1, 2, 6"/>
    <x v="0"/>
  </r>
  <r>
    <x v="1"/>
    <x v="10"/>
    <s v="Vehicle"/>
    <n v="45"/>
    <s v="1, 2, 6, 11"/>
    <x v="0"/>
  </r>
  <r>
    <x v="1"/>
    <x v="10"/>
    <s v="Vehicle"/>
    <n v="45"/>
    <s v="1, 2, 6, 11"/>
    <x v="0"/>
  </r>
  <r>
    <x v="1"/>
    <x v="2"/>
    <s v="Vehicle"/>
    <n v="20"/>
    <s v="1, 2, 11"/>
    <x v="2"/>
  </r>
  <r>
    <x v="2"/>
    <x v="11"/>
    <s v="Vehicle"/>
    <n v="48"/>
    <s v="1, 2, 3, 6, 7 "/>
    <x v="2"/>
  </r>
  <r>
    <x v="2"/>
    <x v="12"/>
    <s v="Vehicle"/>
    <n v="39"/>
    <s v="1, 2, 3, 6, 7 "/>
    <x v="2"/>
  </r>
  <r>
    <x v="2"/>
    <x v="5"/>
    <s v="Vehicle"/>
    <n v="5"/>
    <s v="1, 2"/>
    <x v="0"/>
  </r>
  <r>
    <x v="2"/>
    <x v="13"/>
    <s v="Pedestrian"/>
    <n v="49"/>
    <s v="1, 2 "/>
    <x v="1"/>
  </r>
  <r>
    <x v="2"/>
    <x v="14"/>
    <s v="Vehicle"/>
    <n v="40"/>
    <s v="1, 2"/>
    <x v="2"/>
  </r>
  <r>
    <x v="2"/>
    <x v="15"/>
    <s v="Vehicle"/>
    <n v="48"/>
    <s v="1, 2"/>
    <x v="1"/>
  </r>
  <r>
    <x v="2"/>
    <x v="16"/>
    <s v="Vehicle"/>
    <n v="50"/>
    <n v="12"/>
    <x v="0"/>
  </r>
  <r>
    <x v="2"/>
    <x v="16"/>
    <s v="Vehicle"/>
    <n v="50"/>
    <n v="12"/>
    <x v="0"/>
  </r>
  <r>
    <x v="3"/>
    <x v="4"/>
    <s v="Vehicle"/>
    <n v="52"/>
    <s v="1, 3"/>
    <x v="2"/>
  </r>
  <r>
    <x v="3"/>
    <x v="6"/>
    <s v="Vehicle"/>
    <n v="50"/>
    <s v="1, 2"/>
    <x v="0"/>
  </r>
  <r>
    <x v="3"/>
    <x v="0"/>
    <s v="Vehicle"/>
    <n v="45"/>
    <s v="1, 3"/>
    <x v="1"/>
  </r>
  <r>
    <x v="3"/>
    <x v="15"/>
    <s v="Vehicle"/>
    <n v="50"/>
    <s v="1, 2"/>
    <x v="2"/>
  </r>
  <r>
    <x v="3"/>
    <x v="17"/>
    <s v="Vehicle"/>
    <n v="25"/>
    <n v="1"/>
    <x v="0"/>
  </r>
  <r>
    <x v="3"/>
    <x v="17"/>
    <s v="Vehicle"/>
    <n v="3"/>
    <n v="1"/>
    <x v="2"/>
  </r>
  <r>
    <x v="3"/>
    <x v="18"/>
    <s v="Vehicle"/>
    <n v="45"/>
    <n v="1"/>
    <x v="0"/>
  </r>
  <r>
    <x v="3"/>
    <x v="19"/>
    <s v="Vehicle"/>
    <n v="50"/>
    <s v="1, 2, 10"/>
    <x v="0"/>
  </r>
  <r>
    <x v="3"/>
    <x v="20"/>
    <s v="Vehicle"/>
    <n v="8"/>
    <s v="1, 3, 11"/>
    <x v="0"/>
  </r>
  <r>
    <x v="3"/>
    <x v="21"/>
    <s v="Vehicle"/>
    <n v="50"/>
    <s v="1, 3, 11"/>
    <x v="0"/>
  </r>
  <r>
    <x v="3"/>
    <x v="22"/>
    <s v="Vehicle"/>
    <n v="70"/>
    <s v="3, 6"/>
    <x v="1"/>
  </r>
  <r>
    <x v="3"/>
    <x v="22"/>
    <s v="Vehicle"/>
    <n v="70"/>
    <s v="3, 6"/>
    <x v="1"/>
  </r>
  <r>
    <x v="3"/>
    <x v="22"/>
    <s v="Vehicle"/>
    <n v="55"/>
    <s v="3, 6"/>
    <x v="0"/>
  </r>
  <r>
    <x v="4"/>
    <x v="23"/>
    <s v="Vehicle"/>
    <n v="54"/>
    <s v="1, 2, 3, 6, 7 "/>
    <x v="0"/>
  </r>
  <r>
    <x v="4"/>
    <x v="0"/>
    <s v="Vehicle"/>
    <n v="50"/>
    <s v="1, 3"/>
    <x v="0"/>
  </r>
  <r>
    <x v="4"/>
    <x v="9"/>
    <s v="Other (Unspecified)"/>
    <n v="4"/>
    <s v="1, 3, 6"/>
    <x v="0"/>
  </r>
  <r>
    <x v="5"/>
    <x v="4"/>
    <s v="Vehicle"/>
    <n v="40"/>
    <s v="1, 3"/>
    <x v="2"/>
  </r>
  <r>
    <x v="5"/>
    <x v="10"/>
    <s v="Vehicle"/>
    <n v="38"/>
    <s v="1, 3, 6 "/>
    <x v="0"/>
  </r>
  <r>
    <x v="6"/>
    <x v="23"/>
    <s v="Vehicle"/>
    <n v="1"/>
    <s v="1, 2, 3, 6, 7"/>
    <x v="0"/>
  </r>
  <r>
    <x v="6"/>
    <x v="0"/>
    <s v="Vehicle"/>
    <n v="35"/>
    <n v="1"/>
    <x v="0"/>
  </r>
  <r>
    <x v="6"/>
    <x v="24"/>
    <s v="Pedestrian"/>
    <n v="40"/>
    <s v="1, 3"/>
    <x v="1"/>
  </r>
  <r>
    <x v="6"/>
    <x v="25"/>
    <s v="Vehicle"/>
    <n v="30"/>
    <n v="1"/>
    <x v="0"/>
  </r>
  <r>
    <x v="6"/>
    <x v="16"/>
    <s v="Vehicle"/>
    <n v="5"/>
    <s v="1, 2, 6"/>
    <x v="0"/>
  </r>
  <r>
    <x v="6"/>
    <x v="10"/>
    <s v="Vehicle"/>
    <n v="5"/>
    <s v="1, 2, 6"/>
    <x v="0"/>
  </r>
  <r>
    <x v="6"/>
    <x v="2"/>
    <s v="Vehicle"/>
    <n v="20"/>
    <s v="1, 2"/>
    <x v="0"/>
  </r>
  <r>
    <x v="7"/>
    <x v="3"/>
    <s v="Vehicle"/>
    <n v="5"/>
    <s v="1, 2, 11"/>
    <x v="0"/>
  </r>
  <r>
    <x v="7"/>
    <x v="21"/>
    <s v="Vehicle"/>
    <n v="5"/>
    <s v="1, 2, 11"/>
    <x v="2"/>
  </r>
  <r>
    <x v="8"/>
    <x v="26"/>
    <s v="Vehicle"/>
    <n v="53"/>
    <s v="2, 3"/>
    <x v="0"/>
  </r>
  <r>
    <x v="8"/>
    <x v="2"/>
    <s v="Vehicle"/>
    <n v="35"/>
    <s v="1, 2, 11"/>
    <x v="0"/>
  </r>
  <r>
    <x v="8"/>
    <x v="3"/>
    <s v="Vehicle"/>
    <n v="30"/>
    <s v="1, 2"/>
    <x v="0"/>
  </r>
  <r>
    <x v="9"/>
    <x v="23"/>
    <s v="Other (Bicyclist)"/>
    <n v="35"/>
    <s v="3, 6, 7"/>
    <x v="2"/>
  </r>
  <r>
    <x v="9"/>
    <x v="4"/>
    <s v="Vehicle"/>
    <n v="14"/>
    <n v="3"/>
    <x v="0"/>
  </r>
  <r>
    <x v="9"/>
    <x v="27"/>
    <s v="Vehicle"/>
    <n v="35"/>
    <s v="3, 6"/>
    <x v="2"/>
  </r>
  <r>
    <x v="9"/>
    <x v="26"/>
    <s v="Pedestrian"/>
    <n v="38"/>
    <s v="3, 6"/>
    <x v="2"/>
  </r>
  <r>
    <x v="9"/>
    <x v="3"/>
    <s v="Vehicle"/>
    <n v="37"/>
    <s v="3, 6"/>
    <x v="2"/>
  </r>
  <r>
    <x v="9"/>
    <x v="19"/>
    <s v="Vehicle"/>
    <n v="30"/>
    <s v="3, 6"/>
    <x v="0"/>
  </r>
  <r>
    <x v="10"/>
    <x v="28"/>
    <s v="Vehicle"/>
    <n v="38"/>
    <s v="3, 7"/>
    <x v="0"/>
  </r>
  <r>
    <x v="10"/>
    <x v="5"/>
    <s v="Vehicle"/>
    <n v="38"/>
    <s v="3, 7"/>
    <x v="2"/>
  </r>
  <r>
    <x v="10"/>
    <x v="29"/>
    <s v="Vehicle"/>
    <n v="35"/>
    <s v="3, 11"/>
    <x v="1"/>
  </r>
  <r>
    <x v="10"/>
    <x v="30"/>
    <s v="Vehicle"/>
    <n v="40"/>
    <s v="3, 6"/>
    <x v="0"/>
  </r>
  <r>
    <x v="10"/>
    <x v="0"/>
    <s v="Vehicle"/>
    <n v="13"/>
    <s v="2, 3"/>
    <x v="0"/>
  </r>
  <r>
    <x v="10"/>
    <x v="10"/>
    <s v="Vehicle"/>
    <n v="2"/>
    <n v="3"/>
    <x v="0"/>
  </r>
  <r>
    <x v="10"/>
    <x v="2"/>
    <s v="Vehicle"/>
    <n v="40"/>
    <n v="3"/>
    <x v="2"/>
  </r>
  <r>
    <x v="10"/>
    <x v="2"/>
    <s v="Vehicle"/>
    <n v="35"/>
    <s v="3, 11"/>
    <x v="2"/>
  </r>
  <r>
    <x v="11"/>
    <x v="30"/>
    <s v="Vehicle"/>
    <n v="30"/>
    <s v="3, 6"/>
    <x v="2"/>
  </r>
  <r>
    <x v="11"/>
    <x v="2"/>
    <s v="Vehicle"/>
    <n v="10"/>
    <n v="3"/>
    <x v="2"/>
  </r>
  <r>
    <x v="11"/>
    <x v="2"/>
    <s v="Vehicle"/>
    <n v="40"/>
    <n v="3"/>
    <x v="0"/>
  </r>
  <r>
    <x v="11"/>
    <x v="2"/>
    <s v="Vehicle"/>
    <n v="38"/>
    <s v="3, 11"/>
    <x v="1"/>
  </r>
  <r>
    <x v="12"/>
    <x v="10"/>
    <s v="Vehicle"/>
    <n v="45"/>
    <s v="3, 6"/>
    <x v="2"/>
  </r>
  <r>
    <x v="12"/>
    <x v="19"/>
    <s v="Vehicle"/>
    <n v="35"/>
    <n v="3"/>
    <x v="0"/>
  </r>
  <r>
    <x v="13"/>
    <x v="25"/>
    <s v="Vehicle"/>
    <n v="48"/>
    <n v="1"/>
    <x v="0"/>
  </r>
  <r>
    <x v="13"/>
    <x v="8"/>
    <s v="Vehicle"/>
    <n v="45"/>
    <s v="1, 3, 6"/>
    <x v="0"/>
  </r>
  <r>
    <x v="13"/>
    <x v="20"/>
    <s v="Vehicle"/>
    <n v="43"/>
    <s v="1, 3, 11"/>
    <x v="0"/>
  </r>
  <r>
    <x v="14"/>
    <x v="20"/>
    <s v="Vehicle"/>
    <n v="2"/>
    <s v="1, 3, 11"/>
    <x v="0"/>
  </r>
  <r>
    <x v="15"/>
    <x v="3"/>
    <s v="Vehicle"/>
    <n v="18"/>
    <s v="1, 3, 11"/>
    <x v="0"/>
  </r>
  <r>
    <x v="16"/>
    <x v="31"/>
    <s v="Vehicle"/>
    <n v="50"/>
    <s v="1, 2, 3, 6, 7"/>
    <x v="2"/>
  </r>
  <r>
    <x v="16"/>
    <x v="5"/>
    <s v="Vehicle"/>
    <n v="8"/>
    <s v="1, 3"/>
    <x v="2"/>
  </r>
  <r>
    <x v="16"/>
    <x v="32"/>
    <s v="Vehicle"/>
    <s v="blank"/>
    <s v="3, 7"/>
    <x v="0"/>
  </r>
  <r>
    <x v="16"/>
    <x v="25"/>
    <s v="Vehicle"/>
    <n v="52"/>
    <n v="3"/>
    <x v="0"/>
  </r>
  <r>
    <x v="16"/>
    <x v="33"/>
    <s v="Vehicle"/>
    <n v="35"/>
    <s v="3, 6"/>
    <x v="0"/>
  </r>
  <r>
    <x v="16"/>
    <x v="10"/>
    <s v="Vehicle"/>
    <n v="5"/>
    <s v="3, 6"/>
    <x v="0"/>
  </r>
  <r>
    <x v="16"/>
    <x v="2"/>
    <s v="Vehicle"/>
    <n v="53"/>
    <n v="3"/>
    <x v="0"/>
  </r>
  <r>
    <x v="17"/>
    <x v="1"/>
    <s v="Vehicle"/>
    <n v="40"/>
    <n v="3"/>
    <x v="2"/>
  </r>
  <r>
    <x v="17"/>
    <x v="8"/>
    <s v="Vehicle"/>
    <n v="39"/>
    <s v="3, 6"/>
    <x v="2"/>
  </r>
  <r>
    <x v="17"/>
    <x v="34"/>
    <s v="Vehicle"/>
    <n v="40"/>
    <s v="3, 6"/>
    <x v="1"/>
  </r>
  <r>
    <x v="18"/>
    <x v="14"/>
    <s v="Vehicle"/>
    <n v="55"/>
    <n v="7"/>
    <x v="0"/>
  </r>
  <r>
    <x v="18"/>
    <x v="35"/>
    <s v="Vehicle"/>
    <n v="50"/>
    <n v="7"/>
    <x v="0"/>
  </r>
  <r>
    <x v="18"/>
    <x v="1"/>
    <s v="Other (Unspecified)"/>
    <n v="55"/>
    <n v="7"/>
    <x v="0"/>
  </r>
  <r>
    <x v="19"/>
    <x v="34"/>
    <s v="Vehicle"/>
    <n v="45"/>
    <s v="3, 6"/>
    <x v="0"/>
  </r>
  <r>
    <x v="20"/>
    <x v="18"/>
    <s v="Vehicle"/>
    <n v="52"/>
    <n v="7"/>
    <x v="0"/>
  </r>
  <r>
    <x v="21"/>
    <x v="5"/>
    <s v="Vehicle"/>
    <n v="44"/>
    <n v="7"/>
    <x v="2"/>
  </r>
  <r>
    <x v="21"/>
    <x v="36"/>
    <s v="Vehicle"/>
    <n v="30"/>
    <n v="7"/>
    <x v="0"/>
  </r>
  <r>
    <x v="22"/>
    <x v="32"/>
    <s v="Vehicle"/>
    <n v="50"/>
    <n v="7"/>
    <x v="2"/>
  </r>
  <r>
    <x v="23"/>
    <x v="13"/>
    <s v="Vehicle"/>
    <n v="50"/>
    <n v="7"/>
    <x v="0"/>
  </r>
  <r>
    <x v="23"/>
    <x v="37"/>
    <s v="Vehicle"/>
    <n v="54"/>
    <n v="7"/>
    <x v="0"/>
  </r>
  <r>
    <x v="24"/>
    <x v="3"/>
    <s v="Vehicle"/>
    <n v="50"/>
    <n v="7"/>
    <x v="2"/>
  </r>
  <r>
    <x v="25"/>
    <x v="2"/>
    <s v="Vehicle"/>
    <n v="55"/>
    <n v="3"/>
    <x v="0"/>
  </r>
  <r>
    <x v="26"/>
    <x v="12"/>
    <s v="Vehicle"/>
    <n v="46"/>
    <n v="7"/>
    <x v="2"/>
  </r>
  <r>
    <x v="26"/>
    <x v="17"/>
    <s v="Vehicle"/>
    <n v="43"/>
    <n v="7"/>
    <x v="2"/>
  </r>
  <r>
    <x v="26"/>
    <x v="19"/>
    <s v="Other (Unspecified)"/>
    <n v="15"/>
    <n v="7"/>
    <x v="0"/>
  </r>
  <r>
    <x v="27"/>
    <x v="7"/>
    <s v="Vehicle"/>
    <n v="43"/>
    <n v="7"/>
    <x v="2"/>
  </r>
  <r>
    <x v="28"/>
    <x v="38"/>
    <s v="Vehicle"/>
    <n v="53"/>
    <n v="7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7F3B54A-6241-4BC9-9334-663BBC837636}" name="PivotTable1" cacheId="2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B45:D62" firstHeaderRow="0" firstDataRow="1" firstDataCol="1" rowPageCount="1" colPageCount="1"/>
  <pivotFields count="8">
    <pivotField axis="axisPage" multipleItemSelectionAllowed="1" showAll="0">
      <items count="25">
        <item h="1" x="15"/>
        <item h="1" x="7"/>
        <item h="1" x="21"/>
        <item h="1" x="13"/>
        <item h="1" x="22"/>
        <item h="1" x="18"/>
        <item h="1" x="14"/>
        <item x="23"/>
        <item x="17"/>
        <item x="2"/>
        <item x="12"/>
        <item x="8"/>
        <item x="19"/>
        <item x="9"/>
        <item x="20"/>
        <item x="11"/>
        <item x="5"/>
        <item x="1"/>
        <item x="10"/>
        <item x="0"/>
        <item x="6"/>
        <item x="4"/>
        <item x="16"/>
        <item x="3"/>
        <item t="default"/>
      </items>
    </pivotField>
    <pivotField showAll="0"/>
    <pivotField axis="axisRow" showAll="0" sortType="ascending">
      <items count="25">
        <item x="16"/>
        <item x="15"/>
        <item x="7"/>
        <item x="14"/>
        <item x="4"/>
        <item x="6"/>
        <item x="5"/>
        <item x="23"/>
        <item x="22"/>
        <item x="21"/>
        <item x="13"/>
        <item x="12"/>
        <item x="20"/>
        <item x="19"/>
        <item x="18"/>
        <item x="11"/>
        <item x="3"/>
        <item x="2"/>
        <item x="0"/>
        <item x="10"/>
        <item x="9"/>
        <item x="8"/>
        <item x="1"/>
        <item x="17"/>
        <item t="default"/>
      </items>
    </pivotField>
    <pivotField showAll="0"/>
    <pivotField dataField="1" showAll="0"/>
    <pivotField dataField="1" showAll="0"/>
    <pivotField showAll="0"/>
    <pivotField showAll="0"/>
  </pivotFields>
  <rowFields count="1">
    <field x="2"/>
  </rowFields>
  <rowItems count="17">
    <i>
      <x v="1"/>
    </i>
    <i>
      <x v="2"/>
    </i>
    <i>
      <x v="4"/>
    </i>
    <i>
      <x v="6"/>
    </i>
    <i>
      <x v="7"/>
    </i>
    <i>
      <x v="12"/>
    </i>
    <i>
      <x v="13"/>
    </i>
    <i>
      <x v="14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-1"/>
  </pageFields>
  <dataFields count="2">
    <dataField name="Sum of Death" fld="4" baseField="0" baseItem="0"/>
    <dataField name="Sum of Injure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5B255F-D1A2-477D-9B6E-4368327B4C4B}" name="PivotTable2" cacheId="3" applyNumberFormats="0" applyBorderFormats="0" applyFontFormats="0" applyPatternFormats="0" applyAlignmentFormats="0" applyWidthHeightFormats="1" dataCaption="Values" updatedVersion="7" minRefreshableVersion="3" useAutoFormatting="1" colGrandTotals="0" itemPrintTitles="1" createdVersion="7" indent="0" outline="1" outlineData="1" multipleFieldFilters="0">
  <location ref="B67:E87" firstHeaderRow="1" firstDataRow="2" firstDataCol="1" rowPageCount="1" colPageCount="1"/>
  <pivotFields count="6">
    <pivotField axis="axisRow" showAll="0" sortType="ascending">
      <items count="30">
        <item x="17"/>
        <item x="28"/>
        <item x="27"/>
        <item x="16"/>
        <item x="8"/>
        <item x="15"/>
        <item x="5"/>
        <item x="7"/>
        <item x="6"/>
        <item x="26"/>
        <item x="25"/>
        <item x="24"/>
        <item x="14"/>
        <item x="13"/>
        <item x="23"/>
        <item x="22"/>
        <item x="21"/>
        <item x="20"/>
        <item x="19"/>
        <item x="18"/>
        <item x="12"/>
        <item x="4"/>
        <item x="3"/>
        <item x="1"/>
        <item x="11"/>
        <item x="10"/>
        <item x="9"/>
        <item x="0"/>
        <item x="2"/>
        <item t="default"/>
      </items>
    </pivotField>
    <pivotField axis="axisPage" multipleItemSelectionAllowed="1" showAll="0">
      <items count="40">
        <item h="1" x="22"/>
        <item h="1" x="21"/>
        <item h="1" x="20"/>
        <item h="1" x="19"/>
        <item h="1" x="3"/>
        <item h="1" x="2"/>
        <item h="1" x="10"/>
        <item h="1" x="33"/>
        <item h="1" x="9"/>
        <item h="1" x="34"/>
        <item h="1" x="16"/>
        <item h="1" x="18"/>
        <item h="1" x="8"/>
        <item h="1" x="7"/>
        <item h="1" x="1"/>
        <item h="1" x="17"/>
        <item h="1" x="25"/>
        <item h="1" x="15"/>
        <item h="1" x="36"/>
        <item h="1" x="24"/>
        <item x="0"/>
        <item x="38"/>
        <item x="35"/>
        <item x="32"/>
        <item x="6"/>
        <item x="30"/>
        <item x="26"/>
        <item x="14"/>
        <item x="27"/>
        <item x="37"/>
        <item x="29"/>
        <item x="13"/>
        <item x="5"/>
        <item x="28"/>
        <item x="4"/>
        <item x="23"/>
        <item x="12"/>
        <item x="31"/>
        <item x="11"/>
        <item t="default"/>
      </items>
    </pivotField>
    <pivotField showAll="0"/>
    <pivotField showAll="0"/>
    <pivotField showAll="0"/>
    <pivotField axis="axisCol" dataField="1" showAll="0">
      <items count="4">
        <item x="2"/>
        <item x="1"/>
        <item x="0"/>
        <item t="default"/>
      </items>
    </pivotField>
  </pivotFields>
  <rowFields count="1">
    <field x="0"/>
  </rowFields>
  <rowItems count="19">
    <i>
      <x v="1"/>
    </i>
    <i>
      <x v="3"/>
    </i>
    <i>
      <x v="4"/>
    </i>
    <i>
      <x v="6"/>
    </i>
    <i>
      <x v="8"/>
    </i>
    <i>
      <x v="9"/>
    </i>
    <i>
      <x v="14"/>
    </i>
    <i>
      <x v="15"/>
    </i>
    <i>
      <x v="16"/>
    </i>
    <i>
      <x v="19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 t="grand">
      <x/>
    </i>
  </rowItems>
  <colFields count="1">
    <field x="5"/>
  </colFields>
  <colItems count="3">
    <i>
      <x/>
    </i>
    <i>
      <x v="1"/>
    </i>
    <i>
      <x v="2"/>
    </i>
  </colItems>
  <pageFields count="1">
    <pageField fld="1" hier="-1"/>
  </pageFields>
  <dataFields count="1">
    <dataField name="Count of Driver was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EBD13E-048C-43E1-B32F-2E175102D0FE}" name="Table16" displayName="Table16" ref="V5:W10" totalsRowShown="0" headerRowDxfId="4" dataDxfId="3" tableBorderDxfId="2">
  <autoFilter ref="V5:W10" xr:uid="{CBEBD13E-048C-43E1-B32F-2E175102D0FE}"/>
  <tableColumns count="2">
    <tableColumn id="1" xr3:uid="{9947B89E-138D-4446-805D-42362C06DA3E}" name="Pollutant" dataDxfId="1"/>
    <tableColumn id="9" xr3:uid="{940839E0-67A8-43E1-8F2F-4E88BC0F4CE9}" name="Average Annual % Pollutant Decreas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" dT="2022-05-09T14:20:10.10" personId="{4BB238D2-3565-4BD9-B8E2-1F701C6529EE}" id="{74797D7C-70A9-4DEB-99AD-1509847BEA01}">
    <text>Just use drop down, all we need to differentiate between vehicle and ped</text>
  </threadedComment>
  <threadedComment ref="F1" dT="2022-05-09T14:24:30.22" personId="{4BB238D2-3565-4BD9-B8E2-1F701C6529EE}" id="{086C346B-2EF9-4768-AE3F-2253A9B86DA2}">
    <text>put comma and all values if more than one type</text>
  </threadedComment>
  <threadedComment ref="G1" dT="2022-05-09T14:22:40.20" personId="{4BB238D2-3565-4BD9-B8E2-1F701C6529EE}" id="{6F0D4185-6718-453C-B07B-A9EA217E2F4A}">
    <text>Drop down box</text>
  </threadedComment>
  <threadedComment ref="B2" dT="2022-05-09T14:44:26.78" personId="{4BB238D2-3565-4BD9-B8E2-1F701C6529EE}" id="{CA00841E-21F6-4098-B311-1313DB5129F9}">
    <text>Can just link to the Historical Crash tab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19" dT="2022-05-10T20:29:07.96" personId="{4BB238D2-3565-4BD9-B8E2-1F701C6529EE}" id="{65E5D719-54FF-4989-B734-6F8999AFCA2B}">
    <text>Total Number of crashes Redrock subdivision (over 20 years). From Poe Associates</text>
  </threadedComment>
  <threadedComment ref="B28" dT="2022-05-11T02:11:04.29" personId="{4BB238D2-3565-4BD9-B8E2-1F701C6529EE}" id="{CBC9D531-5604-4E35-BEA4-66CC7BC199C4}">
    <text>historically all deaths on Cants and FLG</text>
  </threadedComment>
  <threadedComment ref="B32" dT="2022-05-11T02:06:47.48" personId="{4BB238D2-3565-4BD9-B8E2-1F701C6529EE}" id="{DDA1E00E-FAD7-4F11-BA31-95615C691E36}">
    <text>Passive</text>
  </threadedComment>
  <threadedComment ref="C40" dT="2022-05-11T02:41:57.75" personId="{4BB238D2-3565-4BD9-B8E2-1F701C6529EE}" id="{E473CA0F-B7DC-4828-84B0-797578D6FCDF}">
    <text>Ask Poe / High street about this one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C6" dT="2022-05-11T03:02:35.80" personId="{4BB238D2-3565-4BD9-B8E2-1F701C6529EE}" id="{934027AB-87C2-4350-BFC1-97A685E5068A}">
    <text>Look at switch in CMFs tab to change alt</text>
  </threadedComment>
</ThreadedComment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hyperlink" Target="https://www.bls.gov/data/inflation_calculator.htm" TargetMode="External"/><Relationship Id="rId1" Type="http://schemas.openxmlformats.org/officeDocument/2006/relationships/hyperlink" Target="https://tredis.com/pdf/User_Docs/TREDIS5_Data_Sources_and_Default_Values.pdf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safetydata.fra.dot.gov/OfficeofSafety/publicsite/Crossing/Crossing.aspx?phasetype=C&amp;rpttype=A&amp;txtcrossingnum=011926Y" TargetMode="External"/><Relationship Id="rId13" Type="http://schemas.openxmlformats.org/officeDocument/2006/relationships/hyperlink" Target="https://safetydata.fra.dot.gov/OfficeofSafety/publicsite/Crossing/Crossing.aspx?phasetype=C&amp;rpttype=A&amp;txtcrossingnum=011979X" TargetMode="External"/><Relationship Id="rId18" Type="http://schemas.openxmlformats.org/officeDocument/2006/relationships/hyperlink" Target="https://safetydata.fra.dot.gov/OfficeofSafety/publicsite/Crossing/Crossing.aspx?phasetype=C&amp;rpttype=A&amp;txtcrossingnum=011901D" TargetMode="External"/><Relationship Id="rId26" Type="http://schemas.openxmlformats.org/officeDocument/2006/relationships/hyperlink" Target="https://safetydata.fra.dot.gov/OfficeofSafety/publicsite/Crossing/Crossing.aspx?phasetype=C&amp;rpttype=A&amp;txtcrossingnum=011946K" TargetMode="External"/><Relationship Id="rId3" Type="http://schemas.openxmlformats.org/officeDocument/2006/relationships/hyperlink" Target="https://safetydata.fra.dot.gov/OfficeofSafety/publicsite/Crossing/Crossing.aspx?phasetype=C&amp;rpttype=A&amp;txtcrossingnum=012248V" TargetMode="External"/><Relationship Id="rId21" Type="http://schemas.openxmlformats.org/officeDocument/2006/relationships/hyperlink" Target="https://safetydata.fra.dot.gov/OfficeofSafety/publicsite/Crossing/Crossing.aspx?phasetype=C&amp;rpttype=A&amp;txtcrossingnum=012004L" TargetMode="External"/><Relationship Id="rId7" Type="http://schemas.openxmlformats.org/officeDocument/2006/relationships/hyperlink" Target="https://safetydata.fra.dot.gov/OfficeofSafety/publicsite/Crossing/Crossing.aspx?phasetype=C&amp;rpttype=A&amp;txtcrossingnum=011927F" TargetMode="External"/><Relationship Id="rId12" Type="http://schemas.openxmlformats.org/officeDocument/2006/relationships/hyperlink" Target="https://safetydata.fra.dot.gov/OfficeofSafety/publicsite/Crossing/Crossing.aspx?phasetype=C&amp;rpttype=A&amp;txtcrossingnum=012037Y" TargetMode="External"/><Relationship Id="rId17" Type="http://schemas.openxmlformats.org/officeDocument/2006/relationships/hyperlink" Target="https://safetydata.fra.dot.gov/OfficeofSafety/publicsite/Crossing/Crossing.aspx?phasetype=C&amp;rpttype=A&amp;txtcrossingnum=011914E" TargetMode="External"/><Relationship Id="rId25" Type="http://schemas.openxmlformats.org/officeDocument/2006/relationships/hyperlink" Target="https://safetydata.fra.dot.gov/OfficeofSafety/publicsite/Crossing/Crossing.aspx?phasetype=C&amp;rpttype=A&amp;txtcrossingnum=011964H" TargetMode="External"/><Relationship Id="rId2" Type="http://schemas.openxmlformats.org/officeDocument/2006/relationships/hyperlink" Target="https://safetydata.fra.dot.gov/OfficeofSafety/publicsite/Crossing/Crossing.aspx?phasetype=C&amp;rpttype=A&amp;txtcrossingnum=012076P" TargetMode="External"/><Relationship Id="rId16" Type="http://schemas.openxmlformats.org/officeDocument/2006/relationships/hyperlink" Target="https://safetydata.fra.dot.gov/OfficeofSafety/publicsite/Crossing/Crossing.aspx?phasetype=C&amp;rpttype=A&amp;txtcrossingnum=011976C" TargetMode="External"/><Relationship Id="rId20" Type="http://schemas.openxmlformats.org/officeDocument/2006/relationships/hyperlink" Target="https://safetydata.fra.dot.gov/OfficeofSafety/publicsite/Crossing/Crossing.aspx?phasetype=C&amp;rpttype=A&amp;txtcrossingnum=012021C" TargetMode="External"/><Relationship Id="rId29" Type="http://schemas.openxmlformats.org/officeDocument/2006/relationships/hyperlink" Target="https://safetydata.fra.dot.gov/OfficeofSafety/publicsite/Crossing/Crossing.aspx?phasetype=C&amp;rpttype=A&amp;txtcrossingnum=011909H" TargetMode="External"/><Relationship Id="rId1" Type="http://schemas.openxmlformats.org/officeDocument/2006/relationships/hyperlink" Target="https://safetydata.fra.dot.gov/OfficeofSafety/publicsite/Crossing/Crossing.aspx?phasetype=C&amp;rpttype=A&amp;txtcrossingnum=012084G" TargetMode="External"/><Relationship Id="rId6" Type="http://schemas.openxmlformats.org/officeDocument/2006/relationships/hyperlink" Target="https://safetydata.fra.dot.gov/OfficeofSafety/publicsite/Crossing/Crossing.aspx?phasetype=C&amp;rpttype=A&amp;txtcrossingnum=011921P" TargetMode="External"/><Relationship Id="rId11" Type="http://schemas.openxmlformats.org/officeDocument/2006/relationships/hyperlink" Target="https://safetydata.fra.dot.gov/OfficeofSafety/publicsite/Crossing/Crossing.aspx?phasetype=C&amp;rpttype=A&amp;txtcrossingnum=012081L" TargetMode="External"/><Relationship Id="rId24" Type="http://schemas.openxmlformats.org/officeDocument/2006/relationships/hyperlink" Target="https://safetydata.fra.dot.gov/OfficeofSafety/publicsite/Crossing/Crossing.aspx?phasetype=C&amp;rpttype=A&amp;txtcrossingnum=011985B" TargetMode="External"/><Relationship Id="rId32" Type="http://schemas.openxmlformats.org/officeDocument/2006/relationships/comments" Target="../comments1.xml"/><Relationship Id="rId5" Type="http://schemas.openxmlformats.org/officeDocument/2006/relationships/hyperlink" Target="https://safetydata.fra.dot.gov/OfficeofSafety/publicsite/Crossing/Crossing.aspx?phasetype=C&amp;rpttype=A&amp;txtcrossingnum=012073U" TargetMode="External"/><Relationship Id="rId15" Type="http://schemas.openxmlformats.org/officeDocument/2006/relationships/hyperlink" Target="https://safetydata.fra.dot.gov/OfficeofSafety/publicsite/Crossing/Crossing.aspx?phasetype=C&amp;rpttype=A&amp;txtcrossingnum=012078D" TargetMode="External"/><Relationship Id="rId23" Type="http://schemas.openxmlformats.org/officeDocument/2006/relationships/hyperlink" Target="https://safetydata.fra.dot.gov/OfficeofSafety/publicsite/Crossing/Crossing.aspx?phasetype=C&amp;rpttype=A&amp;txtcrossingnum=011990X" TargetMode="External"/><Relationship Id="rId28" Type="http://schemas.openxmlformats.org/officeDocument/2006/relationships/hyperlink" Target="https://safetydata.fra.dot.gov/OfficeofSafety/publicsite/Crossing/Crossing.aspx?phasetype=C&amp;rpttype=A&amp;txtcrossingnum=011910C" TargetMode="External"/><Relationship Id="rId10" Type="http://schemas.openxmlformats.org/officeDocument/2006/relationships/hyperlink" Target="https://safetydata.fra.dot.gov/OfficeofSafety/publicsite/Crossing/Crossing.aspx?phasetype=C&amp;rpttype=A&amp;txtcrossingnum=012082T" TargetMode="External"/><Relationship Id="rId19" Type="http://schemas.openxmlformats.org/officeDocument/2006/relationships/hyperlink" Target="https://safetydata.fra.dot.gov/OfficeofSafety/publicsite/Crossing/Crossing.aspx?phasetype=C&amp;rpttype=A&amp;txtcrossingnum=012023R" TargetMode="External"/><Relationship Id="rId31" Type="http://schemas.openxmlformats.org/officeDocument/2006/relationships/vmlDrawing" Target="../drawings/vmlDrawing1.vml"/><Relationship Id="rId4" Type="http://schemas.openxmlformats.org/officeDocument/2006/relationships/hyperlink" Target="https://safetydata.fra.dot.gov/OfficeofSafety/publicsite/Crossing/Crossing.aspx?phasetype=C&amp;rpttype=A&amp;txtcrossingnum=012074B" TargetMode="External"/><Relationship Id="rId9" Type="http://schemas.openxmlformats.org/officeDocument/2006/relationships/hyperlink" Target="https://safetydata.fra.dot.gov/OfficeofSafety/publicsite/Crossing/Crossing.aspx?phasetype=C&amp;rpttype=A&amp;txtcrossingnum=011917A" TargetMode="External"/><Relationship Id="rId14" Type="http://schemas.openxmlformats.org/officeDocument/2006/relationships/hyperlink" Target="https://safetydata.fra.dot.gov/OfficeofSafety/publicsite/Crossing/Crossing.aspx?phasetype=C&amp;rpttype=A&amp;txtcrossingnum=011920H" TargetMode="External"/><Relationship Id="rId22" Type="http://schemas.openxmlformats.org/officeDocument/2006/relationships/hyperlink" Target="https://safetydata.fra.dot.gov/OfficeofSafety/publicsite/Crossing/Crossing.aspx?phasetype=C&amp;rpttype=A&amp;txtcrossingnum=011992L" TargetMode="External"/><Relationship Id="rId27" Type="http://schemas.openxmlformats.org/officeDocument/2006/relationships/hyperlink" Target="https://safetydata.fra.dot.gov/OfficeofSafety/publicsite/Crossing/Crossing.aspx?phasetype=C&amp;rpttype=A&amp;txtcrossingnum=011941B" TargetMode="External"/><Relationship Id="rId30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BC157-F34B-49E2-AA87-027773939844}">
  <sheetPr>
    <tabColor theme="8"/>
  </sheetPr>
  <dimension ref="A2:AM21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5" sqref="A25"/>
    </sheetView>
  </sheetViews>
  <sheetFormatPr defaultRowHeight="15"/>
  <cols>
    <col min="1" max="1" width="45.5703125" customWidth="1"/>
    <col min="2" max="2" width="20.140625" customWidth="1"/>
    <col min="7" max="7" width="12.42578125" customWidth="1"/>
    <col min="8" max="11" width="10.140625" bestFit="1" customWidth="1"/>
    <col min="12" max="13" width="8.85546875" bestFit="1" customWidth="1"/>
  </cols>
  <sheetData>
    <row r="2" spans="1:39" ht="15.75">
      <c r="A2" s="241" t="s">
        <v>219</v>
      </c>
      <c r="B2" s="242"/>
      <c r="C2" s="186" t="s">
        <v>220</v>
      </c>
      <c r="D2" s="186">
        <v>2020</v>
      </c>
      <c r="E2" s="186">
        <f t="shared" ref="E2:AK3" si="0">D2+1</f>
        <v>2021</v>
      </c>
      <c r="F2" s="186">
        <f t="shared" si="0"/>
        <v>2022</v>
      </c>
      <c r="G2" s="186">
        <f t="shared" si="0"/>
        <v>2023</v>
      </c>
      <c r="H2" s="186">
        <f t="shared" si="0"/>
        <v>2024</v>
      </c>
      <c r="I2" s="186">
        <f t="shared" si="0"/>
        <v>2025</v>
      </c>
      <c r="J2" s="186">
        <f t="shared" si="0"/>
        <v>2026</v>
      </c>
      <c r="K2" s="186">
        <f t="shared" si="0"/>
        <v>2027</v>
      </c>
      <c r="L2" s="186">
        <f t="shared" si="0"/>
        <v>2028</v>
      </c>
      <c r="M2" s="186">
        <f t="shared" si="0"/>
        <v>2029</v>
      </c>
      <c r="N2" s="186">
        <f t="shared" si="0"/>
        <v>2030</v>
      </c>
      <c r="O2" s="186">
        <f t="shared" si="0"/>
        <v>2031</v>
      </c>
      <c r="P2" s="186">
        <f t="shared" si="0"/>
        <v>2032</v>
      </c>
      <c r="Q2" s="186">
        <f t="shared" si="0"/>
        <v>2033</v>
      </c>
      <c r="R2" s="186">
        <f t="shared" si="0"/>
        <v>2034</v>
      </c>
      <c r="S2" s="186">
        <f t="shared" si="0"/>
        <v>2035</v>
      </c>
      <c r="T2" s="186">
        <f t="shared" si="0"/>
        <v>2036</v>
      </c>
      <c r="U2" s="186">
        <f t="shared" si="0"/>
        <v>2037</v>
      </c>
      <c r="V2" s="186">
        <f t="shared" si="0"/>
        <v>2038</v>
      </c>
      <c r="W2" s="186">
        <f t="shared" si="0"/>
        <v>2039</v>
      </c>
      <c r="X2" s="186">
        <f t="shared" si="0"/>
        <v>2040</v>
      </c>
      <c r="Y2" s="186">
        <f t="shared" si="0"/>
        <v>2041</v>
      </c>
      <c r="Z2" s="186">
        <f t="shared" si="0"/>
        <v>2042</v>
      </c>
      <c r="AA2" s="186">
        <f t="shared" si="0"/>
        <v>2043</v>
      </c>
      <c r="AB2" s="186">
        <f t="shared" si="0"/>
        <v>2044</v>
      </c>
      <c r="AC2" s="186">
        <f t="shared" si="0"/>
        <v>2045</v>
      </c>
      <c r="AD2" s="186">
        <f t="shared" si="0"/>
        <v>2046</v>
      </c>
      <c r="AE2" s="186">
        <f t="shared" si="0"/>
        <v>2047</v>
      </c>
      <c r="AF2" s="186">
        <f t="shared" si="0"/>
        <v>2048</v>
      </c>
      <c r="AG2" s="186">
        <f t="shared" si="0"/>
        <v>2049</v>
      </c>
      <c r="AH2" s="186">
        <f t="shared" si="0"/>
        <v>2050</v>
      </c>
      <c r="AI2" s="186">
        <f t="shared" si="0"/>
        <v>2051</v>
      </c>
      <c r="AJ2" s="186">
        <f t="shared" si="0"/>
        <v>2052</v>
      </c>
      <c r="AK2" s="186">
        <f t="shared" si="0"/>
        <v>2053</v>
      </c>
      <c r="AL2" s="186"/>
      <c r="AM2" s="186"/>
    </row>
    <row r="3" spans="1:39">
      <c r="A3" s="14" t="s">
        <v>221</v>
      </c>
      <c r="B3" s="14"/>
      <c r="D3">
        <v>0</v>
      </c>
      <c r="E3">
        <f t="shared" ref="E3:AA3" si="1">D3+1</f>
        <v>1</v>
      </c>
      <c r="F3">
        <f t="shared" si="1"/>
        <v>2</v>
      </c>
      <c r="G3">
        <f t="shared" si="1"/>
        <v>3</v>
      </c>
      <c r="H3">
        <f t="shared" si="1"/>
        <v>4</v>
      </c>
      <c r="I3">
        <f t="shared" si="1"/>
        <v>5</v>
      </c>
      <c r="J3">
        <f t="shared" si="1"/>
        <v>6</v>
      </c>
      <c r="K3">
        <f t="shared" si="1"/>
        <v>7</v>
      </c>
      <c r="L3">
        <f t="shared" si="1"/>
        <v>8</v>
      </c>
      <c r="M3">
        <f t="shared" si="1"/>
        <v>9</v>
      </c>
      <c r="N3">
        <f t="shared" si="1"/>
        <v>10</v>
      </c>
      <c r="O3">
        <f t="shared" si="1"/>
        <v>11</v>
      </c>
      <c r="P3">
        <f t="shared" si="1"/>
        <v>12</v>
      </c>
      <c r="Q3">
        <f t="shared" si="1"/>
        <v>13</v>
      </c>
      <c r="R3">
        <f t="shared" si="1"/>
        <v>14</v>
      </c>
      <c r="S3">
        <f t="shared" si="1"/>
        <v>15</v>
      </c>
      <c r="T3">
        <f t="shared" si="1"/>
        <v>16</v>
      </c>
      <c r="U3">
        <f t="shared" si="1"/>
        <v>17</v>
      </c>
      <c r="V3">
        <f t="shared" si="1"/>
        <v>18</v>
      </c>
      <c r="W3">
        <f t="shared" si="1"/>
        <v>19</v>
      </c>
      <c r="X3">
        <f t="shared" si="1"/>
        <v>20</v>
      </c>
      <c r="Y3">
        <f t="shared" si="1"/>
        <v>21</v>
      </c>
      <c r="Z3">
        <f t="shared" si="1"/>
        <v>22</v>
      </c>
      <c r="AA3">
        <f t="shared" si="1"/>
        <v>23</v>
      </c>
      <c r="AB3">
        <f t="shared" si="0"/>
        <v>24</v>
      </c>
      <c r="AC3">
        <f t="shared" si="0"/>
        <v>25</v>
      </c>
      <c r="AD3">
        <f t="shared" si="0"/>
        <v>26</v>
      </c>
      <c r="AE3">
        <f t="shared" si="0"/>
        <v>27</v>
      </c>
      <c r="AF3">
        <f t="shared" si="0"/>
        <v>28</v>
      </c>
      <c r="AG3">
        <f t="shared" si="0"/>
        <v>29</v>
      </c>
      <c r="AH3">
        <f t="shared" si="0"/>
        <v>30</v>
      </c>
      <c r="AI3">
        <f t="shared" si="0"/>
        <v>31</v>
      </c>
      <c r="AJ3">
        <f t="shared" si="0"/>
        <v>32</v>
      </c>
      <c r="AK3">
        <f t="shared" si="0"/>
        <v>33</v>
      </c>
    </row>
    <row r="4" spans="1:39">
      <c r="A4" s="14" t="s">
        <v>565</v>
      </c>
      <c r="B4" s="14"/>
      <c r="C4" s="15"/>
      <c r="D4" s="15">
        <f>(1+'Look Up Data (1)'!$B$3)^D3</f>
        <v>1</v>
      </c>
      <c r="E4" s="15">
        <f>(1+'Look Up Data (1)'!$B$3)^E3</f>
        <v>1.07</v>
      </c>
      <c r="F4" s="15">
        <f>(1+'Look Up Data (1)'!$B$3)^F3</f>
        <v>1.1449</v>
      </c>
      <c r="G4" s="15">
        <f>(1+'Look Up Data (1)'!$B$3)^G3</f>
        <v>1.2250430000000001</v>
      </c>
      <c r="H4" s="15">
        <f>(1+'Look Up Data (1)'!$B$3)^H3</f>
        <v>1.31079601</v>
      </c>
      <c r="I4" s="15">
        <f>(1+'Look Up Data (1)'!$B$3)^I3</f>
        <v>1.4025517307000002</v>
      </c>
      <c r="J4" s="15">
        <f>(1+'Look Up Data (1)'!$B$3)^J3</f>
        <v>1.5007303518490001</v>
      </c>
      <c r="K4" s="15">
        <f>(1+'Look Up Data (1)'!$B$3)^K3</f>
        <v>1.6057814764784302</v>
      </c>
      <c r="L4" s="15">
        <f>(1+'Look Up Data (1)'!$B$3)^L3</f>
        <v>1.7181861798319202</v>
      </c>
      <c r="M4" s="15">
        <f>(1+'Look Up Data (1)'!$B$3)^M3</f>
        <v>1.8384592124201549</v>
      </c>
      <c r="N4" s="15">
        <f>(1+'Look Up Data (1)'!$B$3)^N3</f>
        <v>1.9671513572895656</v>
      </c>
      <c r="O4" s="15">
        <f>(1+'Look Up Data (1)'!$B$3)^O3</f>
        <v>2.1048519522998355</v>
      </c>
      <c r="P4" s="15">
        <f>(1+'Look Up Data (1)'!$B$3)^P3</f>
        <v>2.2521915889608235</v>
      </c>
      <c r="Q4" s="15">
        <f>(1+'Look Up Data (1)'!$B$3)^Q3</f>
        <v>2.4098450001880813</v>
      </c>
      <c r="R4" s="15">
        <f>(1+'Look Up Data (1)'!$B$3)^R3</f>
        <v>2.5785341502012469</v>
      </c>
      <c r="S4" s="15">
        <f>(1+'Look Up Data (1)'!$B$3)^S3</f>
        <v>2.7590315407153345</v>
      </c>
      <c r="T4" s="15">
        <f>(1+'Look Up Data (1)'!$B$3)^T3</f>
        <v>2.9521637485654075</v>
      </c>
      <c r="U4" s="15">
        <f>(1+'Look Up Data (1)'!$B$3)^U3</f>
        <v>3.1588152109649861</v>
      </c>
      <c r="V4" s="15">
        <f>(1+'Look Up Data (1)'!$B$3)^V3</f>
        <v>3.3799322757325352</v>
      </c>
      <c r="W4" s="15">
        <f>(1+'Look Up Data (1)'!$B$3)^W3</f>
        <v>3.6165275350338129</v>
      </c>
      <c r="X4" s="15">
        <f>(1+'Look Up Data (1)'!$B$3)^X3</f>
        <v>3.8696844624861795</v>
      </c>
      <c r="Y4" s="15">
        <f>(1+'Look Up Data (1)'!$B$3)^Y3</f>
        <v>4.1405623748602123</v>
      </c>
      <c r="Z4" s="15">
        <f>(1+'Look Up Data (1)'!$B$3)^Z3</f>
        <v>4.4304017411004271</v>
      </c>
      <c r="AA4" s="15">
        <f>(1+'Look Up Data (1)'!$B$3)^AA3</f>
        <v>4.740529862977457</v>
      </c>
      <c r="AB4" s="15">
        <f>(1+'Look Up Data (1)'!$B$3)^AB3</f>
        <v>5.0723669533858793</v>
      </c>
      <c r="AC4" s="15">
        <f>(1+'Look Up Data (1)'!$B$3)^AC3</f>
        <v>5.4274326401228912</v>
      </c>
      <c r="AD4" s="15">
        <f>(1+'Look Up Data (1)'!$B$3)^AD3</f>
        <v>5.807352924931493</v>
      </c>
      <c r="AE4" s="15">
        <f>(1+'Look Up Data (1)'!$B$3)^AE3</f>
        <v>6.2138676296766988</v>
      </c>
      <c r="AF4" s="15">
        <f>(1+'Look Up Data (1)'!$B$3)^AF3</f>
        <v>6.6488383637540664</v>
      </c>
      <c r="AG4" s="15">
        <f>(1+'Look Up Data (1)'!$B$3)^AG3</f>
        <v>7.1142570492168513</v>
      </c>
      <c r="AH4" s="15">
        <f>(1+'Look Up Data (1)'!$B$3)^AH3</f>
        <v>7.6122550426620306</v>
      </c>
      <c r="AI4" s="15">
        <f>(1+'Look Up Data (1)'!$B$3)^AI3</f>
        <v>8.1451128956483743</v>
      </c>
      <c r="AJ4" s="15">
        <f>(1+'Look Up Data (1)'!$B$3)^AJ3</f>
        <v>8.7152707983437594</v>
      </c>
      <c r="AK4" s="15">
        <f>(1+'Look Up Data (1)'!$B$3)^AK3</f>
        <v>9.3253397542278229</v>
      </c>
      <c r="AL4" s="15"/>
      <c r="AM4" s="15"/>
    </row>
    <row r="5" spans="1:39">
      <c r="A5" s="14" t="s">
        <v>566</v>
      </c>
      <c r="B5" s="14"/>
      <c r="C5" s="15"/>
      <c r="D5" s="15">
        <f>(1+'Look Up Data (1)'!$B$4)^D3</f>
        <v>1</v>
      </c>
      <c r="E5" s="15">
        <f>(1+'Look Up Data (1)'!$B$4)^E3</f>
        <v>1.03</v>
      </c>
      <c r="F5" s="15">
        <f>(1+'Look Up Data (1)'!$B$4)^F3</f>
        <v>1.0609</v>
      </c>
      <c r="G5" s="15">
        <f>(1+'Look Up Data (1)'!$B$4)^G3</f>
        <v>1.092727</v>
      </c>
      <c r="H5" s="15">
        <f>(1+'Look Up Data (1)'!$B$4)^H3</f>
        <v>1.1255088099999999</v>
      </c>
      <c r="I5" s="15">
        <f>(1+'Look Up Data (1)'!$B$4)^I3</f>
        <v>1.1592740742999998</v>
      </c>
      <c r="J5" s="15">
        <f>(1+'Look Up Data (1)'!$B$4)^J3</f>
        <v>1.1940522965289999</v>
      </c>
      <c r="K5" s="15">
        <f>(1+'Look Up Data (1)'!$B$4)^K3</f>
        <v>1.22987386542487</v>
      </c>
      <c r="L5" s="15">
        <f>(1+'Look Up Data (1)'!$B$4)^L3</f>
        <v>1.2667700813876159</v>
      </c>
      <c r="M5" s="15">
        <f>(1+'Look Up Data (1)'!$B$4)^M3</f>
        <v>1.3047731838292445</v>
      </c>
      <c r="N5" s="15">
        <f>(1+'Look Up Data (1)'!$B$4)^N3</f>
        <v>1.3439163793441218</v>
      </c>
      <c r="O5" s="15">
        <f>(1+'Look Up Data (1)'!$B$4)^O3</f>
        <v>1.3842338707244455</v>
      </c>
      <c r="P5" s="15">
        <f>(1+'Look Up Data (1)'!$B$4)^P3</f>
        <v>1.4257608868461786</v>
      </c>
      <c r="Q5" s="15">
        <f>(1+'Look Up Data (1)'!$B$4)^Q3</f>
        <v>1.4685337134515639</v>
      </c>
      <c r="R5" s="15">
        <f>(1+'Look Up Data (1)'!$B$4)^R3</f>
        <v>1.512589724855111</v>
      </c>
      <c r="S5" s="15">
        <f>(1+'Look Up Data (1)'!$B$4)^S3</f>
        <v>1.5579674166007644</v>
      </c>
      <c r="T5" s="15">
        <f>(1+'Look Up Data (1)'!$B$4)^T3</f>
        <v>1.6047064390987871</v>
      </c>
      <c r="U5" s="15">
        <f>(1+'Look Up Data (1)'!$B$4)^U3</f>
        <v>1.6528476322717507</v>
      </c>
      <c r="V5" s="15">
        <f>(1+'Look Up Data (1)'!$B$4)^V3</f>
        <v>1.7024330612399032</v>
      </c>
      <c r="W5" s="15">
        <f>(1+'Look Up Data (1)'!$B$4)^W3</f>
        <v>1.7535060530771003</v>
      </c>
      <c r="X5" s="15">
        <f>(1+'Look Up Data (1)'!$B$4)^X3</f>
        <v>1.8061112346694133</v>
      </c>
      <c r="Y5" s="15">
        <f>(1+'Look Up Data (1)'!$B$4)^Y3</f>
        <v>1.8602945717094954</v>
      </c>
      <c r="Z5" s="15">
        <f>(1+'Look Up Data (1)'!$B$4)^Z3</f>
        <v>1.9161034088607805</v>
      </c>
      <c r="AA5" s="15">
        <f>(1+'Look Up Data (1)'!$B$4)^AA3</f>
        <v>1.973586511126604</v>
      </c>
      <c r="AB5" s="15">
        <f>(1+'Look Up Data (1)'!$B$4)^AB3</f>
        <v>2.0327941064604018</v>
      </c>
      <c r="AC5" s="15">
        <f>(1+'Look Up Data (1)'!$B$4)^AC3</f>
        <v>2.0937779296542138</v>
      </c>
      <c r="AD5" s="15">
        <f>(1+'Look Up Data (1)'!$B$4)^AD3</f>
        <v>2.1565912675438406</v>
      </c>
      <c r="AE5" s="15">
        <f>(1+'Look Up Data (1)'!$B$4)^AE3</f>
        <v>2.2212890055701555</v>
      </c>
      <c r="AF5" s="15">
        <f>(1+'Look Up Data (1)'!$B$4)^AF3</f>
        <v>2.2879276757372602</v>
      </c>
      <c r="AG5" s="15">
        <f>(1+'Look Up Data (1)'!$B$4)^AG3</f>
        <v>2.3565655060093778</v>
      </c>
      <c r="AH5" s="15">
        <f>(1+'Look Up Data (1)'!$B$4)^AH3</f>
        <v>2.4272624711896591</v>
      </c>
      <c r="AI5" s="15">
        <f>(1+'Look Up Data (1)'!$B$4)^AI3</f>
        <v>2.5000803453253493</v>
      </c>
      <c r="AJ5" s="15">
        <f>(1+'Look Up Data (1)'!$B$4)^AJ3</f>
        <v>2.5750827556851092</v>
      </c>
      <c r="AK5" s="15">
        <f>(1+'Look Up Data (1)'!$B$4)^AK3</f>
        <v>2.6523352383556626</v>
      </c>
      <c r="AL5" s="15"/>
      <c r="AM5" s="15"/>
    </row>
    <row r="6" spans="1:39">
      <c r="C6" s="15"/>
    </row>
    <row r="7" spans="1:39" ht="15.75">
      <c r="A7" s="12" t="s">
        <v>222</v>
      </c>
      <c r="B7" s="16" t="s">
        <v>223</v>
      </c>
    </row>
    <row r="8" spans="1:39">
      <c r="A8" t="s">
        <v>224</v>
      </c>
      <c r="B8" s="17"/>
      <c r="C8" s="18"/>
    </row>
    <row r="9" spans="1:39">
      <c r="A9" s="19" t="s">
        <v>225</v>
      </c>
      <c r="B9" s="20">
        <f>SUM(D9:AM9)</f>
        <v>17265620.624807652</v>
      </c>
      <c r="C9" s="18"/>
      <c r="D9" s="175"/>
      <c r="E9" s="175"/>
      <c r="F9" s="175"/>
      <c r="G9" s="175">
        <f>'Capital costs'!E5/G4</f>
        <v>2519753.5106930938</v>
      </c>
      <c r="H9" s="175">
        <f>'Capital costs'!F5/H4</f>
        <v>4222596.9241392491</v>
      </c>
      <c r="I9" s="175">
        <f>'Capital costs'!G5/I4</f>
        <v>4249917.8244392145</v>
      </c>
      <c r="J9" s="175">
        <f>'Capital costs'!H5/J4</f>
        <v>3688179.6874305606</v>
      </c>
      <c r="K9" s="175">
        <f>'Capital costs'!I5/K4</f>
        <v>2585172.6781055327</v>
      </c>
      <c r="L9" s="175"/>
      <c r="M9" s="175"/>
      <c r="N9" s="175"/>
      <c r="O9" s="175"/>
      <c r="P9" s="175"/>
      <c r="Q9" s="175"/>
    </row>
    <row r="10" spans="1:39">
      <c r="A10" s="21"/>
      <c r="B10" s="18"/>
      <c r="C10" s="18"/>
    </row>
    <row r="11" spans="1:39">
      <c r="B11" s="17"/>
      <c r="C11" s="18"/>
    </row>
    <row r="12" spans="1:39" ht="15.75">
      <c r="A12" s="12" t="s">
        <v>226</v>
      </c>
      <c r="B12" s="22"/>
    </row>
    <row r="13" spans="1:39">
      <c r="A13" s="23"/>
      <c r="B13" s="24"/>
    </row>
    <row r="14" spans="1:39">
      <c r="A14" s="25" t="s">
        <v>227</v>
      </c>
      <c r="B14" s="26">
        <f>SUM(G14:AM14)</f>
        <v>18836215.857402183</v>
      </c>
      <c r="C14" s="27"/>
      <c r="G14" s="68">
        <f>'Crash costs'!I28/G5</f>
        <v>142404.29678516035</v>
      </c>
      <c r="H14" s="68">
        <f>'Crash costs'!J28/H5</f>
        <v>247908.38409201006</v>
      </c>
      <c r="I14" s="68">
        <f>'Crash costs'!K28/I5</f>
        <v>259202.19397222856</v>
      </c>
      <c r="J14" s="68">
        <f>'Crash costs'!L28/J5</f>
        <v>233677.42868508818</v>
      </c>
      <c r="K14" s="68">
        <f>'Crash costs'!M28/K5</f>
        <v>170153.46748914183</v>
      </c>
      <c r="L14" s="68">
        <f>'Crash costs'!N28/L5</f>
        <v>965770.24116316519</v>
      </c>
      <c r="M14" s="68">
        <f>'Crash costs'!O28/M5</f>
        <v>937641.01083802443</v>
      </c>
      <c r="N14" s="68">
        <f>'Crash costs'!P28/N5</f>
        <v>910331.07848351891</v>
      </c>
      <c r="O14" s="68">
        <f>'Crash costs'!Q28/O5</f>
        <v>883816.58105196012</v>
      </c>
      <c r="P14" s="68">
        <f>'Crash costs'!R28/P5</f>
        <v>858074.35053588368</v>
      </c>
      <c r="Q14" s="68">
        <f>'Crash costs'!S28/Q5</f>
        <v>833081.89372415899</v>
      </c>
      <c r="R14" s="68">
        <f>'Crash costs'!T28/R5</f>
        <v>808817.37254772708</v>
      </c>
      <c r="S14" s="68">
        <f>'Crash costs'!U28/S5</f>
        <v>785259.58499779319</v>
      </c>
      <c r="T14" s="68">
        <f>'Crash costs'!V28/T5</f>
        <v>762387.94659979932</v>
      </c>
      <c r="U14" s="68">
        <f>'Crash costs'!W28/U5</f>
        <v>740182.4724269897</v>
      </c>
      <c r="V14" s="68">
        <f>'Crash costs'!X28/V5</f>
        <v>718623.75963785406</v>
      </c>
      <c r="W14" s="68">
        <f>'Crash costs'!Y28/W5</f>
        <v>697692.97052218847</v>
      </c>
      <c r="X14" s="68">
        <f>'Crash costs'!Z28/X5</f>
        <v>677371.81604095967</v>
      </c>
      <c r="Y14" s="68">
        <f>'Crash costs'!AA28/Y5</f>
        <v>657642.53984559199</v>
      </c>
      <c r="Z14" s="68">
        <f>'Crash costs'!AB28/Z5</f>
        <v>638487.90276271058</v>
      </c>
      <c r="AA14" s="68">
        <f>'Crash costs'!AC28/AA5</f>
        <v>619891.16773078695</v>
      </c>
      <c r="AB14" s="68">
        <f>'Crash costs'!AD28/AB5</f>
        <v>601836.08517552144</v>
      </c>
      <c r="AC14" s="68">
        <f>'Crash costs'!AE28/AC5</f>
        <v>584306.87881118583</v>
      </c>
      <c r="AD14" s="68">
        <f>'Crash costs'!AF28/AD5</f>
        <v>567288.23185552016</v>
      </c>
      <c r="AE14" s="68">
        <f>'Crash costs'!AG28/AE5</f>
        <v>550765.27364613616</v>
      </c>
      <c r="AF14" s="68">
        <f>'Crash costs'!AH28/AF5</f>
        <v>534723.56664673414</v>
      </c>
      <c r="AG14" s="68">
        <f>'Crash costs'!AI28/AG5</f>
        <v>519149.09383178072</v>
      </c>
      <c r="AH14" s="68">
        <f>'Crash costs'!AJ28/AH5</f>
        <v>504028.24643862207</v>
      </c>
      <c r="AI14" s="68">
        <f>'Crash costs'!AK28/AI5</f>
        <v>489347.81207633205</v>
      </c>
      <c r="AJ14" s="68">
        <f>'Crash costs'!AL28/AJ5</f>
        <v>475094.96318090498</v>
      </c>
      <c r="AK14" s="68">
        <f>'Crash costs'!AM28/AK5</f>
        <v>461257.24580670381</v>
      </c>
      <c r="AL14" s="68"/>
      <c r="AM14" s="68"/>
    </row>
    <row r="15" spans="1:39">
      <c r="A15" s="28" t="s">
        <v>229</v>
      </c>
      <c r="B15" s="29">
        <f>SUM(B14:B14)</f>
        <v>18836215.857402183</v>
      </c>
    </row>
    <row r="16" spans="1:39">
      <c r="A16" s="19"/>
      <c r="B16" s="30"/>
    </row>
    <row r="17" spans="1:2">
      <c r="A17" s="31"/>
      <c r="B17" s="32"/>
    </row>
    <row r="18" spans="1:2" ht="15.75" thickBot="1">
      <c r="A18" s="13" t="s">
        <v>230</v>
      </c>
      <c r="B18" s="32"/>
    </row>
    <row r="19" spans="1:2">
      <c r="A19" t="s">
        <v>231</v>
      </c>
      <c r="B19" s="33">
        <f>B14/B9</f>
        <v>1.0909666247582124</v>
      </c>
    </row>
    <row r="20" spans="1:2" ht="15.75" thickBot="1">
      <c r="A20" t="s">
        <v>232</v>
      </c>
      <c r="B20" s="34">
        <f>B15-B9</f>
        <v>1570595.232594531</v>
      </c>
    </row>
    <row r="21" spans="1:2">
      <c r="B21" s="35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94F3D-AA9B-47CD-B9C5-BB509A3FAFE0}">
  <dimension ref="A2:AB90"/>
  <sheetViews>
    <sheetView workbookViewId="0">
      <selection activeCell="A81" sqref="A81"/>
    </sheetView>
  </sheetViews>
  <sheetFormatPr defaultRowHeight="15"/>
  <cols>
    <col min="1" max="1" width="25.5703125" customWidth="1"/>
    <col min="6" max="6" width="10.140625" customWidth="1"/>
  </cols>
  <sheetData>
    <row r="2" spans="1:23">
      <c r="A2" s="41" t="s">
        <v>342</v>
      </c>
    </row>
    <row r="3" spans="1:23">
      <c r="O3" s="343" t="s">
        <v>343</v>
      </c>
      <c r="P3" s="343"/>
      <c r="Q3" s="343"/>
      <c r="R3" s="343"/>
      <c r="S3" s="343"/>
      <c r="T3" s="343"/>
    </row>
    <row r="4" spans="1:23" ht="15.75" thickBot="1">
      <c r="A4" s="3" t="s">
        <v>344</v>
      </c>
      <c r="H4" s="3" t="s">
        <v>345</v>
      </c>
      <c r="O4" s="344"/>
      <c r="P4" s="344"/>
      <c r="Q4" s="344"/>
      <c r="R4" s="344"/>
      <c r="S4" s="344"/>
      <c r="T4" s="344"/>
      <c r="V4" s="3" t="s">
        <v>346</v>
      </c>
    </row>
    <row r="5" spans="1:23" ht="90.75" thickBot="1">
      <c r="A5" s="138" t="s">
        <v>275</v>
      </c>
      <c r="B5" s="139" t="s">
        <v>347</v>
      </c>
      <c r="C5" s="139" t="s">
        <v>258</v>
      </c>
      <c r="D5" s="139" t="s">
        <v>348</v>
      </c>
      <c r="E5" s="139" t="s">
        <v>349</v>
      </c>
      <c r="F5" s="140" t="s">
        <v>255</v>
      </c>
      <c r="H5" s="138" t="s">
        <v>219</v>
      </c>
      <c r="I5" s="139" t="s">
        <v>257</v>
      </c>
      <c r="J5" s="139" t="s">
        <v>258</v>
      </c>
      <c r="K5" s="139" t="s">
        <v>348</v>
      </c>
      <c r="L5" s="139" t="s">
        <v>256</v>
      </c>
      <c r="M5" s="140" t="s">
        <v>255</v>
      </c>
      <c r="O5" s="138" t="s">
        <v>219</v>
      </c>
      <c r="P5" s="139" t="s">
        <v>257</v>
      </c>
      <c r="Q5" s="139" t="s">
        <v>258</v>
      </c>
      <c r="R5" s="139" t="s">
        <v>256</v>
      </c>
      <c r="S5" s="139" t="s">
        <v>259</v>
      </c>
      <c r="T5" s="140" t="s">
        <v>255</v>
      </c>
      <c r="V5" s="141" t="s">
        <v>350</v>
      </c>
      <c r="W5" s="142" t="s">
        <v>351</v>
      </c>
    </row>
    <row r="6" spans="1:23">
      <c r="A6" s="100" t="s">
        <v>277</v>
      </c>
      <c r="B6" s="143">
        <v>9.4000000000000004E-3</v>
      </c>
      <c r="C6" s="101">
        <v>2.2000000000000001E-3</v>
      </c>
      <c r="D6" s="101">
        <v>0.223</v>
      </c>
      <c r="E6" s="101">
        <v>0.2175</v>
      </c>
      <c r="F6" s="144">
        <f>A38*B47</f>
        <v>400.06814400000002</v>
      </c>
      <c r="H6" s="103">
        <v>2021</v>
      </c>
      <c r="I6" s="58">
        <v>748600</v>
      </c>
      <c r="J6" s="58">
        <v>41500</v>
      </c>
      <c r="K6" s="58">
        <v>2384</v>
      </c>
      <c r="L6" s="58">
        <v>15600</v>
      </c>
      <c r="M6" s="145">
        <v>52</v>
      </c>
      <c r="O6" s="103">
        <v>2021</v>
      </c>
      <c r="P6" s="146">
        <v>1</v>
      </c>
      <c r="Q6" s="146">
        <v>1</v>
      </c>
      <c r="R6" s="146">
        <v>1</v>
      </c>
      <c r="S6" s="146">
        <v>1</v>
      </c>
      <c r="T6" s="147">
        <v>1</v>
      </c>
      <c r="V6" s="148" t="s">
        <v>255</v>
      </c>
      <c r="W6" s="149">
        <v>1.8559961976040484E-2</v>
      </c>
    </row>
    <row r="7" spans="1:23">
      <c r="A7" s="150" t="s">
        <v>352</v>
      </c>
      <c r="B7" s="112">
        <v>3.4099999999999998E-2</v>
      </c>
      <c r="C7" s="112">
        <v>3.5000000000000001E-3</v>
      </c>
      <c r="D7" s="112">
        <v>0.26029999999999998</v>
      </c>
      <c r="E7" s="112">
        <v>1.0682</v>
      </c>
      <c r="F7" s="151">
        <f>A42*B50</f>
        <v>1356.4215167999998</v>
      </c>
      <c r="H7" s="103">
        <v>2022</v>
      </c>
      <c r="I7" s="58">
        <v>761600</v>
      </c>
      <c r="J7" s="58">
        <v>42300</v>
      </c>
      <c r="K7" s="58">
        <v>2384</v>
      </c>
      <c r="L7" s="58">
        <v>15800</v>
      </c>
      <c r="M7" s="145">
        <v>53</v>
      </c>
      <c r="O7" s="103">
        <v>2022</v>
      </c>
      <c r="P7" s="146">
        <f>P6*(1-$X$9)</f>
        <v>1</v>
      </c>
      <c r="Q7" s="146">
        <f>Q6*(1-$X$10)</f>
        <v>1</v>
      </c>
      <c r="R7" s="146">
        <f>R6*(1-$X$8)</f>
        <v>1</v>
      </c>
      <c r="S7" s="146">
        <f>S6*(1-$X$11)</f>
        <v>1</v>
      </c>
      <c r="T7" s="147">
        <f>T6*(1-$X$7)</f>
        <v>1</v>
      </c>
      <c r="V7" s="152" t="s">
        <v>256</v>
      </c>
      <c r="W7" s="153">
        <v>6.35822932309551E-2</v>
      </c>
    </row>
    <row r="8" spans="1:23" ht="15.75" thickBot="1">
      <c r="A8" s="115" t="s">
        <v>353</v>
      </c>
      <c r="B8" s="154">
        <v>8.3900000000000002E-2</v>
      </c>
      <c r="C8" s="107">
        <v>5.4999999999999997E-3</v>
      </c>
      <c r="D8" s="107">
        <v>0.1825</v>
      </c>
      <c r="E8" s="107">
        <v>3.9024000000000001</v>
      </c>
      <c r="F8" s="155">
        <f>A42*B49</f>
        <v>1679.5241702399999</v>
      </c>
      <c r="H8" s="103">
        <v>2023</v>
      </c>
      <c r="I8" s="58">
        <v>774700</v>
      </c>
      <c r="J8" s="58">
        <v>43100</v>
      </c>
      <c r="K8" s="58">
        <v>2384</v>
      </c>
      <c r="L8" s="58">
        <v>16000</v>
      </c>
      <c r="M8" s="145">
        <v>54</v>
      </c>
      <c r="O8" s="103">
        <v>2023</v>
      </c>
      <c r="P8" s="146">
        <f t="shared" ref="P8:P45" si="0">P7*(1-$X$9)</f>
        <v>1</v>
      </c>
      <c r="Q8" s="146">
        <f t="shared" ref="Q8:Q45" si="1">Q7*(1-$X$10)</f>
        <v>1</v>
      </c>
      <c r="R8" s="146">
        <f t="shared" ref="R8:R45" si="2">R7*(1-$X$8)</f>
        <v>1</v>
      </c>
      <c r="S8" s="146">
        <f t="shared" ref="S8:S45" si="3">S7*(1-$X$11)</f>
        <v>1</v>
      </c>
      <c r="T8" s="147">
        <f t="shared" ref="T8:T45" si="4">T7*(1-$X$7)</f>
        <v>1</v>
      </c>
      <c r="V8" s="152" t="s">
        <v>257</v>
      </c>
      <c r="W8" s="153">
        <v>0.10832194133423612</v>
      </c>
    </row>
    <row r="9" spans="1:23">
      <c r="H9" s="103">
        <v>2024</v>
      </c>
      <c r="I9" s="58">
        <v>788100</v>
      </c>
      <c r="J9" s="58">
        <v>44000</v>
      </c>
      <c r="K9" s="58">
        <v>2384</v>
      </c>
      <c r="L9" s="58">
        <v>16200</v>
      </c>
      <c r="M9" s="145">
        <v>55</v>
      </c>
      <c r="O9" s="103">
        <v>2024</v>
      </c>
      <c r="P9" s="146">
        <f t="shared" si="0"/>
        <v>1</v>
      </c>
      <c r="Q9" s="146">
        <f t="shared" si="1"/>
        <v>1</v>
      </c>
      <c r="R9" s="146">
        <f t="shared" si="2"/>
        <v>1</v>
      </c>
      <c r="S9" s="146">
        <f t="shared" si="3"/>
        <v>1</v>
      </c>
      <c r="T9" s="147">
        <f t="shared" si="4"/>
        <v>1</v>
      </c>
      <c r="V9" s="152" t="s">
        <v>258</v>
      </c>
      <c r="W9" s="153">
        <v>1.9430201875764497E-2</v>
      </c>
    </row>
    <row r="10" spans="1:23">
      <c r="H10" s="103">
        <v>2025</v>
      </c>
      <c r="I10" s="58">
        <v>801700</v>
      </c>
      <c r="J10" s="58">
        <v>44900</v>
      </c>
      <c r="K10" s="58">
        <v>2384</v>
      </c>
      <c r="L10" s="58">
        <v>16500</v>
      </c>
      <c r="M10" s="145">
        <v>56</v>
      </c>
      <c r="O10" s="103">
        <v>2025</v>
      </c>
      <c r="P10" s="146">
        <f t="shared" si="0"/>
        <v>1</v>
      </c>
      <c r="Q10" s="146">
        <f t="shared" si="1"/>
        <v>1</v>
      </c>
      <c r="R10" s="146">
        <f t="shared" si="2"/>
        <v>1</v>
      </c>
      <c r="S10" s="146">
        <f t="shared" si="3"/>
        <v>1</v>
      </c>
      <c r="T10" s="147">
        <f t="shared" si="4"/>
        <v>1</v>
      </c>
      <c r="V10" s="156" t="s">
        <v>259</v>
      </c>
      <c r="W10" s="153">
        <v>6.9165228209168816E-2</v>
      </c>
    </row>
    <row r="11" spans="1:23">
      <c r="H11" s="103">
        <v>2026</v>
      </c>
      <c r="I11" s="58">
        <v>814500</v>
      </c>
      <c r="J11" s="58">
        <v>45700</v>
      </c>
      <c r="K11" s="58">
        <v>2384</v>
      </c>
      <c r="L11" s="58">
        <v>16800</v>
      </c>
      <c r="M11" s="145">
        <v>57</v>
      </c>
      <c r="O11" s="103">
        <v>2026</v>
      </c>
      <c r="P11" s="146">
        <f t="shared" si="0"/>
        <v>1</v>
      </c>
      <c r="Q11" s="146">
        <f t="shared" si="1"/>
        <v>1</v>
      </c>
      <c r="R11" s="146">
        <f t="shared" si="2"/>
        <v>1</v>
      </c>
      <c r="S11" s="146">
        <f t="shared" si="3"/>
        <v>1</v>
      </c>
      <c r="T11" s="147">
        <f t="shared" si="4"/>
        <v>1</v>
      </c>
      <c r="V11" s="345" t="s">
        <v>354</v>
      </c>
      <c r="W11" s="345"/>
    </row>
    <row r="12" spans="1:23" ht="15.75" thickBot="1">
      <c r="A12" t="s">
        <v>355</v>
      </c>
      <c r="H12" s="103">
        <v>2027</v>
      </c>
      <c r="I12" s="58">
        <v>827400</v>
      </c>
      <c r="J12" s="58">
        <v>46500</v>
      </c>
      <c r="K12" s="58">
        <v>2384</v>
      </c>
      <c r="L12" s="58">
        <v>17100</v>
      </c>
      <c r="M12" s="145">
        <v>58</v>
      </c>
      <c r="O12" s="103">
        <v>2027</v>
      </c>
      <c r="P12" s="146">
        <f t="shared" si="0"/>
        <v>1</v>
      </c>
      <c r="Q12" s="146">
        <f t="shared" si="1"/>
        <v>1</v>
      </c>
      <c r="R12" s="146">
        <f t="shared" si="2"/>
        <v>1</v>
      </c>
      <c r="S12" s="146">
        <f t="shared" si="3"/>
        <v>1</v>
      </c>
      <c r="T12" s="147">
        <f t="shared" si="4"/>
        <v>1</v>
      </c>
      <c r="V12" s="345"/>
      <c r="W12" s="345"/>
    </row>
    <row r="13" spans="1:23">
      <c r="A13" s="157"/>
      <c r="B13" s="346" t="s">
        <v>276</v>
      </c>
      <c r="C13" s="346"/>
      <c r="D13" s="346"/>
      <c r="E13" s="347"/>
      <c r="H13" s="103">
        <v>2028</v>
      </c>
      <c r="I13" s="58">
        <v>840600</v>
      </c>
      <c r="J13" s="58">
        <v>47300</v>
      </c>
      <c r="K13" s="58">
        <v>2384</v>
      </c>
      <c r="L13" s="58">
        <v>17400</v>
      </c>
      <c r="M13" s="145">
        <v>60</v>
      </c>
      <c r="O13" s="103">
        <v>2028</v>
      </c>
      <c r="P13" s="146">
        <f t="shared" si="0"/>
        <v>1</v>
      </c>
      <c r="Q13" s="146">
        <f t="shared" si="1"/>
        <v>1</v>
      </c>
      <c r="R13" s="146">
        <f t="shared" si="2"/>
        <v>1</v>
      </c>
      <c r="S13" s="146">
        <f t="shared" si="3"/>
        <v>1</v>
      </c>
      <c r="T13" s="147">
        <f t="shared" si="4"/>
        <v>1</v>
      </c>
      <c r="V13" s="345"/>
      <c r="W13" s="345"/>
    </row>
    <row r="14" spans="1:23" ht="15.75" thickBot="1">
      <c r="A14" s="158" t="s">
        <v>275</v>
      </c>
      <c r="B14" s="159" t="s">
        <v>259</v>
      </c>
      <c r="C14" s="159" t="s">
        <v>349</v>
      </c>
      <c r="D14" s="159" t="s">
        <v>356</v>
      </c>
      <c r="E14" s="160" t="s">
        <v>347</v>
      </c>
      <c r="H14" s="103">
        <v>2029</v>
      </c>
      <c r="I14" s="58">
        <v>854000</v>
      </c>
      <c r="J14" s="58">
        <v>48200</v>
      </c>
      <c r="K14" s="58">
        <v>2384</v>
      </c>
      <c r="L14" s="58">
        <v>17700</v>
      </c>
      <c r="M14" s="145">
        <v>61</v>
      </c>
      <c r="O14" s="103">
        <v>2029</v>
      </c>
      <c r="P14" s="146">
        <f t="shared" si="0"/>
        <v>1</v>
      </c>
      <c r="Q14" s="146">
        <f t="shared" si="1"/>
        <v>1</v>
      </c>
      <c r="R14" s="146">
        <f t="shared" si="2"/>
        <v>1</v>
      </c>
      <c r="S14" s="146">
        <f t="shared" si="3"/>
        <v>1</v>
      </c>
      <c r="T14" s="147">
        <f t="shared" si="4"/>
        <v>1</v>
      </c>
      <c r="V14" s="345"/>
      <c r="W14" s="345"/>
    </row>
    <row r="15" spans="1:23" ht="15.75" thickBot="1">
      <c r="A15" s="74" t="s">
        <v>277</v>
      </c>
      <c r="B15" s="75">
        <v>0.223</v>
      </c>
      <c r="C15" s="75">
        <v>0.1958</v>
      </c>
      <c r="D15" s="75">
        <v>2.2000000000000001E-3</v>
      </c>
      <c r="E15" s="75">
        <v>9.4000000000000004E-3</v>
      </c>
      <c r="H15" s="103">
        <v>2030</v>
      </c>
      <c r="I15" s="58">
        <v>867600</v>
      </c>
      <c r="J15" s="58">
        <v>49100</v>
      </c>
      <c r="K15" s="58">
        <v>2384</v>
      </c>
      <c r="L15" s="58">
        <v>18100</v>
      </c>
      <c r="M15" s="145">
        <v>62</v>
      </c>
      <c r="O15" s="103">
        <v>2030</v>
      </c>
      <c r="P15" s="146">
        <f t="shared" si="0"/>
        <v>1</v>
      </c>
      <c r="Q15" s="146">
        <f t="shared" si="1"/>
        <v>1</v>
      </c>
      <c r="R15" s="146">
        <f t="shared" si="2"/>
        <v>1</v>
      </c>
      <c r="S15" s="146">
        <f t="shared" si="3"/>
        <v>1</v>
      </c>
      <c r="T15" s="147">
        <f t="shared" si="4"/>
        <v>1</v>
      </c>
    </row>
    <row r="16" spans="1:23" ht="15.75" thickBot="1">
      <c r="A16" s="74" t="s">
        <v>352</v>
      </c>
      <c r="B16" s="75">
        <v>0.26029999999999998</v>
      </c>
      <c r="C16" s="75">
        <v>0.77029999999999998</v>
      </c>
      <c r="D16" s="75">
        <v>3.0999999999999999E-3</v>
      </c>
      <c r="E16" s="75">
        <v>2.4899999999999999E-2</v>
      </c>
      <c r="H16" s="103">
        <v>2031</v>
      </c>
      <c r="I16" s="58">
        <v>867600</v>
      </c>
      <c r="J16" s="58">
        <v>49100</v>
      </c>
      <c r="K16" s="58">
        <v>2384</v>
      </c>
      <c r="L16" s="58">
        <v>18100</v>
      </c>
      <c r="M16" s="145">
        <v>63</v>
      </c>
      <c r="O16" s="103">
        <v>2031</v>
      </c>
      <c r="P16" s="146">
        <f t="shared" si="0"/>
        <v>1</v>
      </c>
      <c r="Q16" s="146">
        <f t="shared" si="1"/>
        <v>1</v>
      </c>
      <c r="R16" s="146">
        <f t="shared" si="2"/>
        <v>1</v>
      </c>
      <c r="S16" s="146">
        <f t="shared" si="3"/>
        <v>1</v>
      </c>
      <c r="T16" s="147">
        <f t="shared" si="4"/>
        <v>1</v>
      </c>
    </row>
    <row r="17" spans="1:28" ht="15.75" thickBot="1">
      <c r="A17" s="74" t="s">
        <v>353</v>
      </c>
      <c r="B17" s="75">
        <v>0.1825</v>
      </c>
      <c r="C17" s="75">
        <v>3.7545999999999999</v>
      </c>
      <c r="D17" s="75">
        <v>5.4000000000000003E-3</v>
      </c>
      <c r="E17" s="75">
        <v>7.7700000000000005E-2</v>
      </c>
      <c r="H17" s="103">
        <v>2032</v>
      </c>
      <c r="I17" s="58">
        <v>867600</v>
      </c>
      <c r="J17" s="58">
        <v>49100</v>
      </c>
      <c r="K17" s="58">
        <v>2384</v>
      </c>
      <c r="L17" s="58">
        <v>18100</v>
      </c>
      <c r="M17" s="145">
        <v>64</v>
      </c>
      <c r="O17" s="103">
        <v>2032</v>
      </c>
      <c r="P17" s="146">
        <f t="shared" si="0"/>
        <v>1</v>
      </c>
      <c r="Q17" s="146">
        <f t="shared" si="1"/>
        <v>1</v>
      </c>
      <c r="R17" s="146">
        <f t="shared" si="2"/>
        <v>1</v>
      </c>
      <c r="S17" s="146">
        <f t="shared" si="3"/>
        <v>1</v>
      </c>
      <c r="T17" s="147">
        <f t="shared" si="4"/>
        <v>1</v>
      </c>
    </row>
    <row r="18" spans="1:28" ht="15.75" thickBot="1">
      <c r="A18" s="74" t="s">
        <v>357</v>
      </c>
      <c r="B18" s="75">
        <v>0.38440000000000002</v>
      </c>
      <c r="C18" s="75">
        <v>2.9335</v>
      </c>
      <c r="D18" s="75">
        <v>6.1999999999999998E-3</v>
      </c>
      <c r="E18" s="75">
        <v>4.2999999999999997E-2</v>
      </c>
      <c r="H18" s="103">
        <v>2033</v>
      </c>
      <c r="I18" s="58">
        <v>867600</v>
      </c>
      <c r="J18" s="58">
        <v>49100</v>
      </c>
      <c r="K18" s="58">
        <v>2384</v>
      </c>
      <c r="L18" s="58">
        <v>18100</v>
      </c>
      <c r="M18" s="145">
        <v>65</v>
      </c>
      <c r="O18" s="103">
        <v>2033</v>
      </c>
      <c r="P18" s="146">
        <f t="shared" si="0"/>
        <v>1</v>
      </c>
      <c r="Q18" s="146">
        <f t="shared" si="1"/>
        <v>1</v>
      </c>
      <c r="R18" s="146">
        <f t="shared" si="2"/>
        <v>1</v>
      </c>
      <c r="S18" s="146">
        <f t="shared" si="3"/>
        <v>1</v>
      </c>
      <c r="T18" s="147">
        <f t="shared" si="4"/>
        <v>1</v>
      </c>
    </row>
    <row r="19" spans="1:28" ht="26.25" thickBot="1">
      <c r="A19" s="74" t="s">
        <v>358</v>
      </c>
      <c r="B19" s="75">
        <v>13.2721</v>
      </c>
      <c r="C19" s="75">
        <v>275.3306</v>
      </c>
      <c r="D19" s="75">
        <v>0.2014</v>
      </c>
      <c r="E19" s="75">
        <v>8.6881000000000004</v>
      </c>
      <c r="H19" s="103">
        <v>2034</v>
      </c>
      <c r="I19" s="58">
        <v>867600</v>
      </c>
      <c r="J19" s="58">
        <v>49100</v>
      </c>
      <c r="K19" s="58">
        <v>2384</v>
      </c>
      <c r="L19" s="58">
        <v>18100</v>
      </c>
      <c r="M19" s="145">
        <v>66</v>
      </c>
      <c r="O19" s="103">
        <v>2034</v>
      </c>
      <c r="P19" s="146">
        <f t="shared" si="0"/>
        <v>1</v>
      </c>
      <c r="Q19" s="146">
        <f t="shared" si="1"/>
        <v>1</v>
      </c>
      <c r="R19" s="146">
        <f t="shared" si="2"/>
        <v>1</v>
      </c>
      <c r="S19" s="146">
        <f t="shared" si="3"/>
        <v>1</v>
      </c>
      <c r="T19" s="147">
        <f t="shared" si="4"/>
        <v>1</v>
      </c>
    </row>
    <row r="20" spans="1:28" ht="26.25" thickBot="1">
      <c r="A20" s="74" t="s">
        <v>359</v>
      </c>
      <c r="B20" s="75">
        <v>0</v>
      </c>
      <c r="C20" s="75">
        <v>0</v>
      </c>
      <c r="D20" s="75">
        <v>0</v>
      </c>
      <c r="E20" s="75">
        <v>0</v>
      </c>
      <c r="H20" s="103">
        <v>2035</v>
      </c>
      <c r="I20" s="58">
        <v>867600</v>
      </c>
      <c r="J20" s="58">
        <v>49100</v>
      </c>
      <c r="K20" s="58">
        <v>2384</v>
      </c>
      <c r="L20" s="58">
        <v>18100</v>
      </c>
      <c r="M20" s="145">
        <v>67</v>
      </c>
      <c r="O20" s="103">
        <v>2035</v>
      </c>
      <c r="P20" s="146">
        <f t="shared" si="0"/>
        <v>1</v>
      </c>
      <c r="Q20" s="146">
        <f t="shared" si="1"/>
        <v>1</v>
      </c>
      <c r="R20" s="146">
        <f t="shared" si="2"/>
        <v>1</v>
      </c>
      <c r="S20" s="146">
        <f t="shared" si="3"/>
        <v>1</v>
      </c>
      <c r="T20" s="147">
        <f t="shared" si="4"/>
        <v>1</v>
      </c>
    </row>
    <row r="21" spans="1:28" ht="15.75" thickBot="1">
      <c r="A21" s="74" t="s">
        <v>360</v>
      </c>
      <c r="B21" s="75">
        <v>47.445799999999998</v>
      </c>
      <c r="C21" s="75">
        <v>984.43269999999995</v>
      </c>
      <c r="D21" s="75">
        <v>0.71989999999999998</v>
      </c>
      <c r="E21" s="75">
        <v>31.071100000000001</v>
      </c>
      <c r="H21" s="103">
        <v>2036</v>
      </c>
      <c r="I21" s="58">
        <v>867600</v>
      </c>
      <c r="J21" s="58">
        <v>49100</v>
      </c>
      <c r="K21" s="58">
        <v>2384</v>
      </c>
      <c r="L21" s="58">
        <v>18100</v>
      </c>
      <c r="M21" s="145">
        <v>69</v>
      </c>
      <c r="O21" s="103">
        <v>2036</v>
      </c>
      <c r="P21" s="146">
        <f t="shared" si="0"/>
        <v>1</v>
      </c>
      <c r="Q21" s="146">
        <f t="shared" si="1"/>
        <v>1</v>
      </c>
      <c r="R21" s="146">
        <f t="shared" si="2"/>
        <v>1</v>
      </c>
      <c r="S21" s="146">
        <f t="shared" si="3"/>
        <v>1</v>
      </c>
      <c r="T21" s="147">
        <f t="shared" si="4"/>
        <v>1</v>
      </c>
    </row>
    <row r="22" spans="1:28" ht="15.75" thickBot="1">
      <c r="A22" s="74" t="s">
        <v>361</v>
      </c>
      <c r="B22" s="75">
        <v>0</v>
      </c>
      <c r="C22" s="75">
        <v>0</v>
      </c>
      <c r="D22" s="75">
        <v>0</v>
      </c>
      <c r="E22" s="75">
        <v>0</v>
      </c>
      <c r="H22" s="103">
        <v>2037</v>
      </c>
      <c r="I22" s="58">
        <v>867600</v>
      </c>
      <c r="J22" s="58">
        <v>49100</v>
      </c>
      <c r="K22" s="58">
        <v>2384</v>
      </c>
      <c r="L22" s="58">
        <v>18100</v>
      </c>
      <c r="M22" s="145">
        <v>70</v>
      </c>
      <c r="O22" s="103">
        <v>2037</v>
      </c>
      <c r="P22" s="146">
        <f t="shared" si="0"/>
        <v>1</v>
      </c>
      <c r="Q22" s="146">
        <f t="shared" si="1"/>
        <v>1</v>
      </c>
      <c r="R22" s="146">
        <f t="shared" si="2"/>
        <v>1</v>
      </c>
      <c r="S22" s="146">
        <f t="shared" si="3"/>
        <v>1</v>
      </c>
      <c r="T22" s="147">
        <f t="shared" si="4"/>
        <v>1</v>
      </c>
    </row>
    <row r="23" spans="1:28" ht="15.75" thickBot="1">
      <c r="A23" s="74" t="s">
        <v>362</v>
      </c>
      <c r="B23" s="75">
        <v>0</v>
      </c>
      <c r="C23" s="75">
        <v>0</v>
      </c>
      <c r="D23" s="75">
        <v>0</v>
      </c>
      <c r="E23" s="75">
        <v>0</v>
      </c>
      <c r="H23" s="103">
        <v>2038</v>
      </c>
      <c r="I23" s="58">
        <v>867600</v>
      </c>
      <c r="J23" s="58">
        <v>49100</v>
      </c>
      <c r="K23" s="58">
        <v>2384</v>
      </c>
      <c r="L23" s="58">
        <v>18100</v>
      </c>
      <c r="M23" s="145">
        <v>71</v>
      </c>
      <c r="O23" s="103">
        <v>2038</v>
      </c>
      <c r="P23" s="146">
        <f t="shared" si="0"/>
        <v>1</v>
      </c>
      <c r="Q23" s="146">
        <f t="shared" si="1"/>
        <v>1</v>
      </c>
      <c r="R23" s="146">
        <f t="shared" si="2"/>
        <v>1</v>
      </c>
      <c r="S23" s="146">
        <f t="shared" si="3"/>
        <v>1</v>
      </c>
      <c r="T23" s="147">
        <f t="shared" si="4"/>
        <v>1</v>
      </c>
    </row>
    <row r="24" spans="1:28">
      <c r="H24" s="103">
        <v>2039</v>
      </c>
      <c r="I24" s="58">
        <v>867600</v>
      </c>
      <c r="J24" s="58">
        <v>49100</v>
      </c>
      <c r="K24" s="58">
        <v>2384</v>
      </c>
      <c r="L24" s="58">
        <v>18100</v>
      </c>
      <c r="M24" s="145">
        <v>72</v>
      </c>
      <c r="O24" s="103">
        <v>2039</v>
      </c>
      <c r="P24" s="146">
        <f t="shared" si="0"/>
        <v>1</v>
      </c>
      <c r="Q24" s="146">
        <f t="shared" si="1"/>
        <v>1</v>
      </c>
      <c r="R24" s="146">
        <f t="shared" si="2"/>
        <v>1</v>
      </c>
      <c r="S24" s="146">
        <f t="shared" si="3"/>
        <v>1</v>
      </c>
      <c r="T24" s="147">
        <f t="shared" si="4"/>
        <v>1</v>
      </c>
    </row>
    <row r="25" spans="1:28">
      <c r="H25" s="103">
        <v>2040</v>
      </c>
      <c r="I25" s="58">
        <v>867600</v>
      </c>
      <c r="J25" s="58">
        <v>49100</v>
      </c>
      <c r="K25" s="58">
        <v>2384</v>
      </c>
      <c r="L25" s="58">
        <v>18100</v>
      </c>
      <c r="M25" s="145">
        <v>73</v>
      </c>
      <c r="O25" s="103">
        <v>2040</v>
      </c>
      <c r="P25" s="146">
        <f t="shared" si="0"/>
        <v>1</v>
      </c>
      <c r="Q25" s="146">
        <f t="shared" si="1"/>
        <v>1</v>
      </c>
      <c r="R25" s="146">
        <f t="shared" si="2"/>
        <v>1</v>
      </c>
      <c r="S25" s="146">
        <f t="shared" si="3"/>
        <v>1</v>
      </c>
      <c r="T25" s="147">
        <f t="shared" si="4"/>
        <v>1</v>
      </c>
    </row>
    <row r="26" spans="1:28">
      <c r="H26" s="103">
        <v>2041</v>
      </c>
      <c r="I26" s="58">
        <v>867600</v>
      </c>
      <c r="J26" s="58">
        <v>49100</v>
      </c>
      <c r="K26" s="58">
        <v>2384</v>
      </c>
      <c r="L26" s="58">
        <v>18100</v>
      </c>
      <c r="M26" s="145">
        <v>74</v>
      </c>
      <c r="O26" s="103">
        <v>2041</v>
      </c>
      <c r="P26" s="146">
        <f t="shared" si="0"/>
        <v>1</v>
      </c>
      <c r="Q26" s="146">
        <f t="shared" si="1"/>
        <v>1</v>
      </c>
      <c r="R26" s="146">
        <f t="shared" si="2"/>
        <v>1</v>
      </c>
      <c r="S26" s="146">
        <f t="shared" si="3"/>
        <v>1</v>
      </c>
      <c r="T26" s="147">
        <f t="shared" si="4"/>
        <v>1</v>
      </c>
      <c r="AB26" s="58"/>
    </row>
    <row r="27" spans="1:28">
      <c r="H27" s="103">
        <v>2042</v>
      </c>
      <c r="I27" s="58">
        <v>867600</v>
      </c>
      <c r="J27" s="58">
        <v>49100</v>
      </c>
      <c r="K27" s="58">
        <v>2384</v>
      </c>
      <c r="L27" s="58">
        <v>18100</v>
      </c>
      <c r="M27" s="145">
        <v>75</v>
      </c>
      <c r="O27" s="103">
        <v>2042</v>
      </c>
      <c r="P27" s="146">
        <f t="shared" si="0"/>
        <v>1</v>
      </c>
      <c r="Q27" s="146">
        <f t="shared" si="1"/>
        <v>1</v>
      </c>
      <c r="R27" s="146">
        <f t="shared" si="2"/>
        <v>1</v>
      </c>
      <c r="S27" s="146">
        <f t="shared" si="3"/>
        <v>1</v>
      </c>
      <c r="T27" s="147">
        <f t="shared" si="4"/>
        <v>1</v>
      </c>
      <c r="AB27" s="58"/>
    </row>
    <row r="28" spans="1:28" ht="15.75" thickBot="1">
      <c r="A28" s="3" t="s">
        <v>363</v>
      </c>
      <c r="H28" s="103">
        <v>2043</v>
      </c>
      <c r="I28" s="58">
        <v>867600</v>
      </c>
      <c r="J28" s="58">
        <v>49100</v>
      </c>
      <c r="K28" s="58">
        <v>2384</v>
      </c>
      <c r="L28" s="58">
        <v>18100</v>
      </c>
      <c r="M28" s="145">
        <v>77</v>
      </c>
      <c r="O28" s="103">
        <v>2043</v>
      </c>
      <c r="P28" s="146">
        <f t="shared" si="0"/>
        <v>1</v>
      </c>
      <c r="Q28" s="146">
        <f t="shared" si="1"/>
        <v>1</v>
      </c>
      <c r="R28" s="146">
        <f t="shared" si="2"/>
        <v>1</v>
      </c>
      <c r="S28" s="146">
        <f t="shared" si="3"/>
        <v>1</v>
      </c>
      <c r="T28" s="147">
        <f t="shared" si="4"/>
        <v>1</v>
      </c>
      <c r="AB28" s="58"/>
    </row>
    <row r="29" spans="1:28" ht="15.75" thickBot="1">
      <c r="A29" s="161" t="s">
        <v>275</v>
      </c>
      <c r="B29" s="162" t="s">
        <v>347</v>
      </c>
      <c r="C29" s="162" t="s">
        <v>258</v>
      </c>
      <c r="D29" s="162" t="s">
        <v>348</v>
      </c>
      <c r="E29" s="162" t="s">
        <v>349</v>
      </c>
      <c r="F29" s="163" t="s">
        <v>255</v>
      </c>
      <c r="H29" s="103">
        <v>2044</v>
      </c>
      <c r="I29" s="58">
        <v>867600</v>
      </c>
      <c r="J29" s="58">
        <v>49100</v>
      </c>
      <c r="K29" s="58">
        <v>2384</v>
      </c>
      <c r="L29" s="58">
        <v>18100</v>
      </c>
      <c r="M29" s="145">
        <v>78</v>
      </c>
      <c r="O29" s="103">
        <v>2044</v>
      </c>
      <c r="P29" s="146">
        <f t="shared" si="0"/>
        <v>1</v>
      </c>
      <c r="Q29" s="146">
        <f t="shared" si="1"/>
        <v>1</v>
      </c>
      <c r="R29" s="146">
        <f t="shared" si="2"/>
        <v>1</v>
      </c>
      <c r="S29" s="146">
        <f t="shared" si="3"/>
        <v>1</v>
      </c>
      <c r="T29" s="147">
        <f t="shared" si="4"/>
        <v>1</v>
      </c>
    </row>
    <row r="30" spans="1:28">
      <c r="A30" s="103" t="s">
        <v>277</v>
      </c>
      <c r="B30" s="164">
        <f t="shared" ref="B30:F32" si="5">B6*$F$34</f>
        <v>0</v>
      </c>
      <c r="C30" s="164">
        <f t="shared" si="5"/>
        <v>0</v>
      </c>
      <c r="D30" s="164">
        <f t="shared" si="5"/>
        <v>0</v>
      </c>
      <c r="E30" s="164">
        <f t="shared" si="5"/>
        <v>0</v>
      </c>
      <c r="F30" s="164">
        <f t="shared" si="5"/>
        <v>0</v>
      </c>
      <c r="H30" s="103">
        <v>2045</v>
      </c>
      <c r="I30" s="58">
        <v>867600</v>
      </c>
      <c r="J30" s="58">
        <v>49100</v>
      </c>
      <c r="K30" s="58">
        <v>2384</v>
      </c>
      <c r="L30" s="58">
        <v>18100</v>
      </c>
      <c r="M30" s="145">
        <v>79</v>
      </c>
      <c r="O30" s="103">
        <v>2045</v>
      </c>
      <c r="P30" s="146">
        <f t="shared" si="0"/>
        <v>1</v>
      </c>
      <c r="Q30" s="146">
        <f t="shared" si="1"/>
        <v>1</v>
      </c>
      <c r="R30" s="146">
        <f t="shared" si="2"/>
        <v>1</v>
      </c>
      <c r="S30" s="146">
        <f t="shared" si="3"/>
        <v>1</v>
      </c>
      <c r="T30" s="147">
        <f t="shared" si="4"/>
        <v>1</v>
      </c>
      <c r="AB30" s="58"/>
    </row>
    <row r="31" spans="1:28">
      <c r="A31" s="165" t="s">
        <v>352</v>
      </c>
      <c r="B31" s="166">
        <f t="shared" si="5"/>
        <v>0</v>
      </c>
      <c r="C31" s="166">
        <f t="shared" si="5"/>
        <v>0</v>
      </c>
      <c r="D31" s="166">
        <f t="shared" si="5"/>
        <v>0</v>
      </c>
      <c r="E31" s="166">
        <f t="shared" si="5"/>
        <v>0</v>
      </c>
      <c r="F31" s="166">
        <f t="shared" si="5"/>
        <v>0</v>
      </c>
      <c r="H31" s="103">
        <v>2046</v>
      </c>
      <c r="I31" s="58">
        <v>867600</v>
      </c>
      <c r="J31" s="58">
        <v>49100</v>
      </c>
      <c r="K31" s="58">
        <v>2384</v>
      </c>
      <c r="L31" s="58">
        <v>18100</v>
      </c>
      <c r="M31" s="145">
        <v>80</v>
      </c>
      <c r="O31" s="103">
        <v>2046</v>
      </c>
      <c r="P31" s="146">
        <f t="shared" si="0"/>
        <v>1</v>
      </c>
      <c r="Q31" s="146">
        <f t="shared" si="1"/>
        <v>1</v>
      </c>
      <c r="R31" s="146">
        <f t="shared" si="2"/>
        <v>1</v>
      </c>
      <c r="S31" s="146">
        <f t="shared" si="3"/>
        <v>1</v>
      </c>
      <c r="T31" s="147">
        <f t="shared" si="4"/>
        <v>1</v>
      </c>
      <c r="AB31" s="58"/>
    </row>
    <row r="32" spans="1:28" ht="15.75" thickBot="1">
      <c r="A32" s="115" t="s">
        <v>353</v>
      </c>
      <c r="B32" s="167">
        <f t="shared" si="5"/>
        <v>0</v>
      </c>
      <c r="C32" s="167">
        <f t="shared" si="5"/>
        <v>0</v>
      </c>
      <c r="D32" s="167">
        <f t="shared" si="5"/>
        <v>0</v>
      </c>
      <c r="E32" s="167">
        <f t="shared" si="5"/>
        <v>0</v>
      </c>
      <c r="F32" s="167">
        <f t="shared" si="5"/>
        <v>0</v>
      </c>
      <c r="H32" s="103">
        <v>2047</v>
      </c>
      <c r="I32" s="58">
        <v>867600</v>
      </c>
      <c r="J32" s="58">
        <v>49100</v>
      </c>
      <c r="K32" s="58">
        <v>2384</v>
      </c>
      <c r="L32" s="58">
        <v>18100</v>
      </c>
      <c r="M32" s="145">
        <v>81</v>
      </c>
      <c r="O32" s="103">
        <v>2047</v>
      </c>
      <c r="P32" s="146">
        <f t="shared" si="0"/>
        <v>1</v>
      </c>
      <c r="Q32" s="146">
        <f t="shared" si="1"/>
        <v>1</v>
      </c>
      <c r="R32" s="146">
        <f t="shared" si="2"/>
        <v>1</v>
      </c>
      <c r="S32" s="146">
        <f t="shared" si="3"/>
        <v>1</v>
      </c>
      <c r="T32" s="147">
        <f t="shared" si="4"/>
        <v>1</v>
      </c>
      <c r="AB32" s="58"/>
    </row>
    <row r="33" spans="1:28">
      <c r="A33" s="3" t="s">
        <v>364</v>
      </c>
      <c r="F33" s="55">
        <f>10^-6</f>
        <v>9.9999999999999995E-7</v>
      </c>
      <c r="H33" s="103">
        <v>2048</v>
      </c>
      <c r="I33" s="58">
        <v>867600</v>
      </c>
      <c r="J33" s="58">
        <v>49100</v>
      </c>
      <c r="K33" s="58">
        <v>2384</v>
      </c>
      <c r="L33" s="58">
        <v>18100</v>
      </c>
      <c r="M33" s="145">
        <v>82</v>
      </c>
      <c r="O33" s="103">
        <v>2048</v>
      </c>
      <c r="P33" s="146">
        <f t="shared" si="0"/>
        <v>1</v>
      </c>
      <c r="Q33" s="146">
        <f t="shared" si="1"/>
        <v>1</v>
      </c>
      <c r="R33" s="146">
        <f t="shared" si="2"/>
        <v>1</v>
      </c>
      <c r="S33" s="146">
        <f t="shared" si="3"/>
        <v>1</v>
      </c>
      <c r="T33" s="147">
        <f t="shared" si="4"/>
        <v>1</v>
      </c>
    </row>
    <row r="34" spans="1:28">
      <c r="H34" s="103">
        <v>2049</v>
      </c>
      <c r="I34" s="58">
        <v>867600</v>
      </c>
      <c r="J34" s="58">
        <v>49100</v>
      </c>
      <c r="K34" s="58">
        <v>2384</v>
      </c>
      <c r="L34" s="58">
        <v>18100</v>
      </c>
      <c r="M34" s="145">
        <v>84</v>
      </c>
      <c r="O34" s="103">
        <v>2049</v>
      </c>
      <c r="P34" s="146">
        <f t="shared" si="0"/>
        <v>1</v>
      </c>
      <c r="Q34" s="146">
        <f t="shared" si="1"/>
        <v>1</v>
      </c>
      <c r="R34" s="146">
        <f t="shared" si="2"/>
        <v>1</v>
      </c>
      <c r="S34" s="146">
        <f t="shared" si="3"/>
        <v>1</v>
      </c>
      <c r="T34" s="147">
        <f t="shared" si="4"/>
        <v>1</v>
      </c>
      <c r="AB34" s="58"/>
    </row>
    <row r="35" spans="1:28">
      <c r="A35" s="3" t="s">
        <v>365</v>
      </c>
      <c r="E35" s="3"/>
      <c r="H35" s="103">
        <v>2050</v>
      </c>
      <c r="I35" s="58">
        <v>867600</v>
      </c>
      <c r="J35" s="58">
        <v>49100</v>
      </c>
      <c r="K35" s="58">
        <v>2384</v>
      </c>
      <c r="L35" s="58">
        <v>18100</v>
      </c>
      <c r="M35" s="145">
        <v>85</v>
      </c>
      <c r="O35" s="103">
        <v>2050</v>
      </c>
      <c r="P35" s="146">
        <f t="shared" si="0"/>
        <v>1</v>
      </c>
      <c r="Q35" s="146">
        <f t="shared" si="1"/>
        <v>1</v>
      </c>
      <c r="R35" s="146">
        <f t="shared" si="2"/>
        <v>1</v>
      </c>
      <c r="S35" s="146">
        <f t="shared" si="3"/>
        <v>1</v>
      </c>
      <c r="T35" s="147">
        <f t="shared" si="4"/>
        <v>1</v>
      </c>
      <c r="AB35" s="58"/>
    </row>
    <row r="36" spans="1:28">
      <c r="A36" s="168">
        <v>19.600000000000001</v>
      </c>
      <c r="B36" t="s">
        <v>366</v>
      </c>
      <c r="H36" s="103">
        <v>2051</v>
      </c>
      <c r="I36" s="58">
        <f t="shared" ref="I36:J45" si="6">I35</f>
        <v>867600</v>
      </c>
      <c r="J36" s="58">
        <f t="shared" si="6"/>
        <v>49100</v>
      </c>
      <c r="K36" s="58">
        <v>2384</v>
      </c>
      <c r="L36" s="58">
        <f t="shared" ref="L36:L45" si="7">L35</f>
        <v>18100</v>
      </c>
      <c r="M36" s="145">
        <v>86</v>
      </c>
      <c r="O36" s="103">
        <v>2051</v>
      </c>
      <c r="P36" s="146">
        <f t="shared" si="0"/>
        <v>1</v>
      </c>
      <c r="Q36" s="146">
        <f t="shared" si="1"/>
        <v>1</v>
      </c>
      <c r="R36" s="146">
        <f t="shared" si="2"/>
        <v>1</v>
      </c>
      <c r="S36" s="146">
        <f t="shared" si="3"/>
        <v>1</v>
      </c>
      <c r="T36" s="147">
        <f t="shared" si="4"/>
        <v>1</v>
      </c>
      <c r="AB36" s="58"/>
    </row>
    <row r="37" spans="1:28">
      <c r="A37" s="168">
        <v>453.59199999999998</v>
      </c>
      <c r="B37" t="s">
        <v>367</v>
      </c>
      <c r="H37" s="103">
        <v>2052</v>
      </c>
      <c r="I37" s="58">
        <f t="shared" si="6"/>
        <v>867600</v>
      </c>
      <c r="J37" s="58">
        <f t="shared" si="6"/>
        <v>49100</v>
      </c>
      <c r="K37" s="58">
        <v>2384</v>
      </c>
      <c r="L37" s="58">
        <f t="shared" si="7"/>
        <v>18100</v>
      </c>
      <c r="M37" s="145">
        <v>88</v>
      </c>
      <c r="O37" s="103">
        <v>2052</v>
      </c>
      <c r="P37" s="146">
        <f t="shared" si="0"/>
        <v>1</v>
      </c>
      <c r="Q37" s="146">
        <f t="shared" si="1"/>
        <v>1</v>
      </c>
      <c r="R37" s="146">
        <f t="shared" si="2"/>
        <v>1</v>
      </c>
      <c r="S37" s="146">
        <f t="shared" si="3"/>
        <v>1</v>
      </c>
      <c r="T37" s="147">
        <f t="shared" si="4"/>
        <v>1</v>
      </c>
    </row>
    <row r="38" spans="1:28">
      <c r="A38" s="169">
        <f>A36*A37</f>
        <v>8890.4032000000007</v>
      </c>
      <c r="B38" s="55" t="s">
        <v>368</v>
      </c>
      <c r="H38" s="103">
        <v>2053</v>
      </c>
      <c r="I38" s="58">
        <f t="shared" si="6"/>
        <v>867600</v>
      </c>
      <c r="J38" s="58">
        <f t="shared" si="6"/>
        <v>49100</v>
      </c>
      <c r="K38" s="58">
        <v>2384</v>
      </c>
      <c r="L38" s="58">
        <f t="shared" si="7"/>
        <v>18100</v>
      </c>
      <c r="M38" s="145">
        <v>89</v>
      </c>
      <c r="O38" s="103">
        <v>2053</v>
      </c>
      <c r="P38" s="146">
        <f t="shared" si="0"/>
        <v>1</v>
      </c>
      <c r="Q38" s="146">
        <f t="shared" si="1"/>
        <v>1</v>
      </c>
      <c r="R38" s="146">
        <f t="shared" si="2"/>
        <v>1</v>
      </c>
      <c r="S38" s="146">
        <f t="shared" si="3"/>
        <v>1</v>
      </c>
      <c r="T38" s="147">
        <f t="shared" si="4"/>
        <v>1</v>
      </c>
      <c r="AB38" s="58"/>
    </row>
    <row r="39" spans="1:28">
      <c r="H39" s="103">
        <v>2054</v>
      </c>
      <c r="I39" s="58">
        <f t="shared" si="6"/>
        <v>867600</v>
      </c>
      <c r="J39" s="58">
        <f t="shared" si="6"/>
        <v>49100</v>
      </c>
      <c r="K39" s="58">
        <v>2384</v>
      </c>
      <c r="L39" s="58">
        <f t="shared" si="7"/>
        <v>18100</v>
      </c>
      <c r="M39" s="145">
        <v>91</v>
      </c>
      <c r="O39" s="103">
        <v>2054</v>
      </c>
      <c r="P39" s="146">
        <f t="shared" si="0"/>
        <v>1</v>
      </c>
      <c r="Q39" s="146">
        <f t="shared" si="1"/>
        <v>1</v>
      </c>
      <c r="R39" s="146">
        <f t="shared" si="2"/>
        <v>1</v>
      </c>
      <c r="S39" s="146">
        <f t="shared" si="3"/>
        <v>1</v>
      </c>
      <c r="T39" s="147">
        <f t="shared" si="4"/>
        <v>1</v>
      </c>
      <c r="AB39" s="58"/>
    </row>
    <row r="40" spans="1:28">
      <c r="A40" s="168">
        <v>22.4</v>
      </c>
      <c r="B40" t="s">
        <v>369</v>
      </c>
      <c r="H40" s="103">
        <v>2055</v>
      </c>
      <c r="I40" s="58">
        <f t="shared" si="6"/>
        <v>867600</v>
      </c>
      <c r="J40" s="58">
        <f t="shared" si="6"/>
        <v>49100</v>
      </c>
      <c r="K40" s="58">
        <v>2384</v>
      </c>
      <c r="L40" s="58">
        <f t="shared" si="7"/>
        <v>18100</v>
      </c>
      <c r="M40" s="145">
        <v>92</v>
      </c>
      <c r="O40" s="103">
        <v>2055</v>
      </c>
      <c r="P40" s="146">
        <f t="shared" si="0"/>
        <v>1</v>
      </c>
      <c r="Q40" s="146">
        <f t="shared" si="1"/>
        <v>1</v>
      </c>
      <c r="R40" s="146">
        <f t="shared" si="2"/>
        <v>1</v>
      </c>
      <c r="S40" s="146">
        <f t="shared" si="3"/>
        <v>1</v>
      </c>
      <c r="T40" s="147">
        <f t="shared" si="4"/>
        <v>1</v>
      </c>
      <c r="AB40" s="58"/>
    </row>
    <row r="41" spans="1:28">
      <c r="A41" s="168">
        <v>453.59199999999998</v>
      </c>
      <c r="B41" t="s">
        <v>367</v>
      </c>
      <c r="H41" s="103">
        <v>2056</v>
      </c>
      <c r="I41" s="58">
        <f t="shared" si="6"/>
        <v>867600</v>
      </c>
      <c r="J41" s="58">
        <f t="shared" si="6"/>
        <v>49100</v>
      </c>
      <c r="K41" s="58">
        <v>2384</v>
      </c>
      <c r="L41" s="58">
        <f t="shared" si="7"/>
        <v>18100</v>
      </c>
      <c r="M41" s="145">
        <v>94</v>
      </c>
      <c r="O41" s="103">
        <v>2056</v>
      </c>
      <c r="P41" s="146">
        <f t="shared" si="0"/>
        <v>1</v>
      </c>
      <c r="Q41" s="146">
        <f t="shared" si="1"/>
        <v>1</v>
      </c>
      <c r="R41" s="146">
        <f t="shared" si="2"/>
        <v>1</v>
      </c>
      <c r="S41" s="146">
        <f t="shared" si="3"/>
        <v>1</v>
      </c>
      <c r="T41" s="147">
        <f t="shared" si="4"/>
        <v>1</v>
      </c>
    </row>
    <row r="42" spans="1:28">
      <c r="A42" s="169">
        <f>A40*A41</f>
        <v>10160.460799999999</v>
      </c>
      <c r="B42" s="55" t="s">
        <v>370</v>
      </c>
      <c r="H42" s="103">
        <v>2057</v>
      </c>
      <c r="I42" s="58">
        <f t="shared" si="6"/>
        <v>867600</v>
      </c>
      <c r="J42" s="58">
        <f t="shared" si="6"/>
        <v>49100</v>
      </c>
      <c r="K42" s="58">
        <v>2384</v>
      </c>
      <c r="L42" s="58">
        <f t="shared" si="7"/>
        <v>18100</v>
      </c>
      <c r="M42" s="145">
        <v>95</v>
      </c>
      <c r="O42" s="103">
        <v>2057</v>
      </c>
      <c r="P42" s="146">
        <f t="shared" si="0"/>
        <v>1</v>
      </c>
      <c r="Q42" s="146">
        <f t="shared" si="1"/>
        <v>1</v>
      </c>
      <c r="R42" s="146">
        <f t="shared" si="2"/>
        <v>1</v>
      </c>
      <c r="S42" s="146">
        <f t="shared" si="3"/>
        <v>1</v>
      </c>
      <c r="T42" s="147">
        <f t="shared" si="4"/>
        <v>1</v>
      </c>
      <c r="AB42" s="58"/>
    </row>
    <row r="43" spans="1:28">
      <c r="H43" s="103">
        <v>2058</v>
      </c>
      <c r="I43" s="58">
        <f t="shared" si="6"/>
        <v>867600</v>
      </c>
      <c r="J43" s="58">
        <f t="shared" si="6"/>
        <v>49100</v>
      </c>
      <c r="K43" s="58">
        <v>2384</v>
      </c>
      <c r="L43" s="58">
        <f t="shared" si="7"/>
        <v>18100</v>
      </c>
      <c r="M43" s="145">
        <v>97</v>
      </c>
      <c r="O43" s="103">
        <v>2058</v>
      </c>
      <c r="P43" s="146">
        <f t="shared" si="0"/>
        <v>1</v>
      </c>
      <c r="Q43" s="146">
        <f t="shared" si="1"/>
        <v>1</v>
      </c>
      <c r="R43" s="146">
        <f t="shared" si="2"/>
        <v>1</v>
      </c>
      <c r="S43" s="146">
        <f t="shared" si="3"/>
        <v>1</v>
      </c>
      <c r="T43" s="147">
        <f t="shared" si="4"/>
        <v>1</v>
      </c>
      <c r="AB43" s="58"/>
    </row>
    <row r="44" spans="1:28">
      <c r="H44" s="103">
        <v>2059</v>
      </c>
      <c r="I44" s="58">
        <f t="shared" si="6"/>
        <v>867600</v>
      </c>
      <c r="J44" s="58">
        <f t="shared" si="6"/>
        <v>49100</v>
      </c>
      <c r="K44" s="58">
        <v>2384</v>
      </c>
      <c r="L44" s="58">
        <f t="shared" si="7"/>
        <v>18100</v>
      </c>
      <c r="M44" s="145">
        <v>99</v>
      </c>
      <c r="O44" s="103">
        <v>2059</v>
      </c>
      <c r="P44" s="146">
        <f t="shared" si="0"/>
        <v>1</v>
      </c>
      <c r="Q44" s="146">
        <f t="shared" si="1"/>
        <v>1</v>
      </c>
      <c r="R44" s="146">
        <f t="shared" si="2"/>
        <v>1</v>
      </c>
      <c r="S44" s="146">
        <f t="shared" si="3"/>
        <v>1</v>
      </c>
      <c r="T44" s="147">
        <f t="shared" si="4"/>
        <v>1</v>
      </c>
      <c r="AB44" s="58"/>
    </row>
    <row r="45" spans="1:28">
      <c r="A45" s="3" t="s">
        <v>371</v>
      </c>
      <c r="H45" s="103">
        <v>2060</v>
      </c>
      <c r="I45" s="58">
        <f t="shared" si="6"/>
        <v>867600</v>
      </c>
      <c r="J45" s="58">
        <f t="shared" si="6"/>
        <v>49100</v>
      </c>
      <c r="K45" s="58">
        <v>2384</v>
      </c>
      <c r="L45" s="58">
        <f t="shared" si="7"/>
        <v>18100</v>
      </c>
      <c r="M45" s="145">
        <v>100</v>
      </c>
      <c r="O45" s="103">
        <v>2060</v>
      </c>
      <c r="P45" s="146">
        <f t="shared" si="0"/>
        <v>1</v>
      </c>
      <c r="Q45" s="146">
        <f t="shared" si="1"/>
        <v>1</v>
      </c>
      <c r="R45" s="146">
        <f t="shared" si="2"/>
        <v>1</v>
      </c>
      <c r="S45" s="146">
        <f t="shared" si="3"/>
        <v>1</v>
      </c>
      <c r="T45" s="147">
        <f t="shared" si="4"/>
        <v>1</v>
      </c>
    </row>
    <row r="46" spans="1:28" ht="15.75" thickBot="1">
      <c r="A46" t="s">
        <v>275</v>
      </c>
      <c r="B46" t="s">
        <v>372</v>
      </c>
      <c r="H46" s="115"/>
      <c r="I46" s="60"/>
      <c r="J46" s="60"/>
      <c r="K46" s="60"/>
      <c r="L46" s="60"/>
      <c r="M46" s="170"/>
      <c r="O46" s="115"/>
      <c r="P46" s="171"/>
      <c r="Q46" s="171"/>
      <c r="R46" s="171"/>
      <c r="S46" s="171"/>
      <c r="T46" s="172"/>
      <c r="AB46" s="58"/>
    </row>
    <row r="47" spans="1:28">
      <c r="A47" t="s">
        <v>277</v>
      </c>
      <c r="B47" s="168">
        <v>4.4999999999999998E-2</v>
      </c>
      <c r="C47" t="s">
        <v>373</v>
      </c>
      <c r="F47" s="173"/>
      <c r="AB47" s="58"/>
    </row>
    <row r="48" spans="1:28">
      <c r="A48" t="s">
        <v>280</v>
      </c>
      <c r="B48" s="168">
        <v>0.15210000000000001</v>
      </c>
      <c r="C48" t="s">
        <v>374</v>
      </c>
      <c r="H48" t="s">
        <v>375</v>
      </c>
      <c r="AB48" s="58"/>
    </row>
    <row r="49" spans="1:28">
      <c r="A49" t="s">
        <v>281</v>
      </c>
      <c r="B49" s="168">
        <v>0.1653</v>
      </c>
      <c r="C49" t="s">
        <v>374</v>
      </c>
    </row>
    <row r="50" spans="1:28">
      <c r="A50" t="s">
        <v>282</v>
      </c>
      <c r="B50" s="168">
        <v>0.13350000000000001</v>
      </c>
      <c r="C50" t="s">
        <v>374</v>
      </c>
      <c r="AB50" s="58"/>
    </row>
    <row r="51" spans="1:28">
      <c r="AB51" s="58"/>
    </row>
    <row r="52" spans="1:28">
      <c r="AB52" s="58"/>
    </row>
    <row r="55" spans="1:28">
      <c r="A55" t="s">
        <v>376</v>
      </c>
    </row>
    <row r="56" spans="1:28">
      <c r="A56" t="s">
        <v>377</v>
      </c>
      <c r="B56" s="10">
        <v>0.45</v>
      </c>
    </row>
    <row r="57" spans="1:28">
      <c r="A57" t="s">
        <v>378</v>
      </c>
      <c r="B57" s="10">
        <v>0.94</v>
      </c>
    </row>
    <row r="64" spans="1:28" ht="60">
      <c r="A64" s="301" t="s">
        <v>573</v>
      </c>
      <c r="B64" s="301" t="s">
        <v>574</v>
      </c>
    </row>
    <row r="65" spans="1:2">
      <c r="A65" s="78">
        <v>2003</v>
      </c>
      <c r="B65" s="80">
        <v>1.38</v>
      </c>
    </row>
    <row r="66" spans="1:2">
      <c r="A66" s="81">
        <v>2004</v>
      </c>
      <c r="B66" s="82">
        <v>1.34</v>
      </c>
    </row>
    <row r="67" spans="1:2">
      <c r="A67" s="81">
        <v>2005</v>
      </c>
      <c r="B67" s="82">
        <v>1.3</v>
      </c>
    </row>
    <row r="68" spans="1:2">
      <c r="A68" s="81">
        <v>2006</v>
      </c>
      <c r="B68" s="82">
        <v>1.26</v>
      </c>
    </row>
    <row r="69" spans="1:2">
      <c r="A69" s="81">
        <v>2007</v>
      </c>
      <c r="B69" s="82">
        <v>1.23</v>
      </c>
    </row>
    <row r="70" spans="1:2">
      <c r="A70" s="81">
        <v>2008</v>
      </c>
      <c r="B70" s="82">
        <v>1.2</v>
      </c>
    </row>
    <row r="71" spans="1:2">
      <c r="A71" s="81">
        <v>2009</v>
      </c>
      <c r="B71" s="82">
        <v>1.2</v>
      </c>
    </row>
    <row r="72" spans="1:2">
      <c r="A72" s="81">
        <v>2010</v>
      </c>
      <c r="B72" s="82">
        <v>1.18</v>
      </c>
    </row>
    <row r="73" spans="1:2">
      <c r="A73" s="81">
        <v>2011</v>
      </c>
      <c r="B73" s="82">
        <v>1.1599999999999999</v>
      </c>
    </row>
    <row r="74" spans="1:2">
      <c r="A74" s="81">
        <v>2012</v>
      </c>
      <c r="B74" s="82">
        <v>1.1399999999999999</v>
      </c>
    </row>
    <row r="75" spans="1:2">
      <c r="A75" s="81">
        <v>2013</v>
      </c>
      <c r="B75" s="82">
        <v>1.1200000000000001</v>
      </c>
    </row>
    <row r="76" spans="1:2">
      <c r="A76" s="81">
        <v>2014</v>
      </c>
      <c r="B76" s="82">
        <v>1.1000000000000001</v>
      </c>
    </row>
    <row r="77" spans="1:2">
      <c r="A77" s="81">
        <v>2015</v>
      </c>
      <c r="B77" s="82">
        <v>1.0900000000000001</v>
      </c>
    </row>
    <row r="78" spans="1:2">
      <c r="A78" s="81">
        <v>2016</v>
      </c>
      <c r="B78" s="82">
        <v>1.07</v>
      </c>
    </row>
    <row r="79" spans="1:2">
      <c r="A79" s="81">
        <v>2017</v>
      </c>
      <c r="B79" s="82">
        <v>1.05</v>
      </c>
    </row>
    <row r="80" spans="1:2">
      <c r="A80" s="81">
        <v>2018</v>
      </c>
      <c r="B80" s="82">
        <v>1.03</v>
      </c>
    </row>
    <row r="81" spans="1:2">
      <c r="A81" s="81">
        <v>2019</v>
      </c>
      <c r="B81" s="82">
        <v>1.01</v>
      </c>
    </row>
    <row r="82" spans="1:2">
      <c r="A82" s="95">
        <v>2020</v>
      </c>
      <c r="B82" s="98">
        <v>1</v>
      </c>
    </row>
    <row r="84" spans="1:2">
      <c r="A84" s="274" t="s">
        <v>575</v>
      </c>
    </row>
    <row r="87" spans="1:2">
      <c r="A87" s="302" t="s">
        <v>576</v>
      </c>
      <c r="B87" s="303"/>
    </row>
    <row r="88" spans="1:2">
      <c r="A88" s="302" t="s">
        <v>577</v>
      </c>
      <c r="B88" s="304">
        <v>0.91759999999999997</v>
      </c>
    </row>
    <row r="89" spans="1:2">
      <c r="A89" s="302" t="s">
        <v>578</v>
      </c>
      <c r="B89" s="303"/>
    </row>
    <row r="90" spans="1:2">
      <c r="A90" s="305" t="s">
        <v>579</v>
      </c>
      <c r="B90" s="302"/>
    </row>
  </sheetData>
  <mergeCells count="3">
    <mergeCell ref="O3:T4"/>
    <mergeCell ref="V11:W14"/>
    <mergeCell ref="B13:E13"/>
  </mergeCells>
  <hyperlinks>
    <hyperlink ref="A2" r:id="rId1" xr:uid="{31FA84F7-FCCB-46E0-89FB-86CD4C501D5B}"/>
    <hyperlink ref="A90" r:id="rId2" xr:uid="{E155F15F-8BDA-4B6C-8232-22F455AB2B4F}"/>
  </hyperlinks>
  <pageMargins left="0.7" right="0.7" top="0.75" bottom="0.75" header="0.3" footer="0.3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082D5-439F-41EF-B5A2-211221E4EF48}">
  <sheetPr filterMode="1">
    <tabColor theme="9"/>
  </sheetPr>
  <dimension ref="A1:Q95"/>
  <sheetViews>
    <sheetView workbookViewId="0">
      <pane ySplit="1" topLeftCell="A2" activePane="bottomLeft" state="frozen"/>
      <selection pane="bottomLeft" activeCell="E2" sqref="E2"/>
    </sheetView>
  </sheetViews>
  <sheetFormatPr defaultColWidth="8.7109375" defaultRowHeight="15"/>
  <cols>
    <col min="1" max="1" width="13" style="281" customWidth="1"/>
    <col min="2" max="2" width="26.7109375" style="281" customWidth="1"/>
    <col min="3" max="3" width="13.42578125" style="281" customWidth="1"/>
    <col min="4" max="4" width="19.42578125" style="281" customWidth="1"/>
    <col min="5" max="5" width="22.5703125" style="281" customWidth="1"/>
    <col min="6" max="6" width="18" style="281" customWidth="1"/>
    <col min="7" max="9" width="18" style="282" customWidth="1"/>
    <col min="10" max="10" width="24.42578125" style="283" customWidth="1"/>
    <col min="11" max="11" width="31" style="281" customWidth="1"/>
    <col min="12" max="16384" width="8.7109375" style="281"/>
  </cols>
  <sheetData>
    <row r="1" spans="1:17">
      <c r="A1" s="281" t="s">
        <v>535</v>
      </c>
      <c r="B1" s="276" t="s">
        <v>534</v>
      </c>
      <c r="C1" s="277" t="s">
        <v>0</v>
      </c>
      <c r="D1" s="277" t="s">
        <v>1</v>
      </c>
      <c r="E1" s="277" t="s">
        <v>2</v>
      </c>
      <c r="F1" s="277" t="s">
        <v>3</v>
      </c>
      <c r="G1" s="278" t="s">
        <v>4</v>
      </c>
      <c r="H1" s="278" t="s">
        <v>5</v>
      </c>
      <c r="I1" s="278" t="s">
        <v>6</v>
      </c>
      <c r="J1" s="279" t="s">
        <v>7</v>
      </c>
      <c r="K1" s="280" t="s">
        <v>8</v>
      </c>
      <c r="L1" s="315" t="s">
        <v>9</v>
      </c>
      <c r="M1" s="316"/>
      <c r="N1" s="317"/>
      <c r="O1" s="315" t="s">
        <v>10</v>
      </c>
      <c r="P1" s="316"/>
      <c r="Q1" s="317"/>
    </row>
    <row r="2" spans="1:17">
      <c r="A2" s="281" t="e">
        <f>MATCH(B2,'Crashes total'!B:B,0)</f>
        <v>#N/A</v>
      </c>
      <c r="B2" s="300" t="s">
        <v>505</v>
      </c>
      <c r="C2" s="281" t="s">
        <v>11</v>
      </c>
      <c r="D2" s="281" t="s">
        <v>12</v>
      </c>
      <c r="E2" s="281" t="s">
        <v>13</v>
      </c>
      <c r="F2" s="281" t="s">
        <v>14</v>
      </c>
      <c r="G2" s="282">
        <v>100000</v>
      </c>
      <c r="H2" s="282">
        <v>300000</v>
      </c>
      <c r="I2" s="282">
        <v>100000</v>
      </c>
      <c r="J2" s="283">
        <f>SUM(G2:I2)</f>
        <v>500000</v>
      </c>
      <c r="K2" s="284" t="s">
        <v>15</v>
      </c>
      <c r="L2" s="311" t="s">
        <v>16</v>
      </c>
      <c r="M2" s="312"/>
      <c r="N2" s="313"/>
      <c r="O2" s="314" t="s">
        <v>17</v>
      </c>
      <c r="P2" s="314"/>
      <c r="Q2" s="314"/>
    </row>
    <row r="3" spans="1:17">
      <c r="A3" s="281">
        <f>MATCH(B3,'Crashes total'!B:B,0)</f>
        <v>2</v>
      </c>
      <c r="B3" s="281" t="s">
        <v>468</v>
      </c>
      <c r="C3" s="281" t="s">
        <v>18</v>
      </c>
      <c r="D3" s="281" t="s">
        <v>12</v>
      </c>
      <c r="E3" s="281" t="s">
        <v>19</v>
      </c>
      <c r="F3" s="281" t="s">
        <v>14</v>
      </c>
      <c r="G3" s="282">
        <v>100000</v>
      </c>
      <c r="H3" s="282">
        <v>300000</v>
      </c>
      <c r="I3" s="282">
        <v>100000</v>
      </c>
      <c r="J3" s="283">
        <f t="shared" ref="J3:J53" si="0">SUM(G3:I3)</f>
        <v>500000</v>
      </c>
      <c r="K3" s="284" t="s">
        <v>20</v>
      </c>
      <c r="L3" s="311" t="s">
        <v>21</v>
      </c>
      <c r="M3" s="312"/>
      <c r="N3" s="313"/>
      <c r="O3" s="314" t="s">
        <v>22</v>
      </c>
      <c r="P3" s="314"/>
      <c r="Q3" s="314"/>
    </row>
    <row r="4" spans="1:17">
      <c r="A4" s="281">
        <f>MATCH(B4,'Crashes total'!B:B,0)</f>
        <v>5</v>
      </c>
      <c r="B4" s="281" t="s">
        <v>471</v>
      </c>
      <c r="C4" s="281" t="s">
        <v>23</v>
      </c>
      <c r="D4" s="281" t="s">
        <v>12</v>
      </c>
      <c r="E4" s="281" t="s">
        <v>24</v>
      </c>
      <c r="F4" s="281" t="s">
        <v>14</v>
      </c>
      <c r="G4" s="282">
        <v>100000</v>
      </c>
      <c r="H4" s="282">
        <v>300000</v>
      </c>
      <c r="I4" s="282">
        <v>100000</v>
      </c>
      <c r="J4" s="283">
        <f t="shared" si="0"/>
        <v>500000</v>
      </c>
      <c r="K4" s="284" t="s">
        <v>25</v>
      </c>
      <c r="L4" s="311" t="s">
        <v>26</v>
      </c>
      <c r="M4" s="312"/>
      <c r="N4" s="313"/>
      <c r="O4" s="314" t="s">
        <v>27</v>
      </c>
      <c r="P4" s="314"/>
      <c r="Q4" s="314"/>
    </row>
    <row r="5" spans="1:17">
      <c r="A5" s="281">
        <f>MATCH(B5,'Crashes total'!B:B,0)</f>
        <v>9</v>
      </c>
      <c r="B5" s="281" t="s">
        <v>473</v>
      </c>
      <c r="C5" s="281" t="s">
        <v>28</v>
      </c>
      <c r="D5" s="281" t="s">
        <v>12</v>
      </c>
      <c r="E5" s="281" t="s">
        <v>29</v>
      </c>
      <c r="F5" s="281" t="s">
        <v>14</v>
      </c>
      <c r="G5" s="282">
        <v>100000</v>
      </c>
      <c r="H5" s="282">
        <v>300000</v>
      </c>
      <c r="I5" s="282">
        <v>100000</v>
      </c>
      <c r="J5" s="283">
        <f t="shared" si="0"/>
        <v>500000</v>
      </c>
      <c r="K5" s="284" t="s">
        <v>30</v>
      </c>
      <c r="L5" s="311" t="s">
        <v>31</v>
      </c>
      <c r="M5" s="312"/>
      <c r="N5" s="313"/>
      <c r="O5" s="314"/>
      <c r="P5" s="314"/>
      <c r="Q5" s="314"/>
    </row>
    <row r="6" spans="1:17">
      <c r="A6" s="281">
        <f>MATCH(B6,'Crashes total'!B:B,0)</f>
        <v>11</v>
      </c>
      <c r="B6" s="281" t="s">
        <v>475</v>
      </c>
      <c r="C6" s="281" t="s">
        <v>32</v>
      </c>
      <c r="D6" s="281" t="s">
        <v>12</v>
      </c>
      <c r="E6" s="281" t="s">
        <v>33</v>
      </c>
      <c r="F6" s="281" t="s">
        <v>14</v>
      </c>
      <c r="G6" s="282">
        <v>100000</v>
      </c>
      <c r="H6" s="282">
        <v>300000</v>
      </c>
      <c r="I6" s="282">
        <v>100000</v>
      </c>
      <c r="J6" s="283">
        <f t="shared" si="0"/>
        <v>500000</v>
      </c>
      <c r="K6" s="284" t="s">
        <v>34</v>
      </c>
      <c r="L6" s="311" t="s">
        <v>35</v>
      </c>
      <c r="M6" s="312"/>
      <c r="N6" s="313"/>
      <c r="O6" s="314"/>
      <c r="P6" s="314"/>
      <c r="Q6" s="314"/>
    </row>
    <row r="7" spans="1:17">
      <c r="A7" s="281">
        <f>MATCH(B7,'Crashes total'!B:B,0)</f>
        <v>12</v>
      </c>
      <c r="B7" s="281" t="s">
        <v>477</v>
      </c>
      <c r="C7" s="281" t="s">
        <v>36</v>
      </c>
      <c r="D7" s="281" t="s">
        <v>37</v>
      </c>
      <c r="E7" s="281" t="s">
        <v>38</v>
      </c>
      <c r="F7" s="281" t="s">
        <v>39</v>
      </c>
      <c r="G7" s="282">
        <v>100000</v>
      </c>
      <c r="H7" s="282">
        <v>300000</v>
      </c>
      <c r="I7" s="282">
        <v>100000</v>
      </c>
      <c r="J7" s="283">
        <f t="shared" si="0"/>
        <v>500000</v>
      </c>
      <c r="K7" s="284" t="s">
        <v>40</v>
      </c>
      <c r="L7" s="311"/>
      <c r="M7" s="312"/>
      <c r="N7" s="313"/>
      <c r="O7" s="314"/>
      <c r="P7" s="314"/>
      <c r="Q7" s="314"/>
    </row>
    <row r="8" spans="1:17">
      <c r="A8" s="281">
        <f>MATCH(B8,'Crashes total'!B:B,0)</f>
        <v>13</v>
      </c>
      <c r="B8" s="281" t="s">
        <v>478</v>
      </c>
      <c r="C8" s="281" t="s">
        <v>41</v>
      </c>
      <c r="D8" s="281" t="s">
        <v>37</v>
      </c>
      <c r="E8" s="281" t="s">
        <v>42</v>
      </c>
      <c r="F8" s="281" t="s">
        <v>14</v>
      </c>
      <c r="G8" s="282">
        <v>100000</v>
      </c>
      <c r="H8" s="282">
        <v>300000</v>
      </c>
      <c r="I8" s="282">
        <v>100000</v>
      </c>
      <c r="J8" s="283">
        <f t="shared" si="0"/>
        <v>500000</v>
      </c>
      <c r="K8" s="284" t="s">
        <v>43</v>
      </c>
      <c r="L8" s="311"/>
      <c r="M8" s="312"/>
      <c r="N8" s="313"/>
      <c r="O8" s="314"/>
      <c r="P8" s="314"/>
      <c r="Q8" s="314"/>
    </row>
    <row r="9" spans="1:17">
      <c r="A9" s="281">
        <f>MATCH(B9,'Crashes total'!B:B,0)</f>
        <v>14</v>
      </c>
      <c r="B9" s="281" t="s">
        <v>480</v>
      </c>
      <c r="C9" s="281" t="s">
        <v>44</v>
      </c>
      <c r="D9" s="281" t="s">
        <v>37</v>
      </c>
      <c r="E9" s="281" t="s">
        <v>45</v>
      </c>
      <c r="F9" s="281" t="s">
        <v>14</v>
      </c>
      <c r="G9" s="282">
        <v>100000</v>
      </c>
      <c r="H9" s="282">
        <v>300000</v>
      </c>
      <c r="I9" s="282">
        <v>100000</v>
      </c>
      <c r="J9" s="283">
        <f t="shared" si="0"/>
        <v>500000</v>
      </c>
      <c r="K9" s="284" t="s">
        <v>46</v>
      </c>
      <c r="L9" s="311"/>
      <c r="M9" s="312"/>
      <c r="N9" s="313"/>
      <c r="O9" s="314"/>
      <c r="P9" s="314"/>
      <c r="Q9" s="314"/>
    </row>
    <row r="10" spans="1:17">
      <c r="A10" s="281">
        <f>MATCH(B10,'Crashes total'!B:B,0)</f>
        <v>15</v>
      </c>
      <c r="B10" s="281" t="s">
        <v>481</v>
      </c>
      <c r="C10" s="281" t="s">
        <v>47</v>
      </c>
      <c r="D10" s="281" t="s">
        <v>37</v>
      </c>
      <c r="E10" s="281" t="s">
        <v>48</v>
      </c>
      <c r="F10" s="281" t="s">
        <v>14</v>
      </c>
      <c r="G10" s="282">
        <v>100000</v>
      </c>
      <c r="H10" s="282">
        <v>300000</v>
      </c>
      <c r="I10" s="282">
        <v>100000</v>
      </c>
      <c r="J10" s="283">
        <f t="shared" si="0"/>
        <v>500000</v>
      </c>
      <c r="K10" s="284" t="s">
        <v>49</v>
      </c>
    </row>
    <row r="11" spans="1:17">
      <c r="A11" s="281">
        <f>MATCH(B11,'Crashes total'!B:B,0)</f>
        <v>16</v>
      </c>
      <c r="B11" s="281" t="s">
        <v>482</v>
      </c>
      <c r="C11" s="281" t="s">
        <v>50</v>
      </c>
      <c r="D11" s="281" t="s">
        <v>12</v>
      </c>
      <c r="E11" s="281" t="s">
        <v>51</v>
      </c>
      <c r="F11" s="281" t="s">
        <v>39</v>
      </c>
      <c r="G11" s="282">
        <v>100000</v>
      </c>
      <c r="H11" s="282">
        <v>300000</v>
      </c>
      <c r="I11" s="282">
        <v>100000</v>
      </c>
      <c r="J11" s="283">
        <f t="shared" si="0"/>
        <v>500000</v>
      </c>
      <c r="K11" s="284" t="s">
        <v>52</v>
      </c>
    </row>
    <row r="12" spans="1:17">
      <c r="A12" s="281">
        <f>MATCH(B12,'Crashes total'!B:B,0)</f>
        <v>19</v>
      </c>
      <c r="B12" s="281" t="s">
        <v>487</v>
      </c>
      <c r="C12" s="281" t="s">
        <v>53</v>
      </c>
      <c r="D12" s="281" t="s">
        <v>12</v>
      </c>
      <c r="E12" s="281" t="s">
        <v>54</v>
      </c>
      <c r="F12" s="281" t="s">
        <v>39</v>
      </c>
      <c r="G12" s="282">
        <v>100000</v>
      </c>
      <c r="H12" s="282">
        <v>300000</v>
      </c>
      <c r="I12" s="282">
        <v>100000</v>
      </c>
      <c r="J12" s="283">
        <f t="shared" si="0"/>
        <v>500000</v>
      </c>
      <c r="K12" s="284" t="s">
        <v>55</v>
      </c>
    </row>
    <row r="13" spans="1:17">
      <c r="A13" s="281">
        <f>MATCH(B13,'Crashes total'!B:B,0)</f>
        <v>22</v>
      </c>
      <c r="B13" s="281" t="s">
        <v>488</v>
      </c>
      <c r="C13" s="281" t="s">
        <v>56</v>
      </c>
      <c r="D13" s="281" t="s">
        <v>12</v>
      </c>
      <c r="E13" s="281" t="s">
        <v>57</v>
      </c>
      <c r="F13" s="281" t="s">
        <v>39</v>
      </c>
      <c r="G13" s="282">
        <v>100000</v>
      </c>
      <c r="H13" s="282">
        <v>300000</v>
      </c>
      <c r="I13" s="282">
        <v>100000</v>
      </c>
      <c r="J13" s="283">
        <f t="shared" si="0"/>
        <v>500000</v>
      </c>
      <c r="K13" s="284" t="s">
        <v>58</v>
      </c>
    </row>
    <row r="14" spans="1:17">
      <c r="A14" s="281">
        <f>MATCH(B14,'Crashes total'!B:B,0)</f>
        <v>23</v>
      </c>
      <c r="B14" s="281" t="s">
        <v>489</v>
      </c>
      <c r="C14" s="281" t="s">
        <v>59</v>
      </c>
      <c r="D14" s="281" t="s">
        <v>60</v>
      </c>
      <c r="E14" s="281" t="s">
        <v>61</v>
      </c>
      <c r="F14" s="281" t="s">
        <v>14</v>
      </c>
      <c r="G14" s="282">
        <v>100000</v>
      </c>
      <c r="H14" s="282">
        <v>300000</v>
      </c>
      <c r="I14" s="282">
        <v>100000</v>
      </c>
      <c r="J14" s="283">
        <f t="shared" si="0"/>
        <v>500000</v>
      </c>
      <c r="K14" s="284" t="s">
        <v>62</v>
      </c>
    </row>
    <row r="15" spans="1:17">
      <c r="A15" s="281">
        <f>MATCH(B15,'Crashes total'!B:B,0)</f>
        <v>24</v>
      </c>
      <c r="B15" s="281" t="s">
        <v>490</v>
      </c>
      <c r="C15" s="281" t="s">
        <v>63</v>
      </c>
      <c r="D15" s="281" t="s">
        <v>64</v>
      </c>
      <c r="E15" s="281" t="s">
        <v>65</v>
      </c>
      <c r="F15" s="281" t="s">
        <v>39</v>
      </c>
      <c r="G15" s="282">
        <v>100000</v>
      </c>
      <c r="H15" s="282">
        <v>300000</v>
      </c>
      <c r="I15" s="282">
        <v>100000</v>
      </c>
      <c r="J15" s="283">
        <f t="shared" si="0"/>
        <v>500000</v>
      </c>
      <c r="K15" s="284" t="s">
        <v>66</v>
      </c>
    </row>
    <row r="16" spans="1:17">
      <c r="A16" s="281">
        <f>MATCH(B16,'Crashes total'!B:B,0)</f>
        <v>25</v>
      </c>
      <c r="B16" s="281" t="s">
        <v>491</v>
      </c>
      <c r="C16" s="281" t="s">
        <v>67</v>
      </c>
      <c r="D16" s="281" t="s">
        <v>64</v>
      </c>
      <c r="E16" s="281" t="s">
        <v>68</v>
      </c>
      <c r="F16" s="281" t="s">
        <v>39</v>
      </c>
      <c r="G16" s="282">
        <v>100000</v>
      </c>
      <c r="H16" s="282">
        <v>300000</v>
      </c>
      <c r="I16" s="282">
        <v>100000</v>
      </c>
      <c r="J16" s="283">
        <f t="shared" si="0"/>
        <v>500000</v>
      </c>
      <c r="K16" s="284" t="s">
        <v>69</v>
      </c>
    </row>
    <row r="17" spans="1:11" customFormat="1" hidden="1">
      <c r="A17" s="274"/>
      <c r="B17" s="274" t="s">
        <v>506</v>
      </c>
      <c r="C17" t="s">
        <v>70</v>
      </c>
      <c r="D17" t="s">
        <v>64</v>
      </c>
      <c r="E17" t="s">
        <v>71</v>
      </c>
      <c r="F17" t="s">
        <v>39</v>
      </c>
      <c r="G17" s="4">
        <v>100000</v>
      </c>
      <c r="H17" s="4">
        <v>300000</v>
      </c>
      <c r="I17" s="4">
        <v>100000</v>
      </c>
      <c r="J17" s="1">
        <f t="shared" si="0"/>
        <v>500000</v>
      </c>
      <c r="K17" s="6" t="s">
        <v>72</v>
      </c>
    </row>
    <row r="18" spans="1:11">
      <c r="A18" s="281">
        <f>MATCH(B18,'Crashes total'!B:B,0)</f>
        <v>26</v>
      </c>
      <c r="B18" s="281" t="s">
        <v>492</v>
      </c>
      <c r="C18" s="281" t="s">
        <v>73</v>
      </c>
      <c r="D18" s="281" t="s">
        <v>37</v>
      </c>
      <c r="E18" s="281" t="s">
        <v>74</v>
      </c>
      <c r="F18" s="281" t="s">
        <v>39</v>
      </c>
      <c r="G18" s="282">
        <v>100000</v>
      </c>
      <c r="H18" s="282">
        <v>300000</v>
      </c>
      <c r="I18" s="282">
        <v>100000</v>
      </c>
      <c r="J18" s="283">
        <f t="shared" si="0"/>
        <v>500000</v>
      </c>
      <c r="K18" s="284" t="s">
        <v>75</v>
      </c>
    </row>
    <row r="19" spans="1:11" customFormat="1" hidden="1">
      <c r="A19" s="274"/>
      <c r="B19" s="274" t="s">
        <v>507</v>
      </c>
      <c r="C19" t="s">
        <v>76</v>
      </c>
      <c r="D19" t="s">
        <v>37</v>
      </c>
      <c r="E19" t="s">
        <v>77</v>
      </c>
      <c r="F19" t="s">
        <v>39</v>
      </c>
      <c r="G19" s="4">
        <v>100000</v>
      </c>
      <c r="H19" s="4">
        <v>300000</v>
      </c>
      <c r="I19" s="4">
        <v>100000</v>
      </c>
      <c r="J19" s="1">
        <f t="shared" si="0"/>
        <v>500000</v>
      </c>
      <c r="K19" s="6" t="s">
        <v>72</v>
      </c>
    </row>
    <row r="20" spans="1:11">
      <c r="A20" s="281">
        <f>MATCH(B20,'Crashes total'!B:B,0)</f>
        <v>27</v>
      </c>
      <c r="B20" s="281" t="s">
        <v>493</v>
      </c>
      <c r="C20" s="281" t="s">
        <v>78</v>
      </c>
      <c r="D20" s="281" t="s">
        <v>37</v>
      </c>
      <c r="E20" s="281" t="s">
        <v>79</v>
      </c>
      <c r="F20" s="281" t="s">
        <v>14</v>
      </c>
      <c r="G20" s="282">
        <v>100000</v>
      </c>
      <c r="H20" s="282">
        <v>300000</v>
      </c>
      <c r="I20" s="282">
        <v>100000</v>
      </c>
      <c r="J20" s="283">
        <f t="shared" si="0"/>
        <v>500000</v>
      </c>
      <c r="K20" s="284" t="s">
        <v>80</v>
      </c>
    </row>
    <row r="21" spans="1:11">
      <c r="A21" s="281">
        <f>MATCH(B21,'Crashes total'!B:B,0)</f>
        <v>30</v>
      </c>
      <c r="B21" s="281" t="s">
        <v>495</v>
      </c>
      <c r="C21" s="281" t="s">
        <v>81</v>
      </c>
      <c r="D21" s="281" t="s">
        <v>82</v>
      </c>
      <c r="E21" s="281" t="s">
        <v>83</v>
      </c>
      <c r="F21" s="281" t="s">
        <v>14</v>
      </c>
      <c r="G21" s="282">
        <v>100000</v>
      </c>
      <c r="H21" s="282">
        <v>300000</v>
      </c>
      <c r="I21" s="282">
        <v>100000</v>
      </c>
      <c r="J21" s="283">
        <f t="shared" si="0"/>
        <v>500000</v>
      </c>
      <c r="K21" s="284" t="s">
        <v>84</v>
      </c>
    </row>
    <row r="22" spans="1:11" customFormat="1" hidden="1">
      <c r="A22" s="274"/>
      <c r="B22" s="274" t="s">
        <v>508</v>
      </c>
      <c r="C22" s="2" t="s">
        <v>85</v>
      </c>
      <c r="D22" t="s">
        <v>60</v>
      </c>
      <c r="E22" t="s">
        <v>86</v>
      </c>
      <c r="F22" s="2" t="s">
        <v>87</v>
      </c>
      <c r="G22" s="4">
        <v>100000</v>
      </c>
      <c r="H22" s="4">
        <v>300000</v>
      </c>
      <c r="I22" s="5"/>
      <c r="J22" s="1">
        <f t="shared" si="0"/>
        <v>400000</v>
      </c>
      <c r="K22" s="6" t="s">
        <v>72</v>
      </c>
    </row>
    <row r="23" spans="1:11" customFormat="1" hidden="1">
      <c r="A23" s="274"/>
      <c r="B23" s="274" t="s">
        <v>509</v>
      </c>
      <c r="C23" s="2" t="s">
        <v>88</v>
      </c>
      <c r="D23" t="s">
        <v>60</v>
      </c>
      <c r="E23" t="s">
        <v>89</v>
      </c>
      <c r="F23" s="2" t="s">
        <v>90</v>
      </c>
      <c r="G23" s="4">
        <v>100000</v>
      </c>
      <c r="H23" s="4">
        <v>300000</v>
      </c>
      <c r="I23" s="5"/>
      <c r="J23" s="1">
        <f t="shared" si="0"/>
        <v>400000</v>
      </c>
      <c r="K23" s="6" t="s">
        <v>72</v>
      </c>
    </row>
    <row r="24" spans="1:11" customFormat="1" hidden="1">
      <c r="A24" s="274"/>
      <c r="B24" s="274" t="s">
        <v>510</v>
      </c>
      <c r="C24" s="2" t="s">
        <v>91</v>
      </c>
      <c r="D24" t="s">
        <v>60</v>
      </c>
      <c r="E24" t="s">
        <v>92</v>
      </c>
      <c r="F24" s="2" t="s">
        <v>90</v>
      </c>
      <c r="G24" s="4">
        <v>100000</v>
      </c>
      <c r="H24" s="4">
        <v>300000</v>
      </c>
      <c r="I24" s="5"/>
      <c r="J24" s="1">
        <f t="shared" si="0"/>
        <v>400000</v>
      </c>
      <c r="K24" s="6" t="s">
        <v>72</v>
      </c>
    </row>
    <row r="25" spans="1:11" customFormat="1" hidden="1">
      <c r="A25" s="274"/>
      <c r="B25" s="274" t="s">
        <v>511</v>
      </c>
      <c r="C25" s="2" t="s">
        <v>93</v>
      </c>
      <c r="D25" t="s">
        <v>60</v>
      </c>
      <c r="E25" t="s">
        <v>94</v>
      </c>
      <c r="F25" s="2" t="s">
        <v>87</v>
      </c>
      <c r="G25" s="4">
        <v>100000</v>
      </c>
      <c r="H25" s="4">
        <v>300000</v>
      </c>
      <c r="I25" s="5"/>
      <c r="J25" s="1">
        <f t="shared" si="0"/>
        <v>400000</v>
      </c>
      <c r="K25" s="6" t="s">
        <v>72</v>
      </c>
    </row>
    <row r="26" spans="1:11">
      <c r="A26" s="281" t="e">
        <f>MATCH(B26,'Crashes total'!B:B,0)</f>
        <v>#N/A</v>
      </c>
      <c r="B26" s="293" t="s">
        <v>512</v>
      </c>
      <c r="C26" s="285" t="s">
        <v>95</v>
      </c>
      <c r="D26" s="281" t="s">
        <v>96</v>
      </c>
      <c r="E26" s="281" t="s">
        <v>97</v>
      </c>
      <c r="F26" s="285" t="s">
        <v>90</v>
      </c>
      <c r="G26" s="282">
        <v>100000</v>
      </c>
      <c r="H26" s="282">
        <v>300000</v>
      </c>
      <c r="I26" s="5"/>
      <c r="J26" s="283">
        <f t="shared" si="0"/>
        <v>400000</v>
      </c>
      <c r="K26" s="286" t="s">
        <v>98</v>
      </c>
    </row>
    <row r="27" spans="1:11">
      <c r="A27" s="281" t="e">
        <f>MATCH(B27,'Crashes total'!B:B,0)</f>
        <v>#N/A</v>
      </c>
      <c r="B27" s="293" t="s">
        <v>513</v>
      </c>
      <c r="C27" s="285" t="s">
        <v>99</v>
      </c>
      <c r="D27" s="281" t="s">
        <v>96</v>
      </c>
      <c r="E27" s="281" t="s">
        <v>100</v>
      </c>
      <c r="F27" s="285" t="s">
        <v>87</v>
      </c>
      <c r="G27" s="282">
        <v>100000</v>
      </c>
      <c r="H27" s="282">
        <v>300000</v>
      </c>
      <c r="I27" s="5"/>
      <c r="J27" s="283">
        <f t="shared" si="0"/>
        <v>400000</v>
      </c>
      <c r="K27" s="284" t="s">
        <v>101</v>
      </c>
    </row>
    <row r="28" spans="1:11">
      <c r="A28" s="281" t="e">
        <f>MATCH(B28,'Crashes total'!B:B,0)</f>
        <v>#N/A</v>
      </c>
      <c r="B28" s="281" t="s">
        <v>514</v>
      </c>
      <c r="C28" s="285" t="s">
        <v>102</v>
      </c>
      <c r="D28" s="281" t="s">
        <v>103</v>
      </c>
      <c r="E28" s="281" t="s">
        <v>104</v>
      </c>
      <c r="F28" s="285" t="s">
        <v>87</v>
      </c>
      <c r="G28" s="282">
        <v>100000</v>
      </c>
      <c r="H28" s="282">
        <v>300000</v>
      </c>
      <c r="I28" s="5"/>
      <c r="J28" s="283">
        <f t="shared" si="0"/>
        <v>400000</v>
      </c>
      <c r="K28" s="284" t="s">
        <v>105</v>
      </c>
    </row>
    <row r="29" spans="1:11" customFormat="1" hidden="1">
      <c r="A29" s="274"/>
      <c r="B29" s="274" t="s">
        <v>533</v>
      </c>
      <c r="C29" s="2" t="s">
        <v>106</v>
      </c>
      <c r="D29" t="s">
        <v>64</v>
      </c>
      <c r="E29" t="s">
        <v>107</v>
      </c>
      <c r="F29" s="2" t="s">
        <v>90</v>
      </c>
      <c r="G29" s="4">
        <v>100000</v>
      </c>
      <c r="H29" s="4">
        <v>300000</v>
      </c>
      <c r="I29" s="5"/>
      <c r="J29" s="1">
        <f t="shared" si="0"/>
        <v>400000</v>
      </c>
      <c r="K29" s="6" t="s">
        <v>72</v>
      </c>
    </row>
    <row r="30" spans="1:11" customFormat="1" hidden="1">
      <c r="A30" s="274"/>
      <c r="B30" s="274" t="s">
        <v>515</v>
      </c>
      <c r="C30" s="2" t="s">
        <v>108</v>
      </c>
      <c r="D30" t="s">
        <v>64</v>
      </c>
      <c r="E30" t="s">
        <v>109</v>
      </c>
      <c r="F30" s="2" t="s">
        <v>90</v>
      </c>
      <c r="G30" s="4">
        <v>100000</v>
      </c>
      <c r="H30" s="4">
        <v>300000</v>
      </c>
      <c r="I30" s="5"/>
      <c r="J30" s="1">
        <f t="shared" si="0"/>
        <v>400000</v>
      </c>
      <c r="K30" s="6" t="s">
        <v>72</v>
      </c>
    </row>
    <row r="31" spans="1:11" customFormat="1" hidden="1">
      <c r="A31" s="274"/>
      <c r="B31" s="274" t="s">
        <v>516</v>
      </c>
      <c r="C31" s="2" t="s">
        <v>110</v>
      </c>
      <c r="D31" t="s">
        <v>64</v>
      </c>
      <c r="E31" t="s">
        <v>111</v>
      </c>
      <c r="F31" s="2" t="s">
        <v>87</v>
      </c>
      <c r="G31" s="4">
        <v>100000</v>
      </c>
      <c r="H31" s="4">
        <v>300000</v>
      </c>
      <c r="I31" s="5"/>
      <c r="J31" s="1">
        <f t="shared" si="0"/>
        <v>400000</v>
      </c>
      <c r="K31" s="6" t="s">
        <v>72</v>
      </c>
    </row>
    <row r="32" spans="1:11">
      <c r="A32" s="281">
        <f>MATCH(B32,'Crashes total'!B:B,0)</f>
        <v>32</v>
      </c>
      <c r="B32" s="281" t="s">
        <v>498</v>
      </c>
      <c r="C32" s="285" t="s">
        <v>112</v>
      </c>
      <c r="D32" s="281" t="s">
        <v>64</v>
      </c>
      <c r="E32" s="281" t="s">
        <v>113</v>
      </c>
      <c r="F32" s="285" t="s">
        <v>90</v>
      </c>
      <c r="G32" s="282">
        <v>100000</v>
      </c>
      <c r="H32" s="282">
        <v>300000</v>
      </c>
      <c r="I32" s="5"/>
      <c r="J32" s="283">
        <f t="shared" si="0"/>
        <v>400000</v>
      </c>
      <c r="K32" s="284" t="s">
        <v>114</v>
      </c>
    </row>
    <row r="33" spans="1:11">
      <c r="A33" s="281">
        <f>MATCH(B33,'Crashes total'!B:B,0)</f>
        <v>33</v>
      </c>
      <c r="B33" s="281" t="s">
        <v>499</v>
      </c>
      <c r="C33" s="285" t="s">
        <v>115</v>
      </c>
      <c r="D33" s="281" t="s">
        <v>64</v>
      </c>
      <c r="E33" s="281" t="s">
        <v>116</v>
      </c>
      <c r="F33" s="285" t="s">
        <v>90</v>
      </c>
      <c r="G33" s="282">
        <v>100000</v>
      </c>
      <c r="H33" s="282">
        <v>300000</v>
      </c>
      <c r="I33" s="5"/>
      <c r="J33" s="283">
        <f t="shared" si="0"/>
        <v>400000</v>
      </c>
      <c r="K33" s="284" t="s">
        <v>117</v>
      </c>
    </row>
    <row r="34" spans="1:11">
      <c r="A34" s="281">
        <f>MATCH(B34,'Crashes total'!B:B,0)</f>
        <v>34</v>
      </c>
      <c r="B34" s="281" t="s">
        <v>500</v>
      </c>
      <c r="C34" s="285" t="s">
        <v>118</v>
      </c>
      <c r="D34" s="281" t="s">
        <v>64</v>
      </c>
      <c r="E34" s="281" t="s">
        <v>119</v>
      </c>
      <c r="F34" s="285" t="s">
        <v>90</v>
      </c>
      <c r="G34" s="282">
        <v>100000</v>
      </c>
      <c r="H34" s="282">
        <v>300000</v>
      </c>
      <c r="I34" s="5"/>
      <c r="J34" s="283">
        <f t="shared" si="0"/>
        <v>400000</v>
      </c>
      <c r="K34" s="284" t="s">
        <v>120</v>
      </c>
    </row>
    <row r="35" spans="1:11" customFormat="1" hidden="1">
      <c r="A35" s="274"/>
      <c r="B35" s="274" t="s">
        <v>517</v>
      </c>
      <c r="C35" s="2" t="s">
        <v>121</v>
      </c>
      <c r="D35" t="s">
        <v>64</v>
      </c>
      <c r="E35" t="s">
        <v>122</v>
      </c>
      <c r="F35" s="2" t="s">
        <v>87</v>
      </c>
      <c r="G35" s="4">
        <v>100000</v>
      </c>
      <c r="H35" s="4">
        <v>300000</v>
      </c>
      <c r="I35" s="5"/>
      <c r="J35" s="1">
        <f t="shared" si="0"/>
        <v>400000</v>
      </c>
      <c r="K35" s="6" t="s">
        <v>72</v>
      </c>
    </row>
    <row r="36" spans="1:11" customFormat="1" hidden="1">
      <c r="A36" s="274"/>
      <c r="B36" s="274" t="s">
        <v>518</v>
      </c>
      <c r="C36" s="2" t="s">
        <v>123</v>
      </c>
      <c r="D36" t="s">
        <v>64</v>
      </c>
      <c r="E36" t="s">
        <v>124</v>
      </c>
      <c r="F36" s="2" t="s">
        <v>87</v>
      </c>
      <c r="G36" s="4">
        <v>100000</v>
      </c>
      <c r="H36" s="4">
        <v>300000</v>
      </c>
      <c r="I36" s="5"/>
      <c r="J36" s="1">
        <f t="shared" si="0"/>
        <v>400000</v>
      </c>
      <c r="K36" s="6" t="s">
        <v>72</v>
      </c>
    </row>
    <row r="37" spans="1:11" customFormat="1" hidden="1">
      <c r="A37" s="274"/>
      <c r="B37" s="274" t="s">
        <v>519</v>
      </c>
      <c r="C37" s="2" t="s">
        <v>125</v>
      </c>
      <c r="D37" t="s">
        <v>64</v>
      </c>
      <c r="E37" t="s">
        <v>126</v>
      </c>
      <c r="F37" s="2" t="s">
        <v>87</v>
      </c>
      <c r="G37" s="4">
        <v>100000</v>
      </c>
      <c r="H37" s="4">
        <v>300000</v>
      </c>
      <c r="I37" s="5"/>
      <c r="J37" s="1">
        <f t="shared" si="0"/>
        <v>400000</v>
      </c>
      <c r="K37" s="6" t="s">
        <v>72</v>
      </c>
    </row>
    <row r="38" spans="1:11">
      <c r="A38" s="281">
        <f>MATCH(B38,'Crashes total'!B:B,0)</f>
        <v>35</v>
      </c>
      <c r="B38" s="281" t="s">
        <v>501</v>
      </c>
      <c r="C38" s="285" t="s">
        <v>127</v>
      </c>
      <c r="D38" s="281" t="s">
        <v>64</v>
      </c>
      <c r="E38" s="281" t="s">
        <v>128</v>
      </c>
      <c r="F38" s="285" t="s">
        <v>87</v>
      </c>
      <c r="G38" s="282">
        <v>100000</v>
      </c>
      <c r="H38" s="282">
        <v>300000</v>
      </c>
      <c r="I38" s="5"/>
      <c r="J38" s="283">
        <f t="shared" si="0"/>
        <v>400000</v>
      </c>
      <c r="K38" s="284" t="s">
        <v>129</v>
      </c>
    </row>
    <row r="39" spans="1:11" customFormat="1" hidden="1">
      <c r="A39" s="274"/>
      <c r="B39" s="274" t="s">
        <v>520</v>
      </c>
      <c r="C39" s="2" t="s">
        <v>130</v>
      </c>
      <c r="D39" t="s">
        <v>64</v>
      </c>
      <c r="E39" t="s">
        <v>131</v>
      </c>
      <c r="F39" s="2" t="s">
        <v>90</v>
      </c>
      <c r="G39" s="4">
        <v>100000</v>
      </c>
      <c r="H39" s="4">
        <v>300000</v>
      </c>
      <c r="I39" s="5"/>
      <c r="J39" s="1">
        <f t="shared" si="0"/>
        <v>400000</v>
      </c>
      <c r="K39" s="6" t="s">
        <v>72</v>
      </c>
    </row>
    <row r="40" spans="1:11" customFormat="1" hidden="1">
      <c r="A40" s="274"/>
      <c r="B40" s="274" t="s">
        <v>521</v>
      </c>
      <c r="C40" s="2" t="s">
        <v>132</v>
      </c>
      <c r="D40" t="s">
        <v>133</v>
      </c>
      <c r="E40" t="s">
        <v>134</v>
      </c>
      <c r="F40" s="2" t="s">
        <v>90</v>
      </c>
      <c r="G40" s="4">
        <v>100000</v>
      </c>
      <c r="H40" s="4">
        <v>300000</v>
      </c>
      <c r="I40" s="5"/>
      <c r="J40" s="1">
        <f t="shared" si="0"/>
        <v>400000</v>
      </c>
      <c r="K40" s="6" t="s">
        <v>72</v>
      </c>
    </row>
    <row r="41" spans="1:11" customFormat="1" hidden="1">
      <c r="A41" s="274"/>
      <c r="B41" s="274" t="s">
        <v>522</v>
      </c>
      <c r="C41" s="2" t="s">
        <v>135</v>
      </c>
      <c r="D41" t="s">
        <v>133</v>
      </c>
      <c r="E41" t="s">
        <v>136</v>
      </c>
      <c r="F41" s="2" t="s">
        <v>90</v>
      </c>
      <c r="G41" s="4">
        <v>100000</v>
      </c>
      <c r="H41" s="4">
        <v>300000</v>
      </c>
      <c r="I41" s="5"/>
      <c r="J41" s="1">
        <f t="shared" si="0"/>
        <v>400000</v>
      </c>
      <c r="K41" s="6" t="s">
        <v>72</v>
      </c>
    </row>
    <row r="42" spans="1:11" customFormat="1" hidden="1">
      <c r="A42" s="274"/>
      <c r="B42" s="274" t="s">
        <v>523</v>
      </c>
      <c r="C42" s="2" t="s">
        <v>137</v>
      </c>
      <c r="D42" t="s">
        <v>133</v>
      </c>
      <c r="E42" t="s">
        <v>138</v>
      </c>
      <c r="F42" s="2" t="s">
        <v>90</v>
      </c>
      <c r="G42" s="4">
        <v>100000</v>
      </c>
      <c r="H42" s="4">
        <v>300000</v>
      </c>
      <c r="I42" s="5"/>
      <c r="J42" s="1">
        <f t="shared" si="0"/>
        <v>400000</v>
      </c>
      <c r="K42" s="6" t="s">
        <v>72</v>
      </c>
    </row>
    <row r="43" spans="1:11" customFormat="1" hidden="1">
      <c r="A43" s="274"/>
      <c r="B43" s="274" t="s">
        <v>524</v>
      </c>
      <c r="C43" s="2" t="s">
        <v>139</v>
      </c>
      <c r="D43" t="s">
        <v>133</v>
      </c>
      <c r="E43" t="s">
        <v>140</v>
      </c>
      <c r="F43" s="2" t="s">
        <v>87</v>
      </c>
      <c r="G43" s="4">
        <v>100000</v>
      </c>
      <c r="H43" s="4">
        <v>300000</v>
      </c>
      <c r="I43" s="5"/>
      <c r="J43" s="1">
        <f t="shared" si="0"/>
        <v>400000</v>
      </c>
      <c r="K43" s="6" t="s">
        <v>72</v>
      </c>
    </row>
    <row r="44" spans="1:11" customFormat="1" hidden="1">
      <c r="A44" s="274"/>
      <c r="B44" s="274" t="s">
        <v>525</v>
      </c>
      <c r="C44" s="2" t="s">
        <v>141</v>
      </c>
      <c r="D44" t="s">
        <v>142</v>
      </c>
      <c r="E44" t="s">
        <v>143</v>
      </c>
      <c r="F44" s="2" t="s">
        <v>87</v>
      </c>
      <c r="G44" s="4">
        <v>100000</v>
      </c>
      <c r="H44" s="4">
        <v>300000</v>
      </c>
      <c r="I44" s="5"/>
      <c r="J44" s="1">
        <f t="shared" si="0"/>
        <v>400000</v>
      </c>
      <c r="K44" s="6" t="s">
        <v>72</v>
      </c>
    </row>
    <row r="45" spans="1:11" customFormat="1" hidden="1">
      <c r="A45" s="274"/>
      <c r="B45" s="274" t="s">
        <v>526</v>
      </c>
      <c r="C45" s="2" t="s">
        <v>144</v>
      </c>
      <c r="D45" t="s">
        <v>142</v>
      </c>
      <c r="E45" t="s">
        <v>145</v>
      </c>
      <c r="F45" s="2" t="s">
        <v>90</v>
      </c>
      <c r="G45" s="4">
        <v>100000</v>
      </c>
      <c r="H45" s="4">
        <v>300000</v>
      </c>
      <c r="I45" s="5"/>
      <c r="J45" s="1">
        <f t="shared" si="0"/>
        <v>400000</v>
      </c>
      <c r="K45" s="6" t="s">
        <v>72</v>
      </c>
    </row>
    <row r="46" spans="1:11" customFormat="1" hidden="1">
      <c r="A46" s="274"/>
      <c r="B46" s="274" t="s">
        <v>527</v>
      </c>
      <c r="C46" s="2" t="s">
        <v>146</v>
      </c>
      <c r="D46" t="s">
        <v>142</v>
      </c>
      <c r="E46" t="s">
        <v>147</v>
      </c>
      <c r="F46" s="2" t="s">
        <v>87</v>
      </c>
      <c r="G46" s="4">
        <v>100000</v>
      </c>
      <c r="H46" s="4">
        <v>300000</v>
      </c>
      <c r="I46" s="5"/>
      <c r="J46" s="1">
        <f t="shared" si="0"/>
        <v>400000</v>
      </c>
      <c r="K46" s="6" t="s">
        <v>72</v>
      </c>
    </row>
    <row r="47" spans="1:11">
      <c r="A47" s="281">
        <f>MATCH(B47,'Crashes total'!B:B,0)</f>
        <v>36</v>
      </c>
      <c r="B47" s="281" t="s">
        <v>502</v>
      </c>
      <c r="C47" s="285" t="s">
        <v>148</v>
      </c>
      <c r="D47" s="281" t="s">
        <v>142</v>
      </c>
      <c r="E47" s="281" t="s">
        <v>149</v>
      </c>
      <c r="F47" s="285" t="s">
        <v>87</v>
      </c>
      <c r="G47" s="282">
        <v>100000</v>
      </c>
      <c r="H47" s="282">
        <v>300000</v>
      </c>
      <c r="I47" s="5"/>
      <c r="J47" s="283">
        <f t="shared" si="0"/>
        <v>400000</v>
      </c>
      <c r="K47" s="284" t="s">
        <v>150</v>
      </c>
    </row>
    <row r="48" spans="1:11" customFormat="1" hidden="1">
      <c r="A48" s="274"/>
      <c r="B48" s="274" t="s">
        <v>528</v>
      </c>
      <c r="C48" s="2" t="s">
        <v>151</v>
      </c>
      <c r="D48" t="s">
        <v>142</v>
      </c>
      <c r="E48" t="s">
        <v>152</v>
      </c>
      <c r="F48" s="2" t="s">
        <v>87</v>
      </c>
      <c r="G48" s="4">
        <v>100000</v>
      </c>
      <c r="H48" s="4">
        <v>300000</v>
      </c>
      <c r="I48" s="5"/>
      <c r="J48" s="1">
        <f t="shared" si="0"/>
        <v>400000</v>
      </c>
      <c r="K48" s="6" t="s">
        <v>72</v>
      </c>
    </row>
    <row r="49" spans="1:13">
      <c r="A49" s="281">
        <f>MATCH(B49,'Crashes total'!B:B,0)</f>
        <v>37</v>
      </c>
      <c r="B49" s="281" t="s">
        <v>503</v>
      </c>
      <c r="C49" s="285" t="s">
        <v>153</v>
      </c>
      <c r="D49" s="281" t="s">
        <v>142</v>
      </c>
      <c r="E49" s="281" t="s">
        <v>154</v>
      </c>
      <c r="F49" s="285" t="s">
        <v>90</v>
      </c>
      <c r="G49" s="282">
        <v>100000</v>
      </c>
      <c r="H49" s="282">
        <v>300000</v>
      </c>
      <c r="I49" s="5"/>
      <c r="J49" s="283">
        <f t="shared" si="0"/>
        <v>400000</v>
      </c>
      <c r="K49" s="284" t="s">
        <v>155</v>
      </c>
    </row>
    <row r="50" spans="1:13">
      <c r="A50" s="281" t="e">
        <f>MATCH(B50,'Crashes total'!B:B,0)</f>
        <v>#N/A</v>
      </c>
      <c r="B50" s="293" t="s">
        <v>529</v>
      </c>
      <c r="C50" s="285" t="s">
        <v>156</v>
      </c>
      <c r="D50" s="281" t="s">
        <v>37</v>
      </c>
      <c r="E50" s="281" t="s">
        <v>157</v>
      </c>
      <c r="F50" s="285" t="s">
        <v>90</v>
      </c>
      <c r="G50" s="282">
        <v>100000</v>
      </c>
      <c r="H50" s="282">
        <v>300000</v>
      </c>
      <c r="I50" s="5"/>
      <c r="J50" s="283">
        <f t="shared" si="0"/>
        <v>400000</v>
      </c>
      <c r="K50" s="284" t="s">
        <v>158</v>
      </c>
    </row>
    <row r="51" spans="1:13">
      <c r="A51" s="281" t="e">
        <f>MATCH(B51,'Crashes total'!B:B,0)</f>
        <v>#N/A</v>
      </c>
      <c r="B51" s="293" t="s">
        <v>530</v>
      </c>
      <c r="C51" s="285" t="s">
        <v>159</v>
      </c>
      <c r="D51" s="281" t="s">
        <v>37</v>
      </c>
      <c r="E51" s="281" t="s">
        <v>160</v>
      </c>
      <c r="F51" s="285" t="s">
        <v>90</v>
      </c>
      <c r="G51" s="282">
        <v>100000</v>
      </c>
      <c r="H51" s="282">
        <v>300000</v>
      </c>
      <c r="I51" s="5"/>
      <c r="J51" s="283">
        <f t="shared" si="0"/>
        <v>400000</v>
      </c>
      <c r="K51" s="284" t="s">
        <v>161</v>
      </c>
    </row>
    <row r="52" spans="1:13" customFormat="1" hidden="1">
      <c r="A52" s="274"/>
      <c r="B52" s="274" t="s">
        <v>531</v>
      </c>
      <c r="C52" s="2" t="s">
        <v>162</v>
      </c>
      <c r="D52" t="s">
        <v>82</v>
      </c>
      <c r="E52" t="s">
        <v>163</v>
      </c>
      <c r="F52" s="2" t="s">
        <v>87</v>
      </c>
      <c r="G52" s="4">
        <v>100000</v>
      </c>
      <c r="H52" s="4">
        <v>300000</v>
      </c>
      <c r="I52" s="5"/>
      <c r="J52" s="1">
        <f t="shared" si="0"/>
        <v>400000</v>
      </c>
      <c r="K52" s="6" t="s">
        <v>72</v>
      </c>
    </row>
    <row r="53" spans="1:13" customFormat="1" hidden="1">
      <c r="A53" s="274"/>
      <c r="B53" s="274" t="s">
        <v>532</v>
      </c>
      <c r="C53" s="2" t="s">
        <v>164</v>
      </c>
      <c r="D53" t="s">
        <v>82</v>
      </c>
      <c r="E53" t="s">
        <v>165</v>
      </c>
      <c r="F53" s="2" t="s">
        <v>90</v>
      </c>
      <c r="G53" s="4">
        <v>100000</v>
      </c>
      <c r="H53" s="4">
        <v>300000</v>
      </c>
      <c r="I53" s="5"/>
      <c r="J53" s="1">
        <f t="shared" si="0"/>
        <v>400000</v>
      </c>
      <c r="K53" s="6" t="s">
        <v>72</v>
      </c>
    </row>
    <row r="55" spans="1:13">
      <c r="F55" s="287" t="s">
        <v>166</v>
      </c>
      <c r="G55" s="288">
        <f>SUM(G2:G53)</f>
        <v>5200000</v>
      </c>
      <c r="H55" s="288">
        <f>SUM(H2:H53)</f>
        <v>15600000</v>
      </c>
      <c r="I55" s="288">
        <f>SUM(I2:I53)</f>
        <v>2000000</v>
      </c>
      <c r="J55" s="289">
        <f>SUM(J2:J54)</f>
        <v>22800000</v>
      </c>
    </row>
    <row r="58" spans="1:13">
      <c r="I58" s="191" t="s">
        <v>406</v>
      </c>
      <c r="J58" s="289">
        <f>J55*(1+SUM('Capital costs'!C7+'Capital costs'!C8))</f>
        <v>26448000</v>
      </c>
    </row>
    <row r="64" spans="1:13">
      <c r="L64" s="287"/>
      <c r="M64" s="287"/>
    </row>
    <row r="76" s="281" customFormat="1"/>
    <row r="83" spans="8:8">
      <c r="H83" s="290"/>
    </row>
    <row r="95" spans="8:8">
      <c r="H95" s="290"/>
    </row>
  </sheetData>
  <autoFilter ref="B1:Q53" xr:uid="{419082D5-439F-41EF-B5A2-211221E4EF48}">
    <filterColumn colId="9">
      <filters>
        <filter val="https://safetydata.fra.dot.gov/OfficeofSafety/publicsite/Crossing/Crossing.aspx?phasetype=C&amp;rpttype=A&amp;txtcrossingnum=011901D"/>
        <filter val="https://safetydata.fra.dot.gov/OfficeofSafety/publicsite/Crossing/Crossing.aspx?phasetype=C&amp;rpttype=A&amp;txtcrossingnum=011909H"/>
        <filter val="https://safetydata.fra.dot.gov/OfficeofSafety/publicsite/Crossing/Crossing.aspx?phasetype=C&amp;rpttype=A&amp;txtcrossingnum=011910C"/>
        <filter val="https://safetydata.fra.dot.gov/OfficeofSafety/publicsite/Crossing/Crossing.aspx?phasetype=C&amp;rpttype=A&amp;txtcrossingnum=011914E"/>
        <filter val="https://safetydata.fra.dot.gov/OfficeofSafety/publicsite/Crossing/Crossing.aspx?phasetype=C&amp;rpttype=A&amp;txtcrossingnum=011917A"/>
        <filter val="https://safetydata.fra.dot.gov/OfficeofSafety/publicsite/Crossing/Crossing.aspx?phasetype=C&amp;rpttype=A&amp;txtcrossingnum=011920H"/>
        <filter val="https://safetydata.fra.dot.gov/OfficeofSafety/publicsite/Crossing/Crossing.aspx?phasetype=C&amp;rpttype=A&amp;txtcrossingnum=011921P"/>
        <filter val="https://safetydata.fra.dot.gov/OfficeofSafety/publicsite/Crossing/Crossing.aspx?phasetype=C&amp;rpttype=A&amp;txtcrossingnum=011926Y"/>
        <filter val="https://safetydata.fra.dot.gov/OfficeofSafety/publicsite/Crossing/Crossing.aspx?phasetype=C&amp;rpttype=A&amp;txtcrossingnum=011927F"/>
        <filter val="https://safetydata.fra.dot.gov/OfficeofSafety/publicsite/Crossing/Crossing.aspx?phasetype=C&amp;rpttype=A&amp;txtcrossingnum=011941B"/>
        <filter val="https://safetydata.fra.dot.gov/OfficeofSafety/publicsite/Crossing/Crossing.aspx?phasetype=C&amp;rpttype=A&amp;txtcrossingnum=011946K"/>
        <filter val="https://safetydata.fra.dot.gov/OfficeofSafety/publicsite/Crossing/Crossing.aspx?phasetype=C&amp;rpttype=A&amp;txtcrossingnum=011964H"/>
        <filter val="https://safetydata.fra.dot.gov/OfficeofSafety/publicsite/Crossing/Crossing.aspx?phasetype=C&amp;rpttype=A&amp;txtcrossingnum=011976C"/>
        <filter val="https://safetydata.fra.dot.gov/OfficeofSafety/publicsite/Crossing/Crossing.aspx?phasetype=C&amp;rpttype=A&amp;txtcrossingnum=011979X"/>
        <filter val="https://safetydata.fra.dot.gov/OfficeofSafety/publicsite/Crossing/Crossing.aspx?phasetype=C&amp;rpttype=A&amp;txtcrossingnum=011985B"/>
        <filter val="https://safetydata.fra.dot.gov/OfficeofSafety/publicsite/Crossing/Crossing.aspx?phasetype=C&amp;rpttype=A&amp;txtcrossingnum=011990X"/>
        <filter val="https://safetydata.fra.dot.gov/OfficeofSafety/publicsite/Crossing/Crossing.aspx?phasetype=C&amp;rpttype=A&amp;txtcrossingnum=011992L"/>
        <filter val="https://safetydata.fra.dot.gov/OfficeofSafety/publicsite/Crossing/Crossing.aspx?phasetype=C&amp;rpttype=A&amp;txtcrossingnum=012004L"/>
        <filter val="https://safetydata.fra.dot.gov/OfficeofSafety/publicsite/Crossing/Crossing.aspx?phasetype=C&amp;rpttype=A&amp;txtcrossingnum=012021C"/>
        <filter val="https://safetydata.fra.dot.gov/OfficeofSafety/publicsite/Crossing/Crossing.aspx?phasetype=C&amp;rpttype=A&amp;txtcrossingnum=012023R"/>
        <filter val="https://safetydata.fra.dot.gov/OfficeofSafety/publicsite/Crossing/Crossing.aspx?phasetype=C&amp;rpttype=A&amp;txtcrossingnum=012037Y"/>
        <filter val="https://safetydata.fra.dot.gov/OfficeofSafety/publicsite/Crossing/Crossing.aspx?phasetype=C&amp;rpttype=A&amp;txtcrossingnum=012073U"/>
        <filter val="https://safetydata.fra.dot.gov/OfficeofSafety/publicsite/Crossing/Crossing.aspx?phasetype=C&amp;rpttype=A&amp;txtcrossingnum=012074B"/>
        <filter val="https://safetydata.fra.dot.gov/OfficeofSafety/publicsite/Crossing/Crossing.aspx?phasetype=C&amp;rpttype=A&amp;txtcrossingnum=012076P"/>
        <filter val="https://safetydata.fra.dot.gov/OfficeofSafety/publicsite/Crossing/Crossing.aspx?phasetype=C&amp;rpttype=A&amp;txtcrossingnum=012078D"/>
        <filter val="https://safetydata.fra.dot.gov/OfficeofSafety/publicsite/Crossing/Crossing.aspx?phasetype=C&amp;rpttype=A&amp;txtcrossingnum=012081L"/>
        <filter val="https://safetydata.fra.dot.gov/OfficeofSafety/publicsite/Crossing/Crossing.aspx?phasetype=C&amp;rpttype=A&amp;txtcrossingnum=012082T"/>
        <filter val="https://safetydata.fra.dot.gov/OfficeofSafety/publicsite/Crossing/Crossing.aspx?phasetype=C&amp;rpttype=A&amp;txtcrossingnum=012084G"/>
        <filter val="https://safetydata.fra.dot.gov/OfficeofSafety/publicsite/Crossing/Crossing.aspx?phasetype=C&amp;rpttype=A&amp;txtcrossingnum=012248V"/>
      </filters>
    </filterColumn>
    <filterColumn colId="10" showButton="0"/>
    <filterColumn colId="11" showButton="0"/>
    <filterColumn colId="13" showButton="0"/>
    <filterColumn colId="14" showButton="0"/>
  </autoFilter>
  <mergeCells count="18">
    <mergeCell ref="L3:N3"/>
    <mergeCell ref="L4:N4"/>
    <mergeCell ref="L5:N5"/>
    <mergeCell ref="L7:N7"/>
    <mergeCell ref="L8:N8"/>
    <mergeCell ref="O9:Q9"/>
    <mergeCell ref="L1:N1"/>
    <mergeCell ref="O1:Q1"/>
    <mergeCell ref="L9:N9"/>
    <mergeCell ref="O4:Q4"/>
    <mergeCell ref="O2:Q2"/>
    <mergeCell ref="O3:Q3"/>
    <mergeCell ref="O5:Q5"/>
    <mergeCell ref="O6:Q6"/>
    <mergeCell ref="O7:Q7"/>
    <mergeCell ref="O8:Q8"/>
    <mergeCell ref="L6:N6"/>
    <mergeCell ref="L2:N2"/>
  </mergeCells>
  <hyperlinks>
    <hyperlink ref="K2" r:id="rId1" xr:uid="{56EB4679-F45A-43C4-9B42-7F5758F07152}"/>
    <hyperlink ref="K3" r:id="rId2" xr:uid="{19F44692-3A08-4C1E-8254-9A8F7A902024}"/>
    <hyperlink ref="K4" r:id="rId3" xr:uid="{44C84AFC-34F7-4DB3-A1F2-F74732798E44}"/>
    <hyperlink ref="K5" r:id="rId4" xr:uid="{3699094E-F362-410F-856C-43CAD8C0592E}"/>
    <hyperlink ref="K6" r:id="rId5" xr:uid="{6D52520A-7727-4465-BC27-B709CD20269F}"/>
    <hyperlink ref="K7" r:id="rId6" xr:uid="{2E937BFA-EEF3-4DAD-AD22-98DEF30BEBEA}"/>
    <hyperlink ref="K8" r:id="rId7" xr:uid="{CAC511A1-1557-446E-8639-A3695B3D61D9}"/>
    <hyperlink ref="K9" r:id="rId8" xr:uid="{34C07557-C7BB-41AA-8C12-E60BD4B159D3}"/>
    <hyperlink ref="K10" r:id="rId9" xr:uid="{A21C7388-EA7A-49EB-8511-04750470EC9E}"/>
    <hyperlink ref="K11" r:id="rId10" xr:uid="{DBF424CE-789F-4851-8885-9C43A66265B1}"/>
    <hyperlink ref="K12" r:id="rId11" xr:uid="{0CF974FC-220B-4FF0-8F10-58731DF96C2E}"/>
    <hyperlink ref="K14" r:id="rId12" xr:uid="{5FD3924E-B790-4CEF-8A27-33B88A130EB3}"/>
    <hyperlink ref="K15" r:id="rId13" xr:uid="{082E6105-9223-4737-A137-B4CEB108F329}"/>
    <hyperlink ref="K18" r:id="rId14" xr:uid="{C55EF6AF-C6F2-4297-9A15-CBBD37E83B7F}"/>
    <hyperlink ref="K13" r:id="rId15" xr:uid="{FBCCDE84-DC35-43A4-A7AF-83A8F98B8FF8}"/>
    <hyperlink ref="K16" r:id="rId16" xr:uid="{4162BE23-FA98-4AFF-92CF-A2801CD9375E}"/>
    <hyperlink ref="K20" r:id="rId17" xr:uid="{C37797B4-0F32-4788-80AC-E2414DF131DC}"/>
    <hyperlink ref="K21" r:id="rId18" xr:uid="{0C64B0FB-1535-47FA-93D2-7103DD9A7971}"/>
    <hyperlink ref="K26" r:id="rId19" xr:uid="{C40CC218-114C-477C-BF30-316C5DD75A0F}"/>
    <hyperlink ref="K27" r:id="rId20" xr:uid="{E7765642-5C32-49F6-924B-C1FB60F9BACF}"/>
    <hyperlink ref="K28" r:id="rId21" xr:uid="{4A98B5E7-C915-44A3-835C-6D563C8F99CC}"/>
    <hyperlink ref="K32" r:id="rId22" xr:uid="{0F16BE06-57FE-42F0-8A84-FC8131BE81E1}"/>
    <hyperlink ref="K33" r:id="rId23" xr:uid="{61ACAEC8-8AB7-4769-A471-D8497E931099}"/>
    <hyperlink ref="K34" r:id="rId24" xr:uid="{90E2DD6E-9FEA-4B40-BEC3-75BE0CF08119}"/>
    <hyperlink ref="K38" r:id="rId25" xr:uid="{FF3EDD1A-74C2-4052-AE73-DF4D672365D5}"/>
    <hyperlink ref="K47" r:id="rId26" xr:uid="{DF4670F7-F9DC-4520-AF25-4BB8FA6B5A02}"/>
    <hyperlink ref="K49" r:id="rId27" xr:uid="{BF41301E-76D9-492E-8106-0E3D8F4CA17E}"/>
    <hyperlink ref="K50" r:id="rId28" xr:uid="{5B5A3B7E-490C-40D2-B80C-7D347651FDD4}"/>
    <hyperlink ref="K51" r:id="rId29" xr:uid="{CFFDD4AF-0884-4719-85B3-F97B9315B18F}"/>
  </hyperlinks>
  <pageMargins left="0.7" right="0.7" top="0.75" bottom="0.75" header="0.3" footer="0.3"/>
  <pageSetup orientation="portrait" r:id="rId30"/>
  <legacyDrawing r:id="rId3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76E86-8FC3-4B27-8CB8-CFF9E7EDBE3A}">
  <sheetPr filterMode="1">
    <tabColor theme="9"/>
  </sheetPr>
  <dimension ref="A1:AF146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138" sqref="D138"/>
    </sheetView>
  </sheetViews>
  <sheetFormatPr defaultRowHeight="15"/>
  <cols>
    <col min="1" max="1" width="13.5703125" customWidth="1"/>
    <col min="2" max="2" width="29.42578125" customWidth="1"/>
    <col min="3" max="3" width="22.85546875" customWidth="1"/>
    <col min="4" max="4" width="22.140625" customWidth="1"/>
    <col min="5" max="5" width="23.28515625" customWidth="1"/>
    <col min="6" max="6" width="23.7109375" customWidth="1"/>
    <col min="7" max="7" width="19.85546875" customWidth="1"/>
    <col min="8" max="8" width="16.85546875" customWidth="1"/>
    <col min="28" max="28" width="12" customWidth="1"/>
    <col min="29" max="29" width="14.140625" customWidth="1"/>
    <col min="30" max="30" width="14.85546875" customWidth="1"/>
    <col min="31" max="31" width="16.7109375" customWidth="1"/>
  </cols>
  <sheetData>
    <row r="1" spans="1:32">
      <c r="A1" s="7" t="s">
        <v>167</v>
      </c>
      <c r="B1" s="7">
        <v>4</v>
      </c>
      <c r="C1" s="7">
        <v>5</v>
      </c>
      <c r="D1" s="7">
        <v>13</v>
      </c>
      <c r="E1" s="7">
        <v>30</v>
      </c>
      <c r="F1" s="7">
        <v>32</v>
      </c>
      <c r="G1" s="7">
        <v>44</v>
      </c>
      <c r="AB1" s="188" t="s">
        <v>398</v>
      </c>
      <c r="AC1" s="188" t="s">
        <v>179</v>
      </c>
      <c r="AD1" s="188" t="s">
        <v>180</v>
      </c>
      <c r="AE1" s="188" t="s">
        <v>181</v>
      </c>
      <c r="AF1" s="188"/>
    </row>
    <row r="2" spans="1:32" ht="32.1" customHeight="1">
      <c r="A2" s="8" t="s">
        <v>168</v>
      </c>
      <c r="B2" s="7" t="s">
        <v>169</v>
      </c>
      <c r="C2" s="7" t="s">
        <v>170</v>
      </c>
      <c r="D2" s="8" t="s">
        <v>171</v>
      </c>
      <c r="E2" s="7" t="s">
        <v>172</v>
      </c>
      <c r="F2" s="7" t="s">
        <v>173</v>
      </c>
      <c r="G2" s="7" t="s">
        <v>174</v>
      </c>
      <c r="H2" s="7" t="s">
        <v>411</v>
      </c>
      <c r="L2" t="s">
        <v>175</v>
      </c>
      <c r="M2" t="s">
        <v>176</v>
      </c>
      <c r="N2" t="s">
        <v>177</v>
      </c>
      <c r="O2" t="s">
        <v>178</v>
      </c>
      <c r="P2" t="s">
        <v>179</v>
      </c>
      <c r="Q2" t="s">
        <v>180</v>
      </c>
      <c r="R2" t="s">
        <v>181</v>
      </c>
      <c r="S2" t="s">
        <v>182</v>
      </c>
      <c r="V2" s="3" t="s">
        <v>205</v>
      </c>
      <c r="W2" s="3"/>
      <c r="AB2" s="3" t="s">
        <v>396</v>
      </c>
      <c r="AC2" s="189" t="s">
        <v>397</v>
      </c>
      <c r="AD2" s="189" t="s">
        <v>399</v>
      </c>
      <c r="AE2" s="189" t="s">
        <v>400</v>
      </c>
    </row>
    <row r="3" spans="1:32">
      <c r="A3">
        <v>1</v>
      </c>
      <c r="B3" t="s">
        <v>11</v>
      </c>
      <c r="C3">
        <v>1999</v>
      </c>
      <c r="D3" t="s">
        <v>175</v>
      </c>
      <c r="E3">
        <v>50</v>
      </c>
      <c r="F3" t="s">
        <v>183</v>
      </c>
      <c r="G3" t="s">
        <v>181</v>
      </c>
      <c r="H3" t="str">
        <f>VLOOKUP(B3,'Crossing Inventory Data'!$C$2:$J$53,4, FALSE)</f>
        <v>Cants, FLG</v>
      </c>
      <c r="V3">
        <v>1</v>
      </c>
      <c r="W3" t="s">
        <v>206</v>
      </c>
      <c r="AB3">
        <v>1990</v>
      </c>
      <c r="AC3">
        <f>COUNTIFS($C$3:$C$107,$AB3,$G$3:$G$107,AC$1)</f>
        <v>0</v>
      </c>
      <c r="AD3">
        <f t="shared" ref="AD3:AE3" si="0">COUNTIFS($C$3:$C$107,$AB3,$G$3:$G$107,AD$1)</f>
        <v>2</v>
      </c>
      <c r="AE3">
        <f t="shared" si="0"/>
        <v>0</v>
      </c>
    </row>
    <row r="4" spans="1:32" hidden="1">
      <c r="A4">
        <v>2</v>
      </c>
      <c r="B4" t="s">
        <v>11</v>
      </c>
      <c r="C4">
        <v>1991</v>
      </c>
      <c r="D4" t="s">
        <v>175</v>
      </c>
      <c r="E4">
        <v>40</v>
      </c>
      <c r="F4">
        <v>1</v>
      </c>
      <c r="G4" t="s">
        <v>179</v>
      </c>
      <c r="H4" s="193" t="str">
        <f>VLOOKUP(B4,'Crossing Inventory Data'!$C$2:$J$53,4, FALSE)</f>
        <v>Cants, FLG</v>
      </c>
      <c r="V4">
        <v>2</v>
      </c>
      <c r="W4" t="s">
        <v>207</v>
      </c>
      <c r="AB4">
        <v>1991</v>
      </c>
      <c r="AC4">
        <f t="shared" ref="AC4:AE35" si="1">COUNTIFS($C$3:$C$107,$AB4,$G$3:$G$107,AC$1)</f>
        <v>1</v>
      </c>
      <c r="AD4">
        <f t="shared" si="1"/>
        <v>1</v>
      </c>
      <c r="AE4">
        <f t="shared" si="1"/>
        <v>1</v>
      </c>
    </row>
    <row r="5" spans="1:32" hidden="1">
      <c r="A5">
        <v>3</v>
      </c>
      <c r="B5" t="s">
        <v>11</v>
      </c>
      <c r="C5">
        <v>1980</v>
      </c>
      <c r="D5" t="s">
        <v>175</v>
      </c>
      <c r="E5">
        <v>40</v>
      </c>
      <c r="F5" t="s">
        <v>183</v>
      </c>
      <c r="G5" t="s">
        <v>181</v>
      </c>
      <c r="H5" s="193" t="str">
        <f>VLOOKUP(B5,'Crossing Inventory Data'!$C$2:$J$53,4, FALSE)</f>
        <v>Cants, FLG</v>
      </c>
      <c r="V5">
        <v>3</v>
      </c>
      <c r="W5" t="s">
        <v>208</v>
      </c>
      <c r="AB5">
        <v>1992</v>
      </c>
      <c r="AC5">
        <f t="shared" si="1"/>
        <v>0</v>
      </c>
      <c r="AD5">
        <f t="shared" si="1"/>
        <v>2</v>
      </c>
      <c r="AE5">
        <f t="shared" si="1"/>
        <v>1</v>
      </c>
    </row>
    <row r="6" spans="1:32" hidden="1">
      <c r="A6">
        <v>4</v>
      </c>
      <c r="B6" t="s">
        <v>11</v>
      </c>
      <c r="C6">
        <v>1980</v>
      </c>
      <c r="D6" t="s">
        <v>175</v>
      </c>
      <c r="E6">
        <v>28</v>
      </c>
      <c r="F6" t="s">
        <v>183</v>
      </c>
      <c r="G6" t="s">
        <v>181</v>
      </c>
      <c r="H6" s="193" t="str">
        <f>VLOOKUP(B6,'Crossing Inventory Data'!$C$2:$J$53,4, FALSE)</f>
        <v>Cants, FLG</v>
      </c>
      <c r="V6">
        <v>4</v>
      </c>
      <c r="W6" t="s">
        <v>209</v>
      </c>
      <c r="AB6">
        <v>1993</v>
      </c>
      <c r="AC6">
        <f t="shared" si="1"/>
        <v>0</v>
      </c>
      <c r="AD6">
        <f t="shared" si="1"/>
        <v>0</v>
      </c>
      <c r="AE6">
        <f t="shared" si="1"/>
        <v>0</v>
      </c>
    </row>
    <row r="7" spans="1:32" hidden="1">
      <c r="A7">
        <v>5</v>
      </c>
      <c r="B7" t="s">
        <v>11</v>
      </c>
      <c r="C7">
        <v>1979</v>
      </c>
      <c r="D7" t="s">
        <v>175</v>
      </c>
      <c r="E7">
        <v>48</v>
      </c>
      <c r="F7" t="s">
        <v>183</v>
      </c>
      <c r="G7" t="s">
        <v>180</v>
      </c>
      <c r="H7" s="193" t="str">
        <f>VLOOKUP(B7,'Crossing Inventory Data'!$C$2:$J$53,4, FALSE)</f>
        <v>Cants, FLG</v>
      </c>
      <c r="V7">
        <v>5</v>
      </c>
      <c r="W7" t="s">
        <v>210</v>
      </c>
      <c r="AB7">
        <v>1994</v>
      </c>
      <c r="AC7">
        <f t="shared" si="1"/>
        <v>0</v>
      </c>
      <c r="AD7">
        <f t="shared" si="1"/>
        <v>0</v>
      </c>
      <c r="AE7">
        <f t="shared" si="1"/>
        <v>3</v>
      </c>
    </row>
    <row r="8" spans="1:32" hidden="1">
      <c r="A8">
        <v>6</v>
      </c>
      <c r="B8" t="s">
        <v>11</v>
      </c>
      <c r="C8">
        <v>1979</v>
      </c>
      <c r="D8" t="s">
        <v>175</v>
      </c>
      <c r="E8">
        <v>48</v>
      </c>
      <c r="F8" t="s">
        <v>183</v>
      </c>
      <c r="G8" t="s">
        <v>181</v>
      </c>
      <c r="H8" s="193" t="str">
        <f>VLOOKUP(B8,'Crossing Inventory Data'!$C$2:$J$53,4, FALSE)</f>
        <v>Cants, FLG</v>
      </c>
      <c r="V8">
        <v>6</v>
      </c>
      <c r="W8" t="s">
        <v>211</v>
      </c>
      <c r="AB8">
        <v>1995</v>
      </c>
      <c r="AC8">
        <f t="shared" si="1"/>
        <v>1</v>
      </c>
      <c r="AD8">
        <f t="shared" si="1"/>
        <v>1</v>
      </c>
      <c r="AE8">
        <f t="shared" si="1"/>
        <v>0</v>
      </c>
    </row>
    <row r="9" spans="1:32">
      <c r="A9">
        <v>1</v>
      </c>
      <c r="B9" t="s">
        <v>18</v>
      </c>
      <c r="C9">
        <v>2017</v>
      </c>
      <c r="D9" t="s">
        <v>175</v>
      </c>
      <c r="E9">
        <v>50</v>
      </c>
      <c r="F9" t="s">
        <v>183</v>
      </c>
      <c r="G9" t="s">
        <v>179</v>
      </c>
      <c r="H9" s="193" t="str">
        <f>VLOOKUP(B9,'Crossing Inventory Data'!$C$2:$J$53,4, FALSE)</f>
        <v>Cants, FLG</v>
      </c>
      <c r="V9">
        <v>7</v>
      </c>
      <c r="W9" t="s">
        <v>212</v>
      </c>
      <c r="AB9">
        <v>1996</v>
      </c>
      <c r="AC9">
        <f t="shared" si="1"/>
        <v>0</v>
      </c>
      <c r="AD9">
        <f t="shared" si="1"/>
        <v>0</v>
      </c>
      <c r="AE9">
        <f t="shared" si="1"/>
        <v>1</v>
      </c>
    </row>
    <row r="10" spans="1:32">
      <c r="A10">
        <v>2</v>
      </c>
      <c r="B10" t="s">
        <v>18</v>
      </c>
      <c r="C10">
        <v>2015</v>
      </c>
      <c r="D10" t="s">
        <v>175</v>
      </c>
      <c r="E10">
        <v>38</v>
      </c>
      <c r="F10" t="s">
        <v>184</v>
      </c>
      <c r="G10" t="s">
        <v>180</v>
      </c>
      <c r="H10" s="193" t="str">
        <f>VLOOKUP(B10,'Crossing Inventory Data'!$C$2:$J$53,4, FALSE)</f>
        <v>Cants, FLG</v>
      </c>
      <c r="V10">
        <v>9</v>
      </c>
      <c r="W10" t="s">
        <v>213</v>
      </c>
      <c r="AB10">
        <v>1997</v>
      </c>
      <c r="AC10">
        <f t="shared" si="1"/>
        <v>0</v>
      </c>
      <c r="AD10">
        <f t="shared" si="1"/>
        <v>0</v>
      </c>
      <c r="AE10">
        <f t="shared" si="1"/>
        <v>0</v>
      </c>
    </row>
    <row r="11" spans="1:32">
      <c r="A11">
        <v>3</v>
      </c>
      <c r="B11" t="s">
        <v>18</v>
      </c>
      <c r="C11">
        <v>2004</v>
      </c>
      <c r="D11" t="s">
        <v>175</v>
      </c>
      <c r="E11">
        <v>50</v>
      </c>
      <c r="F11" t="s">
        <v>183</v>
      </c>
      <c r="G11" t="s">
        <v>181</v>
      </c>
      <c r="H11" s="193" t="str">
        <f>VLOOKUP(B11,'Crossing Inventory Data'!$C$2:$J$53,4, FALSE)</f>
        <v>Cants, FLG</v>
      </c>
      <c r="V11">
        <v>8</v>
      </c>
      <c r="W11" t="s">
        <v>214</v>
      </c>
      <c r="AB11">
        <v>1998</v>
      </c>
      <c r="AC11">
        <f t="shared" si="1"/>
        <v>1</v>
      </c>
      <c r="AD11">
        <f t="shared" si="1"/>
        <v>0</v>
      </c>
      <c r="AE11">
        <f t="shared" si="1"/>
        <v>0</v>
      </c>
    </row>
    <row r="12" spans="1:32" hidden="1">
      <c r="A12">
        <v>4</v>
      </c>
      <c r="B12" t="s">
        <v>18</v>
      </c>
      <c r="C12">
        <v>1990</v>
      </c>
      <c r="D12" t="s">
        <v>175</v>
      </c>
      <c r="E12">
        <v>45</v>
      </c>
      <c r="F12" t="s">
        <v>185</v>
      </c>
      <c r="G12" t="s">
        <v>180</v>
      </c>
      <c r="H12" s="193" t="str">
        <f>VLOOKUP(B12,'Crossing Inventory Data'!$C$2:$J$53,4, FALSE)</f>
        <v>Cants, FLG</v>
      </c>
      <c r="V12">
        <v>10</v>
      </c>
      <c r="W12" t="s">
        <v>215</v>
      </c>
      <c r="AB12">
        <v>1999</v>
      </c>
      <c r="AC12">
        <f t="shared" si="1"/>
        <v>1</v>
      </c>
      <c r="AD12">
        <f t="shared" si="1"/>
        <v>0</v>
      </c>
      <c r="AE12">
        <f t="shared" si="1"/>
        <v>4</v>
      </c>
    </row>
    <row r="13" spans="1:32" hidden="1">
      <c r="A13">
        <v>5</v>
      </c>
      <c r="B13" t="s">
        <v>18</v>
      </c>
      <c r="C13">
        <v>1989</v>
      </c>
      <c r="D13" t="s">
        <v>175</v>
      </c>
      <c r="E13">
        <v>40</v>
      </c>
      <c r="F13" t="s">
        <v>183</v>
      </c>
      <c r="G13" t="s">
        <v>180</v>
      </c>
      <c r="H13" s="193" t="str">
        <f>VLOOKUP(B13,'Crossing Inventory Data'!$C$2:$J$53,4, FALSE)</f>
        <v>Cants, FLG</v>
      </c>
      <c r="V13">
        <v>11</v>
      </c>
      <c r="W13" t="s">
        <v>216</v>
      </c>
      <c r="AB13">
        <v>2000</v>
      </c>
      <c r="AC13">
        <f t="shared" si="1"/>
        <v>0</v>
      </c>
      <c r="AD13">
        <f t="shared" si="1"/>
        <v>1</v>
      </c>
      <c r="AE13">
        <f t="shared" si="1"/>
        <v>0</v>
      </c>
    </row>
    <row r="14" spans="1:32" hidden="1">
      <c r="A14">
        <v>6</v>
      </c>
      <c r="B14" t="s">
        <v>18</v>
      </c>
      <c r="C14">
        <v>1984</v>
      </c>
      <c r="D14" t="s">
        <v>175</v>
      </c>
      <c r="E14">
        <v>5</v>
      </c>
      <c r="F14" t="s">
        <v>186</v>
      </c>
      <c r="G14" t="s">
        <v>181</v>
      </c>
      <c r="H14" s="193" t="str">
        <f>VLOOKUP(B14,'Crossing Inventory Data'!$C$2:$J$53,4, FALSE)</f>
        <v>Cants, FLG</v>
      </c>
      <c r="V14">
        <v>12</v>
      </c>
      <c r="W14" t="s">
        <v>217</v>
      </c>
      <c r="AB14">
        <v>2001</v>
      </c>
      <c r="AC14">
        <f t="shared" si="1"/>
        <v>0</v>
      </c>
      <c r="AD14">
        <f t="shared" si="1"/>
        <v>0</v>
      </c>
      <c r="AE14">
        <f t="shared" si="1"/>
        <v>1</v>
      </c>
    </row>
    <row r="15" spans="1:32" hidden="1">
      <c r="A15">
        <v>7</v>
      </c>
      <c r="B15" t="s">
        <v>18</v>
      </c>
      <c r="C15">
        <v>1981</v>
      </c>
      <c r="D15" t="s">
        <v>175</v>
      </c>
      <c r="E15">
        <v>45</v>
      </c>
      <c r="F15" t="s">
        <v>187</v>
      </c>
      <c r="G15" t="s">
        <v>181</v>
      </c>
      <c r="H15" s="193" t="str">
        <f>VLOOKUP(B15,'Crossing Inventory Data'!$C$2:$J$53,4, FALSE)</f>
        <v>Cants, FLG</v>
      </c>
      <c r="AB15">
        <v>2002</v>
      </c>
      <c r="AC15">
        <f t="shared" si="1"/>
        <v>0</v>
      </c>
      <c r="AD15">
        <f t="shared" si="1"/>
        <v>0</v>
      </c>
      <c r="AE15">
        <f t="shared" si="1"/>
        <v>0</v>
      </c>
    </row>
    <row r="16" spans="1:32" hidden="1">
      <c r="A16">
        <v>8</v>
      </c>
      <c r="B16" t="s">
        <v>18</v>
      </c>
      <c r="C16">
        <v>1981</v>
      </c>
      <c r="D16" t="s">
        <v>175</v>
      </c>
      <c r="E16">
        <v>45</v>
      </c>
      <c r="F16" t="s">
        <v>187</v>
      </c>
      <c r="G16" t="s">
        <v>181</v>
      </c>
      <c r="H16" s="193" t="str">
        <f>VLOOKUP(B16,'Crossing Inventory Data'!$C$2:$J$53,4, FALSE)</f>
        <v>Cants, FLG</v>
      </c>
      <c r="AB16">
        <v>2003</v>
      </c>
      <c r="AC16">
        <f t="shared" si="1"/>
        <v>0</v>
      </c>
      <c r="AD16">
        <f t="shared" si="1"/>
        <v>1</v>
      </c>
      <c r="AE16">
        <f t="shared" si="1"/>
        <v>1</v>
      </c>
    </row>
    <row r="17" spans="1:31" hidden="1">
      <c r="A17">
        <v>9</v>
      </c>
      <c r="B17" t="s">
        <v>18</v>
      </c>
      <c r="C17">
        <v>1980</v>
      </c>
      <c r="D17" t="s">
        <v>175</v>
      </c>
      <c r="E17">
        <v>20</v>
      </c>
      <c r="F17" t="s">
        <v>188</v>
      </c>
      <c r="G17" t="s">
        <v>180</v>
      </c>
      <c r="H17" s="193" t="str">
        <f>VLOOKUP(B17,'Crossing Inventory Data'!$C$2:$J$53,4, FALSE)</f>
        <v>Cants, FLG</v>
      </c>
      <c r="AB17">
        <v>2004</v>
      </c>
      <c r="AC17">
        <f t="shared" si="1"/>
        <v>0</v>
      </c>
      <c r="AD17">
        <f t="shared" si="1"/>
        <v>0</v>
      </c>
      <c r="AE17">
        <f t="shared" si="1"/>
        <v>2</v>
      </c>
    </row>
    <row r="18" spans="1:31">
      <c r="A18">
        <v>1</v>
      </c>
      <c r="B18" t="s">
        <v>23</v>
      </c>
      <c r="C18">
        <v>2021</v>
      </c>
      <c r="D18" t="s">
        <v>175</v>
      </c>
      <c r="E18">
        <v>48</v>
      </c>
      <c r="F18" t="s">
        <v>189</v>
      </c>
      <c r="G18" t="s">
        <v>180</v>
      </c>
      <c r="H18" s="193" t="str">
        <f>VLOOKUP(B18,'Crossing Inventory Data'!$C$2:$J$53,4, FALSE)</f>
        <v>Cants, FLG</v>
      </c>
      <c r="AB18">
        <v>2005</v>
      </c>
      <c r="AC18">
        <f t="shared" si="1"/>
        <v>0</v>
      </c>
      <c r="AD18">
        <f t="shared" si="1"/>
        <v>0</v>
      </c>
      <c r="AE18">
        <f t="shared" si="1"/>
        <v>0</v>
      </c>
    </row>
    <row r="19" spans="1:31">
      <c r="A19">
        <v>2</v>
      </c>
      <c r="B19" t="s">
        <v>23</v>
      </c>
      <c r="C19">
        <v>2019</v>
      </c>
      <c r="D19" t="s">
        <v>175</v>
      </c>
      <c r="E19">
        <v>39</v>
      </c>
      <c r="F19" t="s">
        <v>189</v>
      </c>
      <c r="G19" t="s">
        <v>180</v>
      </c>
      <c r="H19" s="193" t="str">
        <f>VLOOKUP(B19,'Crossing Inventory Data'!$C$2:$J$53,4, FALSE)</f>
        <v>Cants, FLG</v>
      </c>
      <c r="AB19">
        <v>2006</v>
      </c>
      <c r="AC19">
        <f t="shared" si="1"/>
        <v>0</v>
      </c>
      <c r="AD19">
        <f t="shared" si="1"/>
        <v>1</v>
      </c>
      <c r="AE19">
        <f t="shared" si="1"/>
        <v>1</v>
      </c>
    </row>
    <row r="20" spans="1:31">
      <c r="A20">
        <v>3</v>
      </c>
      <c r="B20" t="s">
        <v>23</v>
      </c>
      <c r="C20">
        <v>2015</v>
      </c>
      <c r="D20" t="s">
        <v>175</v>
      </c>
      <c r="E20">
        <v>5</v>
      </c>
      <c r="F20" t="s">
        <v>183</v>
      </c>
      <c r="G20" t="s">
        <v>181</v>
      </c>
      <c r="H20" s="193" t="str">
        <f>VLOOKUP(B20,'Crossing Inventory Data'!$C$2:$J$53,4, FALSE)</f>
        <v>Cants, FLG</v>
      </c>
      <c r="AB20">
        <v>2007</v>
      </c>
      <c r="AC20">
        <f t="shared" si="1"/>
        <v>0</v>
      </c>
      <c r="AD20">
        <f t="shared" si="1"/>
        <v>1</v>
      </c>
      <c r="AE20">
        <f t="shared" si="1"/>
        <v>1</v>
      </c>
    </row>
    <row r="21" spans="1:31">
      <c r="A21">
        <v>4</v>
      </c>
      <c r="B21" t="s">
        <v>23</v>
      </c>
      <c r="C21">
        <v>2014</v>
      </c>
      <c r="D21" t="s">
        <v>176</v>
      </c>
      <c r="E21">
        <v>49</v>
      </c>
      <c r="F21" t="s">
        <v>190</v>
      </c>
      <c r="G21" t="s">
        <v>179</v>
      </c>
      <c r="H21" s="193" t="str">
        <f>VLOOKUP(B21,'Crossing Inventory Data'!$C$2:$J$53,4, FALSE)</f>
        <v>Cants, FLG</v>
      </c>
      <c r="AB21">
        <v>2008</v>
      </c>
      <c r="AC21">
        <f t="shared" si="1"/>
        <v>0</v>
      </c>
      <c r="AD21">
        <f t="shared" si="1"/>
        <v>0</v>
      </c>
      <c r="AE21">
        <f t="shared" si="1"/>
        <v>0</v>
      </c>
    </row>
    <row r="22" spans="1:31">
      <c r="A22">
        <v>5</v>
      </c>
      <c r="B22" t="s">
        <v>23</v>
      </c>
      <c r="C22">
        <v>2009</v>
      </c>
      <c r="D22" t="s">
        <v>175</v>
      </c>
      <c r="E22">
        <v>40</v>
      </c>
      <c r="F22" t="s">
        <v>183</v>
      </c>
      <c r="G22" t="s">
        <v>180</v>
      </c>
      <c r="H22" s="193" t="str">
        <f>VLOOKUP(B22,'Crossing Inventory Data'!$C$2:$J$53,4, FALSE)</f>
        <v>Cants, FLG</v>
      </c>
      <c r="AB22">
        <v>2009</v>
      </c>
      <c r="AC22">
        <f t="shared" si="1"/>
        <v>0</v>
      </c>
      <c r="AD22">
        <f t="shared" si="1"/>
        <v>1</v>
      </c>
      <c r="AE22">
        <f t="shared" si="1"/>
        <v>1</v>
      </c>
    </row>
    <row r="23" spans="1:31" hidden="1">
      <c r="A23">
        <v>6</v>
      </c>
      <c r="B23" t="s">
        <v>23</v>
      </c>
      <c r="C23">
        <v>1995</v>
      </c>
      <c r="D23" t="s">
        <v>175</v>
      </c>
      <c r="E23">
        <v>48</v>
      </c>
      <c r="F23" t="s">
        <v>183</v>
      </c>
      <c r="G23" t="s">
        <v>179</v>
      </c>
      <c r="H23" s="193" t="str">
        <f>VLOOKUP(B23,'Crossing Inventory Data'!$C$2:$J$53,4, FALSE)</f>
        <v>Cants, FLG</v>
      </c>
      <c r="AB23">
        <v>2010</v>
      </c>
      <c r="AC23">
        <f t="shared" si="1"/>
        <v>0</v>
      </c>
      <c r="AD23">
        <f t="shared" si="1"/>
        <v>1</v>
      </c>
      <c r="AE23">
        <f t="shared" si="1"/>
        <v>0</v>
      </c>
    </row>
    <row r="24" spans="1:31" hidden="1">
      <c r="A24">
        <v>7</v>
      </c>
      <c r="B24" t="s">
        <v>23</v>
      </c>
      <c r="C24">
        <v>1986</v>
      </c>
      <c r="D24" t="s">
        <v>175</v>
      </c>
      <c r="E24">
        <v>50</v>
      </c>
      <c r="F24">
        <v>12</v>
      </c>
      <c r="G24" t="s">
        <v>181</v>
      </c>
      <c r="H24" s="193" t="str">
        <f>VLOOKUP(B24,'Crossing Inventory Data'!$C$2:$J$53,4, FALSE)</f>
        <v>Cants, FLG</v>
      </c>
      <c r="AB24">
        <v>2011</v>
      </c>
      <c r="AC24">
        <f t="shared" si="1"/>
        <v>0</v>
      </c>
      <c r="AD24">
        <f t="shared" si="1"/>
        <v>0</v>
      </c>
      <c r="AE24">
        <f t="shared" si="1"/>
        <v>0</v>
      </c>
    </row>
    <row r="25" spans="1:31" hidden="1">
      <c r="A25">
        <v>8</v>
      </c>
      <c r="B25" t="s">
        <v>23</v>
      </c>
      <c r="C25">
        <v>1986</v>
      </c>
      <c r="D25" t="s">
        <v>175</v>
      </c>
      <c r="E25">
        <v>50</v>
      </c>
      <c r="F25">
        <v>12</v>
      </c>
      <c r="G25" t="s">
        <v>181</v>
      </c>
      <c r="H25" s="193" t="str">
        <f>VLOOKUP(B25,'Crossing Inventory Data'!$C$2:$J$53,4, FALSE)</f>
        <v>Cants, FLG</v>
      </c>
      <c r="AB25">
        <v>2012</v>
      </c>
      <c r="AC25">
        <f t="shared" si="1"/>
        <v>0</v>
      </c>
      <c r="AD25">
        <f t="shared" si="1"/>
        <v>0</v>
      </c>
      <c r="AE25">
        <f t="shared" si="1"/>
        <v>1</v>
      </c>
    </row>
    <row r="26" spans="1:31">
      <c r="A26">
        <v>1</v>
      </c>
      <c r="B26" t="s">
        <v>28</v>
      </c>
      <c r="C26">
        <v>2017</v>
      </c>
      <c r="D26" t="s">
        <v>175</v>
      </c>
      <c r="E26">
        <v>52</v>
      </c>
      <c r="F26" t="s">
        <v>185</v>
      </c>
      <c r="G26" t="s">
        <v>180</v>
      </c>
      <c r="H26" s="193" t="str">
        <f>VLOOKUP(B26,'Crossing Inventory Data'!$C$2:$J$53,4, FALSE)</f>
        <v>Cants, FLG</v>
      </c>
      <c r="AB26">
        <v>2013</v>
      </c>
      <c r="AC26">
        <f t="shared" si="1"/>
        <v>1</v>
      </c>
      <c r="AD26">
        <f t="shared" si="1"/>
        <v>0</v>
      </c>
      <c r="AE26">
        <f t="shared" si="1"/>
        <v>0</v>
      </c>
    </row>
    <row r="27" spans="1:31">
      <c r="A27">
        <v>2</v>
      </c>
      <c r="B27" t="s">
        <v>28</v>
      </c>
      <c r="C27">
        <v>2004</v>
      </c>
      <c r="D27" t="s">
        <v>175</v>
      </c>
      <c r="E27">
        <v>50</v>
      </c>
      <c r="F27" t="s">
        <v>183</v>
      </c>
      <c r="G27" t="s">
        <v>181</v>
      </c>
      <c r="H27" s="193" t="str">
        <f>VLOOKUP(B27,'Crossing Inventory Data'!$C$2:$J$53,4, FALSE)</f>
        <v>Cants, FLG</v>
      </c>
      <c r="AB27">
        <v>2014</v>
      </c>
      <c r="AC27">
        <f t="shared" si="1"/>
        <v>1</v>
      </c>
      <c r="AD27">
        <f t="shared" si="1"/>
        <v>0</v>
      </c>
      <c r="AE27">
        <f t="shared" si="1"/>
        <v>1</v>
      </c>
    </row>
    <row r="28" spans="1:31">
      <c r="A28">
        <v>3</v>
      </c>
      <c r="B28" t="s">
        <v>28</v>
      </c>
      <c r="C28">
        <v>1999</v>
      </c>
      <c r="D28" t="s">
        <v>175</v>
      </c>
      <c r="E28">
        <v>45</v>
      </c>
      <c r="F28" t="s">
        <v>185</v>
      </c>
      <c r="G28" t="s">
        <v>179</v>
      </c>
      <c r="H28" s="193" t="str">
        <f>VLOOKUP(B28,'Crossing Inventory Data'!$C$2:$J$53,4, FALSE)</f>
        <v>Cants, FLG</v>
      </c>
      <c r="AB28">
        <v>2015</v>
      </c>
      <c r="AC28">
        <f t="shared" si="1"/>
        <v>0</v>
      </c>
      <c r="AD28">
        <f t="shared" si="1"/>
        <v>4</v>
      </c>
      <c r="AE28">
        <f t="shared" si="1"/>
        <v>1</v>
      </c>
    </row>
    <row r="29" spans="1:31" hidden="1">
      <c r="A29">
        <v>4</v>
      </c>
      <c r="B29" t="s">
        <v>28</v>
      </c>
      <c r="C29">
        <v>1995</v>
      </c>
      <c r="D29" t="s">
        <v>175</v>
      </c>
      <c r="E29">
        <v>50</v>
      </c>
      <c r="F29" t="s">
        <v>183</v>
      </c>
      <c r="G29" t="s">
        <v>180</v>
      </c>
      <c r="H29" s="193" t="str">
        <f>VLOOKUP(B29,'Crossing Inventory Data'!$C$2:$J$53,4, FALSE)</f>
        <v>Cants, FLG</v>
      </c>
      <c r="AB29">
        <v>2016</v>
      </c>
      <c r="AC29">
        <f t="shared" si="1"/>
        <v>0</v>
      </c>
      <c r="AD29">
        <f t="shared" si="1"/>
        <v>0</v>
      </c>
      <c r="AE29">
        <f t="shared" si="1"/>
        <v>1</v>
      </c>
    </row>
    <row r="30" spans="1:31" hidden="1">
      <c r="A30">
        <v>5</v>
      </c>
      <c r="B30" t="s">
        <v>28</v>
      </c>
      <c r="C30">
        <v>1992</v>
      </c>
      <c r="D30" t="s">
        <v>175</v>
      </c>
      <c r="E30">
        <v>25</v>
      </c>
      <c r="F30">
        <v>1</v>
      </c>
      <c r="G30" t="s">
        <v>181</v>
      </c>
      <c r="H30" s="193" t="str">
        <f>VLOOKUP(B30,'Crossing Inventory Data'!$C$2:$J$53,4, FALSE)</f>
        <v>Cants, FLG</v>
      </c>
      <c r="AB30">
        <v>2017</v>
      </c>
      <c r="AC30">
        <f t="shared" si="1"/>
        <v>1</v>
      </c>
      <c r="AD30">
        <f t="shared" si="1"/>
        <v>2</v>
      </c>
      <c r="AE30">
        <f t="shared" si="1"/>
        <v>1</v>
      </c>
    </row>
    <row r="31" spans="1:31" hidden="1">
      <c r="A31">
        <v>6</v>
      </c>
      <c r="B31" t="s">
        <v>28</v>
      </c>
      <c r="C31">
        <v>1992</v>
      </c>
      <c r="D31" t="s">
        <v>175</v>
      </c>
      <c r="E31">
        <v>3</v>
      </c>
      <c r="F31">
        <v>1</v>
      </c>
      <c r="G31" t="s">
        <v>180</v>
      </c>
      <c r="H31" s="193" t="str">
        <f>VLOOKUP(B31,'Crossing Inventory Data'!$C$2:$J$53,4, FALSE)</f>
        <v>Cants, FLG</v>
      </c>
      <c r="AB31">
        <v>2018</v>
      </c>
      <c r="AC31">
        <f t="shared" si="1"/>
        <v>0</v>
      </c>
      <c r="AD31">
        <f t="shared" si="1"/>
        <v>1</v>
      </c>
      <c r="AE31">
        <f t="shared" si="1"/>
        <v>2</v>
      </c>
    </row>
    <row r="32" spans="1:31" hidden="1">
      <c r="A32">
        <v>7</v>
      </c>
      <c r="B32" t="s">
        <v>28</v>
      </c>
      <c r="C32">
        <v>1987</v>
      </c>
      <c r="D32" t="s">
        <v>175</v>
      </c>
      <c r="E32">
        <v>45</v>
      </c>
      <c r="F32">
        <v>1</v>
      </c>
      <c r="G32" t="s">
        <v>181</v>
      </c>
      <c r="H32" s="193" t="str">
        <f>VLOOKUP(B32,'Crossing Inventory Data'!$C$2:$J$53,4, FALSE)</f>
        <v>Cants, FLG</v>
      </c>
      <c r="AB32">
        <v>2019</v>
      </c>
      <c r="AC32">
        <f t="shared" si="1"/>
        <v>0</v>
      </c>
      <c r="AD32">
        <f t="shared" si="1"/>
        <v>2</v>
      </c>
      <c r="AE32">
        <f t="shared" si="1"/>
        <v>0</v>
      </c>
    </row>
    <row r="33" spans="1:31" hidden="1">
      <c r="A33">
        <v>8</v>
      </c>
      <c r="B33" t="s">
        <v>28</v>
      </c>
      <c r="C33">
        <v>1978</v>
      </c>
      <c r="D33" t="s">
        <v>175</v>
      </c>
      <c r="E33">
        <v>50</v>
      </c>
      <c r="F33" t="s">
        <v>191</v>
      </c>
      <c r="G33" t="s">
        <v>181</v>
      </c>
      <c r="H33" s="193" t="str">
        <f>VLOOKUP(B33,'Crossing Inventory Data'!$C$2:$J$53,4, FALSE)</f>
        <v>Cants, FLG</v>
      </c>
      <c r="AB33">
        <v>2020</v>
      </c>
      <c r="AC33">
        <f t="shared" si="1"/>
        <v>0</v>
      </c>
      <c r="AD33">
        <f t="shared" si="1"/>
        <v>1</v>
      </c>
      <c r="AE33">
        <f t="shared" si="1"/>
        <v>0</v>
      </c>
    </row>
    <row r="34" spans="1:31" hidden="1">
      <c r="A34">
        <v>9</v>
      </c>
      <c r="B34" t="s">
        <v>28</v>
      </c>
      <c r="C34">
        <v>1977</v>
      </c>
      <c r="D34" t="s">
        <v>175</v>
      </c>
      <c r="E34">
        <v>8</v>
      </c>
      <c r="F34" t="s">
        <v>192</v>
      </c>
      <c r="G34" t="s">
        <v>181</v>
      </c>
      <c r="H34" s="193" t="str">
        <f>VLOOKUP(B34,'Crossing Inventory Data'!$C$2:$J$53,4, FALSE)</f>
        <v>Cants, FLG</v>
      </c>
      <c r="AB34">
        <v>2021</v>
      </c>
      <c r="AC34">
        <f t="shared" si="1"/>
        <v>0</v>
      </c>
      <c r="AD34">
        <f t="shared" si="1"/>
        <v>1</v>
      </c>
      <c r="AE34">
        <f t="shared" si="1"/>
        <v>0</v>
      </c>
    </row>
    <row r="35" spans="1:31" hidden="1">
      <c r="A35">
        <v>10</v>
      </c>
      <c r="B35" t="s">
        <v>28</v>
      </c>
      <c r="C35">
        <v>1976</v>
      </c>
      <c r="D35" t="s">
        <v>175</v>
      </c>
      <c r="E35">
        <v>50</v>
      </c>
      <c r="F35" t="s">
        <v>192</v>
      </c>
      <c r="G35" t="s">
        <v>181</v>
      </c>
      <c r="H35" s="193" t="str">
        <f>VLOOKUP(B35,'Crossing Inventory Data'!$C$2:$J$53,4, FALSE)</f>
        <v>Cants, FLG</v>
      </c>
      <c r="AB35">
        <v>2022</v>
      </c>
      <c r="AC35">
        <f t="shared" si="1"/>
        <v>0</v>
      </c>
      <c r="AD35">
        <f t="shared" si="1"/>
        <v>0</v>
      </c>
      <c r="AE35">
        <f t="shared" si="1"/>
        <v>0</v>
      </c>
    </row>
    <row r="36" spans="1:31" hidden="1">
      <c r="A36">
        <v>11</v>
      </c>
      <c r="B36" t="s">
        <v>28</v>
      </c>
      <c r="C36">
        <v>1975</v>
      </c>
      <c r="D36" t="s">
        <v>175</v>
      </c>
      <c r="E36">
        <v>70</v>
      </c>
      <c r="F36" t="s">
        <v>193</v>
      </c>
      <c r="G36" t="s">
        <v>179</v>
      </c>
      <c r="H36" s="193" t="str">
        <f>VLOOKUP(B36,'Crossing Inventory Data'!$C$2:$J$53,4, FALSE)</f>
        <v>Cants, FLG</v>
      </c>
    </row>
    <row r="37" spans="1:31" hidden="1">
      <c r="A37">
        <v>12</v>
      </c>
      <c r="B37" t="s">
        <v>28</v>
      </c>
      <c r="C37">
        <v>1975</v>
      </c>
      <c r="D37" t="s">
        <v>175</v>
      </c>
      <c r="E37">
        <v>70</v>
      </c>
      <c r="F37" t="s">
        <v>193</v>
      </c>
      <c r="G37" t="s">
        <v>179</v>
      </c>
      <c r="H37" s="193" t="str">
        <f>VLOOKUP(B37,'Crossing Inventory Data'!$C$2:$J$53,4, FALSE)</f>
        <v>Cants, FLG</v>
      </c>
    </row>
    <row r="38" spans="1:31" hidden="1">
      <c r="A38">
        <v>13</v>
      </c>
      <c r="B38" t="s">
        <v>28</v>
      </c>
      <c r="C38">
        <v>1975</v>
      </c>
      <c r="D38" t="s">
        <v>175</v>
      </c>
      <c r="E38">
        <v>55</v>
      </c>
      <c r="F38" t="s">
        <v>193</v>
      </c>
      <c r="G38" t="s">
        <v>181</v>
      </c>
      <c r="H38" s="193" t="str">
        <f>VLOOKUP(B38,'Crossing Inventory Data'!$C$2:$J$53,4, FALSE)</f>
        <v>Cants, FLG</v>
      </c>
      <c r="AB38" s="19" t="s">
        <v>401</v>
      </c>
      <c r="AC38">
        <f>SUM(AC3:AC35)</f>
        <v>7</v>
      </c>
      <c r="AD38">
        <f t="shared" ref="AD38:AE38" si="2">SUM(AD3:AD35)</f>
        <v>23</v>
      </c>
      <c r="AE38">
        <f t="shared" si="2"/>
        <v>24</v>
      </c>
    </row>
    <row r="39" spans="1:31">
      <c r="A39">
        <v>1</v>
      </c>
      <c r="B39" t="s">
        <v>32</v>
      </c>
      <c r="C39">
        <v>2018</v>
      </c>
      <c r="D39" t="s">
        <v>175</v>
      </c>
      <c r="E39">
        <v>54</v>
      </c>
      <c r="F39" t="s">
        <v>189</v>
      </c>
      <c r="G39" t="s">
        <v>181</v>
      </c>
      <c r="H39" s="193" t="str">
        <f>VLOOKUP(B39,'Crossing Inventory Data'!$C$2:$J$53,4, FALSE)</f>
        <v>Cants, FLG</v>
      </c>
      <c r="AB39" s="19" t="s">
        <v>402</v>
      </c>
      <c r="AC39">
        <f>SUM(AC13:AC35)</f>
        <v>3</v>
      </c>
      <c r="AD39">
        <f t="shared" ref="AD39:AE39" si="3">SUM(AD13:AD35)</f>
        <v>17</v>
      </c>
      <c r="AE39">
        <f t="shared" si="3"/>
        <v>14</v>
      </c>
    </row>
    <row r="40" spans="1:31">
      <c r="A40">
        <v>2</v>
      </c>
      <c r="B40" t="s">
        <v>32</v>
      </c>
      <c r="C40">
        <v>1999</v>
      </c>
      <c r="D40" t="s">
        <v>175</v>
      </c>
      <c r="E40">
        <v>50</v>
      </c>
      <c r="F40" t="s">
        <v>185</v>
      </c>
      <c r="G40" t="s">
        <v>181</v>
      </c>
      <c r="H40" s="193" t="str">
        <f>VLOOKUP(B40,'Crossing Inventory Data'!$C$2:$J$53,4, FALSE)</f>
        <v>Cants, FLG</v>
      </c>
    </row>
    <row r="41" spans="1:31" hidden="1">
      <c r="A41">
        <v>3</v>
      </c>
      <c r="B41" t="s">
        <v>32</v>
      </c>
      <c r="C41">
        <v>1984</v>
      </c>
      <c r="D41" t="s">
        <v>177</v>
      </c>
      <c r="E41">
        <v>4</v>
      </c>
      <c r="F41" t="s">
        <v>194</v>
      </c>
      <c r="G41" t="s">
        <v>181</v>
      </c>
      <c r="H41" s="193" t="str">
        <f>VLOOKUP(B41,'Crossing Inventory Data'!$C$2:$J$53,4, FALSE)</f>
        <v>Cants, FLG</v>
      </c>
    </row>
    <row r="42" spans="1:31">
      <c r="A42">
        <v>1</v>
      </c>
      <c r="B42" t="s">
        <v>36</v>
      </c>
      <c r="C42">
        <v>2017</v>
      </c>
      <c r="D42" t="s">
        <v>175</v>
      </c>
      <c r="E42">
        <v>40</v>
      </c>
      <c r="F42" t="s">
        <v>185</v>
      </c>
      <c r="G42" t="s">
        <v>180</v>
      </c>
      <c r="H42" s="193" t="str">
        <f>VLOOKUP(B42,'Crossing Inventory Data'!$C$2:$J$53,4, FALSE)</f>
        <v>FLG</v>
      </c>
    </row>
    <row r="43" spans="1:31" hidden="1">
      <c r="A43">
        <v>2</v>
      </c>
      <c r="B43" t="s">
        <v>36</v>
      </c>
      <c r="C43">
        <v>1981</v>
      </c>
      <c r="D43" t="s">
        <v>175</v>
      </c>
      <c r="E43">
        <v>38</v>
      </c>
      <c r="F43" t="s">
        <v>195</v>
      </c>
      <c r="G43" t="s">
        <v>181</v>
      </c>
      <c r="H43" s="193" t="str">
        <f>VLOOKUP(B43,'Crossing Inventory Data'!$C$2:$J$53,4, FALSE)</f>
        <v>FLG</v>
      </c>
    </row>
    <row r="44" spans="1:31">
      <c r="A44">
        <v>1</v>
      </c>
      <c r="B44" t="s">
        <v>41</v>
      </c>
      <c r="C44">
        <v>2018</v>
      </c>
      <c r="D44" t="s">
        <v>175</v>
      </c>
      <c r="E44">
        <v>1</v>
      </c>
      <c r="F44" t="s">
        <v>184</v>
      </c>
      <c r="G44" t="s">
        <v>181</v>
      </c>
      <c r="H44" s="193" t="str">
        <f>VLOOKUP(B44,'Crossing Inventory Data'!$C$2:$J$53,4, FALSE)</f>
        <v>Cants, FLG</v>
      </c>
    </row>
    <row r="45" spans="1:31">
      <c r="A45">
        <v>2</v>
      </c>
      <c r="B45" t="s">
        <v>41</v>
      </c>
      <c r="C45">
        <v>1999</v>
      </c>
      <c r="D45" t="s">
        <v>175</v>
      </c>
      <c r="E45">
        <v>35</v>
      </c>
      <c r="F45">
        <v>1</v>
      </c>
      <c r="G45" t="s">
        <v>181</v>
      </c>
      <c r="H45" s="193" t="str">
        <f>VLOOKUP(B45,'Crossing Inventory Data'!$C$2:$J$53,4, FALSE)</f>
        <v>Cants, FLG</v>
      </c>
    </row>
    <row r="46" spans="1:31" hidden="1">
      <c r="A46">
        <v>3</v>
      </c>
      <c r="B46" t="s">
        <v>41</v>
      </c>
      <c r="C46">
        <v>1998</v>
      </c>
      <c r="D46" t="s">
        <v>176</v>
      </c>
      <c r="E46">
        <v>40</v>
      </c>
      <c r="F46" t="s">
        <v>185</v>
      </c>
      <c r="G46" t="s">
        <v>179</v>
      </c>
      <c r="H46" s="193" t="str">
        <f>VLOOKUP(B46,'Crossing Inventory Data'!$C$2:$J$53,4, FALSE)</f>
        <v>Cants, FLG</v>
      </c>
    </row>
    <row r="47" spans="1:31" hidden="1">
      <c r="A47">
        <v>4</v>
      </c>
      <c r="B47" t="s">
        <v>41</v>
      </c>
      <c r="C47">
        <v>1994</v>
      </c>
      <c r="D47" t="s">
        <v>175</v>
      </c>
      <c r="E47">
        <v>30</v>
      </c>
      <c r="F47">
        <v>1</v>
      </c>
      <c r="G47" t="s">
        <v>181</v>
      </c>
      <c r="H47" s="193" t="str">
        <f>VLOOKUP(B47,'Crossing Inventory Data'!$C$2:$J$53,4, FALSE)</f>
        <v>Cants, FLG</v>
      </c>
    </row>
    <row r="48" spans="1:31" hidden="1">
      <c r="A48">
        <v>5</v>
      </c>
      <c r="B48" t="s">
        <v>41</v>
      </c>
      <c r="C48">
        <v>1986</v>
      </c>
      <c r="D48" t="s">
        <v>175</v>
      </c>
      <c r="E48">
        <v>5</v>
      </c>
      <c r="F48" t="s">
        <v>186</v>
      </c>
      <c r="G48" t="s">
        <v>181</v>
      </c>
      <c r="H48" s="193" t="str">
        <f>VLOOKUP(B48,'Crossing Inventory Data'!$C$2:$J$53,4, FALSE)</f>
        <v>Cants, FLG</v>
      </c>
    </row>
    <row r="49" spans="1:8" hidden="1">
      <c r="A49">
        <v>6</v>
      </c>
      <c r="B49" t="s">
        <v>41</v>
      </c>
      <c r="C49">
        <v>1981</v>
      </c>
      <c r="D49" t="s">
        <v>175</v>
      </c>
      <c r="E49">
        <v>5</v>
      </c>
      <c r="F49" t="s">
        <v>186</v>
      </c>
      <c r="G49" t="s">
        <v>181</v>
      </c>
      <c r="H49" t="str">
        <f>VLOOKUP(B49,'Crossing Inventory Data'!$C$2:$J$53,4, FALSE)</f>
        <v>Cants, FLG</v>
      </c>
    </row>
    <row r="50" spans="1:8" hidden="1">
      <c r="A50">
        <v>7</v>
      </c>
      <c r="B50" t="s">
        <v>41</v>
      </c>
      <c r="C50">
        <v>1980</v>
      </c>
      <c r="D50" t="s">
        <v>175</v>
      </c>
      <c r="E50">
        <v>20</v>
      </c>
      <c r="F50" t="s">
        <v>183</v>
      </c>
      <c r="G50" t="s">
        <v>181</v>
      </c>
      <c r="H50" t="str">
        <f>VLOOKUP(B50,'Crossing Inventory Data'!$C$2:$J$53,4, FALSE)</f>
        <v>Cants, FLG</v>
      </c>
    </row>
    <row r="51" spans="1:8" hidden="1">
      <c r="A51">
        <v>1</v>
      </c>
      <c r="B51" t="s">
        <v>44</v>
      </c>
      <c r="C51">
        <v>1979</v>
      </c>
      <c r="D51" t="s">
        <v>175</v>
      </c>
      <c r="E51">
        <v>5</v>
      </c>
      <c r="F51" t="s">
        <v>188</v>
      </c>
      <c r="G51" t="s">
        <v>181</v>
      </c>
      <c r="H51" t="str">
        <f>VLOOKUP(B51,'Crossing Inventory Data'!$C$2:$J$53,4, FALSE)</f>
        <v>Cants, FLG</v>
      </c>
    </row>
    <row r="52" spans="1:8" hidden="1">
      <c r="A52">
        <v>2</v>
      </c>
      <c r="B52" t="s">
        <v>44</v>
      </c>
      <c r="C52">
        <v>1976</v>
      </c>
      <c r="D52" t="s">
        <v>175</v>
      </c>
      <c r="E52">
        <v>5</v>
      </c>
      <c r="F52" t="s">
        <v>188</v>
      </c>
      <c r="G52" t="s">
        <v>180</v>
      </c>
      <c r="H52" t="str">
        <f>VLOOKUP(B52,'Crossing Inventory Data'!$C$2:$J$53,4, FALSE)</f>
        <v>Cants, FLG</v>
      </c>
    </row>
    <row r="53" spans="1:8">
      <c r="A53">
        <v>1</v>
      </c>
      <c r="B53" t="s">
        <v>47</v>
      </c>
      <c r="C53">
        <v>2007</v>
      </c>
      <c r="D53" t="s">
        <v>175</v>
      </c>
      <c r="E53">
        <v>53</v>
      </c>
      <c r="F53" t="s">
        <v>196</v>
      </c>
      <c r="G53" t="s">
        <v>181</v>
      </c>
      <c r="H53" t="str">
        <f>VLOOKUP(B53,'Crossing Inventory Data'!$C$2:$J$53,4, FALSE)</f>
        <v>Cants, FLG</v>
      </c>
    </row>
    <row r="54" spans="1:8" hidden="1">
      <c r="A54">
        <v>2</v>
      </c>
      <c r="B54" t="s">
        <v>47</v>
      </c>
      <c r="C54">
        <v>1980</v>
      </c>
      <c r="D54" t="s">
        <v>175</v>
      </c>
      <c r="E54">
        <v>35</v>
      </c>
      <c r="F54" t="s">
        <v>188</v>
      </c>
      <c r="G54" t="s">
        <v>181</v>
      </c>
      <c r="H54" t="str">
        <f>VLOOKUP(B54,'Crossing Inventory Data'!$C$2:$J$53,4, FALSE)</f>
        <v>Cants, FLG</v>
      </c>
    </row>
    <row r="55" spans="1:8" hidden="1">
      <c r="A55">
        <v>3</v>
      </c>
      <c r="B55" t="s">
        <v>47</v>
      </c>
      <c r="C55">
        <v>1979</v>
      </c>
      <c r="D55" t="s">
        <v>175</v>
      </c>
      <c r="E55">
        <v>30</v>
      </c>
      <c r="F55" t="s">
        <v>183</v>
      </c>
      <c r="G55" t="s">
        <v>181</v>
      </c>
      <c r="H55" t="str">
        <f>VLOOKUP(B55,'Crossing Inventory Data'!$C$2:$J$53,4, FALSE)</f>
        <v>Cants, FLG</v>
      </c>
    </row>
    <row r="56" spans="1:8">
      <c r="A56">
        <v>1</v>
      </c>
      <c r="B56" t="s">
        <v>50</v>
      </c>
      <c r="C56">
        <v>2018</v>
      </c>
      <c r="D56" t="s">
        <v>178</v>
      </c>
      <c r="E56">
        <v>35</v>
      </c>
      <c r="F56" t="s">
        <v>197</v>
      </c>
      <c r="G56" t="s">
        <v>180</v>
      </c>
      <c r="H56" t="str">
        <f>VLOOKUP(B56,'Crossing Inventory Data'!$C$2:$J$53,4, FALSE)</f>
        <v>FLG</v>
      </c>
    </row>
    <row r="57" spans="1:8">
      <c r="A57">
        <v>2</v>
      </c>
      <c r="B57" t="s">
        <v>50</v>
      </c>
      <c r="C57">
        <v>2017</v>
      </c>
      <c r="D57" t="s">
        <v>175</v>
      </c>
      <c r="E57">
        <v>14</v>
      </c>
      <c r="F57">
        <v>3</v>
      </c>
      <c r="G57" t="s">
        <v>181</v>
      </c>
      <c r="H57" t="str">
        <f>VLOOKUP(B57,'Crossing Inventory Data'!$C$2:$J$53,4, FALSE)</f>
        <v>FLG</v>
      </c>
    </row>
    <row r="58" spans="1:8">
      <c r="A58">
        <v>3</v>
      </c>
      <c r="B58" t="s">
        <v>50</v>
      </c>
      <c r="C58">
        <v>2010</v>
      </c>
      <c r="D58" t="s">
        <v>175</v>
      </c>
      <c r="E58">
        <v>35</v>
      </c>
      <c r="F58" t="s">
        <v>193</v>
      </c>
      <c r="G58" t="s">
        <v>180</v>
      </c>
      <c r="H58" t="str">
        <f>VLOOKUP(B58,'Crossing Inventory Data'!$C$2:$J$53,4, FALSE)</f>
        <v>FLG</v>
      </c>
    </row>
    <row r="59" spans="1:8">
      <c r="A59">
        <v>4</v>
      </c>
      <c r="B59" t="s">
        <v>50</v>
      </c>
      <c r="C59">
        <v>2007</v>
      </c>
      <c r="D59" t="s">
        <v>176</v>
      </c>
      <c r="E59">
        <v>38</v>
      </c>
      <c r="F59" t="s">
        <v>193</v>
      </c>
      <c r="G59" t="s">
        <v>180</v>
      </c>
      <c r="H59" t="str">
        <f>VLOOKUP(B59,'Crossing Inventory Data'!$C$2:$J$53,4, FALSE)</f>
        <v>FLG</v>
      </c>
    </row>
    <row r="60" spans="1:8" hidden="1">
      <c r="A60">
        <v>5</v>
      </c>
      <c r="B60" t="s">
        <v>50</v>
      </c>
      <c r="C60">
        <v>1979</v>
      </c>
      <c r="D60" t="s">
        <v>175</v>
      </c>
      <c r="E60">
        <v>37</v>
      </c>
      <c r="F60" t="s">
        <v>193</v>
      </c>
      <c r="G60" t="s">
        <v>180</v>
      </c>
      <c r="H60" t="str">
        <f>VLOOKUP(B60,'Crossing Inventory Data'!$C$2:$J$53,4, FALSE)</f>
        <v>FLG</v>
      </c>
    </row>
    <row r="61" spans="1:8" hidden="1">
      <c r="A61">
        <v>6</v>
      </c>
      <c r="B61" t="s">
        <v>50</v>
      </c>
      <c r="C61">
        <v>1978</v>
      </c>
      <c r="D61" t="s">
        <v>175</v>
      </c>
      <c r="E61">
        <v>30</v>
      </c>
      <c r="F61" t="s">
        <v>193</v>
      </c>
      <c r="G61" t="s">
        <v>181</v>
      </c>
      <c r="H61" t="str">
        <f>VLOOKUP(B61,'Crossing Inventory Data'!$C$2:$J$53,4, FALSE)</f>
        <v>FLG</v>
      </c>
    </row>
    <row r="62" spans="1:8">
      <c r="A62">
        <v>1</v>
      </c>
      <c r="B62" t="s">
        <v>53</v>
      </c>
      <c r="C62">
        <v>2016</v>
      </c>
      <c r="D62" t="s">
        <v>175</v>
      </c>
      <c r="E62">
        <v>38</v>
      </c>
      <c r="F62" t="s">
        <v>198</v>
      </c>
      <c r="G62" t="s">
        <v>181</v>
      </c>
      <c r="H62" t="str">
        <f>VLOOKUP(B62,'Crossing Inventory Data'!$C$2:$J$53,4, FALSE)</f>
        <v>FLG</v>
      </c>
    </row>
    <row r="63" spans="1:8">
      <c r="A63">
        <v>2</v>
      </c>
      <c r="B63" t="s">
        <v>53</v>
      </c>
      <c r="C63">
        <v>2015</v>
      </c>
      <c r="D63" t="s">
        <v>175</v>
      </c>
      <c r="E63">
        <v>38</v>
      </c>
      <c r="F63" t="s">
        <v>198</v>
      </c>
      <c r="G63" t="s">
        <v>180</v>
      </c>
      <c r="H63" t="str">
        <f>VLOOKUP(B63,'Crossing Inventory Data'!$C$2:$J$53,4, FALSE)</f>
        <v>FLG</v>
      </c>
    </row>
    <row r="64" spans="1:8">
      <c r="A64">
        <v>3</v>
      </c>
      <c r="B64" t="s">
        <v>53</v>
      </c>
      <c r="C64">
        <v>2013</v>
      </c>
      <c r="D64" t="s">
        <v>175</v>
      </c>
      <c r="E64">
        <v>35</v>
      </c>
      <c r="F64" t="s">
        <v>199</v>
      </c>
      <c r="G64" t="s">
        <v>179</v>
      </c>
      <c r="H64" t="str">
        <f>VLOOKUP(B64,'Crossing Inventory Data'!$C$2:$J$53,4, FALSE)</f>
        <v>FLG</v>
      </c>
    </row>
    <row r="65" spans="1:8">
      <c r="A65">
        <v>4</v>
      </c>
      <c r="B65" t="s">
        <v>53</v>
      </c>
      <c r="C65">
        <v>2006</v>
      </c>
      <c r="D65" t="s">
        <v>175</v>
      </c>
      <c r="E65">
        <v>40</v>
      </c>
      <c r="F65" t="s">
        <v>193</v>
      </c>
      <c r="G65" t="s">
        <v>181</v>
      </c>
      <c r="H65" t="str">
        <f>VLOOKUP(B65,'Crossing Inventory Data'!$C$2:$J$53,4, FALSE)</f>
        <v>FLG</v>
      </c>
    </row>
    <row r="66" spans="1:8">
      <c r="A66">
        <v>5</v>
      </c>
      <c r="B66" t="s">
        <v>53</v>
      </c>
      <c r="C66">
        <v>1999</v>
      </c>
      <c r="D66" t="s">
        <v>175</v>
      </c>
      <c r="E66">
        <v>13</v>
      </c>
      <c r="F66" t="s">
        <v>196</v>
      </c>
      <c r="G66" t="s">
        <v>181</v>
      </c>
      <c r="H66" t="str">
        <f>VLOOKUP(B66,'Crossing Inventory Data'!$C$2:$J$53,4, FALSE)</f>
        <v>FLG</v>
      </c>
    </row>
    <row r="67" spans="1:8" hidden="1">
      <c r="A67">
        <v>6</v>
      </c>
      <c r="B67" t="s">
        <v>53</v>
      </c>
      <c r="C67">
        <v>1981</v>
      </c>
      <c r="D67" t="s">
        <v>175</v>
      </c>
      <c r="E67">
        <v>2</v>
      </c>
      <c r="F67">
        <v>3</v>
      </c>
      <c r="G67" t="s">
        <v>181</v>
      </c>
      <c r="H67" t="str">
        <f>VLOOKUP(B67,'Crossing Inventory Data'!$C$2:$J$53,4, FALSE)</f>
        <v>FLG</v>
      </c>
    </row>
    <row r="68" spans="1:8" hidden="1">
      <c r="A68">
        <v>7</v>
      </c>
      <c r="B68" t="s">
        <v>53</v>
      </c>
      <c r="C68">
        <v>1980</v>
      </c>
      <c r="D68" t="s">
        <v>175</v>
      </c>
      <c r="E68">
        <v>40</v>
      </c>
      <c r="F68">
        <v>3</v>
      </c>
      <c r="G68" t="s">
        <v>180</v>
      </c>
      <c r="H68" t="str">
        <f>VLOOKUP(B68,'Crossing Inventory Data'!$C$2:$J$53,4, FALSE)</f>
        <v>FLG</v>
      </c>
    </row>
    <row r="69" spans="1:8" hidden="1">
      <c r="A69">
        <v>8</v>
      </c>
      <c r="B69" t="s">
        <v>53</v>
      </c>
      <c r="C69">
        <v>1980</v>
      </c>
      <c r="D69" t="s">
        <v>175</v>
      </c>
      <c r="E69">
        <v>35</v>
      </c>
      <c r="F69" t="s">
        <v>199</v>
      </c>
      <c r="G69" t="s">
        <v>180</v>
      </c>
      <c r="H69" t="str">
        <f>VLOOKUP(B69,'Crossing Inventory Data'!$C$2:$J$53,4, FALSE)</f>
        <v>FLG</v>
      </c>
    </row>
    <row r="70" spans="1:8">
      <c r="A70">
        <v>1</v>
      </c>
      <c r="B70" t="s">
        <v>56</v>
      </c>
      <c r="C70">
        <v>2006</v>
      </c>
      <c r="D70" t="s">
        <v>175</v>
      </c>
      <c r="E70">
        <v>30</v>
      </c>
      <c r="F70" t="s">
        <v>193</v>
      </c>
      <c r="G70" t="s">
        <v>180</v>
      </c>
      <c r="H70" t="str">
        <f>VLOOKUP(B70,'Crossing Inventory Data'!$C$2:$J$53,4, FALSE)</f>
        <v>FLG</v>
      </c>
    </row>
    <row r="71" spans="1:8" hidden="1">
      <c r="A71">
        <v>2</v>
      </c>
      <c r="B71" t="s">
        <v>56</v>
      </c>
      <c r="C71">
        <v>1980</v>
      </c>
      <c r="D71" t="s">
        <v>175</v>
      </c>
      <c r="E71">
        <v>10</v>
      </c>
      <c r="F71">
        <v>3</v>
      </c>
      <c r="G71" t="s">
        <v>180</v>
      </c>
      <c r="H71" t="str">
        <f>VLOOKUP(B71,'Crossing Inventory Data'!$C$2:$J$53,4, FALSE)</f>
        <v>FLG</v>
      </c>
    </row>
    <row r="72" spans="1:8" hidden="1">
      <c r="A72">
        <v>3</v>
      </c>
      <c r="B72" t="s">
        <v>56</v>
      </c>
      <c r="C72">
        <v>1980</v>
      </c>
      <c r="D72" t="s">
        <v>175</v>
      </c>
      <c r="E72">
        <v>40</v>
      </c>
      <c r="F72">
        <v>3</v>
      </c>
      <c r="G72" t="s">
        <v>181</v>
      </c>
      <c r="H72" t="str">
        <f>VLOOKUP(B72,'Crossing Inventory Data'!$C$2:$J$53,4, FALSE)</f>
        <v>FLG</v>
      </c>
    </row>
    <row r="73" spans="1:8" hidden="1">
      <c r="A73">
        <v>4</v>
      </c>
      <c r="B73" t="s">
        <v>56</v>
      </c>
      <c r="C73">
        <v>1980</v>
      </c>
      <c r="D73" t="s">
        <v>175</v>
      </c>
      <c r="E73">
        <v>38</v>
      </c>
      <c r="F73" t="s">
        <v>199</v>
      </c>
      <c r="G73" t="s">
        <v>179</v>
      </c>
      <c r="H73" t="str">
        <f>VLOOKUP(B73,'Crossing Inventory Data'!$C$2:$J$53,4, FALSE)</f>
        <v>FLG</v>
      </c>
    </row>
    <row r="74" spans="1:8" hidden="1">
      <c r="A74">
        <v>1</v>
      </c>
      <c r="B74" t="s">
        <v>59</v>
      </c>
      <c r="C74">
        <v>1981</v>
      </c>
      <c r="D74" t="s">
        <v>175</v>
      </c>
      <c r="E74">
        <v>45</v>
      </c>
      <c r="F74" t="s">
        <v>193</v>
      </c>
      <c r="G74" t="s">
        <v>180</v>
      </c>
      <c r="H74" t="str">
        <f>VLOOKUP(B74,'Crossing Inventory Data'!$C$2:$J$53,4, FALSE)</f>
        <v>Cants, FLG</v>
      </c>
    </row>
    <row r="75" spans="1:8" hidden="1">
      <c r="A75">
        <v>2</v>
      </c>
      <c r="B75" t="s">
        <v>59</v>
      </c>
      <c r="C75">
        <v>1978</v>
      </c>
      <c r="D75" t="s">
        <v>175</v>
      </c>
      <c r="E75">
        <v>35</v>
      </c>
      <c r="F75">
        <v>3</v>
      </c>
      <c r="G75" t="s">
        <v>181</v>
      </c>
      <c r="H75" t="str">
        <f>VLOOKUP(B75,'Crossing Inventory Data'!$C$2:$J$53,4, FALSE)</f>
        <v>Cants, FLG</v>
      </c>
    </row>
    <row r="76" spans="1:8" hidden="1">
      <c r="A76">
        <v>1</v>
      </c>
      <c r="B76" t="s">
        <v>63</v>
      </c>
      <c r="C76">
        <v>1994</v>
      </c>
      <c r="D76" t="s">
        <v>175</v>
      </c>
      <c r="E76">
        <v>48</v>
      </c>
      <c r="F76">
        <v>1</v>
      </c>
      <c r="G76" t="s">
        <v>181</v>
      </c>
      <c r="H76" t="str">
        <f>VLOOKUP(B76,'Crossing Inventory Data'!$C$2:$J$53,4, FALSE)</f>
        <v>FLG</v>
      </c>
    </row>
    <row r="77" spans="1:8" hidden="1">
      <c r="A77">
        <v>2</v>
      </c>
      <c r="B77" t="s">
        <v>63</v>
      </c>
      <c r="C77">
        <v>1989</v>
      </c>
      <c r="D77" t="s">
        <v>175</v>
      </c>
      <c r="E77">
        <v>45</v>
      </c>
      <c r="F77" t="s">
        <v>194</v>
      </c>
      <c r="G77" t="s">
        <v>181</v>
      </c>
      <c r="H77" t="str">
        <f>VLOOKUP(B77,'Crossing Inventory Data'!$C$2:$J$53,4, FALSE)</f>
        <v>FLG</v>
      </c>
    </row>
    <row r="78" spans="1:8" hidden="1">
      <c r="A78">
        <v>3</v>
      </c>
      <c r="B78" t="s">
        <v>63</v>
      </c>
      <c r="C78">
        <v>1977</v>
      </c>
      <c r="D78" t="s">
        <v>175</v>
      </c>
      <c r="E78">
        <v>43</v>
      </c>
      <c r="F78" t="s">
        <v>192</v>
      </c>
      <c r="G78" t="s">
        <v>181</v>
      </c>
      <c r="H78" t="str">
        <f>VLOOKUP(B78,'Crossing Inventory Data'!$C$2:$J$53,4, FALSE)</f>
        <v>FLG</v>
      </c>
    </row>
    <row r="79" spans="1:8" hidden="1">
      <c r="A79">
        <v>1</v>
      </c>
      <c r="B79" t="s">
        <v>67</v>
      </c>
      <c r="C79">
        <v>1977</v>
      </c>
      <c r="D79" t="s">
        <v>175</v>
      </c>
      <c r="E79">
        <v>2</v>
      </c>
      <c r="F79" t="s">
        <v>192</v>
      </c>
      <c r="G79" t="s">
        <v>181</v>
      </c>
      <c r="H79" t="str">
        <f>VLOOKUP(B79,'Crossing Inventory Data'!$C$2:$J$53,4, FALSE)</f>
        <v>FLG</v>
      </c>
    </row>
    <row r="80" spans="1:8" hidden="1">
      <c r="A80">
        <v>1</v>
      </c>
      <c r="B80" t="s">
        <v>73</v>
      </c>
      <c r="C80">
        <v>1979</v>
      </c>
      <c r="D80" t="s">
        <v>175</v>
      </c>
      <c r="E80">
        <v>18</v>
      </c>
      <c r="F80" t="s">
        <v>192</v>
      </c>
      <c r="G80" t="s">
        <v>181</v>
      </c>
      <c r="H80" t="str">
        <f>VLOOKUP(B80,'Crossing Inventory Data'!$C$2:$J$53,4, FALSE)</f>
        <v>FLG</v>
      </c>
    </row>
    <row r="81" spans="1:8">
      <c r="A81">
        <v>1</v>
      </c>
      <c r="B81" t="s">
        <v>78</v>
      </c>
      <c r="C81">
        <v>2020</v>
      </c>
      <c r="D81" t="s">
        <v>175</v>
      </c>
      <c r="E81">
        <v>50</v>
      </c>
      <c r="F81" t="s">
        <v>184</v>
      </c>
      <c r="G81" t="s">
        <v>180</v>
      </c>
      <c r="H81" t="str">
        <f>VLOOKUP(B81,'Crossing Inventory Data'!$C$2:$J$53,4, FALSE)</f>
        <v>Cants, FLG</v>
      </c>
    </row>
    <row r="82" spans="1:8">
      <c r="A82">
        <v>2</v>
      </c>
      <c r="B82" t="s">
        <v>78</v>
      </c>
      <c r="C82">
        <v>2015</v>
      </c>
      <c r="D82" t="s">
        <v>175</v>
      </c>
      <c r="E82">
        <v>8</v>
      </c>
      <c r="F82" t="s">
        <v>185</v>
      </c>
      <c r="G82" t="s">
        <v>180</v>
      </c>
      <c r="H82" t="str">
        <f>VLOOKUP(B82,'Crossing Inventory Data'!$C$2:$J$53,4, FALSE)</f>
        <v>Cants, FLG</v>
      </c>
    </row>
    <row r="83" spans="1:8">
      <c r="A83">
        <v>3</v>
      </c>
      <c r="B83" t="s">
        <v>78</v>
      </c>
      <c r="C83">
        <v>2003</v>
      </c>
      <c r="D83" t="s">
        <v>175</v>
      </c>
      <c r="E83" t="s">
        <v>182</v>
      </c>
      <c r="F83" t="s">
        <v>198</v>
      </c>
      <c r="G83" t="s">
        <v>181</v>
      </c>
      <c r="H83" t="str">
        <f>VLOOKUP(B83,'Crossing Inventory Data'!$C$2:$J$53,4, FALSE)</f>
        <v>Cants, FLG</v>
      </c>
    </row>
    <row r="84" spans="1:8" hidden="1">
      <c r="A84">
        <v>4</v>
      </c>
      <c r="B84" t="s">
        <v>78</v>
      </c>
      <c r="C84">
        <v>1994</v>
      </c>
      <c r="D84" t="s">
        <v>175</v>
      </c>
      <c r="E84">
        <v>52</v>
      </c>
      <c r="F84">
        <v>3</v>
      </c>
      <c r="G84" t="s">
        <v>181</v>
      </c>
      <c r="H84" t="str">
        <f>VLOOKUP(B84,'Crossing Inventory Data'!$C$2:$J$53,4, FALSE)</f>
        <v>Cants, FLG</v>
      </c>
    </row>
    <row r="85" spans="1:8" hidden="1">
      <c r="A85">
        <v>5</v>
      </c>
      <c r="B85" t="s">
        <v>78</v>
      </c>
      <c r="C85">
        <v>1983</v>
      </c>
      <c r="D85" t="s">
        <v>175</v>
      </c>
      <c r="E85">
        <v>35</v>
      </c>
      <c r="F85" t="s">
        <v>193</v>
      </c>
      <c r="G85" t="s">
        <v>181</v>
      </c>
      <c r="H85" t="str">
        <f>VLOOKUP(B85,'Crossing Inventory Data'!$C$2:$J$53,4, FALSE)</f>
        <v>Cants, FLG</v>
      </c>
    </row>
    <row r="86" spans="1:8" hidden="1">
      <c r="A86">
        <v>6</v>
      </c>
      <c r="B86" t="s">
        <v>78</v>
      </c>
      <c r="C86">
        <v>1981</v>
      </c>
      <c r="D86" t="s">
        <v>175</v>
      </c>
      <c r="E86">
        <v>5</v>
      </c>
      <c r="F86" t="s">
        <v>193</v>
      </c>
      <c r="G86" t="s">
        <v>181</v>
      </c>
      <c r="H86" t="str">
        <f>VLOOKUP(B86,'Crossing Inventory Data'!$C$2:$J$53,4, FALSE)</f>
        <v>Cants, FLG</v>
      </c>
    </row>
    <row r="87" spans="1:8" hidden="1">
      <c r="A87">
        <v>7</v>
      </c>
      <c r="B87" t="s">
        <v>78</v>
      </c>
      <c r="C87">
        <v>1980</v>
      </c>
      <c r="D87" t="s">
        <v>175</v>
      </c>
      <c r="E87">
        <v>53</v>
      </c>
      <c r="F87">
        <v>3</v>
      </c>
      <c r="G87" t="s">
        <v>181</v>
      </c>
      <c r="H87" t="str">
        <f>VLOOKUP(B87,'Crossing Inventory Data'!$C$2:$J$53,4, FALSE)</f>
        <v>Cants, FLG</v>
      </c>
    </row>
    <row r="88" spans="1:8" hidden="1">
      <c r="A88">
        <v>1</v>
      </c>
      <c r="B88" t="s">
        <v>81</v>
      </c>
      <c r="C88">
        <v>1991</v>
      </c>
      <c r="D88" t="s">
        <v>175</v>
      </c>
      <c r="E88">
        <v>40</v>
      </c>
      <c r="F88">
        <v>3</v>
      </c>
      <c r="G88" t="s">
        <v>180</v>
      </c>
      <c r="H88" t="str">
        <f>VLOOKUP(B88,'Crossing Inventory Data'!$C$2:$J$53,4, FALSE)</f>
        <v>Cants, FLG</v>
      </c>
    </row>
    <row r="89" spans="1:8" hidden="1">
      <c r="A89">
        <v>2</v>
      </c>
      <c r="B89" t="s">
        <v>81</v>
      </c>
      <c r="C89">
        <v>1989</v>
      </c>
      <c r="D89" t="s">
        <v>175</v>
      </c>
      <c r="E89">
        <v>39</v>
      </c>
      <c r="F89" t="s">
        <v>193</v>
      </c>
      <c r="G89" t="s">
        <v>180</v>
      </c>
      <c r="H89" t="str">
        <f>VLOOKUP(B89,'Crossing Inventory Data'!$C$2:$J$53,4, FALSE)</f>
        <v>Cants, FLG</v>
      </c>
    </row>
    <row r="90" spans="1:8" hidden="1">
      <c r="A90">
        <v>3</v>
      </c>
      <c r="B90" t="s">
        <v>81</v>
      </c>
      <c r="C90">
        <v>1985</v>
      </c>
      <c r="D90" t="s">
        <v>175</v>
      </c>
      <c r="E90">
        <v>40</v>
      </c>
      <c r="F90" t="s">
        <v>193</v>
      </c>
      <c r="G90" t="s">
        <v>179</v>
      </c>
      <c r="H90" t="str">
        <f>VLOOKUP(B90,'Crossing Inventory Data'!$C$2:$J$53,4, FALSE)</f>
        <v>Cants, FLG</v>
      </c>
    </row>
    <row r="91" spans="1:8">
      <c r="A91">
        <v>1</v>
      </c>
      <c r="B91" s="9" t="s">
        <v>95</v>
      </c>
      <c r="C91">
        <v>2009</v>
      </c>
      <c r="D91" t="s">
        <v>175</v>
      </c>
      <c r="E91">
        <v>55</v>
      </c>
      <c r="F91">
        <v>7</v>
      </c>
      <c r="G91" t="s">
        <v>181</v>
      </c>
      <c r="H91" t="str">
        <f>VLOOKUP(B91,'Crossing Inventory Data'!$C$2:$J$53,4, FALSE)</f>
        <v>Xbucks</v>
      </c>
    </row>
    <row r="92" spans="1:8">
      <c r="A92">
        <v>2</v>
      </c>
      <c r="B92" s="9" t="s">
        <v>95</v>
      </c>
      <c r="C92">
        <v>2001</v>
      </c>
      <c r="D92" t="s">
        <v>175</v>
      </c>
      <c r="E92">
        <v>50</v>
      </c>
      <c r="F92">
        <v>7</v>
      </c>
      <c r="G92" t="s">
        <v>181</v>
      </c>
      <c r="H92" t="str">
        <f>VLOOKUP(B92,'Crossing Inventory Data'!$C$2:$J$53,4, FALSE)</f>
        <v>Xbucks</v>
      </c>
    </row>
    <row r="93" spans="1:8" hidden="1">
      <c r="A93">
        <v>3</v>
      </c>
      <c r="B93" s="9" t="s">
        <v>95</v>
      </c>
      <c r="C93">
        <v>1991</v>
      </c>
      <c r="D93" t="s">
        <v>177</v>
      </c>
      <c r="E93">
        <v>55</v>
      </c>
      <c r="F93">
        <v>7</v>
      </c>
      <c r="G93" t="s">
        <v>181</v>
      </c>
      <c r="H93" t="str">
        <f>VLOOKUP(B93,'Crossing Inventory Data'!$C$2:$J$53,4, FALSE)</f>
        <v>Xbucks</v>
      </c>
    </row>
    <row r="94" spans="1:8" hidden="1">
      <c r="A94">
        <v>1</v>
      </c>
      <c r="B94" s="9" t="s">
        <v>99</v>
      </c>
      <c r="C94">
        <v>1985</v>
      </c>
      <c r="D94" t="s">
        <v>175</v>
      </c>
      <c r="E94">
        <v>45</v>
      </c>
      <c r="F94" t="s">
        <v>193</v>
      </c>
      <c r="G94" t="s">
        <v>181</v>
      </c>
      <c r="H94" t="str">
        <f>VLOOKUP(B94,'Crossing Inventory Data'!$C$2:$J$53,4, FALSE)</f>
        <v>FL</v>
      </c>
    </row>
    <row r="95" spans="1:8" hidden="1">
      <c r="A95">
        <v>1</v>
      </c>
      <c r="B95" s="9" t="s">
        <v>102</v>
      </c>
      <c r="C95">
        <v>1987</v>
      </c>
      <c r="D95" t="s">
        <v>175</v>
      </c>
      <c r="E95">
        <v>52</v>
      </c>
      <c r="F95">
        <v>7</v>
      </c>
      <c r="G95" t="s">
        <v>181</v>
      </c>
      <c r="H95" t="str">
        <f>VLOOKUP(B95,'Crossing Inventory Data'!$C$2:$J$53,4, FALSE)</f>
        <v>FL</v>
      </c>
    </row>
    <row r="96" spans="1:8">
      <c r="A96">
        <v>1</v>
      </c>
      <c r="B96" s="9" t="s">
        <v>112</v>
      </c>
      <c r="C96">
        <v>2015</v>
      </c>
      <c r="D96" t="s">
        <v>175</v>
      </c>
      <c r="E96">
        <v>44</v>
      </c>
      <c r="F96">
        <v>7</v>
      </c>
      <c r="G96" t="s">
        <v>180</v>
      </c>
      <c r="H96" t="str">
        <f>VLOOKUP(B96,'Crossing Inventory Data'!$C$2:$J$53,4, FALSE)</f>
        <v>Xbucks</v>
      </c>
    </row>
    <row r="97" spans="1:8" hidden="1">
      <c r="A97">
        <v>2</v>
      </c>
      <c r="B97" s="9" t="s">
        <v>112</v>
      </c>
      <c r="C97">
        <v>1996</v>
      </c>
      <c r="D97" t="s">
        <v>175</v>
      </c>
      <c r="E97">
        <v>30</v>
      </c>
      <c r="F97">
        <v>7</v>
      </c>
      <c r="G97" t="s">
        <v>181</v>
      </c>
      <c r="H97" t="str">
        <f>VLOOKUP(B97,'Crossing Inventory Data'!$C$2:$J$53,4, FALSE)</f>
        <v>Xbucks</v>
      </c>
    </row>
    <row r="98" spans="1:8">
      <c r="A98">
        <v>1</v>
      </c>
      <c r="B98" s="9" t="s">
        <v>115</v>
      </c>
      <c r="C98">
        <v>2003</v>
      </c>
      <c r="D98" t="s">
        <v>175</v>
      </c>
      <c r="E98">
        <v>50</v>
      </c>
      <c r="F98">
        <v>7</v>
      </c>
      <c r="G98" t="s">
        <v>180</v>
      </c>
      <c r="H98" t="str">
        <f>VLOOKUP(B98,'Crossing Inventory Data'!$C$2:$J$53,4, FALSE)</f>
        <v>Xbucks</v>
      </c>
    </row>
    <row r="99" spans="1:8">
      <c r="A99">
        <v>1</v>
      </c>
      <c r="B99" s="9" t="s">
        <v>118</v>
      </c>
      <c r="C99">
        <v>2014</v>
      </c>
      <c r="D99" t="s">
        <v>175</v>
      </c>
      <c r="E99">
        <v>50</v>
      </c>
      <c r="F99">
        <v>7</v>
      </c>
      <c r="G99" t="s">
        <v>181</v>
      </c>
      <c r="H99" t="str">
        <f>VLOOKUP(B99,'Crossing Inventory Data'!$C$2:$J$53,4, FALSE)</f>
        <v>Xbucks</v>
      </c>
    </row>
    <row r="100" spans="1:8">
      <c r="A100">
        <v>2</v>
      </c>
      <c r="B100" s="9" t="s">
        <v>118</v>
      </c>
      <c r="C100">
        <v>2012</v>
      </c>
      <c r="D100" t="s">
        <v>175</v>
      </c>
      <c r="E100">
        <v>54</v>
      </c>
      <c r="F100">
        <v>7</v>
      </c>
      <c r="G100" t="s">
        <v>181</v>
      </c>
      <c r="H100" t="str">
        <f>VLOOKUP(B100,'Crossing Inventory Data'!$C$2:$J$53,4, FALSE)</f>
        <v>Xbucks</v>
      </c>
    </row>
    <row r="101" spans="1:8" hidden="1">
      <c r="A101">
        <v>1</v>
      </c>
      <c r="B101" s="9" t="s">
        <v>127</v>
      </c>
      <c r="C101">
        <v>1979</v>
      </c>
      <c r="D101" t="s">
        <v>175</v>
      </c>
      <c r="E101">
        <v>50</v>
      </c>
      <c r="F101">
        <v>7</v>
      </c>
      <c r="G101" t="s">
        <v>180</v>
      </c>
      <c r="H101" t="str">
        <f>VLOOKUP(B101,'Crossing Inventory Data'!$C$2:$J$53,4, FALSE)</f>
        <v>FL</v>
      </c>
    </row>
    <row r="102" spans="1:8" hidden="1">
      <c r="A102">
        <v>1</v>
      </c>
      <c r="B102" s="9" t="s">
        <v>148</v>
      </c>
      <c r="C102">
        <v>1980</v>
      </c>
      <c r="D102" t="s">
        <v>175</v>
      </c>
      <c r="E102">
        <v>55</v>
      </c>
      <c r="F102">
        <v>3</v>
      </c>
      <c r="G102" t="s">
        <v>181</v>
      </c>
      <c r="H102" t="str">
        <f>VLOOKUP(B102,'Crossing Inventory Data'!$C$2:$J$53,4, FALSE)</f>
        <v>FL</v>
      </c>
    </row>
    <row r="103" spans="1:8">
      <c r="A103">
        <v>1</v>
      </c>
      <c r="B103" s="9" t="s">
        <v>153</v>
      </c>
      <c r="C103">
        <v>2019</v>
      </c>
      <c r="D103" t="s">
        <v>175</v>
      </c>
      <c r="E103">
        <v>46</v>
      </c>
      <c r="F103">
        <v>7</v>
      </c>
      <c r="G103" t="s">
        <v>180</v>
      </c>
      <c r="H103" t="str">
        <f>VLOOKUP(B103,'Crossing Inventory Data'!$C$2:$J$53,4, FALSE)</f>
        <v>Xbucks</v>
      </c>
    </row>
    <row r="104" spans="1:8" hidden="1">
      <c r="A104">
        <v>2</v>
      </c>
      <c r="B104" s="9" t="s">
        <v>153</v>
      </c>
      <c r="C104">
        <v>1992</v>
      </c>
      <c r="D104" t="s">
        <v>175</v>
      </c>
      <c r="E104">
        <v>43</v>
      </c>
      <c r="F104">
        <v>7</v>
      </c>
      <c r="G104" t="s">
        <v>180</v>
      </c>
      <c r="H104" t="str">
        <f>VLOOKUP(B104,'Crossing Inventory Data'!$C$2:$J$53,4, FALSE)</f>
        <v>Xbucks</v>
      </c>
    </row>
    <row r="105" spans="1:8" hidden="1">
      <c r="A105">
        <v>3</v>
      </c>
      <c r="B105" s="9" t="s">
        <v>153</v>
      </c>
      <c r="C105">
        <v>1978</v>
      </c>
      <c r="D105" t="s">
        <v>177</v>
      </c>
      <c r="E105">
        <v>15</v>
      </c>
      <c r="F105">
        <v>7</v>
      </c>
      <c r="G105" t="s">
        <v>181</v>
      </c>
      <c r="H105" t="str">
        <f>VLOOKUP(B105,'Crossing Inventory Data'!$C$2:$J$53,4, FALSE)</f>
        <v>Xbucks</v>
      </c>
    </row>
    <row r="106" spans="1:8" hidden="1">
      <c r="A106">
        <v>1</v>
      </c>
      <c r="B106" s="9" t="s">
        <v>156</v>
      </c>
      <c r="C106">
        <v>1990</v>
      </c>
      <c r="D106" t="s">
        <v>175</v>
      </c>
      <c r="E106">
        <v>43</v>
      </c>
      <c r="F106">
        <v>7</v>
      </c>
      <c r="G106" t="s">
        <v>180</v>
      </c>
      <c r="H106" t="str">
        <f>VLOOKUP(B106,'Crossing Inventory Data'!$C$2:$J$53,4, FALSE)</f>
        <v>Xbucks</v>
      </c>
    </row>
    <row r="107" spans="1:8">
      <c r="A107">
        <v>1</v>
      </c>
      <c r="B107" s="9" t="s">
        <v>159</v>
      </c>
      <c r="C107">
        <v>2000</v>
      </c>
      <c r="D107" t="s">
        <v>175</v>
      </c>
      <c r="E107">
        <v>53</v>
      </c>
      <c r="F107">
        <v>7</v>
      </c>
      <c r="G107" t="s">
        <v>180</v>
      </c>
      <c r="H107" t="str">
        <f>VLOOKUP(B107,'Crossing Inventory Data'!$C$2:$J$53,4, FALSE)</f>
        <v>Xbucks</v>
      </c>
    </row>
    <row r="113" spans="3:3">
      <c r="C113">
        <f>COUNTIF(C3:C107,"&gt;1999")</f>
        <v>34</v>
      </c>
    </row>
    <row r="129" spans="2:2">
      <c r="B129" s="274"/>
    </row>
    <row r="130" spans="2:2">
      <c r="B130" s="274"/>
    </row>
    <row r="131" spans="2:2">
      <c r="B131" s="274"/>
    </row>
    <row r="132" spans="2:2">
      <c r="B132" s="274"/>
    </row>
    <row r="133" spans="2:2">
      <c r="B133" s="274"/>
    </row>
    <row r="134" spans="2:2">
      <c r="B134" s="274"/>
    </row>
    <row r="135" spans="2:2">
      <c r="B135" s="274"/>
    </row>
    <row r="136" spans="2:2">
      <c r="B136" s="274"/>
    </row>
    <row r="137" spans="2:2">
      <c r="B137" s="274"/>
    </row>
    <row r="138" spans="2:2">
      <c r="B138" s="274"/>
    </row>
    <row r="139" spans="2:2">
      <c r="B139" s="274"/>
    </row>
    <row r="140" spans="2:2">
      <c r="B140" s="274"/>
    </row>
    <row r="141" spans="2:2">
      <c r="B141" s="9"/>
    </row>
    <row r="142" spans="2:2">
      <c r="B142" s="9"/>
    </row>
    <row r="143" spans="2:2">
      <c r="B143" s="9"/>
    </row>
    <row r="144" spans="2:2">
      <c r="B144" s="9"/>
    </row>
    <row r="145" spans="2:2">
      <c r="B145" s="9"/>
    </row>
    <row r="146" spans="2:2">
      <c r="B146" s="9"/>
    </row>
  </sheetData>
  <autoFilter ref="A2:H107" xr:uid="{E4776E86-8FC3-4B27-8CB8-CFF9E7EDBE3A}">
    <filterColumn colId="2">
      <filters>
        <filter val="1999"/>
        <filter val="2000"/>
        <filter val="2001"/>
        <filter val="2003"/>
        <filter val="2004"/>
        <filter val="2006"/>
        <filter val="2007"/>
        <filter val="2009"/>
        <filter val="2010"/>
        <filter val="2012"/>
        <filter val="2013"/>
        <filter val="2014"/>
        <filter val="2015"/>
        <filter val="2016"/>
        <filter val="2017"/>
        <filter val="2018"/>
        <filter val="2019"/>
        <filter val="2020"/>
        <filter val="2021"/>
      </filters>
    </filterColumn>
  </autoFilter>
  <dataValidations count="4">
    <dataValidation type="list" allowBlank="1" showInputMessage="1" showErrorMessage="1" sqref="D3:D39" xr:uid="{3E1B38B5-1C17-4A19-989D-C96A03A3CFC0}">
      <formula1>$L$2:$M$2</formula1>
    </dataValidation>
    <dataValidation type="list" allowBlank="1" showInputMessage="1" showErrorMessage="1" sqref="G3:G108" xr:uid="{774F806F-5E0D-4E81-B8CD-F5583860CA71}">
      <formula1>$P$2:$S$2</formula1>
    </dataValidation>
    <dataValidation type="list" allowBlank="1" showInputMessage="1" showErrorMessage="1" sqref="D40:D54" xr:uid="{0BF7D975-AF53-4D7F-B277-CB7472E04ABD}">
      <formula1>$L$2:$N$2</formula1>
    </dataValidation>
    <dataValidation type="list" allowBlank="1" showInputMessage="1" showErrorMessage="1" sqref="D55:D123" xr:uid="{45B6DEA4-9278-419A-87F7-14CF79D9D6B0}">
      <formula1>$L$2:$O$2</formula1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D26AB-DE01-446B-B672-6B55781670BC}">
  <sheetPr>
    <tabColor theme="9"/>
  </sheetPr>
  <dimension ref="A1:K110"/>
  <sheetViews>
    <sheetView workbookViewId="0">
      <pane ySplit="1" topLeftCell="A12" activePane="bottomLeft" state="frozen"/>
      <selection pane="bottomLeft" activeCell="B49" sqref="B49:B63"/>
    </sheetView>
  </sheetViews>
  <sheetFormatPr defaultRowHeight="15"/>
  <cols>
    <col min="2" max="2" width="17.5703125" bestFit="1" customWidth="1"/>
    <col min="3" max="3" width="13.42578125" style="274" customWidth="1"/>
    <col min="4" max="4" width="5.28515625" bestFit="1" customWidth="1"/>
    <col min="5" max="5" width="9" bestFit="1" customWidth="1"/>
    <col min="6" max="6" width="10.7109375" bestFit="1" customWidth="1"/>
    <col min="8" max="8" width="15.7109375" customWidth="1"/>
  </cols>
  <sheetData>
    <row r="1" spans="1:11">
      <c r="A1" s="273" t="s">
        <v>219</v>
      </c>
      <c r="B1" s="273" t="s">
        <v>461</v>
      </c>
      <c r="C1" s="273" t="s">
        <v>504</v>
      </c>
      <c r="D1" s="273" t="s">
        <v>172</v>
      </c>
      <c r="E1" s="273" t="s">
        <v>462</v>
      </c>
      <c r="F1" s="273" t="s">
        <v>463</v>
      </c>
      <c r="G1" s="273" t="s">
        <v>464</v>
      </c>
      <c r="H1" s="273" t="s">
        <v>465</v>
      </c>
      <c r="I1" s="273" t="s">
        <v>466</v>
      </c>
      <c r="J1" s="273" t="s">
        <v>467</v>
      </c>
      <c r="K1" s="3"/>
    </row>
    <row r="2" spans="1:11">
      <c r="A2" s="275">
        <v>2017</v>
      </c>
      <c r="B2" s="275" t="s">
        <v>468</v>
      </c>
      <c r="C2" s="275" t="s">
        <v>18</v>
      </c>
      <c r="D2" s="275">
        <v>50</v>
      </c>
      <c r="E2" s="275">
        <v>2</v>
      </c>
      <c r="F2" s="274"/>
      <c r="G2" s="275">
        <v>1</v>
      </c>
      <c r="H2" s="274"/>
      <c r="I2" s="275" t="s">
        <v>469</v>
      </c>
      <c r="J2" s="275" t="s">
        <v>470</v>
      </c>
    </row>
    <row r="3" spans="1:11">
      <c r="A3" s="275">
        <v>2015</v>
      </c>
      <c r="B3" s="275" t="s">
        <v>468</v>
      </c>
      <c r="C3" s="275" t="s">
        <v>18</v>
      </c>
      <c r="D3" s="275">
        <v>38</v>
      </c>
      <c r="E3" s="274"/>
      <c r="F3" s="275">
        <v>1</v>
      </c>
      <c r="G3" s="275">
        <v>1</v>
      </c>
      <c r="H3" s="274"/>
      <c r="I3" s="275" t="s">
        <v>469</v>
      </c>
      <c r="J3" s="275" t="s">
        <v>470</v>
      </c>
    </row>
    <row r="4" spans="1:11">
      <c r="A4" s="275">
        <v>2004</v>
      </c>
      <c r="B4" s="275" t="s">
        <v>468</v>
      </c>
      <c r="C4" s="275" t="s">
        <v>18</v>
      </c>
      <c r="D4" s="275">
        <v>50</v>
      </c>
      <c r="E4" s="274"/>
      <c r="F4" s="274"/>
      <c r="G4" s="275">
        <v>1</v>
      </c>
      <c r="H4" s="274"/>
      <c r="I4" s="275" t="s">
        <v>469</v>
      </c>
      <c r="J4" s="275" t="s">
        <v>470</v>
      </c>
    </row>
    <row r="5" spans="1:11">
      <c r="A5" s="275">
        <v>2021</v>
      </c>
      <c r="B5" s="275" t="s">
        <v>471</v>
      </c>
      <c r="C5" s="275" t="s">
        <v>23</v>
      </c>
      <c r="D5" s="275">
        <v>48</v>
      </c>
      <c r="E5" s="274"/>
      <c r="F5" s="275">
        <v>3</v>
      </c>
      <c r="G5" s="275">
        <v>1</v>
      </c>
      <c r="H5" s="274"/>
      <c r="I5" s="275" t="s">
        <v>472</v>
      </c>
      <c r="J5" s="275" t="s">
        <v>470</v>
      </c>
    </row>
    <row r="6" spans="1:11">
      <c r="A6" s="275">
        <v>2019</v>
      </c>
      <c r="B6" s="275" t="s">
        <v>471</v>
      </c>
      <c r="C6" s="275" t="s">
        <v>23</v>
      </c>
      <c r="D6" s="275">
        <v>39</v>
      </c>
      <c r="E6" s="275">
        <v>1</v>
      </c>
      <c r="F6" s="275">
        <v>1</v>
      </c>
      <c r="G6" s="275">
        <v>1</v>
      </c>
      <c r="H6" s="274"/>
      <c r="I6" s="275" t="s">
        <v>469</v>
      </c>
      <c r="J6" s="275" t="s">
        <v>470</v>
      </c>
    </row>
    <row r="7" spans="1:11">
      <c r="A7" s="275">
        <v>2015</v>
      </c>
      <c r="B7" s="275" t="s">
        <v>471</v>
      </c>
      <c r="C7" s="275" t="s">
        <v>23</v>
      </c>
      <c r="D7" s="275">
        <v>5</v>
      </c>
      <c r="E7" s="274"/>
      <c r="F7" s="275">
        <v>2</v>
      </c>
      <c r="G7" s="275">
        <v>1</v>
      </c>
      <c r="H7" s="274"/>
      <c r="I7" s="275" t="s">
        <v>469</v>
      </c>
      <c r="J7" s="275" t="s">
        <v>470</v>
      </c>
    </row>
    <row r="8" spans="1:11">
      <c r="A8" s="275">
        <v>2014</v>
      </c>
      <c r="B8" s="275" t="s">
        <v>471</v>
      </c>
      <c r="C8" s="275" t="s">
        <v>23</v>
      </c>
      <c r="D8" s="275">
        <v>49</v>
      </c>
      <c r="E8" s="275">
        <v>1</v>
      </c>
      <c r="F8" s="274"/>
      <c r="G8" s="274"/>
      <c r="H8" s="275">
        <v>1</v>
      </c>
      <c r="I8" s="274"/>
      <c r="J8" s="275" t="s">
        <v>470</v>
      </c>
    </row>
    <row r="9" spans="1:11">
      <c r="A9" s="275">
        <v>2017</v>
      </c>
      <c r="B9" s="275" t="s">
        <v>473</v>
      </c>
      <c r="C9" s="275" t="s">
        <v>28</v>
      </c>
      <c r="D9" s="275">
        <v>52</v>
      </c>
      <c r="E9" s="275">
        <v>2</v>
      </c>
      <c r="F9" s="274"/>
      <c r="G9" s="275">
        <v>1</v>
      </c>
      <c r="H9" s="274"/>
      <c r="I9" s="275" t="s">
        <v>472</v>
      </c>
      <c r="J9" s="275" t="s">
        <v>474</v>
      </c>
    </row>
    <row r="10" spans="1:11">
      <c r="A10" s="275">
        <v>2004</v>
      </c>
      <c r="B10" s="275" t="s">
        <v>473</v>
      </c>
      <c r="C10" s="275" t="s">
        <v>28</v>
      </c>
      <c r="D10" s="275">
        <v>50</v>
      </c>
      <c r="E10" s="274"/>
      <c r="F10" s="274"/>
      <c r="G10" s="275">
        <v>1</v>
      </c>
      <c r="H10" s="274"/>
      <c r="I10" s="275" t="s">
        <v>469</v>
      </c>
      <c r="J10" s="275" t="s">
        <v>474</v>
      </c>
    </row>
    <row r="11" spans="1:11">
      <c r="A11" s="275">
        <v>2018</v>
      </c>
      <c r="B11" s="275" t="s">
        <v>475</v>
      </c>
      <c r="C11" s="275" t="s">
        <v>32</v>
      </c>
      <c r="D11" s="275">
        <v>54</v>
      </c>
      <c r="E11" s="274"/>
      <c r="F11" s="274"/>
      <c r="G11" s="275">
        <v>1</v>
      </c>
      <c r="H11" s="274"/>
      <c r="I11" s="275" t="s">
        <v>476</v>
      </c>
      <c r="J11" s="275" t="s">
        <v>470</v>
      </c>
    </row>
    <row r="12" spans="1:11">
      <c r="A12" s="275">
        <v>2017</v>
      </c>
      <c r="B12" s="275" t="s">
        <v>477</v>
      </c>
      <c r="C12" s="275" t="s">
        <v>36</v>
      </c>
      <c r="D12" s="275">
        <v>40</v>
      </c>
      <c r="E12" s="274"/>
      <c r="F12" s="275">
        <v>1</v>
      </c>
      <c r="G12" s="275">
        <v>1</v>
      </c>
      <c r="H12" s="274"/>
      <c r="I12" s="275" t="s">
        <v>469</v>
      </c>
      <c r="J12" s="275" t="s">
        <v>474</v>
      </c>
    </row>
    <row r="13" spans="1:11">
      <c r="A13" s="275">
        <v>2018</v>
      </c>
      <c r="B13" s="275" t="s">
        <v>478</v>
      </c>
      <c r="C13" s="275" t="s">
        <v>41</v>
      </c>
      <c r="D13" s="275">
        <v>1</v>
      </c>
      <c r="E13" s="274"/>
      <c r="F13" s="274"/>
      <c r="G13" s="275">
        <v>1</v>
      </c>
      <c r="H13" s="274"/>
      <c r="I13" s="275" t="s">
        <v>469</v>
      </c>
      <c r="J13" s="275" t="s">
        <v>479</v>
      </c>
    </row>
    <row r="14" spans="1:11">
      <c r="A14" s="275">
        <v>79</v>
      </c>
      <c r="B14" s="275" t="s">
        <v>480</v>
      </c>
      <c r="C14" s="275" t="s">
        <v>44</v>
      </c>
      <c r="D14" s="274"/>
      <c r="E14" s="274"/>
      <c r="F14" s="274"/>
      <c r="G14" s="274"/>
      <c r="H14" s="274"/>
      <c r="I14" s="274"/>
      <c r="J14" s="274"/>
    </row>
    <row r="15" spans="1:11">
      <c r="A15" s="275">
        <v>2007</v>
      </c>
      <c r="B15" s="275" t="s">
        <v>481</v>
      </c>
      <c r="C15" s="275" t="s">
        <v>47</v>
      </c>
      <c r="D15" s="274"/>
      <c r="E15" s="274"/>
      <c r="F15" s="274"/>
      <c r="G15" s="274"/>
      <c r="H15" s="274"/>
      <c r="I15" s="274"/>
      <c r="J15" s="274"/>
    </row>
    <row r="16" spans="1:11">
      <c r="A16" s="275">
        <v>2018</v>
      </c>
      <c r="B16" s="275" t="s">
        <v>482</v>
      </c>
      <c r="C16" s="275" t="s">
        <v>50</v>
      </c>
      <c r="D16" s="275">
        <v>35</v>
      </c>
      <c r="E16" s="274"/>
      <c r="F16" s="275">
        <v>1</v>
      </c>
      <c r="G16" s="275">
        <v>1</v>
      </c>
      <c r="H16" s="274"/>
      <c r="I16" s="275" t="s">
        <v>483</v>
      </c>
      <c r="J16" s="275" t="s">
        <v>484</v>
      </c>
    </row>
    <row r="17" spans="1:10">
      <c r="A17" s="275">
        <v>2017</v>
      </c>
      <c r="B17" s="275" t="s">
        <v>482</v>
      </c>
      <c r="C17" s="275" t="s">
        <v>50</v>
      </c>
      <c r="D17" s="275">
        <v>14</v>
      </c>
      <c r="E17" s="274"/>
      <c r="F17" s="274"/>
      <c r="G17" s="275">
        <v>1</v>
      </c>
      <c r="H17" s="274"/>
      <c r="I17" s="275" t="s">
        <v>485</v>
      </c>
      <c r="J17" s="275" t="s">
        <v>484</v>
      </c>
    </row>
    <row r="18" spans="1:10">
      <c r="A18" s="275">
        <v>2010</v>
      </c>
      <c r="B18" s="275" t="s">
        <v>482</v>
      </c>
      <c r="C18" s="275" t="s">
        <v>50</v>
      </c>
      <c r="D18" s="275">
        <v>35</v>
      </c>
      <c r="E18" s="274"/>
      <c r="F18" s="275">
        <v>1</v>
      </c>
      <c r="G18" s="274"/>
      <c r="H18" s="274"/>
      <c r="I18" s="275" t="s">
        <v>486</v>
      </c>
      <c r="J18" s="275" t="s">
        <v>484</v>
      </c>
    </row>
    <row r="19" spans="1:10">
      <c r="A19" s="275">
        <v>2016</v>
      </c>
      <c r="B19" s="275" t="s">
        <v>487</v>
      </c>
      <c r="C19" s="275" t="s">
        <v>53</v>
      </c>
      <c r="D19" s="275">
        <v>38</v>
      </c>
      <c r="E19" s="274"/>
      <c r="F19" s="274"/>
      <c r="G19" s="275">
        <v>1</v>
      </c>
      <c r="H19" s="274"/>
      <c r="I19" s="275" t="s">
        <v>486</v>
      </c>
      <c r="J19" s="275" t="s">
        <v>484</v>
      </c>
    </row>
    <row r="20" spans="1:10">
      <c r="A20" s="275">
        <v>2015</v>
      </c>
      <c r="B20" s="275" t="s">
        <v>487</v>
      </c>
      <c r="C20" s="275" t="s">
        <v>53</v>
      </c>
      <c r="D20" s="275">
        <v>38</v>
      </c>
      <c r="E20" s="274"/>
      <c r="F20" s="275">
        <v>2</v>
      </c>
      <c r="G20" s="275">
        <v>1</v>
      </c>
      <c r="H20" s="274"/>
      <c r="I20" s="275" t="s">
        <v>486</v>
      </c>
      <c r="J20" s="275" t="s">
        <v>484</v>
      </c>
    </row>
    <row r="21" spans="1:10">
      <c r="A21" s="275">
        <v>2013</v>
      </c>
      <c r="B21" s="275" t="s">
        <v>487</v>
      </c>
      <c r="C21" s="275" t="s">
        <v>53</v>
      </c>
      <c r="D21" s="275">
        <v>35</v>
      </c>
      <c r="E21" s="275">
        <v>2</v>
      </c>
      <c r="F21" s="274"/>
      <c r="G21" s="274"/>
      <c r="H21" s="274"/>
      <c r="I21" s="275" t="s">
        <v>486</v>
      </c>
      <c r="J21" s="275" t="s">
        <v>484</v>
      </c>
    </row>
    <row r="22" spans="1:10">
      <c r="A22" s="275">
        <v>2006</v>
      </c>
      <c r="B22" s="275" t="s">
        <v>488</v>
      </c>
      <c r="C22" s="275" t="s">
        <v>56</v>
      </c>
      <c r="D22" s="274"/>
      <c r="E22" s="274"/>
      <c r="F22" s="274"/>
      <c r="G22" s="274"/>
      <c r="H22" s="274"/>
      <c r="I22" s="274"/>
      <c r="J22" s="274"/>
    </row>
    <row r="23" spans="1:10">
      <c r="A23" s="275">
        <v>81</v>
      </c>
      <c r="B23" s="275" t="s">
        <v>489</v>
      </c>
      <c r="C23" s="275" t="s">
        <v>59</v>
      </c>
      <c r="D23" s="274"/>
      <c r="E23" s="274"/>
      <c r="F23" s="274"/>
      <c r="G23" s="274"/>
      <c r="H23" s="274"/>
      <c r="I23" s="274"/>
      <c r="J23" s="274"/>
    </row>
    <row r="24" spans="1:10">
      <c r="A24" s="275">
        <v>94</v>
      </c>
      <c r="B24" s="275" t="s">
        <v>490</v>
      </c>
      <c r="C24" s="275" t="s">
        <v>63</v>
      </c>
      <c r="D24" s="274"/>
      <c r="E24" s="274"/>
      <c r="F24" s="274"/>
      <c r="G24" s="274"/>
      <c r="H24" s="274"/>
      <c r="I24" s="274"/>
      <c r="J24" s="274"/>
    </row>
    <row r="25" spans="1:10">
      <c r="A25" s="275">
        <v>77</v>
      </c>
      <c r="B25" s="292" t="s">
        <v>491</v>
      </c>
      <c r="C25" s="275" t="s">
        <v>67</v>
      </c>
      <c r="D25" s="274"/>
      <c r="E25" s="274"/>
      <c r="F25" s="274"/>
      <c r="G25" s="274"/>
      <c r="H25" s="274"/>
      <c r="I25" s="274"/>
      <c r="J25" s="274"/>
    </row>
    <row r="26" spans="1:10">
      <c r="A26" s="275">
        <v>79</v>
      </c>
      <c r="B26" s="275" t="s">
        <v>492</v>
      </c>
      <c r="C26" s="275" t="s">
        <v>73</v>
      </c>
      <c r="D26" s="274"/>
      <c r="E26" s="274"/>
      <c r="F26" s="274"/>
      <c r="G26" s="274"/>
      <c r="H26" s="274"/>
      <c r="I26" s="274"/>
      <c r="J26" s="274"/>
    </row>
    <row r="27" spans="1:10">
      <c r="A27" s="275">
        <v>2020</v>
      </c>
      <c r="B27" s="275" t="s">
        <v>493</v>
      </c>
      <c r="C27" s="275" t="s">
        <v>78</v>
      </c>
      <c r="D27" s="275">
        <v>50</v>
      </c>
      <c r="E27" s="274"/>
      <c r="F27" s="275">
        <v>1</v>
      </c>
      <c r="G27" s="275">
        <v>1</v>
      </c>
      <c r="H27" s="274"/>
      <c r="I27" s="275" t="s">
        <v>494</v>
      </c>
      <c r="J27" s="275" t="s">
        <v>470</v>
      </c>
    </row>
    <row r="28" spans="1:10">
      <c r="A28" s="275">
        <v>2015</v>
      </c>
      <c r="B28" s="275" t="s">
        <v>493</v>
      </c>
      <c r="C28" s="275" t="s">
        <v>78</v>
      </c>
      <c r="D28" s="275">
        <v>8</v>
      </c>
      <c r="E28" s="274"/>
      <c r="F28" s="275">
        <v>1</v>
      </c>
      <c r="G28" s="275">
        <v>1</v>
      </c>
      <c r="H28" s="274"/>
      <c r="I28" s="275" t="s">
        <v>486</v>
      </c>
      <c r="J28" s="275" t="s">
        <v>470</v>
      </c>
    </row>
    <row r="29" spans="1:10">
      <c r="A29" s="275">
        <v>2003</v>
      </c>
      <c r="B29" s="275" t="s">
        <v>493</v>
      </c>
      <c r="C29" s="275" t="s">
        <v>78</v>
      </c>
      <c r="D29" s="274"/>
      <c r="E29" s="274"/>
      <c r="F29" s="274"/>
      <c r="G29" s="275">
        <v>1</v>
      </c>
      <c r="H29" s="274"/>
      <c r="I29" s="275" t="s">
        <v>486</v>
      </c>
      <c r="J29" s="275" t="s">
        <v>470</v>
      </c>
    </row>
    <row r="30" spans="1:10">
      <c r="A30" s="275">
        <v>91</v>
      </c>
      <c r="B30" s="292" t="s">
        <v>495</v>
      </c>
      <c r="C30" s="275" t="s">
        <v>81</v>
      </c>
      <c r="D30" s="274"/>
      <c r="E30" s="274"/>
      <c r="F30" s="274"/>
      <c r="G30" s="274"/>
      <c r="H30" s="274"/>
      <c r="I30" s="274"/>
      <c r="J30" s="274"/>
    </row>
    <row r="31" spans="1:10">
      <c r="A31" s="275">
        <v>2009</v>
      </c>
      <c r="B31" s="291" t="s">
        <v>496</v>
      </c>
      <c r="C31" s="275" t="e">
        <v>#N/A</v>
      </c>
      <c r="D31" s="275">
        <v>55</v>
      </c>
      <c r="E31" s="274"/>
      <c r="F31" s="274"/>
      <c r="G31" s="275">
        <v>1</v>
      </c>
      <c r="H31" s="274"/>
      <c r="I31" s="275" t="s">
        <v>497</v>
      </c>
      <c r="J31" s="275" t="s">
        <v>212</v>
      </c>
    </row>
    <row r="32" spans="1:10">
      <c r="A32" s="275">
        <v>2015</v>
      </c>
      <c r="B32" s="275" t="s">
        <v>498</v>
      </c>
      <c r="C32" s="275" t="s">
        <v>112</v>
      </c>
      <c r="D32" s="275">
        <v>44</v>
      </c>
      <c r="E32" s="274"/>
      <c r="F32" s="275">
        <v>1</v>
      </c>
      <c r="G32" s="275">
        <v>1</v>
      </c>
      <c r="H32" s="274"/>
      <c r="I32" s="275" t="s">
        <v>486</v>
      </c>
      <c r="J32" s="275" t="s">
        <v>212</v>
      </c>
    </row>
    <row r="33" spans="1:10">
      <c r="A33" s="275">
        <v>2003</v>
      </c>
      <c r="B33" s="292" t="s">
        <v>499</v>
      </c>
      <c r="C33" s="275" t="s">
        <v>115</v>
      </c>
      <c r="D33" s="275">
        <v>50</v>
      </c>
      <c r="E33" s="274"/>
      <c r="F33" s="275">
        <v>1</v>
      </c>
      <c r="G33" s="275">
        <v>1</v>
      </c>
      <c r="H33" s="274"/>
      <c r="I33" s="275" t="s">
        <v>486</v>
      </c>
      <c r="J33" s="275" t="s">
        <v>212</v>
      </c>
    </row>
    <row r="34" spans="1:10">
      <c r="A34" s="275">
        <v>2012</v>
      </c>
      <c r="B34" s="275" t="s">
        <v>500</v>
      </c>
      <c r="C34" s="275" t="s">
        <v>118</v>
      </c>
      <c r="D34" s="275">
        <v>54</v>
      </c>
      <c r="E34" s="274"/>
      <c r="F34" s="274"/>
      <c r="G34" s="275">
        <v>1</v>
      </c>
      <c r="H34" s="274"/>
      <c r="I34" s="275" t="s">
        <v>497</v>
      </c>
      <c r="J34" s="275" t="s">
        <v>212</v>
      </c>
    </row>
    <row r="35" spans="1:10">
      <c r="A35" s="275">
        <v>79</v>
      </c>
      <c r="B35" s="275" t="s">
        <v>501</v>
      </c>
      <c r="C35" s="275" t="s">
        <v>127</v>
      </c>
      <c r="D35" s="274"/>
      <c r="E35" s="274"/>
      <c r="F35" s="274"/>
      <c r="G35" s="274"/>
      <c r="H35" s="274"/>
      <c r="I35" s="274"/>
      <c r="J35" s="274"/>
    </row>
    <row r="36" spans="1:10">
      <c r="A36" s="275">
        <v>80</v>
      </c>
      <c r="B36" s="275" t="s">
        <v>502</v>
      </c>
      <c r="C36" s="275" t="s">
        <v>148</v>
      </c>
      <c r="D36" s="274"/>
      <c r="E36" s="274"/>
      <c r="F36" s="274"/>
      <c r="G36" s="274"/>
      <c r="H36" s="274"/>
      <c r="I36" s="274"/>
      <c r="J36" s="274"/>
    </row>
    <row r="37" spans="1:10">
      <c r="A37" s="275">
        <v>2019</v>
      </c>
      <c r="B37" s="275" t="s">
        <v>503</v>
      </c>
      <c r="C37" s="275" t="s">
        <v>153</v>
      </c>
      <c r="D37" s="275">
        <v>46</v>
      </c>
      <c r="E37" s="274"/>
      <c r="F37" s="275">
        <v>1</v>
      </c>
      <c r="G37" s="275">
        <v>1</v>
      </c>
      <c r="H37" s="274"/>
      <c r="I37" s="275" t="s">
        <v>497</v>
      </c>
      <c r="J37" s="275" t="s">
        <v>212</v>
      </c>
    </row>
    <row r="38" spans="1:10">
      <c r="A38" s="275">
        <v>90</v>
      </c>
      <c r="B38" s="291" t="s">
        <v>64</v>
      </c>
      <c r="C38" s="275" t="e">
        <v>#N/A</v>
      </c>
      <c r="D38" s="274"/>
      <c r="E38" s="274"/>
      <c r="F38" s="274"/>
      <c r="G38" s="274"/>
      <c r="H38" s="274"/>
      <c r="I38" s="274"/>
      <c r="J38" s="274"/>
    </row>
    <row r="39" spans="1:10">
      <c r="A39" s="275">
        <v>2000</v>
      </c>
      <c r="B39" s="291" t="s">
        <v>37</v>
      </c>
      <c r="C39" s="275" t="e">
        <v>#N/A</v>
      </c>
      <c r="D39" s="274"/>
      <c r="E39" s="274"/>
      <c r="F39" s="274"/>
      <c r="G39" s="274"/>
      <c r="H39" s="274"/>
      <c r="I39" s="274"/>
      <c r="J39" s="274"/>
    </row>
    <row r="40" spans="1:10" s="274" customFormat="1">
      <c r="A40" s="275"/>
      <c r="B40" s="292"/>
      <c r="C40" s="275"/>
    </row>
    <row r="41" spans="1:10" s="274" customFormat="1">
      <c r="A41" s="275"/>
      <c r="B41" s="292"/>
      <c r="C41" s="275"/>
    </row>
    <row r="42" spans="1:10" s="274" customFormat="1">
      <c r="A42" s="275"/>
      <c r="B42" s="292" t="s">
        <v>543</v>
      </c>
      <c r="C42" s="275"/>
    </row>
    <row r="43" spans="1:10">
      <c r="B43" s="294" t="s">
        <v>219</v>
      </c>
      <c r="C43" s="274" t="s">
        <v>539</v>
      </c>
    </row>
    <row r="45" spans="1:10">
      <c r="B45" s="294" t="s">
        <v>536</v>
      </c>
      <c r="C45" s="274" t="s">
        <v>540</v>
      </c>
      <c r="D45" s="274" t="s">
        <v>542</v>
      </c>
    </row>
    <row r="46" spans="1:10">
      <c r="B46" s="31" t="s">
        <v>78</v>
      </c>
      <c r="C46" s="295"/>
      <c r="D46" s="295">
        <v>2</v>
      </c>
    </row>
    <row r="47" spans="1:10">
      <c r="B47" s="31" t="s">
        <v>47</v>
      </c>
      <c r="C47" s="295"/>
      <c r="D47" s="295"/>
    </row>
    <row r="48" spans="1:10">
      <c r="B48" s="31" t="s">
        <v>36</v>
      </c>
      <c r="C48" s="295"/>
      <c r="D48" s="295">
        <v>1</v>
      </c>
    </row>
    <row r="49" spans="2:4">
      <c r="B49" s="31" t="s">
        <v>41</v>
      </c>
      <c r="C49" s="295"/>
      <c r="D49" s="295"/>
    </row>
    <row r="50" spans="2:4">
      <c r="B50" s="31" t="s">
        <v>153</v>
      </c>
      <c r="C50" s="295"/>
      <c r="D50" s="295">
        <v>1</v>
      </c>
    </row>
    <row r="51" spans="2:4">
      <c r="B51" s="31" t="s">
        <v>118</v>
      </c>
      <c r="C51" s="295"/>
      <c r="D51" s="295"/>
    </row>
    <row r="52" spans="2:4">
      <c r="B52" s="31" t="s">
        <v>115</v>
      </c>
      <c r="C52" s="295"/>
      <c r="D52" s="295">
        <v>1</v>
      </c>
    </row>
    <row r="53" spans="2:4">
      <c r="B53" s="31" t="s">
        <v>112</v>
      </c>
      <c r="C53" s="295"/>
      <c r="D53" s="295">
        <v>1</v>
      </c>
    </row>
    <row r="54" spans="2:4">
      <c r="B54" s="31" t="s">
        <v>32</v>
      </c>
      <c r="C54" s="295"/>
      <c r="D54" s="295"/>
    </row>
    <row r="55" spans="2:4">
      <c r="B55" s="31" t="s">
        <v>28</v>
      </c>
      <c r="C55" s="295">
        <v>2</v>
      </c>
      <c r="D55" s="295"/>
    </row>
    <row r="56" spans="2:4">
      <c r="B56" s="31" t="s">
        <v>18</v>
      </c>
      <c r="C56" s="295">
        <v>2</v>
      </c>
      <c r="D56" s="295">
        <v>1</v>
      </c>
    </row>
    <row r="57" spans="2:4">
      <c r="B57" s="31" t="s">
        <v>56</v>
      </c>
      <c r="C57" s="295"/>
      <c r="D57" s="295"/>
    </row>
    <row r="58" spans="2:4">
      <c r="B58" s="31" t="s">
        <v>53</v>
      </c>
      <c r="C58" s="295">
        <v>2</v>
      </c>
      <c r="D58" s="295">
        <v>2</v>
      </c>
    </row>
    <row r="59" spans="2:4">
      <c r="B59" s="31" t="s">
        <v>50</v>
      </c>
      <c r="C59" s="295"/>
      <c r="D59" s="295">
        <v>2</v>
      </c>
    </row>
    <row r="60" spans="2:4">
      <c r="B60" s="31" t="s">
        <v>23</v>
      </c>
      <c r="C60" s="295">
        <v>2</v>
      </c>
      <c r="D60" s="295">
        <v>6</v>
      </c>
    </row>
    <row r="61" spans="2:4">
      <c r="B61" s="31" t="s">
        <v>537</v>
      </c>
      <c r="C61" s="295"/>
      <c r="D61" s="295"/>
    </row>
    <row r="62" spans="2:4">
      <c r="B62" s="31" t="s">
        <v>538</v>
      </c>
      <c r="C62" s="295">
        <v>8</v>
      </c>
      <c r="D62" s="295">
        <v>17</v>
      </c>
    </row>
    <row r="63" spans="2:4">
      <c r="C63"/>
    </row>
    <row r="64" spans="2:4">
      <c r="B64" s="274" t="s">
        <v>544</v>
      </c>
      <c r="C64"/>
    </row>
    <row r="65" spans="2:5">
      <c r="B65" s="294" t="s">
        <v>170</v>
      </c>
      <c r="C65" s="274" t="s">
        <v>539</v>
      </c>
    </row>
    <row r="66" spans="2:5">
      <c r="C66"/>
    </row>
    <row r="67" spans="2:5">
      <c r="B67" s="294" t="s">
        <v>546</v>
      </c>
      <c r="C67" s="294" t="s">
        <v>545</v>
      </c>
    </row>
    <row r="68" spans="2:5">
      <c r="B68" s="294" t="s">
        <v>536</v>
      </c>
      <c r="C68" s="274" t="s">
        <v>180</v>
      </c>
      <c r="D68" s="274" t="s">
        <v>179</v>
      </c>
      <c r="E68" s="274" t="s">
        <v>181</v>
      </c>
    </row>
    <row r="69" spans="2:5">
      <c r="B69" s="31" t="s">
        <v>159</v>
      </c>
      <c r="C69" s="295">
        <v>1</v>
      </c>
      <c r="D69" s="295"/>
      <c r="E69" s="295"/>
    </row>
    <row r="70" spans="2:5">
      <c r="B70" s="31" t="s">
        <v>78</v>
      </c>
      <c r="C70" s="295">
        <v>2</v>
      </c>
      <c r="D70" s="295"/>
      <c r="E70" s="295">
        <v>1</v>
      </c>
    </row>
    <row r="71" spans="2:5">
      <c r="B71" s="31" t="s">
        <v>47</v>
      </c>
      <c r="C71" s="295"/>
      <c r="D71" s="295"/>
      <c r="E71" s="295">
        <v>1</v>
      </c>
    </row>
    <row r="72" spans="2:5">
      <c r="B72" s="31" t="s">
        <v>36</v>
      </c>
      <c r="C72" s="295">
        <v>1</v>
      </c>
      <c r="D72" s="295"/>
      <c r="E72" s="295"/>
    </row>
    <row r="73" spans="2:5">
      <c r="B73" s="31" t="s">
        <v>41</v>
      </c>
      <c r="C73" s="295"/>
      <c r="D73" s="295"/>
      <c r="E73" s="295">
        <v>2</v>
      </c>
    </row>
    <row r="74" spans="2:5">
      <c r="B74" s="31" t="s">
        <v>153</v>
      </c>
      <c r="C74" s="295">
        <v>1</v>
      </c>
      <c r="D74" s="295"/>
      <c r="E74" s="295"/>
    </row>
    <row r="75" spans="2:5">
      <c r="B75" s="31" t="s">
        <v>118</v>
      </c>
      <c r="C75" s="295"/>
      <c r="D75" s="295"/>
      <c r="E75" s="295">
        <v>2</v>
      </c>
    </row>
    <row r="76" spans="2:5">
      <c r="B76" s="31" t="s">
        <v>115</v>
      </c>
      <c r="C76" s="295">
        <v>1</v>
      </c>
      <c r="D76" s="295"/>
      <c r="E76" s="295"/>
    </row>
    <row r="77" spans="2:5">
      <c r="B77" s="31" t="s">
        <v>112</v>
      </c>
      <c r="C77" s="295">
        <v>1</v>
      </c>
      <c r="D77" s="295"/>
      <c r="E77" s="295"/>
    </row>
    <row r="78" spans="2:5">
      <c r="B78" s="31" t="s">
        <v>95</v>
      </c>
      <c r="C78" s="295"/>
      <c r="D78" s="295"/>
      <c r="E78" s="295">
        <v>2</v>
      </c>
    </row>
    <row r="79" spans="2:5">
      <c r="B79" s="31" t="s">
        <v>32</v>
      </c>
      <c r="C79" s="295"/>
      <c r="D79" s="295"/>
      <c r="E79" s="295">
        <v>2</v>
      </c>
    </row>
    <row r="80" spans="2:5">
      <c r="B80" s="31" t="s">
        <v>28</v>
      </c>
      <c r="C80" s="295">
        <v>1</v>
      </c>
      <c r="D80" s="295">
        <v>1</v>
      </c>
      <c r="E80" s="295">
        <v>1</v>
      </c>
    </row>
    <row r="81" spans="2:10">
      <c r="B81" s="31" t="s">
        <v>18</v>
      </c>
      <c r="C81" s="295">
        <v>1</v>
      </c>
      <c r="D81" s="295">
        <v>1</v>
      </c>
      <c r="E81" s="295">
        <v>1</v>
      </c>
    </row>
    <row r="82" spans="2:10">
      <c r="B82" s="31" t="s">
        <v>56</v>
      </c>
      <c r="C82" s="295">
        <v>1</v>
      </c>
      <c r="D82" s="295"/>
      <c r="E82" s="295"/>
    </row>
    <row r="83" spans="2:10">
      <c r="B83" s="31" t="s">
        <v>53</v>
      </c>
      <c r="C83" s="295">
        <v>1</v>
      </c>
      <c r="D83" s="295">
        <v>1</v>
      </c>
      <c r="E83" s="295">
        <v>3</v>
      </c>
    </row>
    <row r="84" spans="2:10">
      <c r="B84" s="31" t="s">
        <v>50</v>
      </c>
      <c r="C84" s="295">
        <v>3</v>
      </c>
      <c r="D84" s="295"/>
      <c r="E84" s="295">
        <v>1</v>
      </c>
    </row>
    <row r="85" spans="2:10">
      <c r="B85" s="31" t="s">
        <v>11</v>
      </c>
      <c r="C85" s="295"/>
      <c r="D85" s="295"/>
      <c r="E85" s="295">
        <v>1</v>
      </c>
    </row>
    <row r="86" spans="2:10">
      <c r="B86" s="31" t="s">
        <v>23</v>
      </c>
      <c r="C86" s="295">
        <v>3</v>
      </c>
      <c r="D86" s="295">
        <v>1</v>
      </c>
      <c r="E86" s="295">
        <v>1</v>
      </c>
    </row>
    <row r="87" spans="2:10">
      <c r="B87" s="31" t="s">
        <v>538</v>
      </c>
      <c r="C87" s="295">
        <v>17</v>
      </c>
      <c r="D87" s="295">
        <v>4</v>
      </c>
      <c r="E87" s="295">
        <v>18</v>
      </c>
    </row>
    <row r="88" spans="2:10">
      <c r="C88"/>
    </row>
    <row r="89" spans="2:10" s="274" customFormat="1">
      <c r="B89" s="31" t="s">
        <v>556</v>
      </c>
    </row>
    <row r="90" spans="2:10">
      <c r="B90" s="31" t="s">
        <v>547</v>
      </c>
      <c r="C90"/>
      <c r="F90" t="s">
        <v>548</v>
      </c>
    </row>
    <row r="91" spans="2:10">
      <c r="B91" t="s">
        <v>536</v>
      </c>
      <c r="C91" t="s">
        <v>542</v>
      </c>
      <c r="D91" t="s">
        <v>540</v>
      </c>
      <c r="F91" t="s">
        <v>536</v>
      </c>
      <c r="G91" t="s">
        <v>180</v>
      </c>
      <c r="H91" t="s">
        <v>179</v>
      </c>
      <c r="I91" t="s">
        <v>549</v>
      </c>
      <c r="J91" t="s">
        <v>558</v>
      </c>
    </row>
    <row r="92" spans="2:10">
      <c r="B92" s="297" t="s">
        <v>78</v>
      </c>
      <c r="C92" s="297">
        <v>2</v>
      </c>
      <c r="D92" s="297"/>
      <c r="F92" s="296" t="s">
        <v>159</v>
      </c>
      <c r="G92" s="296">
        <v>1</v>
      </c>
      <c r="H92" s="296"/>
      <c r="I92" t="s">
        <v>557</v>
      </c>
    </row>
    <row r="93" spans="2:10">
      <c r="B93" s="297" t="s">
        <v>47</v>
      </c>
      <c r="C93" s="297"/>
      <c r="D93" s="297"/>
      <c r="F93" s="297" t="s">
        <v>78</v>
      </c>
      <c r="G93" s="297">
        <v>2</v>
      </c>
      <c r="H93" s="297"/>
    </row>
    <row r="94" spans="2:10">
      <c r="B94" s="297" t="s">
        <v>36</v>
      </c>
      <c r="C94" s="297">
        <v>1</v>
      </c>
      <c r="D94" s="297"/>
      <c r="F94" s="297" t="s">
        <v>47</v>
      </c>
      <c r="G94" s="297"/>
      <c r="H94" s="297"/>
    </row>
    <row r="95" spans="2:10">
      <c r="B95" s="297" t="s">
        <v>41</v>
      </c>
      <c r="C95" s="297"/>
      <c r="D95" s="297"/>
      <c r="F95" s="297" t="s">
        <v>36</v>
      </c>
      <c r="G95" s="297">
        <v>1</v>
      </c>
      <c r="H95" s="297"/>
    </row>
    <row r="96" spans="2:10">
      <c r="B96" s="297" t="s">
        <v>153</v>
      </c>
      <c r="C96" s="297">
        <v>1</v>
      </c>
      <c r="D96" s="297"/>
      <c r="F96" s="297" t="s">
        <v>41</v>
      </c>
      <c r="G96" s="297"/>
      <c r="H96" s="297"/>
    </row>
    <row r="97" spans="2:10">
      <c r="B97" s="297" t="s">
        <v>118</v>
      </c>
      <c r="C97" s="297"/>
      <c r="D97" s="297"/>
      <c r="F97" s="297" t="s">
        <v>153</v>
      </c>
      <c r="G97" s="297">
        <v>1</v>
      </c>
      <c r="H97" s="297"/>
    </row>
    <row r="98" spans="2:10">
      <c r="B98" s="297" t="s">
        <v>115</v>
      </c>
      <c r="C98" s="297">
        <v>1</v>
      </c>
      <c r="D98" s="297"/>
      <c r="F98" s="297" t="s">
        <v>118</v>
      </c>
      <c r="G98" s="297"/>
      <c r="H98" s="297"/>
    </row>
    <row r="99" spans="2:10">
      <c r="B99" s="297" t="s">
        <v>112</v>
      </c>
      <c r="C99" s="297">
        <v>1</v>
      </c>
      <c r="D99" s="297"/>
      <c r="F99" s="297" t="s">
        <v>115</v>
      </c>
      <c r="G99" s="297">
        <v>1</v>
      </c>
      <c r="H99" s="297"/>
    </row>
    <row r="100" spans="2:10">
      <c r="B100" s="297" t="s">
        <v>32</v>
      </c>
      <c r="C100" s="297"/>
      <c r="D100" s="297"/>
      <c r="F100" s="297" t="s">
        <v>112</v>
      </c>
      <c r="G100" s="297">
        <v>1</v>
      </c>
      <c r="H100" s="297"/>
    </row>
    <row r="101" spans="2:10">
      <c r="B101" s="298" t="s">
        <v>28</v>
      </c>
      <c r="C101" s="298"/>
      <c r="D101" s="298">
        <v>2</v>
      </c>
      <c r="F101" s="296" t="s">
        <v>95</v>
      </c>
      <c r="G101" s="296"/>
      <c r="H101" s="296"/>
      <c r="I101" t="s">
        <v>550</v>
      </c>
    </row>
    <row r="102" spans="2:10">
      <c r="B102" s="298" t="s">
        <v>18</v>
      </c>
      <c r="C102" s="298">
        <v>1</v>
      </c>
      <c r="D102" s="298">
        <v>2</v>
      </c>
      <c r="F102" s="297" t="s">
        <v>32</v>
      </c>
      <c r="G102" s="297"/>
      <c r="H102" s="297"/>
      <c r="I102" s="198"/>
      <c r="J102" s="198"/>
    </row>
    <row r="103" spans="2:10">
      <c r="B103" s="298" t="s">
        <v>56</v>
      </c>
      <c r="C103" s="298"/>
      <c r="D103" s="298"/>
      <c r="F103" s="298" t="s">
        <v>28</v>
      </c>
      <c r="G103" s="298">
        <v>1</v>
      </c>
      <c r="H103" s="298">
        <v>1</v>
      </c>
      <c r="I103" t="s">
        <v>551</v>
      </c>
      <c r="J103" s="298" t="s">
        <v>568</v>
      </c>
    </row>
    <row r="104" spans="2:10">
      <c r="B104" s="298" t="s">
        <v>53</v>
      </c>
      <c r="C104" s="298">
        <v>2</v>
      </c>
      <c r="D104" s="298">
        <v>2</v>
      </c>
      <c r="F104" s="298" t="s">
        <v>18</v>
      </c>
      <c r="G104" s="298">
        <v>1</v>
      </c>
      <c r="H104" s="298">
        <v>1</v>
      </c>
      <c r="I104" t="s">
        <v>552</v>
      </c>
      <c r="J104" s="297" t="s">
        <v>564</v>
      </c>
    </row>
    <row r="105" spans="2:10">
      <c r="B105" s="298" t="s">
        <v>50</v>
      </c>
      <c r="C105" s="298">
        <v>2</v>
      </c>
      <c r="D105" s="298"/>
      <c r="F105" s="298" t="s">
        <v>56</v>
      </c>
      <c r="G105" s="298">
        <v>1</v>
      </c>
      <c r="H105" s="298"/>
      <c r="I105" t="s">
        <v>553</v>
      </c>
      <c r="J105" s="298" t="s">
        <v>563</v>
      </c>
    </row>
    <row r="106" spans="2:10">
      <c r="B106" s="298" t="s">
        <v>23</v>
      </c>
      <c r="C106" s="298">
        <v>6</v>
      </c>
      <c r="D106" s="298">
        <v>2</v>
      </c>
      <c r="F106" s="298" t="s">
        <v>53</v>
      </c>
      <c r="G106" s="298">
        <v>1</v>
      </c>
      <c r="H106" s="298">
        <v>1</v>
      </c>
      <c r="I106" t="s">
        <v>554</v>
      </c>
      <c r="J106" s="297" t="s">
        <v>562</v>
      </c>
    </row>
    <row r="107" spans="2:10">
      <c r="B107" t="s">
        <v>537</v>
      </c>
      <c r="C107"/>
      <c r="F107" s="298" t="s">
        <v>50</v>
      </c>
      <c r="G107" s="298">
        <v>3</v>
      </c>
      <c r="H107" s="298"/>
      <c r="I107" t="s">
        <v>553</v>
      </c>
      <c r="J107" s="296" t="s">
        <v>561</v>
      </c>
    </row>
    <row r="108" spans="2:10">
      <c r="B108" t="s">
        <v>538</v>
      </c>
      <c r="C108">
        <v>17</v>
      </c>
      <c r="D108">
        <v>8</v>
      </c>
      <c r="F108" s="296" t="s">
        <v>11</v>
      </c>
      <c r="G108" s="296"/>
      <c r="H108" s="296"/>
      <c r="I108" t="s">
        <v>550</v>
      </c>
    </row>
    <row r="109" spans="2:10">
      <c r="F109" s="298" t="s">
        <v>23</v>
      </c>
      <c r="G109" s="298">
        <v>3</v>
      </c>
      <c r="H109" s="298">
        <v>1</v>
      </c>
      <c r="I109" t="s">
        <v>555</v>
      </c>
      <c r="J109" s="296" t="s">
        <v>560</v>
      </c>
    </row>
    <row r="110" spans="2:10">
      <c r="F110" t="s">
        <v>538</v>
      </c>
      <c r="G110">
        <v>17</v>
      </c>
      <c r="H110">
        <v>4</v>
      </c>
    </row>
  </sheetData>
  <autoFilter ref="A1:J39" xr:uid="{27ED26AB-DE01-446B-B672-6B55781670BC}"/>
  <pageMargins left="0.7" right="0.7" top="0.75" bottom="0.75" header="0.3" footer="0.3"/>
  <pageSetup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ADB14-799C-4D3F-98CA-D4C5B32EEEEB}">
  <sheetPr>
    <tabColor theme="9"/>
  </sheetPr>
  <dimension ref="B1:O50"/>
  <sheetViews>
    <sheetView topLeftCell="A22" zoomScaleNormal="100" workbookViewId="0">
      <selection activeCell="B36" sqref="B36"/>
    </sheetView>
  </sheetViews>
  <sheetFormatPr defaultRowHeight="15"/>
  <cols>
    <col min="2" max="2" width="29.42578125" customWidth="1"/>
    <col min="3" max="3" width="19.28515625" customWidth="1"/>
    <col min="4" max="4" width="34.28515625" customWidth="1"/>
    <col min="5" max="5" width="13.42578125" customWidth="1"/>
    <col min="6" max="6" width="12.5703125" customWidth="1"/>
    <col min="8" max="8" width="15.140625" customWidth="1"/>
    <col min="9" max="9" width="13.42578125" customWidth="1"/>
    <col min="10" max="10" width="13.5703125" customWidth="1"/>
  </cols>
  <sheetData>
    <row r="1" spans="2:10">
      <c r="I1" s="266" t="s">
        <v>454</v>
      </c>
      <c r="J1" s="266" t="s">
        <v>455</v>
      </c>
    </row>
    <row r="2" spans="2:10" s="193" customFormat="1"/>
    <row r="3" spans="2:10" s="193" customFormat="1">
      <c r="B3" s="214" t="s">
        <v>428</v>
      </c>
      <c r="C3" s="215" t="s">
        <v>427</v>
      </c>
      <c r="D3" s="216" t="s">
        <v>316</v>
      </c>
    </row>
    <row r="4" spans="2:10">
      <c r="B4" s="217" t="s">
        <v>416</v>
      </c>
      <c r="C4" s="79">
        <v>52</v>
      </c>
      <c r="D4" s="218">
        <v>1</v>
      </c>
    </row>
    <row r="5" spans="2:10" s="193" customFormat="1">
      <c r="B5" s="219" t="s">
        <v>569</v>
      </c>
      <c r="C5" s="181">
        <v>52</v>
      </c>
      <c r="D5" s="220">
        <v>1</v>
      </c>
    </row>
    <row r="6" spans="2:10" s="193" customFormat="1">
      <c r="B6" s="221" t="s">
        <v>417</v>
      </c>
      <c r="C6" s="182">
        <v>20</v>
      </c>
      <c r="D6" s="222">
        <f>C6/C4</f>
        <v>0.38461538461538464</v>
      </c>
    </row>
    <row r="7" spans="2:10" s="193" customFormat="1"/>
    <row r="8" spans="2:10" ht="12.95" customHeight="1"/>
    <row r="9" spans="2:10">
      <c r="B9" s="214" t="s">
        <v>425</v>
      </c>
      <c r="C9" s="223" t="s">
        <v>426</v>
      </c>
      <c r="D9" s="224" t="s">
        <v>413</v>
      </c>
      <c r="E9" s="216" t="s">
        <v>570</v>
      </c>
    </row>
    <row r="10" spans="2:10">
      <c r="B10" s="78" t="s">
        <v>420</v>
      </c>
      <c r="C10" s="79">
        <v>31.5</v>
      </c>
      <c r="D10" s="79">
        <v>8799</v>
      </c>
      <c r="E10" s="80" t="s">
        <v>419</v>
      </c>
    </row>
    <row r="11" spans="2:10">
      <c r="B11" s="81" t="s">
        <v>422</v>
      </c>
      <c r="C11" s="181">
        <v>0.14000000000000001</v>
      </c>
      <c r="D11" s="181">
        <v>11058</v>
      </c>
      <c r="E11" s="82" t="s">
        <v>421</v>
      </c>
    </row>
    <row r="12" spans="2:10">
      <c r="B12" s="81" t="s">
        <v>314</v>
      </c>
      <c r="C12" s="181">
        <v>1.99</v>
      </c>
      <c r="D12" s="181">
        <v>11055</v>
      </c>
      <c r="E12" s="82" t="s">
        <v>421</v>
      </c>
    </row>
    <row r="13" spans="2:10">
      <c r="B13" s="81" t="s">
        <v>422</v>
      </c>
      <c r="C13" s="181">
        <v>0.25</v>
      </c>
      <c r="D13" s="181">
        <v>11054</v>
      </c>
      <c r="E13" s="82" t="s">
        <v>423</v>
      </c>
    </row>
    <row r="14" spans="2:10">
      <c r="B14" s="81" t="s">
        <v>422</v>
      </c>
      <c r="C14" s="181">
        <v>25.8</v>
      </c>
      <c r="D14" s="181">
        <v>8800</v>
      </c>
      <c r="E14" s="82" t="s">
        <v>419</v>
      </c>
    </row>
    <row r="15" spans="2:10">
      <c r="B15" s="95" t="s">
        <v>422</v>
      </c>
      <c r="C15" s="182">
        <v>66</v>
      </c>
      <c r="D15" s="182">
        <v>492</v>
      </c>
      <c r="E15" s="98" t="s">
        <v>424</v>
      </c>
    </row>
    <row r="16" spans="2:10">
      <c r="B16" t="s">
        <v>418</v>
      </c>
    </row>
    <row r="18" spans="2:11">
      <c r="B18" s="3"/>
      <c r="C18" s="7" t="s">
        <v>449</v>
      </c>
      <c r="D18" s="7"/>
    </row>
    <row r="19" spans="2:11">
      <c r="B19" s="225" t="s">
        <v>430</v>
      </c>
      <c r="C19" s="226" t="s">
        <v>389</v>
      </c>
      <c r="D19" s="226" t="s">
        <v>429</v>
      </c>
      <c r="E19" s="247" t="s">
        <v>452</v>
      </c>
      <c r="I19" s="225" t="s">
        <v>430</v>
      </c>
      <c r="J19" s="215" t="s">
        <v>459</v>
      </c>
      <c r="K19" s="216" t="s">
        <v>458</v>
      </c>
    </row>
    <row r="20" spans="2:11">
      <c r="B20" s="219" t="s">
        <v>181</v>
      </c>
      <c r="C20" s="181">
        <v>23</v>
      </c>
      <c r="D20" s="181">
        <f>(C20/20)</f>
        <v>1.1499999999999999</v>
      </c>
      <c r="E20" s="237">
        <f>C20/$C$23</f>
        <v>0.47916666666666669</v>
      </c>
      <c r="I20" s="217" t="s">
        <v>181</v>
      </c>
      <c r="J20" s="79">
        <f>C20</f>
        <v>23</v>
      </c>
      <c r="K20" s="269">
        <f>G33</f>
        <v>14</v>
      </c>
    </row>
    <row r="21" spans="2:11">
      <c r="B21" s="219" t="s">
        <v>180</v>
      </c>
      <c r="C21" s="181">
        <v>17</v>
      </c>
      <c r="D21" s="181">
        <f>C21/20</f>
        <v>0.85</v>
      </c>
      <c r="E21" s="237">
        <f t="shared" ref="E21:E22" si="0">C21/$C$23</f>
        <v>0.35416666666666669</v>
      </c>
      <c r="I21" s="219" t="s">
        <v>180</v>
      </c>
      <c r="J21" s="181">
        <f t="shared" ref="J21:J23" si="1">C21</f>
        <v>17</v>
      </c>
      <c r="K21" s="270">
        <f>F33</f>
        <v>17</v>
      </c>
    </row>
    <row r="22" spans="2:11">
      <c r="B22" s="219" t="s">
        <v>179</v>
      </c>
      <c r="C22" s="181">
        <v>8</v>
      </c>
      <c r="D22" s="181">
        <f>C22/20</f>
        <v>0.4</v>
      </c>
      <c r="E22" s="237">
        <f t="shared" si="0"/>
        <v>0.16666666666666666</v>
      </c>
      <c r="I22" s="219" t="s">
        <v>179</v>
      </c>
      <c r="J22" s="181">
        <f t="shared" si="1"/>
        <v>8</v>
      </c>
      <c r="K22" s="270">
        <f>E33</f>
        <v>3</v>
      </c>
    </row>
    <row r="23" spans="2:11">
      <c r="B23" s="221" t="s">
        <v>200</v>
      </c>
      <c r="C23" s="182">
        <f>SUM(C20:C22)</f>
        <v>48</v>
      </c>
      <c r="D23" s="182">
        <f>C23/20</f>
        <v>2.4</v>
      </c>
      <c r="E23" s="98"/>
      <c r="I23" s="271" t="s">
        <v>200</v>
      </c>
      <c r="J23" s="186">
        <f t="shared" si="1"/>
        <v>48</v>
      </c>
      <c r="K23" s="272">
        <f>SUM(K20:K22)</f>
        <v>34</v>
      </c>
    </row>
    <row r="24" spans="2:11">
      <c r="B24" s="187" t="s">
        <v>395</v>
      </c>
    </row>
    <row r="26" spans="2:11">
      <c r="E26" s="4"/>
      <c r="F26" s="4"/>
      <c r="G26" s="1"/>
      <c r="H26" s="6"/>
    </row>
    <row r="27" spans="2:11">
      <c r="B27" s="248" t="s">
        <v>541</v>
      </c>
      <c r="C27" s="249"/>
      <c r="D27" s="249"/>
      <c r="E27" s="319" t="s">
        <v>412</v>
      </c>
      <c r="F27" s="319"/>
      <c r="G27" s="320"/>
    </row>
    <row r="28" spans="2:11">
      <c r="B28" s="248" t="s">
        <v>410</v>
      </c>
      <c r="C28" s="250" t="s">
        <v>414</v>
      </c>
      <c r="D28" s="251" t="s">
        <v>415</v>
      </c>
      <c r="E28" s="252" t="s">
        <v>179</v>
      </c>
      <c r="F28" s="252" t="s">
        <v>180</v>
      </c>
      <c r="G28" s="252" t="s">
        <v>181</v>
      </c>
      <c r="H28" s="253" t="s">
        <v>431</v>
      </c>
    </row>
    <row r="29" spans="2:11">
      <c r="B29" s="81" t="s">
        <v>14</v>
      </c>
      <c r="C29" s="254">
        <f>COUNTIF('Crossing Inventory Data'!$F$2:$F$53,B29)</f>
        <v>11</v>
      </c>
      <c r="D29" s="236">
        <f>C29/SUM($C$29:$C$32)</f>
        <v>0.21153846153846154</v>
      </c>
      <c r="E29" s="255">
        <f>COUNTIFS('Crash data collection'!$H$3:$H$107,$B29,'Crash data collection'!$G$3:$G$107,E$28,'Crash data collection'!$C$3:$C$107,"&gt;1999")</f>
        <v>2</v>
      </c>
      <c r="F29" s="255">
        <f>COUNTIFS('Crash data collection'!$H$3:$H$107,$B29,'Crash data collection'!$G$3:$G$107,F$28,'Crash data collection'!$C$3:$C$107,"&gt;1999")</f>
        <v>7</v>
      </c>
      <c r="G29" s="255">
        <f>COUNTIFS('Crash data collection'!$H$3:$H$107,$B29,'Crash data collection'!$G$3:$G$107,G$28,'Crash data collection'!$C$3:$C$107,"&gt;1999")</f>
        <v>7</v>
      </c>
      <c r="H29" s="82" t="s">
        <v>432</v>
      </c>
    </row>
    <row r="30" spans="2:11">
      <c r="B30" s="81" t="s">
        <v>39</v>
      </c>
      <c r="C30" s="254">
        <f>COUNTIF('Crossing Inventory Data'!$F$2:$F$53,B30)</f>
        <v>9</v>
      </c>
      <c r="D30" s="236">
        <f>C30/SUM($C$29:$C$32)</f>
        <v>0.17307692307692307</v>
      </c>
      <c r="E30" s="255">
        <f>COUNTIFS('Crash data collection'!$H$3:$H$107,$B30,'Crash data collection'!$G$3:$G$107,E$28,'Crash data collection'!$C$3:$C$107,"&gt;1999")</f>
        <v>1</v>
      </c>
      <c r="F30" s="255">
        <f>COUNTIFS('Crash data collection'!$H$3:$H$107,$B30,'Crash data collection'!$G$3:$G$107,F$28,'Crash data collection'!$C$3:$C$107,"&gt;1999")</f>
        <v>6</v>
      </c>
      <c r="G30" s="255">
        <f>COUNTIFS('Crash data collection'!$H$3:$H$107,$B30,'Crash data collection'!$G$3:$G$107,G$28,'Crash data collection'!$C$3:$C$107,"&gt;1999")</f>
        <v>3</v>
      </c>
      <c r="H30" s="82" t="s">
        <v>432</v>
      </c>
    </row>
    <row r="31" spans="2:11">
      <c r="B31" s="256" t="s">
        <v>87</v>
      </c>
      <c r="C31" s="254">
        <f>COUNTIF('Crossing Inventory Data'!$F$2:$F$53,B31)</f>
        <v>15</v>
      </c>
      <c r="D31" s="236">
        <f>C31/SUM($C$29:$C$32)</f>
        <v>0.28846153846153844</v>
      </c>
      <c r="E31" s="255">
        <f>COUNTIFS('Crash data collection'!$H$3:$H$107,$B31,'Crash data collection'!$G$3:$G$107,E$28,'Crash data collection'!$C$3:$C$107,"&gt;1999")</f>
        <v>0</v>
      </c>
      <c r="F31" s="255">
        <f>COUNTIFS('Crash data collection'!$H$3:$H$107,$B31,'Crash data collection'!$G$3:$G$107,F$28,'Crash data collection'!$C$3:$C$107,"&gt;1999")</f>
        <v>0</v>
      </c>
      <c r="G31" s="255">
        <f>COUNTIFS('Crash data collection'!$H$3:$H$107,$B31,'Crash data collection'!$G$3:$G$107,G$28,'Crash data collection'!$C$3:$C$107,"&gt;1999")</f>
        <v>0</v>
      </c>
      <c r="H31" s="82" t="s">
        <v>434</v>
      </c>
    </row>
    <row r="32" spans="2:11">
      <c r="B32" s="257" t="s">
        <v>90</v>
      </c>
      <c r="C32" s="254">
        <f>COUNTIF('Crossing Inventory Data'!$F$2:$F$53,B32)</f>
        <v>17</v>
      </c>
      <c r="D32" s="236">
        <f>C32/SUM($C$29:$C$32)</f>
        <v>0.32692307692307693</v>
      </c>
      <c r="E32" s="255">
        <f>COUNTIFS('Crash data collection'!$H$3:$H$107,$B32,'Crash data collection'!$G$3:$G$107,E$28,'Crash data collection'!$C$3:$C$107,"&gt;1999")</f>
        <v>0</v>
      </c>
      <c r="F32" s="255">
        <f>COUNTIFS('Crash data collection'!$H$3:$H$107,$B32,'Crash data collection'!$G$3:$G$107,F$28,'Crash data collection'!$C$3:$C$107,"&gt;1999")</f>
        <v>4</v>
      </c>
      <c r="G32" s="255">
        <f>COUNTIFS('Crash data collection'!$H$3:$H$107,$B32,'Crash data collection'!$G$3:$G$107,G$28,'Crash data collection'!$C$3:$C$107,"&gt;1999")</f>
        <v>4</v>
      </c>
      <c r="H32" s="82" t="s">
        <v>433</v>
      </c>
    </row>
    <row r="33" spans="2:15" s="193" customFormat="1">
      <c r="B33" s="258" t="s">
        <v>443</v>
      </c>
      <c r="C33" s="259">
        <f>SUM(C29:C32)</f>
        <v>52</v>
      </c>
      <c r="D33" s="260">
        <f>SUM(D29:D32)</f>
        <v>1</v>
      </c>
      <c r="E33" s="261">
        <f>SUM(E29:E32)</f>
        <v>3</v>
      </c>
      <c r="F33" s="261">
        <f t="shared" ref="F33:G33" si="2">SUM(F29:F32)</f>
        <v>17</v>
      </c>
      <c r="G33" s="261">
        <f t="shared" si="2"/>
        <v>14</v>
      </c>
      <c r="H33" s="245"/>
    </row>
    <row r="34" spans="2:15">
      <c r="B34" s="193"/>
      <c r="C34" s="4"/>
      <c r="D34" s="4"/>
      <c r="E34" s="4"/>
      <c r="F34" s="1"/>
      <c r="G34" s="6"/>
      <c r="M34" s="193"/>
      <c r="N34" s="193"/>
      <c r="O34" s="193"/>
    </row>
    <row r="35" spans="2:15">
      <c r="C35" s="4"/>
      <c r="D35" s="4"/>
      <c r="E35" s="27"/>
      <c r="F35" s="27"/>
      <c r="G35" s="27"/>
      <c r="M35" s="193"/>
      <c r="N35" s="193"/>
      <c r="O35" s="193"/>
    </row>
    <row r="36" spans="2:15">
      <c r="B36" s="195" t="s">
        <v>460</v>
      </c>
      <c r="C36" s="227"/>
      <c r="D36" s="227"/>
      <c r="E36" s="321" t="s">
        <v>444</v>
      </c>
      <c r="F36" s="321"/>
      <c r="G36" s="321"/>
      <c r="H36" s="321" t="s">
        <v>445</v>
      </c>
      <c r="I36" s="321"/>
      <c r="J36" s="321"/>
      <c r="M36" s="193"/>
      <c r="N36" s="193"/>
      <c r="O36" s="193"/>
    </row>
    <row r="37" spans="2:15">
      <c r="B37" s="195" t="s">
        <v>435</v>
      </c>
      <c r="C37" s="228" t="s">
        <v>438</v>
      </c>
      <c r="D37" s="195" t="s">
        <v>442</v>
      </c>
      <c r="E37" s="228" t="s">
        <v>439</v>
      </c>
      <c r="F37" s="228" t="s">
        <v>440</v>
      </c>
      <c r="G37" s="229" t="s">
        <v>441</v>
      </c>
      <c r="H37" s="228" t="s">
        <v>439</v>
      </c>
      <c r="I37" s="228" t="s">
        <v>440</v>
      </c>
      <c r="J37" s="229" t="s">
        <v>441</v>
      </c>
      <c r="M37" s="193"/>
      <c r="N37" s="193"/>
      <c r="O37" s="193"/>
    </row>
    <row r="38" spans="2:15">
      <c r="B38" s="78" t="s">
        <v>432</v>
      </c>
      <c r="C38" s="79">
        <f>C14</f>
        <v>25.8</v>
      </c>
      <c r="D38" s="230">
        <f>D29+D30</f>
        <v>0.38461538461538458</v>
      </c>
      <c r="E38" s="231">
        <f>SUM(E29:E30)</f>
        <v>3</v>
      </c>
      <c r="F38" s="231">
        <f>SUM(F29:F30)</f>
        <v>13</v>
      </c>
      <c r="G38" s="231">
        <f>SUM(G29:G30)</f>
        <v>10</v>
      </c>
      <c r="H38" s="232">
        <f>E38/SUM($E$38:$G$40)</f>
        <v>8.8235294117647065E-2</v>
      </c>
      <c r="I38" s="232">
        <f t="shared" ref="I38:J40" si="3">F38/SUM($E$38:$G$40)</f>
        <v>0.38235294117647056</v>
      </c>
      <c r="J38" s="233">
        <f t="shared" si="3"/>
        <v>0.29411764705882354</v>
      </c>
      <c r="M38" s="193"/>
      <c r="N38" s="193"/>
      <c r="O38" s="193"/>
    </row>
    <row r="39" spans="2:15">
      <c r="B39" s="81" t="s">
        <v>436</v>
      </c>
      <c r="C39" s="181">
        <f>C13</f>
        <v>0.25</v>
      </c>
      <c r="D39" s="234">
        <f>D31</f>
        <v>0.28846153846153844</v>
      </c>
      <c r="E39" s="235">
        <f>E31</f>
        <v>0</v>
      </c>
      <c r="F39" s="235">
        <f t="shared" ref="F39:G40" si="4">F31</f>
        <v>0</v>
      </c>
      <c r="G39" s="235">
        <f t="shared" si="4"/>
        <v>0</v>
      </c>
      <c r="H39" s="236">
        <f t="shared" ref="H39:H40" si="5">E39/SUM($E$38:$G$40)</f>
        <v>0</v>
      </c>
      <c r="I39" s="236">
        <f t="shared" si="3"/>
        <v>0</v>
      </c>
      <c r="J39" s="237">
        <f t="shared" si="3"/>
        <v>0</v>
      </c>
      <c r="M39" s="193"/>
      <c r="N39" s="193"/>
      <c r="O39" s="193"/>
    </row>
    <row r="40" spans="2:15">
      <c r="B40" s="95" t="s">
        <v>437</v>
      </c>
      <c r="C40" s="182">
        <f>C13+C11</f>
        <v>0.39</v>
      </c>
      <c r="D40" s="97">
        <f>D32</f>
        <v>0.32692307692307693</v>
      </c>
      <c r="E40" s="238">
        <f>E32</f>
        <v>0</v>
      </c>
      <c r="F40" s="238">
        <f t="shared" si="4"/>
        <v>4</v>
      </c>
      <c r="G40" s="238">
        <f t="shared" si="4"/>
        <v>4</v>
      </c>
      <c r="H40" s="239">
        <f t="shared" si="5"/>
        <v>0</v>
      </c>
      <c r="I40" s="239">
        <f t="shared" si="3"/>
        <v>0.11764705882352941</v>
      </c>
      <c r="J40" s="222">
        <f t="shared" si="3"/>
        <v>0.11764705882352941</v>
      </c>
      <c r="M40" s="187"/>
    </row>
    <row r="41" spans="2:15">
      <c r="B41" s="246" t="s">
        <v>450</v>
      </c>
      <c r="C41" s="244"/>
      <c r="D41" s="244"/>
      <c r="E41" s="244">
        <f>SUM(E38:E40)</f>
        <v>3</v>
      </c>
      <c r="F41" s="244">
        <f t="shared" ref="F41:G41" si="6">SUM(F38:F40)</f>
        <v>17</v>
      </c>
      <c r="G41" s="244">
        <f t="shared" si="6"/>
        <v>14</v>
      </c>
      <c r="H41" s="244"/>
      <c r="I41" s="244"/>
      <c r="J41" s="245"/>
    </row>
    <row r="42" spans="2:15" s="193" customFormat="1">
      <c r="B42" s="262"/>
      <c r="C42" s="181"/>
      <c r="D42" s="181"/>
      <c r="E42" s="181"/>
      <c r="F42" s="181"/>
      <c r="G42" s="181"/>
      <c r="H42" s="181"/>
      <c r="I42" s="181"/>
      <c r="J42" s="181"/>
    </row>
    <row r="43" spans="2:15" s="193" customFormat="1">
      <c r="B43" s="262"/>
      <c r="C43" s="181"/>
      <c r="D43" s="181"/>
      <c r="E43" s="181"/>
      <c r="F43" s="181"/>
      <c r="G43" s="181"/>
      <c r="H43" s="181"/>
      <c r="I43" s="181"/>
      <c r="J43" s="181"/>
    </row>
    <row r="44" spans="2:15">
      <c r="B44" s="265" t="s">
        <v>567</v>
      </c>
      <c r="C44" s="267" t="s">
        <v>454</v>
      </c>
    </row>
    <row r="45" spans="2:15">
      <c r="E45" s="318" t="s">
        <v>444</v>
      </c>
      <c r="F45" s="318"/>
      <c r="G45" s="318"/>
    </row>
    <row r="46" spans="2:15">
      <c r="B46" s="214" t="s">
        <v>451</v>
      </c>
      <c r="C46" s="244"/>
      <c r="D46" s="244"/>
      <c r="E46" s="228" t="s">
        <v>439</v>
      </c>
      <c r="F46" s="228" t="s">
        <v>440</v>
      </c>
      <c r="G46" s="229" t="s">
        <v>441</v>
      </c>
      <c r="H46" s="244"/>
      <c r="I46" s="244"/>
      <c r="J46" s="245"/>
    </row>
    <row r="47" spans="2:15" s="193" customFormat="1">
      <c r="B47" s="263" t="s">
        <v>453</v>
      </c>
      <c r="C47" s="264"/>
      <c r="D47" s="264"/>
      <c r="E47" s="264">
        <f>C22</f>
        <v>8</v>
      </c>
      <c r="F47" s="264">
        <f>C21</f>
        <v>17</v>
      </c>
      <c r="G47" s="264">
        <f>C20</f>
        <v>23</v>
      </c>
      <c r="H47" s="79"/>
      <c r="I47" s="79"/>
      <c r="J47" s="80"/>
    </row>
    <row r="48" spans="2:15">
      <c r="B48" s="219" t="s">
        <v>432</v>
      </c>
      <c r="C48" s="181"/>
      <c r="D48" s="181"/>
      <c r="E48" s="235">
        <f>(E38/E$41)*E$47</f>
        <v>8</v>
      </c>
      <c r="F48" s="235">
        <f t="shared" ref="F48:G48" si="7">(F38/F$41)*F$47</f>
        <v>13</v>
      </c>
      <c r="G48" s="235">
        <f t="shared" si="7"/>
        <v>16.428571428571431</v>
      </c>
      <c r="H48" s="181"/>
      <c r="I48" s="181"/>
      <c r="J48" s="82"/>
    </row>
    <row r="49" spans="2:10">
      <c r="B49" s="219" t="s">
        <v>436</v>
      </c>
      <c r="C49" s="181"/>
      <c r="D49" s="181"/>
      <c r="E49" s="235">
        <f t="shared" ref="E49:G50" si="8">(E39/E$41)*E$47</f>
        <v>0</v>
      </c>
      <c r="F49" s="235">
        <f t="shared" si="8"/>
        <v>0</v>
      </c>
      <c r="G49" s="235">
        <f t="shared" si="8"/>
        <v>0</v>
      </c>
      <c r="H49" s="181"/>
      <c r="I49" s="181"/>
      <c r="J49" s="82"/>
    </row>
    <row r="50" spans="2:10">
      <c r="B50" s="221" t="s">
        <v>437</v>
      </c>
      <c r="C50" s="182"/>
      <c r="D50" s="182"/>
      <c r="E50" s="238">
        <f t="shared" si="8"/>
        <v>0</v>
      </c>
      <c r="F50" s="238">
        <f t="shared" si="8"/>
        <v>4</v>
      </c>
      <c r="G50" s="238">
        <f t="shared" si="8"/>
        <v>6.5714285714285712</v>
      </c>
      <c r="H50" s="182"/>
      <c r="I50" s="182"/>
      <c r="J50" s="98"/>
    </row>
  </sheetData>
  <mergeCells count="4">
    <mergeCell ref="E45:G45"/>
    <mergeCell ref="E27:G27"/>
    <mergeCell ref="E36:G36"/>
    <mergeCell ref="H36:J36"/>
  </mergeCells>
  <dataValidations count="1">
    <dataValidation type="list" allowBlank="1" showInputMessage="1" showErrorMessage="1" sqref="C44" xr:uid="{8184F5D9-CE53-46F6-A5ED-1D98D9F22516}">
      <formula1>$I$1:$J$1</formula1>
    </dataValidation>
  </dataValidation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3A423-B5FC-479C-8A7A-5816B77D957B}">
  <sheetPr>
    <tabColor theme="9"/>
  </sheetPr>
  <dimension ref="B3:AN40"/>
  <sheetViews>
    <sheetView zoomScale="80" zoomScaleNormal="8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E37" sqref="E37:E41"/>
    </sheetView>
  </sheetViews>
  <sheetFormatPr defaultRowHeight="15"/>
  <cols>
    <col min="1" max="1" width="3.140625" customWidth="1"/>
    <col min="2" max="2" width="46.5703125" customWidth="1"/>
    <col min="3" max="3" width="15.140625" customWidth="1"/>
    <col min="4" max="4" width="19.5703125" customWidth="1"/>
    <col min="5" max="5" width="9" style="193" customWidth="1"/>
    <col min="9" max="13" width="13" bestFit="1" customWidth="1"/>
    <col min="14" max="39" width="11.5703125" bestFit="1" customWidth="1"/>
  </cols>
  <sheetData>
    <row r="3" spans="2:39" s="3" customFormat="1">
      <c r="C3" s="3" t="s">
        <v>200</v>
      </c>
      <c r="D3" s="3" t="s">
        <v>447</v>
      </c>
      <c r="E3" s="3" t="s">
        <v>200</v>
      </c>
      <c r="F3" s="3">
        <v>2020</v>
      </c>
      <c r="G3" s="3">
        <f t="shared" ref="G3:AM3" si="0">F3+1</f>
        <v>2021</v>
      </c>
      <c r="H3" s="3">
        <f t="shared" si="0"/>
        <v>2022</v>
      </c>
      <c r="I3" s="3">
        <f t="shared" si="0"/>
        <v>2023</v>
      </c>
      <c r="J3" s="3">
        <f t="shared" si="0"/>
        <v>2024</v>
      </c>
      <c r="K3" s="3">
        <f t="shared" si="0"/>
        <v>2025</v>
      </c>
      <c r="L3" s="3">
        <f t="shared" si="0"/>
        <v>2026</v>
      </c>
      <c r="M3" s="3">
        <f t="shared" si="0"/>
        <v>2027</v>
      </c>
      <c r="N3" s="3">
        <f t="shared" si="0"/>
        <v>2028</v>
      </c>
      <c r="O3" s="3">
        <f t="shared" si="0"/>
        <v>2029</v>
      </c>
      <c r="P3" s="3">
        <f t="shared" si="0"/>
        <v>2030</v>
      </c>
      <c r="Q3" s="3">
        <f t="shared" si="0"/>
        <v>2031</v>
      </c>
      <c r="R3" s="3">
        <f t="shared" si="0"/>
        <v>2032</v>
      </c>
      <c r="S3" s="3">
        <f t="shared" si="0"/>
        <v>2033</v>
      </c>
      <c r="T3" s="3">
        <f t="shared" si="0"/>
        <v>2034</v>
      </c>
      <c r="U3" s="3">
        <f t="shared" si="0"/>
        <v>2035</v>
      </c>
      <c r="V3" s="3">
        <f t="shared" si="0"/>
        <v>2036</v>
      </c>
      <c r="W3" s="3">
        <f t="shared" si="0"/>
        <v>2037</v>
      </c>
      <c r="X3" s="3">
        <f t="shared" si="0"/>
        <v>2038</v>
      </c>
      <c r="Y3" s="3">
        <f t="shared" si="0"/>
        <v>2039</v>
      </c>
      <c r="Z3" s="3">
        <f t="shared" si="0"/>
        <v>2040</v>
      </c>
      <c r="AA3" s="3">
        <f t="shared" si="0"/>
        <v>2041</v>
      </c>
      <c r="AB3" s="3">
        <f t="shared" si="0"/>
        <v>2042</v>
      </c>
      <c r="AC3" s="3">
        <f t="shared" si="0"/>
        <v>2043</v>
      </c>
      <c r="AD3" s="3">
        <f t="shared" si="0"/>
        <v>2044</v>
      </c>
      <c r="AE3" s="3">
        <f t="shared" si="0"/>
        <v>2045</v>
      </c>
      <c r="AF3" s="3">
        <f t="shared" si="0"/>
        <v>2046</v>
      </c>
      <c r="AG3" s="3">
        <f t="shared" si="0"/>
        <v>2047</v>
      </c>
      <c r="AH3" s="3">
        <f t="shared" si="0"/>
        <v>2048</v>
      </c>
      <c r="AI3" s="3">
        <f t="shared" si="0"/>
        <v>2049</v>
      </c>
      <c r="AJ3" s="3">
        <f t="shared" si="0"/>
        <v>2050</v>
      </c>
      <c r="AK3" s="3">
        <f t="shared" si="0"/>
        <v>2051</v>
      </c>
      <c r="AL3" s="3">
        <f t="shared" si="0"/>
        <v>2052</v>
      </c>
      <c r="AM3" s="3">
        <f t="shared" si="0"/>
        <v>2053</v>
      </c>
    </row>
    <row r="4" spans="2:39">
      <c r="B4" t="s">
        <v>201</v>
      </c>
      <c r="C4" s="176">
        <f>COUNTA('Crossing Inventory Data'!C2:C53)</f>
        <v>52</v>
      </c>
    </row>
    <row r="6" spans="2:39">
      <c r="B6" s="13" t="s">
        <v>446</v>
      </c>
    </row>
    <row r="7" spans="2:39">
      <c r="B7" s="19" t="s">
        <v>181</v>
      </c>
      <c r="C7" s="42">
        <f>IF(CMFs!$C$44="Query",CMFs!G38,CMFs!G48)</f>
        <v>16.428571428571431</v>
      </c>
      <c r="D7" s="268">
        <f>C7/20</f>
        <v>0.82142857142857151</v>
      </c>
      <c r="E7" s="64">
        <f>SUM(I7:AM7)</f>
        <v>5.7220714285714296</v>
      </c>
      <c r="I7">
        <f>$D7*IF('Crash costs'!I$3&lt;'Crash costs'!$N$3,HLOOKUP('Crash costs'!I$3,'Capital costs'!$E$3:$K$4,2,FALSE)/'Capital costs'!$D$4,1)*(CMFs!$C$38/100)</f>
        <v>2.6955827067669177E-2</v>
      </c>
      <c r="J7" s="193">
        <f>$D7*IF('Crash costs'!J$3&lt;'Crash costs'!$N$3,HLOOKUP('Crash costs'!J$3,'Capital costs'!$E$3:$K$4,2,FALSE)/'Capital costs'!$D$4,1)*(CMFs!$C$38/100)</f>
        <v>4.8334586466165418E-2</v>
      </c>
      <c r="K7" s="193">
        <f>$D7*IF('Crash costs'!K$3&lt;'Crash costs'!$N$3,HLOOKUP('Crash costs'!K$3,'Capital costs'!$E$3:$K$4,2,FALSE)/'Capital costs'!$D$4,1)*(CMFs!$C$38/100)</f>
        <v>5.2052631578947371E-2</v>
      </c>
      <c r="L7" s="193">
        <f>$D7*IF('Crash costs'!L$3&lt;'Crash costs'!$N$3,HLOOKUP('Crash costs'!L$3,'Capital costs'!$E$3:$K$4,2,FALSE)/'Capital costs'!$D$4,1)*(CMFs!$C$38/100)</f>
        <v>4.8334586466165418E-2</v>
      </c>
      <c r="M7" s="193">
        <f>$D7*IF('Crash costs'!M$3&lt;'Crash costs'!$N$3,HLOOKUP('Crash costs'!M$3,'Capital costs'!$E$3:$K$4,2,FALSE)/'Capital costs'!$D$4,1)*(CMFs!$C$38/100)</f>
        <v>3.6250939849624068E-2</v>
      </c>
      <c r="N7" s="193">
        <f>$D7*IF('Crash costs'!N$3&lt;'Crash costs'!$N$3,HLOOKUP('Crash costs'!N$3,'Capital costs'!$E$3:$K$4,2,FALSE)/'Capital costs'!$D$4,1)*(CMFs!$C$38/100)</f>
        <v>0.21192857142857147</v>
      </c>
      <c r="O7" s="193">
        <f>$D7*IF('Crash costs'!O$3&lt;'Crash costs'!$N$3,HLOOKUP('Crash costs'!O$3,'Capital costs'!$E$3:$K$4,2,FALSE)/'Capital costs'!$D$4,1)*(CMFs!$C$38/100)</f>
        <v>0.21192857142857147</v>
      </c>
      <c r="P7" s="193">
        <f>$D7*IF('Crash costs'!P$3&lt;'Crash costs'!$N$3,HLOOKUP('Crash costs'!P$3,'Capital costs'!$E$3:$K$4,2,FALSE)/'Capital costs'!$D$4,1)*(CMFs!$C$38/100)</f>
        <v>0.21192857142857147</v>
      </c>
      <c r="Q7" s="193">
        <f>$D7*IF('Crash costs'!Q$3&lt;'Crash costs'!$N$3,HLOOKUP('Crash costs'!Q$3,'Capital costs'!$E$3:$K$4,2,FALSE)/'Capital costs'!$D$4,1)*(CMFs!$C$38/100)</f>
        <v>0.21192857142857147</v>
      </c>
      <c r="R7" s="193">
        <f>$D7*IF('Crash costs'!R$3&lt;'Crash costs'!$N$3,HLOOKUP('Crash costs'!R$3,'Capital costs'!$E$3:$K$4,2,FALSE)/'Capital costs'!$D$4,1)*(CMFs!$C$38/100)</f>
        <v>0.21192857142857147</v>
      </c>
      <c r="S7" s="193">
        <f>$D7*IF('Crash costs'!S$3&lt;'Crash costs'!$N$3,HLOOKUP('Crash costs'!S$3,'Capital costs'!$E$3:$K$4,2,FALSE)/'Capital costs'!$D$4,1)*(CMFs!$C$38/100)</f>
        <v>0.21192857142857147</v>
      </c>
      <c r="T7" s="193">
        <f>$D7*IF('Crash costs'!T$3&lt;'Crash costs'!$N$3,HLOOKUP('Crash costs'!T$3,'Capital costs'!$E$3:$K$4,2,FALSE)/'Capital costs'!$D$4,1)*(CMFs!$C$38/100)</f>
        <v>0.21192857142857147</v>
      </c>
      <c r="U7" s="193">
        <f>$D7*IF('Crash costs'!U$3&lt;'Crash costs'!$N$3,HLOOKUP('Crash costs'!U$3,'Capital costs'!$E$3:$K$4,2,FALSE)/'Capital costs'!$D$4,1)*(CMFs!$C$38/100)</f>
        <v>0.21192857142857147</v>
      </c>
      <c r="V7" s="193">
        <f>$D7*IF('Crash costs'!V$3&lt;'Crash costs'!$N$3,HLOOKUP('Crash costs'!V$3,'Capital costs'!$E$3:$K$4,2,FALSE)/'Capital costs'!$D$4,1)*(CMFs!$C$38/100)</f>
        <v>0.21192857142857147</v>
      </c>
      <c r="W7" s="193">
        <f>$D7*IF('Crash costs'!W$3&lt;'Crash costs'!$N$3,HLOOKUP('Crash costs'!W$3,'Capital costs'!$E$3:$K$4,2,FALSE)/'Capital costs'!$D$4,1)*(CMFs!$C$38/100)</f>
        <v>0.21192857142857147</v>
      </c>
      <c r="X7" s="193">
        <f>$D7*IF('Crash costs'!X$3&lt;'Crash costs'!$N$3,HLOOKUP('Crash costs'!X$3,'Capital costs'!$E$3:$K$4,2,FALSE)/'Capital costs'!$D$4,1)*(CMFs!$C$38/100)</f>
        <v>0.21192857142857147</v>
      </c>
      <c r="Y7" s="193">
        <f>$D7*IF('Crash costs'!Y$3&lt;'Crash costs'!$N$3,HLOOKUP('Crash costs'!Y$3,'Capital costs'!$E$3:$K$4,2,FALSE)/'Capital costs'!$D$4,1)*(CMFs!$C$38/100)</f>
        <v>0.21192857142857147</v>
      </c>
      <c r="Z7" s="193">
        <f>$D7*IF('Crash costs'!Z$3&lt;'Crash costs'!$N$3,HLOOKUP('Crash costs'!Z$3,'Capital costs'!$E$3:$K$4,2,FALSE)/'Capital costs'!$D$4,1)*(CMFs!$C$38/100)</f>
        <v>0.21192857142857147</v>
      </c>
      <c r="AA7" s="193">
        <f>$D7*IF('Crash costs'!AA$3&lt;'Crash costs'!$N$3,HLOOKUP('Crash costs'!AA$3,'Capital costs'!$E$3:$K$4,2,FALSE)/'Capital costs'!$D$4,1)*(CMFs!$C$38/100)</f>
        <v>0.21192857142857147</v>
      </c>
      <c r="AB7" s="193">
        <f>$D7*IF('Crash costs'!AB$3&lt;'Crash costs'!$N$3,HLOOKUP('Crash costs'!AB$3,'Capital costs'!$E$3:$K$4,2,FALSE)/'Capital costs'!$D$4,1)*(CMFs!$C$38/100)</f>
        <v>0.21192857142857147</v>
      </c>
      <c r="AC7" s="193">
        <f>$D7*IF('Crash costs'!AC$3&lt;'Crash costs'!$N$3,HLOOKUP('Crash costs'!AC$3,'Capital costs'!$E$3:$K$4,2,FALSE)/'Capital costs'!$D$4,1)*(CMFs!$C$38/100)</f>
        <v>0.21192857142857147</v>
      </c>
      <c r="AD7" s="193">
        <f>$D7*IF('Crash costs'!AD$3&lt;'Crash costs'!$N$3,HLOOKUP('Crash costs'!AD$3,'Capital costs'!$E$3:$K$4,2,FALSE)/'Capital costs'!$D$4,1)*(CMFs!$C$38/100)</f>
        <v>0.21192857142857147</v>
      </c>
      <c r="AE7" s="193">
        <f>$D7*IF('Crash costs'!AE$3&lt;'Crash costs'!$N$3,HLOOKUP('Crash costs'!AE$3,'Capital costs'!$E$3:$K$4,2,FALSE)/'Capital costs'!$D$4,1)*(CMFs!$C$38/100)</f>
        <v>0.21192857142857147</v>
      </c>
      <c r="AF7" s="193">
        <f>$D7*IF('Crash costs'!AF$3&lt;'Crash costs'!$N$3,HLOOKUP('Crash costs'!AF$3,'Capital costs'!$E$3:$K$4,2,FALSE)/'Capital costs'!$D$4,1)*(CMFs!$C$38/100)</f>
        <v>0.21192857142857147</v>
      </c>
      <c r="AG7" s="193">
        <f>$D7*IF('Crash costs'!AG$3&lt;'Crash costs'!$N$3,HLOOKUP('Crash costs'!AG$3,'Capital costs'!$E$3:$K$4,2,FALSE)/'Capital costs'!$D$4,1)*(CMFs!$C$38/100)</f>
        <v>0.21192857142857147</v>
      </c>
      <c r="AH7" s="193">
        <f>$D7*IF('Crash costs'!AH$3&lt;'Crash costs'!$N$3,HLOOKUP('Crash costs'!AH$3,'Capital costs'!$E$3:$K$4,2,FALSE)/'Capital costs'!$D$4,1)*(CMFs!$C$38/100)</f>
        <v>0.21192857142857147</v>
      </c>
      <c r="AI7" s="193">
        <f>$D7*IF('Crash costs'!AI$3&lt;'Crash costs'!$N$3,HLOOKUP('Crash costs'!AI$3,'Capital costs'!$E$3:$K$4,2,FALSE)/'Capital costs'!$D$4,1)*(CMFs!$C$38/100)</f>
        <v>0.21192857142857147</v>
      </c>
      <c r="AJ7" s="193">
        <f>$D7*IF('Crash costs'!AJ$3&lt;'Crash costs'!$N$3,HLOOKUP('Crash costs'!AJ$3,'Capital costs'!$E$3:$K$4,2,FALSE)/'Capital costs'!$D$4,1)*(CMFs!$C$38/100)</f>
        <v>0.21192857142857147</v>
      </c>
      <c r="AK7" s="193">
        <f>$D7*IF('Crash costs'!AK$3&lt;'Crash costs'!$N$3,HLOOKUP('Crash costs'!AK$3,'Capital costs'!$E$3:$K$4,2,FALSE)/'Capital costs'!$D$4,1)*(CMFs!$C$38/100)</f>
        <v>0.21192857142857147</v>
      </c>
      <c r="AL7" s="193">
        <f>$D7*IF('Crash costs'!AL$3&lt;'Crash costs'!$N$3,HLOOKUP('Crash costs'!AL$3,'Capital costs'!$E$3:$K$4,2,FALSE)/'Capital costs'!$D$4,1)*(CMFs!$C$38/100)</f>
        <v>0.21192857142857147</v>
      </c>
      <c r="AM7" s="193">
        <f>$D7*IF('Crash costs'!AM$3&lt;'Crash costs'!$N$3,HLOOKUP('Crash costs'!AM$3,'Capital costs'!$E$3:$K$4,2,FALSE)/'Capital costs'!$D$4,1)*(CMFs!$C$38/100)</f>
        <v>0.21192857142857147</v>
      </c>
    </row>
    <row r="8" spans="2:39">
      <c r="B8" s="19" t="s">
        <v>180</v>
      </c>
      <c r="C8" s="42">
        <f>IF(CMFs!C44="Query",CMFs!F38,CMFs!F48)</f>
        <v>13</v>
      </c>
      <c r="D8" s="268">
        <f t="shared" ref="D8:D10" si="1">C8/20</f>
        <v>0.65</v>
      </c>
      <c r="E8" s="64">
        <f t="shared" ref="E8:E9" si="2">SUM(I8:AM8)</f>
        <v>4.5278999999999998</v>
      </c>
      <c r="I8" s="193">
        <f>$D8*IF('Crash costs'!I$3&lt;'Crash costs'!$N$3,HLOOKUP('Crash costs'!I$3,'Capital costs'!$E$3:$K$4,2,FALSE)/'Capital costs'!$D$4,1)*(CMFs!$C$38/100)</f>
        <v>2.1330263157894738E-2</v>
      </c>
      <c r="J8" s="193">
        <f>$D8*IF('Crash costs'!J$3&lt;'Crash costs'!$N$3,HLOOKUP('Crash costs'!J$3,'Capital costs'!$E$3:$K$4,2,FALSE)/'Capital costs'!$D$4,1)*(CMFs!$C$38/100)</f>
        <v>3.8247368421052627E-2</v>
      </c>
      <c r="K8" s="193">
        <f>$D8*IF('Crash costs'!K$3&lt;'Crash costs'!$N$3,HLOOKUP('Crash costs'!K$3,'Capital costs'!$E$3:$K$4,2,FALSE)/'Capital costs'!$D$4,1)*(CMFs!$C$38/100)</f>
        <v>4.1189473684210526E-2</v>
      </c>
      <c r="L8" s="193">
        <f>$D8*IF('Crash costs'!L$3&lt;'Crash costs'!$N$3,HLOOKUP('Crash costs'!L$3,'Capital costs'!$E$3:$K$4,2,FALSE)/'Capital costs'!$D$4,1)*(CMFs!$C$38/100)</f>
        <v>3.8247368421052627E-2</v>
      </c>
      <c r="M8" s="193">
        <f>$D8*IF('Crash costs'!M$3&lt;'Crash costs'!$N$3,HLOOKUP('Crash costs'!M$3,'Capital costs'!$E$3:$K$4,2,FALSE)/'Capital costs'!$D$4,1)*(CMFs!$C$38/100)</f>
        <v>2.8685526315789477E-2</v>
      </c>
      <c r="N8" s="193">
        <f>$D8*IF('Crash costs'!N$3&lt;'Crash costs'!$N$3,HLOOKUP('Crash costs'!N$3,'Capital costs'!$E$3:$K$4,2,FALSE)/'Capital costs'!$D$4,1)*(CMFs!$C$38/100)</f>
        <v>0.16770000000000002</v>
      </c>
      <c r="O8" s="193">
        <f>$D8*IF('Crash costs'!O$3&lt;'Crash costs'!$N$3,HLOOKUP('Crash costs'!O$3,'Capital costs'!$E$3:$K$4,2,FALSE)/'Capital costs'!$D$4,1)*(CMFs!$C$38/100)</f>
        <v>0.16770000000000002</v>
      </c>
      <c r="P8" s="193">
        <f>$D8*IF('Crash costs'!P$3&lt;'Crash costs'!$N$3,HLOOKUP('Crash costs'!P$3,'Capital costs'!$E$3:$K$4,2,FALSE)/'Capital costs'!$D$4,1)*(CMFs!$C$38/100)</f>
        <v>0.16770000000000002</v>
      </c>
      <c r="Q8" s="193">
        <f>$D8*IF('Crash costs'!Q$3&lt;'Crash costs'!$N$3,HLOOKUP('Crash costs'!Q$3,'Capital costs'!$E$3:$K$4,2,FALSE)/'Capital costs'!$D$4,1)*(CMFs!$C$38/100)</f>
        <v>0.16770000000000002</v>
      </c>
      <c r="R8" s="193">
        <f>$D8*IF('Crash costs'!R$3&lt;'Crash costs'!$N$3,HLOOKUP('Crash costs'!R$3,'Capital costs'!$E$3:$K$4,2,FALSE)/'Capital costs'!$D$4,1)*(CMFs!$C$38/100)</f>
        <v>0.16770000000000002</v>
      </c>
      <c r="S8" s="193">
        <f>$D8*IF('Crash costs'!S$3&lt;'Crash costs'!$N$3,HLOOKUP('Crash costs'!S$3,'Capital costs'!$E$3:$K$4,2,FALSE)/'Capital costs'!$D$4,1)*(CMFs!$C$38/100)</f>
        <v>0.16770000000000002</v>
      </c>
      <c r="T8" s="193">
        <f>$D8*IF('Crash costs'!T$3&lt;'Crash costs'!$N$3,HLOOKUP('Crash costs'!T$3,'Capital costs'!$E$3:$K$4,2,FALSE)/'Capital costs'!$D$4,1)*(CMFs!$C$38/100)</f>
        <v>0.16770000000000002</v>
      </c>
      <c r="U8" s="193">
        <f>$D8*IF('Crash costs'!U$3&lt;'Crash costs'!$N$3,HLOOKUP('Crash costs'!U$3,'Capital costs'!$E$3:$K$4,2,FALSE)/'Capital costs'!$D$4,1)*(CMFs!$C$38/100)</f>
        <v>0.16770000000000002</v>
      </c>
      <c r="V8" s="193">
        <f>$D8*IF('Crash costs'!V$3&lt;'Crash costs'!$N$3,HLOOKUP('Crash costs'!V$3,'Capital costs'!$E$3:$K$4,2,FALSE)/'Capital costs'!$D$4,1)*(CMFs!$C$38/100)</f>
        <v>0.16770000000000002</v>
      </c>
      <c r="W8" s="193">
        <f>$D8*IF('Crash costs'!W$3&lt;'Crash costs'!$N$3,HLOOKUP('Crash costs'!W$3,'Capital costs'!$E$3:$K$4,2,FALSE)/'Capital costs'!$D$4,1)*(CMFs!$C$38/100)</f>
        <v>0.16770000000000002</v>
      </c>
      <c r="X8" s="193">
        <f>$D8*IF('Crash costs'!X$3&lt;'Crash costs'!$N$3,HLOOKUP('Crash costs'!X$3,'Capital costs'!$E$3:$K$4,2,FALSE)/'Capital costs'!$D$4,1)*(CMFs!$C$38/100)</f>
        <v>0.16770000000000002</v>
      </c>
      <c r="Y8" s="193">
        <f>$D8*IF('Crash costs'!Y$3&lt;'Crash costs'!$N$3,HLOOKUP('Crash costs'!Y$3,'Capital costs'!$E$3:$K$4,2,FALSE)/'Capital costs'!$D$4,1)*(CMFs!$C$38/100)</f>
        <v>0.16770000000000002</v>
      </c>
      <c r="Z8" s="193">
        <f>$D8*IF('Crash costs'!Z$3&lt;'Crash costs'!$N$3,HLOOKUP('Crash costs'!Z$3,'Capital costs'!$E$3:$K$4,2,FALSE)/'Capital costs'!$D$4,1)*(CMFs!$C$38/100)</f>
        <v>0.16770000000000002</v>
      </c>
      <c r="AA8" s="193">
        <f>$D8*IF('Crash costs'!AA$3&lt;'Crash costs'!$N$3,HLOOKUP('Crash costs'!AA$3,'Capital costs'!$E$3:$K$4,2,FALSE)/'Capital costs'!$D$4,1)*(CMFs!$C$38/100)</f>
        <v>0.16770000000000002</v>
      </c>
      <c r="AB8" s="193">
        <f>$D8*IF('Crash costs'!AB$3&lt;'Crash costs'!$N$3,HLOOKUP('Crash costs'!AB$3,'Capital costs'!$E$3:$K$4,2,FALSE)/'Capital costs'!$D$4,1)*(CMFs!$C$38/100)</f>
        <v>0.16770000000000002</v>
      </c>
      <c r="AC8" s="193">
        <f>$D8*IF('Crash costs'!AC$3&lt;'Crash costs'!$N$3,HLOOKUP('Crash costs'!AC$3,'Capital costs'!$E$3:$K$4,2,FALSE)/'Capital costs'!$D$4,1)*(CMFs!$C$38/100)</f>
        <v>0.16770000000000002</v>
      </c>
      <c r="AD8" s="193">
        <f>$D8*IF('Crash costs'!AD$3&lt;'Crash costs'!$N$3,HLOOKUP('Crash costs'!AD$3,'Capital costs'!$E$3:$K$4,2,FALSE)/'Capital costs'!$D$4,1)*(CMFs!$C$38/100)</f>
        <v>0.16770000000000002</v>
      </c>
      <c r="AE8" s="193">
        <f>$D8*IF('Crash costs'!AE$3&lt;'Crash costs'!$N$3,HLOOKUP('Crash costs'!AE$3,'Capital costs'!$E$3:$K$4,2,FALSE)/'Capital costs'!$D$4,1)*(CMFs!$C$38/100)</f>
        <v>0.16770000000000002</v>
      </c>
      <c r="AF8" s="193">
        <f>$D8*IF('Crash costs'!AF$3&lt;'Crash costs'!$N$3,HLOOKUP('Crash costs'!AF$3,'Capital costs'!$E$3:$K$4,2,FALSE)/'Capital costs'!$D$4,1)*(CMFs!$C$38/100)</f>
        <v>0.16770000000000002</v>
      </c>
      <c r="AG8" s="193">
        <f>$D8*IF('Crash costs'!AG$3&lt;'Crash costs'!$N$3,HLOOKUP('Crash costs'!AG$3,'Capital costs'!$E$3:$K$4,2,FALSE)/'Capital costs'!$D$4,1)*(CMFs!$C$38/100)</f>
        <v>0.16770000000000002</v>
      </c>
      <c r="AH8" s="193">
        <f>$D8*IF('Crash costs'!AH$3&lt;'Crash costs'!$N$3,HLOOKUP('Crash costs'!AH$3,'Capital costs'!$E$3:$K$4,2,FALSE)/'Capital costs'!$D$4,1)*(CMFs!$C$38/100)</f>
        <v>0.16770000000000002</v>
      </c>
      <c r="AI8" s="193">
        <f>$D8*IF('Crash costs'!AI$3&lt;'Crash costs'!$N$3,HLOOKUP('Crash costs'!AI$3,'Capital costs'!$E$3:$K$4,2,FALSE)/'Capital costs'!$D$4,1)*(CMFs!$C$38/100)</f>
        <v>0.16770000000000002</v>
      </c>
      <c r="AJ8" s="193">
        <f>$D8*IF('Crash costs'!AJ$3&lt;'Crash costs'!$N$3,HLOOKUP('Crash costs'!AJ$3,'Capital costs'!$E$3:$K$4,2,FALSE)/'Capital costs'!$D$4,1)*(CMFs!$C$38/100)</f>
        <v>0.16770000000000002</v>
      </c>
      <c r="AK8" s="193">
        <f>$D8*IF('Crash costs'!AK$3&lt;'Crash costs'!$N$3,HLOOKUP('Crash costs'!AK$3,'Capital costs'!$E$3:$K$4,2,FALSE)/'Capital costs'!$D$4,1)*(CMFs!$C$38/100)</f>
        <v>0.16770000000000002</v>
      </c>
      <c r="AL8" s="193">
        <f>$D8*IF('Crash costs'!AL$3&lt;'Crash costs'!$N$3,HLOOKUP('Crash costs'!AL$3,'Capital costs'!$E$3:$K$4,2,FALSE)/'Capital costs'!$D$4,1)*(CMFs!$C$38/100)</f>
        <v>0.16770000000000002</v>
      </c>
      <c r="AM8" s="193">
        <f>$D8*IF('Crash costs'!AM$3&lt;'Crash costs'!$N$3,HLOOKUP('Crash costs'!AM$3,'Capital costs'!$E$3:$K$4,2,FALSE)/'Capital costs'!$D$4,1)*(CMFs!$C$38/100)</f>
        <v>0.16770000000000002</v>
      </c>
    </row>
    <row r="9" spans="2:39">
      <c r="B9" s="19" t="s">
        <v>179</v>
      </c>
      <c r="C9">
        <f>IF(CMFs!C44="Query",CMFs!E38,CMFs!E48)</f>
        <v>8</v>
      </c>
      <c r="D9" s="268">
        <f t="shared" si="1"/>
        <v>0.4</v>
      </c>
      <c r="E9" s="64">
        <f t="shared" si="2"/>
        <v>2.7864000000000009</v>
      </c>
      <c r="I9" s="193">
        <f>$D9*IF('Crash costs'!I$3&lt;'Crash costs'!$N$3,HLOOKUP('Crash costs'!I$3,'Capital costs'!$E$3:$K$4,2,FALSE)/'Capital costs'!$D$4,1)*(CMFs!$C$38/100)</f>
        <v>1.3126315789473686E-2</v>
      </c>
      <c r="J9" s="193">
        <f>$D9*IF('Crash costs'!J$3&lt;'Crash costs'!$N$3,HLOOKUP('Crash costs'!J$3,'Capital costs'!$E$3:$K$4,2,FALSE)/'Capital costs'!$D$4,1)*(CMFs!$C$38/100)</f>
        <v>2.3536842105263162E-2</v>
      </c>
      <c r="K9" s="193">
        <f>$D9*IF('Crash costs'!K$3&lt;'Crash costs'!$N$3,HLOOKUP('Crash costs'!K$3,'Capital costs'!$E$3:$K$4,2,FALSE)/'Capital costs'!$D$4,1)*(CMFs!$C$38/100)</f>
        <v>2.5347368421052632E-2</v>
      </c>
      <c r="L9" s="193">
        <f>$D9*IF('Crash costs'!L$3&lt;'Crash costs'!$N$3,HLOOKUP('Crash costs'!L$3,'Capital costs'!$E$3:$K$4,2,FALSE)/'Capital costs'!$D$4,1)*(CMFs!$C$38/100)</f>
        <v>2.3536842105263162E-2</v>
      </c>
      <c r="M9" s="193">
        <f>$D9*IF('Crash costs'!M$3&lt;'Crash costs'!$N$3,HLOOKUP('Crash costs'!M$3,'Capital costs'!$E$3:$K$4,2,FALSE)/'Capital costs'!$D$4,1)*(CMFs!$C$38/100)</f>
        <v>1.7652631578947371E-2</v>
      </c>
      <c r="N9" s="193">
        <f>$D9*IF('Crash costs'!N$3&lt;'Crash costs'!$N$3,HLOOKUP('Crash costs'!N$3,'Capital costs'!$E$3:$K$4,2,FALSE)/'Capital costs'!$D$4,1)*(CMFs!$C$38/100)</f>
        <v>0.10320000000000001</v>
      </c>
      <c r="O9" s="193">
        <f>$D9*IF('Crash costs'!O$3&lt;'Crash costs'!$N$3,HLOOKUP('Crash costs'!O$3,'Capital costs'!$E$3:$K$4,2,FALSE)/'Capital costs'!$D$4,1)*(CMFs!$C$38/100)</f>
        <v>0.10320000000000001</v>
      </c>
      <c r="P9" s="193">
        <f>$D9*IF('Crash costs'!P$3&lt;'Crash costs'!$N$3,HLOOKUP('Crash costs'!P$3,'Capital costs'!$E$3:$K$4,2,FALSE)/'Capital costs'!$D$4,1)*(CMFs!$C$38/100)</f>
        <v>0.10320000000000001</v>
      </c>
      <c r="Q9" s="193">
        <f>$D9*IF('Crash costs'!Q$3&lt;'Crash costs'!$N$3,HLOOKUP('Crash costs'!Q$3,'Capital costs'!$E$3:$K$4,2,FALSE)/'Capital costs'!$D$4,1)*(CMFs!$C$38/100)</f>
        <v>0.10320000000000001</v>
      </c>
      <c r="R9" s="193">
        <f>$D9*IF('Crash costs'!R$3&lt;'Crash costs'!$N$3,HLOOKUP('Crash costs'!R$3,'Capital costs'!$E$3:$K$4,2,FALSE)/'Capital costs'!$D$4,1)*(CMFs!$C$38/100)</f>
        <v>0.10320000000000001</v>
      </c>
      <c r="S9" s="193">
        <f>$D9*IF('Crash costs'!S$3&lt;'Crash costs'!$N$3,HLOOKUP('Crash costs'!S$3,'Capital costs'!$E$3:$K$4,2,FALSE)/'Capital costs'!$D$4,1)*(CMFs!$C$38/100)</f>
        <v>0.10320000000000001</v>
      </c>
      <c r="T9" s="193">
        <f>$D9*IF('Crash costs'!T$3&lt;'Crash costs'!$N$3,HLOOKUP('Crash costs'!T$3,'Capital costs'!$E$3:$K$4,2,FALSE)/'Capital costs'!$D$4,1)*(CMFs!$C$38/100)</f>
        <v>0.10320000000000001</v>
      </c>
      <c r="U9" s="193">
        <f>$D9*IF('Crash costs'!U$3&lt;'Crash costs'!$N$3,HLOOKUP('Crash costs'!U$3,'Capital costs'!$E$3:$K$4,2,FALSE)/'Capital costs'!$D$4,1)*(CMFs!$C$38/100)</f>
        <v>0.10320000000000001</v>
      </c>
      <c r="V9" s="193">
        <f>$D9*IF('Crash costs'!V$3&lt;'Crash costs'!$N$3,HLOOKUP('Crash costs'!V$3,'Capital costs'!$E$3:$K$4,2,FALSE)/'Capital costs'!$D$4,1)*(CMFs!$C$38/100)</f>
        <v>0.10320000000000001</v>
      </c>
      <c r="W9" s="193">
        <f>$D9*IF('Crash costs'!W$3&lt;'Crash costs'!$N$3,HLOOKUP('Crash costs'!W$3,'Capital costs'!$E$3:$K$4,2,FALSE)/'Capital costs'!$D$4,1)*(CMFs!$C$38/100)</f>
        <v>0.10320000000000001</v>
      </c>
      <c r="X9" s="193">
        <f>$D9*IF('Crash costs'!X$3&lt;'Crash costs'!$N$3,HLOOKUP('Crash costs'!X$3,'Capital costs'!$E$3:$K$4,2,FALSE)/'Capital costs'!$D$4,1)*(CMFs!$C$38/100)</f>
        <v>0.10320000000000001</v>
      </c>
      <c r="Y9" s="193">
        <f>$D9*IF('Crash costs'!Y$3&lt;'Crash costs'!$N$3,HLOOKUP('Crash costs'!Y$3,'Capital costs'!$E$3:$K$4,2,FALSE)/'Capital costs'!$D$4,1)*(CMFs!$C$38/100)</f>
        <v>0.10320000000000001</v>
      </c>
      <c r="Z9" s="193">
        <f>$D9*IF('Crash costs'!Z$3&lt;'Crash costs'!$N$3,HLOOKUP('Crash costs'!Z$3,'Capital costs'!$E$3:$K$4,2,FALSE)/'Capital costs'!$D$4,1)*(CMFs!$C$38/100)</f>
        <v>0.10320000000000001</v>
      </c>
      <c r="AA9" s="193">
        <f>$D9*IF('Crash costs'!AA$3&lt;'Crash costs'!$N$3,HLOOKUP('Crash costs'!AA$3,'Capital costs'!$E$3:$K$4,2,FALSE)/'Capital costs'!$D$4,1)*(CMFs!$C$38/100)</f>
        <v>0.10320000000000001</v>
      </c>
      <c r="AB9" s="193">
        <f>$D9*IF('Crash costs'!AB$3&lt;'Crash costs'!$N$3,HLOOKUP('Crash costs'!AB$3,'Capital costs'!$E$3:$K$4,2,FALSE)/'Capital costs'!$D$4,1)*(CMFs!$C$38/100)</f>
        <v>0.10320000000000001</v>
      </c>
      <c r="AC9" s="193">
        <f>$D9*IF('Crash costs'!AC$3&lt;'Crash costs'!$N$3,HLOOKUP('Crash costs'!AC$3,'Capital costs'!$E$3:$K$4,2,FALSE)/'Capital costs'!$D$4,1)*(CMFs!$C$38/100)</f>
        <v>0.10320000000000001</v>
      </c>
      <c r="AD9" s="193">
        <f>$D9*IF('Crash costs'!AD$3&lt;'Crash costs'!$N$3,HLOOKUP('Crash costs'!AD$3,'Capital costs'!$E$3:$K$4,2,FALSE)/'Capital costs'!$D$4,1)*(CMFs!$C$38/100)</f>
        <v>0.10320000000000001</v>
      </c>
      <c r="AE9" s="193">
        <f>$D9*IF('Crash costs'!AE$3&lt;'Crash costs'!$N$3,HLOOKUP('Crash costs'!AE$3,'Capital costs'!$E$3:$K$4,2,FALSE)/'Capital costs'!$D$4,1)*(CMFs!$C$38/100)</f>
        <v>0.10320000000000001</v>
      </c>
      <c r="AF9" s="193">
        <f>$D9*IF('Crash costs'!AF$3&lt;'Crash costs'!$N$3,HLOOKUP('Crash costs'!AF$3,'Capital costs'!$E$3:$K$4,2,FALSE)/'Capital costs'!$D$4,1)*(CMFs!$C$38/100)</f>
        <v>0.10320000000000001</v>
      </c>
      <c r="AG9" s="193">
        <f>$D9*IF('Crash costs'!AG$3&lt;'Crash costs'!$N$3,HLOOKUP('Crash costs'!AG$3,'Capital costs'!$E$3:$K$4,2,FALSE)/'Capital costs'!$D$4,1)*(CMFs!$C$38/100)</f>
        <v>0.10320000000000001</v>
      </c>
      <c r="AH9" s="193">
        <f>$D9*IF('Crash costs'!AH$3&lt;'Crash costs'!$N$3,HLOOKUP('Crash costs'!AH$3,'Capital costs'!$E$3:$K$4,2,FALSE)/'Capital costs'!$D$4,1)*(CMFs!$C$38/100)</f>
        <v>0.10320000000000001</v>
      </c>
      <c r="AI9" s="193">
        <f>$D9*IF('Crash costs'!AI$3&lt;'Crash costs'!$N$3,HLOOKUP('Crash costs'!AI$3,'Capital costs'!$E$3:$K$4,2,FALSE)/'Capital costs'!$D$4,1)*(CMFs!$C$38/100)</f>
        <v>0.10320000000000001</v>
      </c>
      <c r="AJ9" s="193">
        <f>$D9*IF('Crash costs'!AJ$3&lt;'Crash costs'!$N$3,HLOOKUP('Crash costs'!AJ$3,'Capital costs'!$E$3:$K$4,2,FALSE)/'Capital costs'!$D$4,1)*(CMFs!$C$38/100)</f>
        <v>0.10320000000000001</v>
      </c>
      <c r="AK9" s="193">
        <f>$D9*IF('Crash costs'!AK$3&lt;'Crash costs'!$N$3,HLOOKUP('Crash costs'!AK$3,'Capital costs'!$E$3:$K$4,2,FALSE)/'Capital costs'!$D$4,1)*(CMFs!$C$38/100)</f>
        <v>0.10320000000000001</v>
      </c>
      <c r="AL9" s="193">
        <f>$D9*IF('Crash costs'!AL$3&lt;'Crash costs'!$N$3,HLOOKUP('Crash costs'!AL$3,'Capital costs'!$E$3:$K$4,2,FALSE)/'Capital costs'!$D$4,1)*(CMFs!$C$38/100)</f>
        <v>0.10320000000000001</v>
      </c>
      <c r="AM9" s="193">
        <f>$D9*IF('Crash costs'!AM$3&lt;'Crash costs'!$N$3,HLOOKUP('Crash costs'!AM$3,'Capital costs'!$E$3:$K$4,2,FALSE)/'Capital costs'!$D$4,1)*(CMFs!$C$38/100)</f>
        <v>0.10320000000000001</v>
      </c>
    </row>
    <row r="10" spans="2:39">
      <c r="B10" s="19" t="s">
        <v>200</v>
      </c>
      <c r="C10" s="42">
        <f>SUM(C7:C9)</f>
        <v>37.428571428571431</v>
      </c>
      <c r="D10" s="268">
        <f t="shared" si="1"/>
        <v>1.8714285714285714</v>
      </c>
    </row>
    <row r="11" spans="2:39">
      <c r="D11" s="15"/>
    </row>
    <row r="12" spans="2:39">
      <c r="D12" s="15"/>
    </row>
    <row r="13" spans="2:39">
      <c r="D13" s="15"/>
    </row>
    <row r="14" spans="2:39">
      <c r="B14" s="13" t="s">
        <v>448</v>
      </c>
      <c r="C14" t="s">
        <v>389</v>
      </c>
      <c r="D14" s="15"/>
    </row>
    <row r="15" spans="2:39">
      <c r="B15" s="19" t="s">
        <v>181</v>
      </c>
      <c r="C15" s="42">
        <f>IF(CMFs!$C$44="Query",CMFs!G40,CMFs!G50)</f>
        <v>6.5714285714285712</v>
      </c>
      <c r="D15" s="268">
        <f>(C15/20)</f>
        <v>0.32857142857142857</v>
      </c>
      <c r="E15" s="64">
        <f>SUM(I15:AM15)</f>
        <v>3.4598571428571444E-2</v>
      </c>
      <c r="I15" s="15">
        <f>$D15*IF('Crash costs'!I$3&lt;'Crash costs'!$N$3,HLOOKUP('Crash costs'!I$3,'Capital costs'!$E$3:$K$4,2,FALSE)/'Capital costs'!$D$4,1)*(CMFs!$C$40/100)</f>
        <v>1.6298872180451129E-4</v>
      </c>
      <c r="J15" s="15">
        <f>$D15*IF('Crash costs'!J$3&lt;'Crash costs'!$N$3,HLOOKUP('Crash costs'!J$3,'Capital costs'!$E$3:$K$4,2,FALSE)/'Capital costs'!$D$4,1)*(CMFs!$C$40/100)</f>
        <v>2.9225563909774434E-4</v>
      </c>
      <c r="K15" s="15">
        <f>$D15*IF('Crash costs'!K$3&lt;'Crash costs'!$N$3,HLOOKUP('Crash costs'!K$3,'Capital costs'!$E$3:$K$4,2,FALSE)/'Capital costs'!$D$4,1)*(CMFs!$C$40/100)</f>
        <v>3.1473684210526316E-4</v>
      </c>
      <c r="L15" s="15">
        <f>$D15*IF('Crash costs'!L$3&lt;'Crash costs'!$N$3,HLOOKUP('Crash costs'!L$3,'Capital costs'!$E$3:$K$4,2,FALSE)/'Capital costs'!$D$4,1)*(CMFs!$C$40/100)</f>
        <v>2.9225563909774434E-4</v>
      </c>
      <c r="M15" s="15">
        <f>$D15*IF('Crash costs'!M$3&lt;'Crash costs'!$N$3,HLOOKUP('Crash costs'!M$3,'Capital costs'!$E$3:$K$4,2,FALSE)/'Capital costs'!$D$4,1)*(CMFs!$C$40/100)</f>
        <v>2.1919172932330827E-4</v>
      </c>
      <c r="N15" s="15">
        <f>$D15*IF('Crash costs'!N$3&lt;'Crash costs'!$N$3,HLOOKUP('Crash costs'!N$3,'Capital costs'!$E$3:$K$4,2,FALSE)/'Capital costs'!$D$4,1)*(CMFs!$C$40/100)</f>
        <v>1.2814285714285716E-3</v>
      </c>
      <c r="O15" s="15">
        <f>$D15*IF('Crash costs'!O$3&lt;'Crash costs'!$N$3,HLOOKUP('Crash costs'!O$3,'Capital costs'!$E$3:$K$4,2,FALSE)/'Capital costs'!$D$4,1)*(CMFs!$C$40/100)</f>
        <v>1.2814285714285716E-3</v>
      </c>
      <c r="P15" s="15">
        <f>$D15*IF('Crash costs'!P$3&lt;'Crash costs'!$N$3,HLOOKUP('Crash costs'!P$3,'Capital costs'!$E$3:$K$4,2,FALSE)/'Capital costs'!$D$4,1)*(CMFs!$C$40/100)</f>
        <v>1.2814285714285716E-3</v>
      </c>
      <c r="Q15" s="15">
        <f>$D15*IF('Crash costs'!Q$3&lt;'Crash costs'!$N$3,HLOOKUP('Crash costs'!Q$3,'Capital costs'!$E$3:$K$4,2,FALSE)/'Capital costs'!$D$4,1)*(CMFs!$C$40/100)</f>
        <v>1.2814285714285716E-3</v>
      </c>
      <c r="R15" s="15">
        <f>$D15*IF('Crash costs'!R$3&lt;'Crash costs'!$N$3,HLOOKUP('Crash costs'!R$3,'Capital costs'!$E$3:$K$4,2,FALSE)/'Capital costs'!$D$4,1)*(CMFs!$C$40/100)</f>
        <v>1.2814285714285716E-3</v>
      </c>
      <c r="S15" s="15">
        <f>$D15*IF('Crash costs'!S$3&lt;'Crash costs'!$N$3,HLOOKUP('Crash costs'!S$3,'Capital costs'!$E$3:$K$4,2,FALSE)/'Capital costs'!$D$4,1)*(CMFs!$C$40/100)</f>
        <v>1.2814285714285716E-3</v>
      </c>
      <c r="T15" s="15">
        <f>$D15*IF('Crash costs'!T$3&lt;'Crash costs'!$N$3,HLOOKUP('Crash costs'!T$3,'Capital costs'!$E$3:$K$4,2,FALSE)/'Capital costs'!$D$4,1)*(CMFs!$C$40/100)</f>
        <v>1.2814285714285716E-3</v>
      </c>
      <c r="U15" s="15">
        <f>$D15*IF('Crash costs'!U$3&lt;'Crash costs'!$N$3,HLOOKUP('Crash costs'!U$3,'Capital costs'!$E$3:$K$4,2,FALSE)/'Capital costs'!$D$4,1)*(CMFs!$C$40/100)</f>
        <v>1.2814285714285716E-3</v>
      </c>
      <c r="V15" s="15">
        <f>$D15*IF('Crash costs'!V$3&lt;'Crash costs'!$N$3,HLOOKUP('Crash costs'!V$3,'Capital costs'!$E$3:$K$4,2,FALSE)/'Capital costs'!$D$4,1)*(CMFs!$C$40/100)</f>
        <v>1.2814285714285716E-3</v>
      </c>
      <c r="W15" s="15">
        <f>$D15*IF('Crash costs'!W$3&lt;'Crash costs'!$N$3,HLOOKUP('Crash costs'!W$3,'Capital costs'!$E$3:$K$4,2,FALSE)/'Capital costs'!$D$4,1)*(CMFs!$C$40/100)</f>
        <v>1.2814285714285716E-3</v>
      </c>
      <c r="X15" s="15">
        <f>$D15*IF('Crash costs'!X$3&lt;'Crash costs'!$N$3,HLOOKUP('Crash costs'!X$3,'Capital costs'!$E$3:$K$4,2,FALSE)/'Capital costs'!$D$4,1)*(CMFs!$C$40/100)</f>
        <v>1.2814285714285716E-3</v>
      </c>
      <c r="Y15" s="15">
        <f>$D15*IF('Crash costs'!Y$3&lt;'Crash costs'!$N$3,HLOOKUP('Crash costs'!Y$3,'Capital costs'!$E$3:$K$4,2,FALSE)/'Capital costs'!$D$4,1)*(CMFs!$C$40/100)</f>
        <v>1.2814285714285716E-3</v>
      </c>
      <c r="Z15" s="15">
        <f>$D15*IF('Crash costs'!Z$3&lt;'Crash costs'!$N$3,HLOOKUP('Crash costs'!Z$3,'Capital costs'!$E$3:$K$4,2,FALSE)/'Capital costs'!$D$4,1)*(CMFs!$C$40/100)</f>
        <v>1.2814285714285716E-3</v>
      </c>
      <c r="AA15" s="15">
        <f>$D15*IF('Crash costs'!AA$3&lt;'Crash costs'!$N$3,HLOOKUP('Crash costs'!AA$3,'Capital costs'!$E$3:$K$4,2,FALSE)/'Capital costs'!$D$4,1)*(CMFs!$C$40/100)</f>
        <v>1.2814285714285716E-3</v>
      </c>
      <c r="AB15" s="15">
        <f>$D15*IF('Crash costs'!AB$3&lt;'Crash costs'!$N$3,HLOOKUP('Crash costs'!AB$3,'Capital costs'!$E$3:$K$4,2,FALSE)/'Capital costs'!$D$4,1)*(CMFs!$C$40/100)</f>
        <v>1.2814285714285716E-3</v>
      </c>
      <c r="AC15" s="15">
        <f>$D15*IF('Crash costs'!AC$3&lt;'Crash costs'!$N$3,HLOOKUP('Crash costs'!AC$3,'Capital costs'!$E$3:$K$4,2,FALSE)/'Capital costs'!$D$4,1)*(CMFs!$C$40/100)</f>
        <v>1.2814285714285716E-3</v>
      </c>
      <c r="AD15" s="15">
        <f>$D15*IF('Crash costs'!AD$3&lt;'Crash costs'!$N$3,HLOOKUP('Crash costs'!AD$3,'Capital costs'!$E$3:$K$4,2,FALSE)/'Capital costs'!$D$4,1)*(CMFs!$C$40/100)</f>
        <v>1.2814285714285716E-3</v>
      </c>
      <c r="AE15" s="15">
        <f>$D15*IF('Crash costs'!AE$3&lt;'Crash costs'!$N$3,HLOOKUP('Crash costs'!AE$3,'Capital costs'!$E$3:$K$4,2,FALSE)/'Capital costs'!$D$4,1)*(CMFs!$C$40/100)</f>
        <v>1.2814285714285716E-3</v>
      </c>
      <c r="AF15" s="15">
        <f>$D15*IF('Crash costs'!AF$3&lt;'Crash costs'!$N$3,HLOOKUP('Crash costs'!AF$3,'Capital costs'!$E$3:$K$4,2,FALSE)/'Capital costs'!$D$4,1)*(CMFs!$C$40/100)</f>
        <v>1.2814285714285716E-3</v>
      </c>
      <c r="AG15" s="15">
        <f>$D15*IF('Crash costs'!AG$3&lt;'Crash costs'!$N$3,HLOOKUP('Crash costs'!AG$3,'Capital costs'!$E$3:$K$4,2,FALSE)/'Capital costs'!$D$4,1)*(CMFs!$C$40/100)</f>
        <v>1.2814285714285716E-3</v>
      </c>
      <c r="AH15" s="15">
        <f>$D15*IF('Crash costs'!AH$3&lt;'Crash costs'!$N$3,HLOOKUP('Crash costs'!AH$3,'Capital costs'!$E$3:$K$4,2,FALSE)/'Capital costs'!$D$4,1)*(CMFs!$C$40/100)</f>
        <v>1.2814285714285716E-3</v>
      </c>
      <c r="AI15" s="15">
        <f>$D15*IF('Crash costs'!AI$3&lt;'Crash costs'!$N$3,HLOOKUP('Crash costs'!AI$3,'Capital costs'!$E$3:$K$4,2,FALSE)/'Capital costs'!$D$4,1)*(CMFs!$C$40/100)</f>
        <v>1.2814285714285716E-3</v>
      </c>
      <c r="AJ15" s="15">
        <f>$D15*IF('Crash costs'!AJ$3&lt;'Crash costs'!$N$3,HLOOKUP('Crash costs'!AJ$3,'Capital costs'!$E$3:$K$4,2,FALSE)/'Capital costs'!$D$4,1)*(CMFs!$C$40/100)</f>
        <v>1.2814285714285716E-3</v>
      </c>
      <c r="AK15" s="15">
        <f>$D15*IF('Crash costs'!AK$3&lt;'Crash costs'!$N$3,HLOOKUP('Crash costs'!AK$3,'Capital costs'!$E$3:$K$4,2,FALSE)/'Capital costs'!$D$4,1)*(CMFs!$C$40/100)</f>
        <v>1.2814285714285716E-3</v>
      </c>
      <c r="AL15" s="15">
        <f>$D15*IF('Crash costs'!AL$3&lt;'Crash costs'!$N$3,HLOOKUP('Crash costs'!AL$3,'Capital costs'!$E$3:$K$4,2,FALSE)/'Capital costs'!$D$4,1)*(CMFs!$C$40/100)</f>
        <v>1.2814285714285716E-3</v>
      </c>
      <c r="AM15" s="15">
        <f>$D15*IF('Crash costs'!AM$3&lt;'Crash costs'!$N$3,HLOOKUP('Crash costs'!AM$3,'Capital costs'!$E$3:$K$4,2,FALSE)/'Capital costs'!$D$4,1)*(CMFs!$C$40/100)</f>
        <v>1.2814285714285716E-3</v>
      </c>
    </row>
    <row r="16" spans="2:39">
      <c r="B16" s="19" t="s">
        <v>180</v>
      </c>
      <c r="C16" s="42">
        <f>IF(CMFs!$C$44="Query",CMFs!F40,CMFs!F50)</f>
        <v>4</v>
      </c>
      <c r="D16" s="268">
        <f>C16/20</f>
        <v>0.2</v>
      </c>
      <c r="E16" s="64">
        <f t="shared" ref="E16:E17" si="3">SUM(I16:AM16)</f>
        <v>2.1059999999999995E-2</v>
      </c>
      <c r="I16" s="15">
        <f>$D16*IF('Crash costs'!I$3&lt;'Crash costs'!$N$3,HLOOKUP('Crash costs'!I$3,'Capital costs'!$E$3:$K$4,2,FALSE)/'Capital costs'!$D$4,1)*(CMFs!$C$40/100)</f>
        <v>9.9210526315789488E-5</v>
      </c>
      <c r="J16" s="15">
        <f>$D16*IF('Crash costs'!J$3&lt;'Crash costs'!$N$3,HLOOKUP('Crash costs'!J$3,'Capital costs'!$E$3:$K$4,2,FALSE)/'Capital costs'!$D$4,1)*(CMFs!$C$40/100)</f>
        <v>1.7789473684210529E-4</v>
      </c>
      <c r="K16" s="15">
        <f>$D16*IF('Crash costs'!K$3&lt;'Crash costs'!$N$3,HLOOKUP('Crash costs'!K$3,'Capital costs'!$E$3:$K$4,2,FALSE)/'Capital costs'!$D$4,1)*(CMFs!$C$40/100)</f>
        <v>1.9157894736842107E-4</v>
      </c>
      <c r="L16" s="15">
        <f>$D16*IF('Crash costs'!L$3&lt;'Crash costs'!$N$3,HLOOKUP('Crash costs'!L$3,'Capital costs'!$E$3:$K$4,2,FALSE)/'Capital costs'!$D$4,1)*(CMFs!$C$40/100)</f>
        <v>1.7789473684210529E-4</v>
      </c>
      <c r="M16" s="15">
        <f>$D16*IF('Crash costs'!M$3&lt;'Crash costs'!$N$3,HLOOKUP('Crash costs'!M$3,'Capital costs'!$E$3:$K$4,2,FALSE)/'Capital costs'!$D$4,1)*(CMFs!$C$40/100)</f>
        <v>1.3342105263157897E-4</v>
      </c>
      <c r="N16" s="15">
        <f>$D16*IF('Crash costs'!N$3&lt;'Crash costs'!$N$3,HLOOKUP('Crash costs'!N$3,'Capital costs'!$E$3:$K$4,2,FALSE)/'Capital costs'!$D$4,1)*(CMFs!$C$40/100)</f>
        <v>7.8000000000000009E-4</v>
      </c>
      <c r="O16" s="15">
        <f>$D16*IF('Crash costs'!O$3&lt;'Crash costs'!$N$3,HLOOKUP('Crash costs'!O$3,'Capital costs'!$E$3:$K$4,2,FALSE)/'Capital costs'!$D$4,1)*(CMFs!$C$40/100)</f>
        <v>7.8000000000000009E-4</v>
      </c>
      <c r="P16" s="15">
        <f>$D16*IF('Crash costs'!P$3&lt;'Crash costs'!$N$3,HLOOKUP('Crash costs'!P$3,'Capital costs'!$E$3:$K$4,2,FALSE)/'Capital costs'!$D$4,1)*(CMFs!$C$40/100)</f>
        <v>7.8000000000000009E-4</v>
      </c>
      <c r="Q16" s="15">
        <f>$D16*IF('Crash costs'!Q$3&lt;'Crash costs'!$N$3,HLOOKUP('Crash costs'!Q$3,'Capital costs'!$E$3:$K$4,2,FALSE)/'Capital costs'!$D$4,1)*(CMFs!$C$40/100)</f>
        <v>7.8000000000000009E-4</v>
      </c>
      <c r="R16" s="15">
        <f>$D16*IF('Crash costs'!R$3&lt;'Crash costs'!$N$3,HLOOKUP('Crash costs'!R$3,'Capital costs'!$E$3:$K$4,2,FALSE)/'Capital costs'!$D$4,1)*(CMFs!$C$40/100)</f>
        <v>7.8000000000000009E-4</v>
      </c>
      <c r="S16" s="15">
        <f>$D16*IF('Crash costs'!S$3&lt;'Crash costs'!$N$3,HLOOKUP('Crash costs'!S$3,'Capital costs'!$E$3:$K$4,2,FALSE)/'Capital costs'!$D$4,1)*(CMFs!$C$40/100)</f>
        <v>7.8000000000000009E-4</v>
      </c>
      <c r="T16" s="15">
        <f>$D16*IF('Crash costs'!T$3&lt;'Crash costs'!$N$3,HLOOKUP('Crash costs'!T$3,'Capital costs'!$E$3:$K$4,2,FALSE)/'Capital costs'!$D$4,1)*(CMFs!$C$40/100)</f>
        <v>7.8000000000000009E-4</v>
      </c>
      <c r="U16" s="15">
        <f>$D16*IF('Crash costs'!U$3&lt;'Crash costs'!$N$3,HLOOKUP('Crash costs'!U$3,'Capital costs'!$E$3:$K$4,2,FALSE)/'Capital costs'!$D$4,1)*(CMFs!$C$40/100)</f>
        <v>7.8000000000000009E-4</v>
      </c>
      <c r="V16" s="15">
        <f>$D16*IF('Crash costs'!V$3&lt;'Crash costs'!$N$3,HLOOKUP('Crash costs'!V$3,'Capital costs'!$E$3:$K$4,2,FALSE)/'Capital costs'!$D$4,1)*(CMFs!$C$40/100)</f>
        <v>7.8000000000000009E-4</v>
      </c>
      <c r="W16" s="15">
        <f>$D16*IF('Crash costs'!W$3&lt;'Crash costs'!$N$3,HLOOKUP('Crash costs'!W$3,'Capital costs'!$E$3:$K$4,2,FALSE)/'Capital costs'!$D$4,1)*(CMFs!$C$40/100)</f>
        <v>7.8000000000000009E-4</v>
      </c>
      <c r="X16" s="15">
        <f>$D16*IF('Crash costs'!X$3&lt;'Crash costs'!$N$3,HLOOKUP('Crash costs'!X$3,'Capital costs'!$E$3:$K$4,2,FALSE)/'Capital costs'!$D$4,1)*(CMFs!$C$40/100)</f>
        <v>7.8000000000000009E-4</v>
      </c>
      <c r="Y16" s="15">
        <f>$D16*IF('Crash costs'!Y$3&lt;'Crash costs'!$N$3,HLOOKUP('Crash costs'!Y$3,'Capital costs'!$E$3:$K$4,2,FALSE)/'Capital costs'!$D$4,1)*(CMFs!$C$40/100)</f>
        <v>7.8000000000000009E-4</v>
      </c>
      <c r="Z16" s="15">
        <f>$D16*IF('Crash costs'!Z$3&lt;'Crash costs'!$N$3,HLOOKUP('Crash costs'!Z$3,'Capital costs'!$E$3:$K$4,2,FALSE)/'Capital costs'!$D$4,1)*(CMFs!$C$40/100)</f>
        <v>7.8000000000000009E-4</v>
      </c>
      <c r="AA16" s="15">
        <f>$D16*IF('Crash costs'!AA$3&lt;'Crash costs'!$N$3,HLOOKUP('Crash costs'!AA$3,'Capital costs'!$E$3:$K$4,2,FALSE)/'Capital costs'!$D$4,1)*(CMFs!$C$40/100)</f>
        <v>7.8000000000000009E-4</v>
      </c>
      <c r="AB16" s="15">
        <f>$D16*IF('Crash costs'!AB$3&lt;'Crash costs'!$N$3,HLOOKUP('Crash costs'!AB$3,'Capital costs'!$E$3:$K$4,2,FALSE)/'Capital costs'!$D$4,1)*(CMFs!$C$40/100)</f>
        <v>7.8000000000000009E-4</v>
      </c>
      <c r="AC16" s="15">
        <f>$D16*IF('Crash costs'!AC$3&lt;'Crash costs'!$N$3,HLOOKUP('Crash costs'!AC$3,'Capital costs'!$E$3:$K$4,2,FALSE)/'Capital costs'!$D$4,1)*(CMFs!$C$40/100)</f>
        <v>7.8000000000000009E-4</v>
      </c>
      <c r="AD16" s="15">
        <f>$D16*IF('Crash costs'!AD$3&lt;'Crash costs'!$N$3,HLOOKUP('Crash costs'!AD$3,'Capital costs'!$E$3:$K$4,2,FALSE)/'Capital costs'!$D$4,1)*(CMFs!$C$40/100)</f>
        <v>7.8000000000000009E-4</v>
      </c>
      <c r="AE16" s="15">
        <f>$D16*IF('Crash costs'!AE$3&lt;'Crash costs'!$N$3,HLOOKUP('Crash costs'!AE$3,'Capital costs'!$E$3:$K$4,2,FALSE)/'Capital costs'!$D$4,1)*(CMFs!$C$40/100)</f>
        <v>7.8000000000000009E-4</v>
      </c>
      <c r="AF16" s="15">
        <f>$D16*IF('Crash costs'!AF$3&lt;'Crash costs'!$N$3,HLOOKUP('Crash costs'!AF$3,'Capital costs'!$E$3:$K$4,2,FALSE)/'Capital costs'!$D$4,1)*(CMFs!$C$40/100)</f>
        <v>7.8000000000000009E-4</v>
      </c>
      <c r="AG16" s="15">
        <f>$D16*IF('Crash costs'!AG$3&lt;'Crash costs'!$N$3,HLOOKUP('Crash costs'!AG$3,'Capital costs'!$E$3:$K$4,2,FALSE)/'Capital costs'!$D$4,1)*(CMFs!$C$40/100)</f>
        <v>7.8000000000000009E-4</v>
      </c>
      <c r="AH16" s="15">
        <f>$D16*IF('Crash costs'!AH$3&lt;'Crash costs'!$N$3,HLOOKUP('Crash costs'!AH$3,'Capital costs'!$E$3:$K$4,2,FALSE)/'Capital costs'!$D$4,1)*(CMFs!$C$40/100)</f>
        <v>7.8000000000000009E-4</v>
      </c>
      <c r="AI16" s="15">
        <f>$D16*IF('Crash costs'!AI$3&lt;'Crash costs'!$N$3,HLOOKUP('Crash costs'!AI$3,'Capital costs'!$E$3:$K$4,2,FALSE)/'Capital costs'!$D$4,1)*(CMFs!$C$40/100)</f>
        <v>7.8000000000000009E-4</v>
      </c>
      <c r="AJ16" s="15">
        <f>$D16*IF('Crash costs'!AJ$3&lt;'Crash costs'!$N$3,HLOOKUP('Crash costs'!AJ$3,'Capital costs'!$E$3:$K$4,2,FALSE)/'Capital costs'!$D$4,1)*(CMFs!$C$40/100)</f>
        <v>7.8000000000000009E-4</v>
      </c>
      <c r="AK16" s="15">
        <f>$D16*IF('Crash costs'!AK$3&lt;'Crash costs'!$N$3,HLOOKUP('Crash costs'!AK$3,'Capital costs'!$E$3:$K$4,2,FALSE)/'Capital costs'!$D$4,1)*(CMFs!$C$40/100)</f>
        <v>7.8000000000000009E-4</v>
      </c>
      <c r="AL16" s="15">
        <f>$D16*IF('Crash costs'!AL$3&lt;'Crash costs'!$N$3,HLOOKUP('Crash costs'!AL$3,'Capital costs'!$E$3:$K$4,2,FALSE)/'Capital costs'!$D$4,1)*(CMFs!$C$40/100)</f>
        <v>7.8000000000000009E-4</v>
      </c>
      <c r="AM16" s="15">
        <f>$D16*IF('Crash costs'!AM$3&lt;'Crash costs'!$N$3,HLOOKUP('Crash costs'!AM$3,'Capital costs'!$E$3:$K$4,2,FALSE)/'Capital costs'!$D$4,1)*(CMFs!$C$40/100)</f>
        <v>7.8000000000000009E-4</v>
      </c>
    </row>
    <row r="17" spans="2:40">
      <c r="B17" s="19" t="s">
        <v>179</v>
      </c>
      <c r="C17" s="42">
        <f>IF(CMFs!$C$44="Query",CMFs!E40,CMFs!E50)</f>
        <v>0</v>
      </c>
      <c r="D17" s="268">
        <f>C17/20</f>
        <v>0</v>
      </c>
      <c r="E17" s="64">
        <f t="shared" si="3"/>
        <v>0</v>
      </c>
      <c r="I17" s="15">
        <f>$D17*IF('Crash costs'!I$3&lt;'Crash costs'!$N$3,HLOOKUP('Crash costs'!I$3,'Capital costs'!$E$3:$K$4,2,FALSE)/'Capital costs'!$D$4,1)*(CMFs!$C$40/100)</f>
        <v>0</v>
      </c>
      <c r="J17" s="15">
        <f>$D17*IF('Crash costs'!J$3&lt;'Crash costs'!$N$3,HLOOKUP('Crash costs'!J$3,'Capital costs'!$E$3:$K$4,2,FALSE)/'Capital costs'!$D$4,1)*(CMFs!$C$40/100)</f>
        <v>0</v>
      </c>
      <c r="K17" s="15">
        <f>$D17*IF('Crash costs'!K$3&lt;'Crash costs'!$N$3,HLOOKUP('Crash costs'!K$3,'Capital costs'!$E$3:$K$4,2,FALSE)/'Capital costs'!$D$4,1)*(CMFs!$C$40/100)</f>
        <v>0</v>
      </c>
      <c r="L17" s="15">
        <f>$D17*IF('Crash costs'!L$3&lt;'Crash costs'!$N$3,HLOOKUP('Crash costs'!L$3,'Capital costs'!$E$3:$K$4,2,FALSE)/'Capital costs'!$D$4,1)*(CMFs!$C$40/100)</f>
        <v>0</v>
      </c>
      <c r="M17" s="15">
        <f>$D17*IF('Crash costs'!M$3&lt;'Crash costs'!$N$3,HLOOKUP('Crash costs'!M$3,'Capital costs'!$E$3:$K$4,2,FALSE)/'Capital costs'!$D$4,1)*(CMFs!$C$40/100)</f>
        <v>0</v>
      </c>
      <c r="N17" s="15">
        <f>$D17*IF('Crash costs'!N$3&lt;'Crash costs'!$N$3,HLOOKUP('Crash costs'!N$3,'Capital costs'!$E$3:$K$4,2,FALSE)/'Capital costs'!$D$4,1)*(CMFs!$C$40/100)</f>
        <v>0</v>
      </c>
      <c r="O17" s="15">
        <f>$D17*IF('Crash costs'!O$3&lt;'Crash costs'!$N$3,HLOOKUP('Crash costs'!O$3,'Capital costs'!$E$3:$K$4,2,FALSE)/'Capital costs'!$D$4,1)*(CMFs!$C$40/100)</f>
        <v>0</v>
      </c>
      <c r="P17" s="15">
        <f>$D17*IF('Crash costs'!P$3&lt;'Crash costs'!$N$3,HLOOKUP('Crash costs'!P$3,'Capital costs'!$E$3:$K$4,2,FALSE)/'Capital costs'!$D$4,1)*(CMFs!$C$40/100)</f>
        <v>0</v>
      </c>
      <c r="Q17" s="15">
        <f>$D17*IF('Crash costs'!Q$3&lt;'Crash costs'!$N$3,HLOOKUP('Crash costs'!Q$3,'Capital costs'!$E$3:$K$4,2,FALSE)/'Capital costs'!$D$4,1)*(CMFs!$C$40/100)</f>
        <v>0</v>
      </c>
      <c r="R17" s="15">
        <f>$D17*IF('Crash costs'!R$3&lt;'Crash costs'!$N$3,HLOOKUP('Crash costs'!R$3,'Capital costs'!$E$3:$K$4,2,FALSE)/'Capital costs'!$D$4,1)*(CMFs!$C$40/100)</f>
        <v>0</v>
      </c>
      <c r="S17" s="15">
        <f>$D17*IF('Crash costs'!S$3&lt;'Crash costs'!$N$3,HLOOKUP('Crash costs'!S$3,'Capital costs'!$E$3:$K$4,2,FALSE)/'Capital costs'!$D$4,1)*(CMFs!$C$40/100)</f>
        <v>0</v>
      </c>
      <c r="T17" s="15">
        <f>$D17*IF('Crash costs'!T$3&lt;'Crash costs'!$N$3,HLOOKUP('Crash costs'!T$3,'Capital costs'!$E$3:$K$4,2,FALSE)/'Capital costs'!$D$4,1)*(CMFs!$C$40/100)</f>
        <v>0</v>
      </c>
      <c r="U17" s="15">
        <f>$D17*IF('Crash costs'!U$3&lt;'Crash costs'!$N$3,HLOOKUP('Crash costs'!U$3,'Capital costs'!$E$3:$K$4,2,FALSE)/'Capital costs'!$D$4,1)*(CMFs!$C$40/100)</f>
        <v>0</v>
      </c>
      <c r="V17" s="15">
        <f>$D17*IF('Crash costs'!V$3&lt;'Crash costs'!$N$3,HLOOKUP('Crash costs'!V$3,'Capital costs'!$E$3:$K$4,2,FALSE)/'Capital costs'!$D$4,1)*(CMFs!$C$40/100)</f>
        <v>0</v>
      </c>
      <c r="W17" s="15">
        <f>$D17*IF('Crash costs'!W$3&lt;'Crash costs'!$N$3,HLOOKUP('Crash costs'!W$3,'Capital costs'!$E$3:$K$4,2,FALSE)/'Capital costs'!$D$4,1)*(CMFs!$C$40/100)</f>
        <v>0</v>
      </c>
      <c r="X17" s="15">
        <f>$D17*IF('Crash costs'!X$3&lt;'Crash costs'!$N$3,HLOOKUP('Crash costs'!X$3,'Capital costs'!$E$3:$K$4,2,FALSE)/'Capital costs'!$D$4,1)*(CMFs!$C$40/100)</f>
        <v>0</v>
      </c>
      <c r="Y17" s="15">
        <f>$D17*IF('Crash costs'!Y$3&lt;'Crash costs'!$N$3,HLOOKUP('Crash costs'!Y$3,'Capital costs'!$E$3:$K$4,2,FALSE)/'Capital costs'!$D$4,1)*(CMFs!$C$40/100)</f>
        <v>0</v>
      </c>
      <c r="Z17" s="15">
        <f>$D17*IF('Crash costs'!Z$3&lt;'Crash costs'!$N$3,HLOOKUP('Crash costs'!Z$3,'Capital costs'!$E$3:$K$4,2,FALSE)/'Capital costs'!$D$4,1)*(CMFs!$C$40/100)</f>
        <v>0</v>
      </c>
      <c r="AA17" s="15">
        <f>$D17*IF('Crash costs'!AA$3&lt;'Crash costs'!$N$3,HLOOKUP('Crash costs'!AA$3,'Capital costs'!$E$3:$K$4,2,FALSE)/'Capital costs'!$D$4,1)*(CMFs!$C$40/100)</f>
        <v>0</v>
      </c>
      <c r="AB17" s="15">
        <f>$D17*IF('Crash costs'!AB$3&lt;'Crash costs'!$N$3,HLOOKUP('Crash costs'!AB$3,'Capital costs'!$E$3:$K$4,2,FALSE)/'Capital costs'!$D$4,1)*(CMFs!$C$40/100)</f>
        <v>0</v>
      </c>
      <c r="AC17" s="15">
        <f>$D17*IF('Crash costs'!AC$3&lt;'Crash costs'!$N$3,HLOOKUP('Crash costs'!AC$3,'Capital costs'!$E$3:$K$4,2,FALSE)/'Capital costs'!$D$4,1)*(CMFs!$C$40/100)</f>
        <v>0</v>
      </c>
      <c r="AD17" s="15">
        <f>$D17*IF('Crash costs'!AD$3&lt;'Crash costs'!$N$3,HLOOKUP('Crash costs'!AD$3,'Capital costs'!$E$3:$K$4,2,FALSE)/'Capital costs'!$D$4,1)*(CMFs!$C$40/100)</f>
        <v>0</v>
      </c>
      <c r="AE17" s="15">
        <f>$D17*IF('Crash costs'!AE$3&lt;'Crash costs'!$N$3,HLOOKUP('Crash costs'!AE$3,'Capital costs'!$E$3:$K$4,2,FALSE)/'Capital costs'!$D$4,1)*(CMFs!$C$40/100)</f>
        <v>0</v>
      </c>
      <c r="AF17" s="15">
        <f>$D17*IF('Crash costs'!AF$3&lt;'Crash costs'!$N$3,HLOOKUP('Crash costs'!AF$3,'Capital costs'!$E$3:$K$4,2,FALSE)/'Capital costs'!$D$4,1)*(CMFs!$C$40/100)</f>
        <v>0</v>
      </c>
      <c r="AG17" s="15">
        <f>$D17*IF('Crash costs'!AG$3&lt;'Crash costs'!$N$3,HLOOKUP('Crash costs'!AG$3,'Capital costs'!$E$3:$K$4,2,FALSE)/'Capital costs'!$D$4,1)*(CMFs!$C$40/100)</f>
        <v>0</v>
      </c>
      <c r="AH17" s="15">
        <f>$D17*IF('Crash costs'!AH$3&lt;'Crash costs'!$N$3,HLOOKUP('Crash costs'!AH$3,'Capital costs'!$E$3:$K$4,2,FALSE)/'Capital costs'!$D$4,1)*(CMFs!$C$40/100)</f>
        <v>0</v>
      </c>
      <c r="AI17" s="15">
        <f>$D17*IF('Crash costs'!AI$3&lt;'Crash costs'!$N$3,HLOOKUP('Crash costs'!AI$3,'Capital costs'!$E$3:$K$4,2,FALSE)/'Capital costs'!$D$4,1)*(CMFs!$C$40/100)</f>
        <v>0</v>
      </c>
      <c r="AJ17" s="15">
        <f>$D17*IF('Crash costs'!AJ$3&lt;'Crash costs'!$N$3,HLOOKUP('Crash costs'!AJ$3,'Capital costs'!$E$3:$K$4,2,FALSE)/'Capital costs'!$D$4,1)*(CMFs!$C$40/100)</f>
        <v>0</v>
      </c>
      <c r="AK17" s="15">
        <f>$D17*IF('Crash costs'!AK$3&lt;'Crash costs'!$N$3,HLOOKUP('Crash costs'!AK$3,'Capital costs'!$E$3:$K$4,2,FALSE)/'Capital costs'!$D$4,1)*(CMFs!$C$40/100)</f>
        <v>0</v>
      </c>
      <c r="AL17" s="15">
        <f>$D17*IF('Crash costs'!AL$3&lt;'Crash costs'!$N$3,HLOOKUP('Crash costs'!AL$3,'Capital costs'!$E$3:$K$4,2,FALSE)/'Capital costs'!$D$4,1)*(CMFs!$C$40/100)</f>
        <v>0</v>
      </c>
      <c r="AM17" s="15">
        <f>$D17*IF('Crash costs'!AM$3&lt;'Crash costs'!$N$3,HLOOKUP('Crash costs'!AM$3,'Capital costs'!$E$3:$K$4,2,FALSE)/'Capital costs'!$D$4,1)*(CMFs!$C$40/100)</f>
        <v>0</v>
      </c>
    </row>
    <row r="18" spans="2:40">
      <c r="B18" s="19" t="s">
        <v>200</v>
      </c>
      <c r="C18" s="42">
        <f>SUM(C15:C17)</f>
        <v>10.571428571428571</v>
      </c>
      <c r="D18" s="268">
        <f>C18/20</f>
        <v>0.52857142857142858</v>
      </c>
    </row>
    <row r="19" spans="2:40" s="193" customFormat="1">
      <c r="D19" s="45"/>
    </row>
    <row r="20" spans="2:40" s="193" customFormat="1"/>
    <row r="21" spans="2:40">
      <c r="B21" s="187"/>
    </row>
    <row r="24" spans="2:40">
      <c r="B24" s="177" t="s">
        <v>456</v>
      </c>
      <c r="C24">
        <v>0</v>
      </c>
    </row>
    <row r="25" spans="2:40">
      <c r="B25" s="19" t="s">
        <v>202</v>
      </c>
      <c r="C25" s="240">
        <f>SUM(I25:AM25)</f>
        <v>22451.013000000003</v>
      </c>
      <c r="I25" s="68">
        <f>(I15+I7)*'Look Up Data (1)'!$D$41</f>
        <v>105.76338157894739</v>
      </c>
      <c r="J25" s="68">
        <f>(J15+J7)*'Look Up Data (1)'!$D$41</f>
        <v>189.64468421052632</v>
      </c>
      <c r="K25" s="68">
        <f>(K15+K7)*'Look Up Data (1)'!$D$41</f>
        <v>204.23273684210528</v>
      </c>
      <c r="L25" s="68">
        <f>(L15+L7)*'Look Up Data (1)'!$D$41</f>
        <v>189.64468421052632</v>
      </c>
      <c r="M25" s="68">
        <f>(M15+M7)*'Look Up Data (1)'!$D$41</f>
        <v>142.23351315789478</v>
      </c>
      <c r="N25" s="68">
        <f>(N15+N7)*'Look Up Data (1)'!$D$41</f>
        <v>831.51900000000012</v>
      </c>
      <c r="O25" s="68">
        <f>(O15+O7)*'Look Up Data (1)'!$D$41</f>
        <v>831.51900000000012</v>
      </c>
      <c r="P25" s="68">
        <f>(P15+P7)*'Look Up Data (1)'!$D$41</f>
        <v>831.51900000000012</v>
      </c>
      <c r="Q25" s="68">
        <f>(Q15+Q7)*'Look Up Data (1)'!$D$41</f>
        <v>831.51900000000012</v>
      </c>
      <c r="R25" s="68">
        <f>(R15+R7)*'Look Up Data (1)'!$D$41</f>
        <v>831.51900000000012</v>
      </c>
      <c r="S25" s="68">
        <f>(S15+S7)*'Look Up Data (1)'!$D$41</f>
        <v>831.51900000000012</v>
      </c>
      <c r="T25" s="68">
        <f>(T15+T7)*'Look Up Data (1)'!$D$41</f>
        <v>831.51900000000012</v>
      </c>
      <c r="U25" s="68">
        <f>(U15+U7)*'Look Up Data (1)'!$D$41</f>
        <v>831.51900000000012</v>
      </c>
      <c r="V25" s="68">
        <f>(V15+V7)*'Look Up Data (1)'!$D$41</f>
        <v>831.51900000000012</v>
      </c>
      <c r="W25" s="68">
        <f>(W15+W7)*'Look Up Data (1)'!$D$41</f>
        <v>831.51900000000012</v>
      </c>
      <c r="X25" s="68">
        <f>(X15+X7)*'Look Up Data (1)'!$D$41</f>
        <v>831.51900000000012</v>
      </c>
      <c r="Y25" s="68">
        <f>(Y15+Y7)*'Look Up Data (1)'!$D$41</f>
        <v>831.51900000000012</v>
      </c>
      <c r="Z25" s="68">
        <f>(Z15+Z7)*'Look Up Data (1)'!$D$41</f>
        <v>831.51900000000012</v>
      </c>
      <c r="AA25" s="68">
        <f>(AA15+AA7)*'Look Up Data (1)'!$D$41</f>
        <v>831.51900000000012</v>
      </c>
      <c r="AB25" s="68">
        <f>(AB15+AB7)*'Look Up Data (1)'!$D$41</f>
        <v>831.51900000000012</v>
      </c>
      <c r="AC25" s="68">
        <f>(AC15+AC7)*'Look Up Data (1)'!$D$41</f>
        <v>831.51900000000012</v>
      </c>
      <c r="AD25" s="68">
        <f>(AD15+AD7)*'Look Up Data (1)'!$D$41</f>
        <v>831.51900000000012</v>
      </c>
      <c r="AE25" s="68">
        <f>(AE15+AE7)*'Look Up Data (1)'!$D$41</f>
        <v>831.51900000000012</v>
      </c>
      <c r="AF25" s="68">
        <f>(AF15+AF7)*'Look Up Data (1)'!$D$41</f>
        <v>831.51900000000012</v>
      </c>
      <c r="AG25" s="68">
        <f>(AG15+AG7)*'Look Up Data (1)'!$D$41</f>
        <v>831.51900000000012</v>
      </c>
      <c r="AH25" s="68">
        <f>(AH15+AH7)*'Look Up Data (1)'!$D$41</f>
        <v>831.51900000000012</v>
      </c>
      <c r="AI25" s="68">
        <f>(AI15+AI7)*'Look Up Data (1)'!$D$41</f>
        <v>831.51900000000012</v>
      </c>
      <c r="AJ25" s="68">
        <f>(AJ15+AJ7)*'Look Up Data (1)'!$D$41</f>
        <v>831.51900000000012</v>
      </c>
      <c r="AK25" s="68">
        <f>(AK15+AK7)*'Look Up Data (1)'!$D$41</f>
        <v>831.51900000000012</v>
      </c>
      <c r="AL25" s="68">
        <f>(AL15+AL7)*'Look Up Data (1)'!$D$41</f>
        <v>831.51900000000012</v>
      </c>
      <c r="AM25" s="68">
        <f>(AM15+AM7)*'Look Up Data (1)'!$D$41</f>
        <v>831.51900000000012</v>
      </c>
      <c r="AN25" s="193"/>
    </row>
    <row r="26" spans="2:40">
      <c r="B26" s="19" t="s">
        <v>203</v>
      </c>
      <c r="C26" s="240">
        <f>SUM(I26:AM26)</f>
        <v>687347.8559999998</v>
      </c>
      <c r="I26" s="68">
        <f>(I16+I8)*'Look Up Data (1)'!$D$43</f>
        <v>3237.9934736842106</v>
      </c>
      <c r="J26" s="68">
        <f>(J16+J8)*'Look Up Data (1)'!$D$43</f>
        <v>5806.0572631578943</v>
      </c>
      <c r="K26" s="68">
        <f>(K16+K8)*'Look Up Data (1)'!$D$43</f>
        <v>6252.6770526315786</v>
      </c>
      <c r="L26" s="68">
        <f>(L16+L8)*'Look Up Data (1)'!$D$43</f>
        <v>5806.0572631578943</v>
      </c>
      <c r="M26" s="68">
        <f>(M16+M8)*'Look Up Data (1)'!$D$43</f>
        <v>4354.5429473684217</v>
      </c>
      <c r="N26" s="68">
        <f>(N16+N8)*'Look Up Data (1)'!$D$43</f>
        <v>25457.328000000001</v>
      </c>
      <c r="O26" s="68">
        <f>(O16+O8)*'Look Up Data (1)'!$D$43</f>
        <v>25457.328000000001</v>
      </c>
      <c r="P26" s="68">
        <f>(P16+P8)*'Look Up Data (1)'!$D$43</f>
        <v>25457.328000000001</v>
      </c>
      <c r="Q26" s="68">
        <f>(Q16+Q8)*'Look Up Data (1)'!$D$43</f>
        <v>25457.328000000001</v>
      </c>
      <c r="R26" s="68">
        <f>(R16+R8)*'Look Up Data (1)'!$D$43</f>
        <v>25457.328000000001</v>
      </c>
      <c r="S26" s="68">
        <f>(S16+S8)*'Look Up Data (1)'!$D$43</f>
        <v>25457.328000000001</v>
      </c>
      <c r="T26" s="68">
        <f>(T16+T8)*'Look Up Data (1)'!$D$43</f>
        <v>25457.328000000001</v>
      </c>
      <c r="U26" s="68">
        <f>(U16+U8)*'Look Up Data (1)'!$D$43</f>
        <v>25457.328000000001</v>
      </c>
      <c r="V26" s="68">
        <f>(V16+V8)*'Look Up Data (1)'!$D$43</f>
        <v>25457.328000000001</v>
      </c>
      <c r="W26" s="68">
        <f>(W16+W8)*'Look Up Data (1)'!$D$43</f>
        <v>25457.328000000001</v>
      </c>
      <c r="X26" s="68">
        <f>(X16+X8)*'Look Up Data (1)'!$D$43</f>
        <v>25457.328000000001</v>
      </c>
      <c r="Y26" s="68">
        <f>(Y16+Y8)*'Look Up Data (1)'!$D$43</f>
        <v>25457.328000000001</v>
      </c>
      <c r="Z26" s="68">
        <f>(Z16+Z8)*'Look Up Data (1)'!$D$43</f>
        <v>25457.328000000001</v>
      </c>
      <c r="AA26" s="68">
        <f>(AA16+AA8)*'Look Up Data (1)'!$D$43</f>
        <v>25457.328000000001</v>
      </c>
      <c r="AB26" s="68">
        <f>(AB16+AB8)*'Look Up Data (1)'!$D$43</f>
        <v>25457.328000000001</v>
      </c>
      <c r="AC26" s="68">
        <f>(AC16+AC8)*'Look Up Data (1)'!$D$43</f>
        <v>25457.328000000001</v>
      </c>
      <c r="AD26" s="68">
        <f>(AD16+AD8)*'Look Up Data (1)'!$D$43</f>
        <v>25457.328000000001</v>
      </c>
      <c r="AE26" s="68">
        <f>(AE16+AE8)*'Look Up Data (1)'!$D$43</f>
        <v>25457.328000000001</v>
      </c>
      <c r="AF26" s="68">
        <f>(AF16+AF8)*'Look Up Data (1)'!$D$43</f>
        <v>25457.328000000001</v>
      </c>
      <c r="AG26" s="68">
        <f>(AG16+AG8)*'Look Up Data (1)'!$D$43</f>
        <v>25457.328000000001</v>
      </c>
      <c r="AH26" s="68">
        <f>(AH16+AH8)*'Look Up Data (1)'!$D$43</f>
        <v>25457.328000000001</v>
      </c>
      <c r="AI26" s="68">
        <f>(AI16+AI8)*'Look Up Data (1)'!$D$43</f>
        <v>25457.328000000001</v>
      </c>
      <c r="AJ26" s="68">
        <f>(AJ16+AJ8)*'Look Up Data (1)'!$D$43</f>
        <v>25457.328000000001</v>
      </c>
      <c r="AK26" s="68">
        <f>(AK16+AK8)*'Look Up Data (1)'!$D$43</f>
        <v>25457.328000000001</v>
      </c>
      <c r="AL26" s="68">
        <f>(AL16+AL8)*'Look Up Data (1)'!$D$43</f>
        <v>25457.328000000001</v>
      </c>
      <c r="AM26" s="68">
        <f>(AM16+AM8)*'Look Up Data (1)'!$D$43</f>
        <v>25457.328000000001</v>
      </c>
      <c r="AN26" s="193"/>
    </row>
    <row r="27" spans="2:40">
      <c r="B27" s="19" t="s">
        <v>204</v>
      </c>
      <c r="C27" s="240">
        <f>SUM(I27:AM27)</f>
        <v>32322240.000000004</v>
      </c>
      <c r="D27" s="31"/>
      <c r="E27" s="31"/>
      <c r="I27" s="68">
        <f>(I17+I9)*'Look Up Data (1)'!$D$45</f>
        <v>152265.26315789475</v>
      </c>
      <c r="J27" s="68">
        <f>(J17+J9)*'Look Up Data (1)'!$D$45</f>
        <v>273027.3684210527</v>
      </c>
      <c r="K27" s="68">
        <f>(K17+K9)*'Look Up Data (1)'!$D$45</f>
        <v>294029.47368421056</v>
      </c>
      <c r="L27" s="68">
        <f>(L17+L9)*'Look Up Data (1)'!$D$45</f>
        <v>273027.3684210527</v>
      </c>
      <c r="M27" s="68">
        <f>(M17+M9)*'Look Up Data (1)'!$D$45</f>
        <v>204770.5263157895</v>
      </c>
      <c r="N27" s="68">
        <f>(N17+N9)*'Look Up Data (1)'!$D$45</f>
        <v>1197120.0000000002</v>
      </c>
      <c r="O27" s="68">
        <f>(O17+O9)*'Look Up Data (1)'!$D$45</f>
        <v>1197120.0000000002</v>
      </c>
      <c r="P27" s="68">
        <f>(P17+P9)*'Look Up Data (1)'!$D$45</f>
        <v>1197120.0000000002</v>
      </c>
      <c r="Q27" s="68">
        <f>(Q17+Q9)*'Look Up Data (1)'!$D$45</f>
        <v>1197120.0000000002</v>
      </c>
      <c r="R27" s="68">
        <f>(R17+R9)*'Look Up Data (1)'!$D$45</f>
        <v>1197120.0000000002</v>
      </c>
      <c r="S27" s="68">
        <f>(S17+S9)*'Look Up Data (1)'!$D$45</f>
        <v>1197120.0000000002</v>
      </c>
      <c r="T27" s="68">
        <f>(T17+T9)*'Look Up Data (1)'!$D$45</f>
        <v>1197120.0000000002</v>
      </c>
      <c r="U27" s="68">
        <f>(U17+U9)*'Look Up Data (1)'!$D$45</f>
        <v>1197120.0000000002</v>
      </c>
      <c r="V27" s="68">
        <f>(V17+V9)*'Look Up Data (1)'!$D$45</f>
        <v>1197120.0000000002</v>
      </c>
      <c r="W27" s="68">
        <f>(W17+W9)*'Look Up Data (1)'!$D$45</f>
        <v>1197120.0000000002</v>
      </c>
      <c r="X27" s="68">
        <f>(X17+X9)*'Look Up Data (1)'!$D$45</f>
        <v>1197120.0000000002</v>
      </c>
      <c r="Y27" s="68">
        <f>(Y17+Y9)*'Look Up Data (1)'!$D$45</f>
        <v>1197120.0000000002</v>
      </c>
      <c r="Z27" s="68">
        <f>(Z17+Z9)*'Look Up Data (1)'!$D$45</f>
        <v>1197120.0000000002</v>
      </c>
      <c r="AA27" s="68">
        <f>(AA17+AA9)*'Look Up Data (1)'!$D$45</f>
        <v>1197120.0000000002</v>
      </c>
      <c r="AB27" s="68">
        <f>(AB17+AB9)*'Look Up Data (1)'!$D$45</f>
        <v>1197120.0000000002</v>
      </c>
      <c r="AC27" s="68">
        <f>(AC17+AC9)*'Look Up Data (1)'!$D$45</f>
        <v>1197120.0000000002</v>
      </c>
      <c r="AD27" s="68">
        <f>(AD17+AD9)*'Look Up Data (1)'!$D$45</f>
        <v>1197120.0000000002</v>
      </c>
      <c r="AE27" s="68">
        <f>(AE17+AE9)*'Look Up Data (1)'!$D$45</f>
        <v>1197120.0000000002</v>
      </c>
      <c r="AF27" s="68">
        <f>(AF17+AF9)*'Look Up Data (1)'!$D$45</f>
        <v>1197120.0000000002</v>
      </c>
      <c r="AG27" s="68">
        <f>(AG17+AG9)*'Look Up Data (1)'!$D$45</f>
        <v>1197120.0000000002</v>
      </c>
      <c r="AH27" s="68">
        <f>(AH17+AH9)*'Look Up Data (1)'!$D$45</f>
        <v>1197120.0000000002</v>
      </c>
      <c r="AI27" s="68">
        <f>(AI17+AI9)*'Look Up Data (1)'!$D$45</f>
        <v>1197120.0000000002</v>
      </c>
      <c r="AJ27" s="68">
        <f>(AJ17+AJ9)*'Look Up Data (1)'!$D$45</f>
        <v>1197120.0000000002</v>
      </c>
      <c r="AK27" s="68">
        <f>(AK17+AK9)*'Look Up Data (1)'!$D$45</f>
        <v>1197120.0000000002</v>
      </c>
      <c r="AL27" s="68">
        <f>(AL17+AL9)*'Look Up Data (1)'!$D$45</f>
        <v>1197120.0000000002</v>
      </c>
      <c r="AM27" s="68">
        <f>(AM17+AM9)*'Look Up Data (1)'!$D$45</f>
        <v>1197120.0000000002</v>
      </c>
      <c r="AN27" s="193"/>
    </row>
    <row r="28" spans="2:40">
      <c r="B28" s="213" t="s">
        <v>200</v>
      </c>
      <c r="C28" s="243">
        <f>SUM(C25:C27)</f>
        <v>33032038.869000003</v>
      </c>
      <c r="D28" s="31"/>
      <c r="E28" s="31"/>
      <c r="I28" s="68">
        <f>SUM(I25:I27)</f>
        <v>155609.02001315792</v>
      </c>
      <c r="J28" s="68">
        <f t="shared" ref="J28:AM28" si="4">SUM(J25:J27)</f>
        <v>279023.07036842115</v>
      </c>
      <c r="K28" s="68">
        <f t="shared" si="4"/>
        <v>300486.38347368425</v>
      </c>
      <c r="L28" s="68">
        <f t="shared" si="4"/>
        <v>279023.07036842115</v>
      </c>
      <c r="M28" s="68">
        <f t="shared" si="4"/>
        <v>209267.3027763158</v>
      </c>
      <c r="N28" s="68">
        <f t="shared" si="4"/>
        <v>1223408.8470000003</v>
      </c>
      <c r="O28" s="68">
        <f t="shared" si="4"/>
        <v>1223408.8470000003</v>
      </c>
      <c r="P28" s="68">
        <f t="shared" si="4"/>
        <v>1223408.8470000003</v>
      </c>
      <c r="Q28" s="68">
        <f t="shared" si="4"/>
        <v>1223408.8470000003</v>
      </c>
      <c r="R28" s="68">
        <f t="shared" si="4"/>
        <v>1223408.8470000003</v>
      </c>
      <c r="S28" s="68">
        <f t="shared" si="4"/>
        <v>1223408.8470000003</v>
      </c>
      <c r="T28" s="68">
        <f t="shared" si="4"/>
        <v>1223408.8470000003</v>
      </c>
      <c r="U28" s="68">
        <f t="shared" si="4"/>
        <v>1223408.8470000003</v>
      </c>
      <c r="V28" s="68">
        <f t="shared" si="4"/>
        <v>1223408.8470000003</v>
      </c>
      <c r="W28" s="68">
        <f t="shared" si="4"/>
        <v>1223408.8470000003</v>
      </c>
      <c r="X28" s="68">
        <f t="shared" si="4"/>
        <v>1223408.8470000003</v>
      </c>
      <c r="Y28" s="68">
        <f t="shared" si="4"/>
        <v>1223408.8470000003</v>
      </c>
      <c r="Z28" s="68">
        <f t="shared" si="4"/>
        <v>1223408.8470000003</v>
      </c>
      <c r="AA28" s="68">
        <f t="shared" si="4"/>
        <v>1223408.8470000003</v>
      </c>
      <c r="AB28" s="68">
        <f t="shared" si="4"/>
        <v>1223408.8470000003</v>
      </c>
      <c r="AC28" s="68">
        <f t="shared" si="4"/>
        <v>1223408.8470000003</v>
      </c>
      <c r="AD28" s="68">
        <f t="shared" si="4"/>
        <v>1223408.8470000003</v>
      </c>
      <c r="AE28" s="68">
        <f t="shared" si="4"/>
        <v>1223408.8470000003</v>
      </c>
      <c r="AF28" s="68">
        <f t="shared" si="4"/>
        <v>1223408.8470000003</v>
      </c>
      <c r="AG28" s="68">
        <f t="shared" si="4"/>
        <v>1223408.8470000003</v>
      </c>
      <c r="AH28" s="68">
        <f t="shared" si="4"/>
        <v>1223408.8470000003</v>
      </c>
      <c r="AI28" s="68">
        <f t="shared" si="4"/>
        <v>1223408.8470000003</v>
      </c>
      <c r="AJ28" s="68">
        <f t="shared" si="4"/>
        <v>1223408.8470000003</v>
      </c>
      <c r="AK28" s="68">
        <f t="shared" si="4"/>
        <v>1223408.8470000003</v>
      </c>
      <c r="AL28" s="68">
        <f t="shared" si="4"/>
        <v>1223408.8470000003</v>
      </c>
      <c r="AM28" s="68">
        <f t="shared" si="4"/>
        <v>1223408.8470000003</v>
      </c>
      <c r="AN28" s="193"/>
    </row>
    <row r="29" spans="2:40">
      <c r="C29" s="31"/>
      <c r="D29" s="31"/>
      <c r="E29" s="31"/>
    </row>
    <row r="30" spans="2:40">
      <c r="B30" s="31"/>
      <c r="C30" s="31"/>
      <c r="D30" s="31"/>
      <c r="E30" s="31"/>
    </row>
    <row r="31" spans="2:40">
      <c r="B31" s="13" t="s">
        <v>559</v>
      </c>
    </row>
    <row r="32" spans="2:40">
      <c r="B32" s="19" t="s">
        <v>202</v>
      </c>
      <c r="C32" s="240">
        <f>SUM(I32:AM32)</f>
        <v>6715.2948953744954</v>
      </c>
      <c r="I32" s="299">
        <f>I25/BCA!G$4</f>
        <v>86.334423835691794</v>
      </c>
      <c r="J32" s="299">
        <f>J25/BCA!H$4</f>
        <v>144.67902157447543</v>
      </c>
      <c r="K32" s="299">
        <f>K25/BCA!I$4</f>
        <v>145.61511876654609</v>
      </c>
      <c r="L32" s="299">
        <f>L25/BCA!J$4</f>
        <v>126.36826061182236</v>
      </c>
      <c r="M32" s="299">
        <f>M25/BCA!K$4</f>
        <v>88.575883606417563</v>
      </c>
      <c r="N32" s="299">
        <f>N25/BCA!L$4</f>
        <v>483.95162861881624</v>
      </c>
      <c r="O32" s="299">
        <f>O25/BCA!M$4</f>
        <v>452.29124169982822</v>
      </c>
      <c r="P32" s="299">
        <f>P25/BCA!N$4</f>
        <v>422.70209504656845</v>
      </c>
      <c r="Q32" s="299">
        <f>Q25/BCA!O$4</f>
        <v>395.04868695940974</v>
      </c>
      <c r="R32" s="299">
        <f>R25/BCA!P$4</f>
        <v>369.20438033589704</v>
      </c>
      <c r="S32" s="299">
        <f>S25/BCA!Q$4</f>
        <v>345.05082274382897</v>
      </c>
      <c r="T32" s="299">
        <f>T25/BCA!R$4</f>
        <v>322.47740443348505</v>
      </c>
      <c r="U32" s="299">
        <f>U25/BCA!S$4</f>
        <v>301.38075180699531</v>
      </c>
      <c r="V32" s="299">
        <f>V25/BCA!T$4</f>
        <v>281.6642540252293</v>
      </c>
      <c r="W32" s="299">
        <f>W25/BCA!U$4</f>
        <v>263.23762058432646</v>
      </c>
      <c r="X32" s="299">
        <f>X25/BCA!V$4</f>
        <v>246.0164678358191</v>
      </c>
      <c r="Y32" s="299">
        <f>Y25/BCA!W$4</f>
        <v>229.92193255684026</v>
      </c>
      <c r="Z32" s="299">
        <f>Z25/BCA!X$4</f>
        <v>214.88031080078531</v>
      </c>
      <c r="AA32" s="299">
        <f>AA25/BCA!Y$4</f>
        <v>200.82272037456571</v>
      </c>
      <c r="AB32" s="299">
        <f>AB25/BCA!Z$4</f>
        <v>187.68478539679037</v>
      </c>
      <c r="AC32" s="299">
        <f>AC25/BCA!AA$4</f>
        <v>175.40634149232747</v>
      </c>
      <c r="AD32" s="299">
        <f>AD25/BCA!AB$4</f>
        <v>163.93116027320323</v>
      </c>
      <c r="AE32" s="299">
        <f>AE25/BCA!AC$4</f>
        <v>153.20669184411514</v>
      </c>
      <c r="AF32" s="299">
        <f>AF25/BCA!AD$4</f>
        <v>143.18382415337865</v>
      </c>
      <c r="AG32" s="299">
        <f>AG25/BCA!AE$4</f>
        <v>133.81665808726976</v>
      </c>
      <c r="AH32" s="299">
        <f>AH25/BCA!AF$4</f>
        <v>125.06229727782222</v>
      </c>
      <c r="AI32" s="299">
        <f>AI25/BCA!AG$4</f>
        <v>116.88065166151608</v>
      </c>
      <c r="AJ32" s="299">
        <f>AJ25/BCA!AH$4</f>
        <v>109.23425388926738</v>
      </c>
      <c r="AK32" s="299">
        <f>AK25/BCA!AI$4</f>
        <v>102.08808774697884</v>
      </c>
      <c r="AL32" s="299">
        <f>AL25/BCA!AJ$4</f>
        <v>95.409427800914813</v>
      </c>
      <c r="AM32" s="299">
        <f>AM25/BCA!AK$4</f>
        <v>89.167689533565238</v>
      </c>
    </row>
    <row r="33" spans="2:39">
      <c r="B33" s="19" t="s">
        <v>203</v>
      </c>
      <c r="C33" s="240">
        <f>SUM(I33:AM33)</f>
        <v>205591.77212820659</v>
      </c>
      <c r="I33" s="299">
        <f>I26/BCA!G$4</f>
        <v>2643.1671979548555</v>
      </c>
      <c r="J33" s="299">
        <f>J26/BCA!H$4</f>
        <v>4429.4132869369159</v>
      </c>
      <c r="K33" s="299">
        <f>K26/BCA!I$4</f>
        <v>4458.072323300993</v>
      </c>
      <c r="L33" s="299">
        <f>L26/BCA!J$4</f>
        <v>3868.8211083386459</v>
      </c>
      <c r="M33" s="299">
        <f>M26/BCA!K$4</f>
        <v>2711.7904964990512</v>
      </c>
      <c r="N33" s="299">
        <f>N26/BCA!L$4</f>
        <v>14816.396673898482</v>
      </c>
      <c r="O33" s="299">
        <f>O26/BCA!M$4</f>
        <v>13847.099695232224</v>
      </c>
      <c r="P33" s="299">
        <f>P26/BCA!N$4</f>
        <v>12941.214668441331</v>
      </c>
      <c r="Q33" s="299">
        <f>Q26/BCA!O$4</f>
        <v>12094.59314807601</v>
      </c>
      <c r="R33" s="299">
        <f>R26/BCA!P$4</f>
        <v>11303.358082314029</v>
      </c>
      <c r="S33" s="299">
        <f>S26/BCA!Q$4</f>
        <v>10563.886058237411</v>
      </c>
      <c r="T33" s="299">
        <f>T26/BCA!R$4</f>
        <v>9872.7907086330943</v>
      </c>
      <c r="U33" s="299">
        <f>U26/BCA!S$4</f>
        <v>9226.907204329993</v>
      </c>
      <c r="V33" s="299">
        <f>V26/BCA!T$4</f>
        <v>8623.2777610560697</v>
      </c>
      <c r="W33" s="299">
        <f>W26/BCA!U$4</f>
        <v>8059.1380944449247</v>
      </c>
      <c r="X33" s="299">
        <f>X26/BCA!V$4</f>
        <v>7531.9047611634815</v>
      </c>
      <c r="Y33" s="299">
        <f>Y26/BCA!W$4</f>
        <v>7039.1633281901686</v>
      </c>
      <c r="Z33" s="299">
        <f>Z26/BCA!X$4</f>
        <v>6578.6573160655789</v>
      </c>
      <c r="AA33" s="299">
        <f>AA26/BCA!Y$4</f>
        <v>6148.2778654818494</v>
      </c>
      <c r="AB33" s="299">
        <f>AB26/BCA!Z$4</f>
        <v>5746.0540798895781</v>
      </c>
      <c r="AC33" s="299">
        <f>AC26/BCA!AA$4</f>
        <v>5370.1439998968026</v>
      </c>
      <c r="AD33" s="299">
        <f>AD26/BCA!AB$4</f>
        <v>5018.8261681278527</v>
      </c>
      <c r="AE33" s="299">
        <f>AE26/BCA!AC$4</f>
        <v>4690.4917459138805</v>
      </c>
      <c r="AF33" s="299">
        <f>AF26/BCA!AD$4</f>
        <v>4383.6371457139076</v>
      </c>
      <c r="AG33" s="299">
        <f>AG26/BCA!AE$4</f>
        <v>4096.8571455270157</v>
      </c>
      <c r="AH33" s="299">
        <f>AH26/BCA!AF$4</f>
        <v>3828.8384537635666</v>
      </c>
      <c r="AI33" s="299">
        <f>AI26/BCA!AG$4</f>
        <v>3578.3536951061369</v>
      </c>
      <c r="AJ33" s="299">
        <f>AJ26/BCA!AH$4</f>
        <v>3344.2557898188197</v>
      </c>
      <c r="AK33" s="299">
        <f>AK26/BCA!AI$4</f>
        <v>3125.4727007652514</v>
      </c>
      <c r="AL33" s="299">
        <f>AL26/BCA!AJ$4</f>
        <v>2921.0025240796745</v>
      </c>
      <c r="AM33" s="299">
        <f>AM26/BCA!AK$4</f>
        <v>2729.9089010090415</v>
      </c>
    </row>
    <row r="34" spans="2:39">
      <c r="B34" s="19" t="s">
        <v>204</v>
      </c>
      <c r="C34" s="240">
        <f>SUM(I34:AM34)</f>
        <v>9667865.4668753464</v>
      </c>
      <c r="I34" s="299">
        <f>I27/BCA!G$4</f>
        <v>124293.81104001634</v>
      </c>
      <c r="J34" s="299">
        <f>J27/BCA!H$4</f>
        <v>208291.27212635678</v>
      </c>
      <c r="K34" s="299">
        <f>K27/BCA!I$4</f>
        <v>209638.95109769909</v>
      </c>
      <c r="L34" s="299">
        <f>L27/BCA!J$4</f>
        <v>181929.66383645454</v>
      </c>
      <c r="M34" s="299">
        <f>M27/BCA!K$4</f>
        <v>127520.79240872977</v>
      </c>
      <c r="N34" s="299">
        <f>N27/BCA!L$4</f>
        <v>696734.73925689899</v>
      </c>
      <c r="O34" s="299">
        <f>O27/BCA!M$4</f>
        <v>651153.96192233544</v>
      </c>
      <c r="P34" s="299">
        <f>P27/BCA!N$4</f>
        <v>608555.10460031347</v>
      </c>
      <c r="Q34" s="299">
        <f>Q27/BCA!O$4</f>
        <v>568743.0884115079</v>
      </c>
      <c r="R34" s="299">
        <f>R27/BCA!P$4</f>
        <v>531535.59664626908</v>
      </c>
      <c r="S34" s="299">
        <f>S27/BCA!Q$4</f>
        <v>496762.23985632625</v>
      </c>
      <c r="T34" s="299">
        <f>T27/BCA!R$4</f>
        <v>464263.7755666601</v>
      </c>
      <c r="U34" s="299">
        <f>U27/BCA!S$4</f>
        <v>433891.37903426168</v>
      </c>
      <c r="V34" s="299">
        <f>V27/BCA!T$4</f>
        <v>405505.96171426331</v>
      </c>
      <c r="W34" s="299">
        <f>W27/BCA!U$4</f>
        <v>378977.53431239561</v>
      </c>
      <c r="X34" s="299">
        <f>X27/BCA!V$4</f>
        <v>354184.61150691181</v>
      </c>
      <c r="Y34" s="299">
        <f>Y27/BCA!W$4</f>
        <v>331013.65561393625</v>
      </c>
      <c r="Z34" s="299">
        <f>Z27/BCA!X$4</f>
        <v>309358.55664853856</v>
      </c>
      <c r="AA34" s="299">
        <f>AA27/BCA!Y$4</f>
        <v>289120.14640050329</v>
      </c>
      <c r="AB34" s="299">
        <f>AB27/BCA!Z$4</f>
        <v>270205.74429953581</v>
      </c>
      <c r="AC34" s="299">
        <f>AC27/BCA!AA$4</f>
        <v>252528.73299022036</v>
      </c>
      <c r="AD34" s="299">
        <f>AD27/BCA!AB$4</f>
        <v>236008.16167310314</v>
      </c>
      <c r="AE34" s="299">
        <f>AE27/BCA!AC$4</f>
        <v>220568.37539542347</v>
      </c>
      <c r="AF34" s="299">
        <f>AF27/BCA!AD$4</f>
        <v>206138.66859385374</v>
      </c>
      <c r="AG34" s="299">
        <f>AG27/BCA!AE$4</f>
        <v>192652.96130266701</v>
      </c>
      <c r="AH34" s="299">
        <f>AH27/BCA!AF$4</f>
        <v>180049.49654454863</v>
      </c>
      <c r="AI34" s="299">
        <f>AI27/BCA!AG$4</f>
        <v>168270.55751826975</v>
      </c>
      <c r="AJ34" s="299">
        <f>AJ27/BCA!AH$4</f>
        <v>157262.20328810258</v>
      </c>
      <c r="AK34" s="299">
        <f>AK27/BCA!AI$4</f>
        <v>146974.02176458182</v>
      </c>
      <c r="AL34" s="299">
        <f>AL27/BCA!AJ$4</f>
        <v>137358.8988454036</v>
      </c>
      <c r="AM34" s="299">
        <f>AM27/BCA!AK$4</f>
        <v>128372.80265925569</v>
      </c>
    </row>
    <row r="35" spans="2:39">
      <c r="B35" s="213" t="s">
        <v>200</v>
      </c>
      <c r="C35" s="243">
        <f>SUM(C32:C34)</f>
        <v>9880172.5338989273</v>
      </c>
    </row>
    <row r="36" spans="2:39">
      <c r="B36" s="19"/>
    </row>
    <row r="37" spans="2:39">
      <c r="B37" s="19"/>
      <c r="E37" s="64"/>
    </row>
    <row r="38" spans="2:39">
      <c r="E38" s="64"/>
    </row>
    <row r="39" spans="2:39">
      <c r="E39" s="64"/>
    </row>
    <row r="40" spans="2:39">
      <c r="E40" s="64"/>
    </row>
  </sheetData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946C1-A64A-4786-8B7C-C4D69F96074B}">
  <sheetPr>
    <tabColor rgb="FFFF0000"/>
  </sheetPr>
  <dimension ref="A2:L4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4" sqref="B4"/>
    </sheetView>
  </sheetViews>
  <sheetFormatPr defaultRowHeight="15"/>
  <cols>
    <col min="1" max="1" width="2.42578125" customWidth="1"/>
    <col min="2" max="2" width="48.140625" customWidth="1"/>
    <col min="3" max="3" width="13.42578125" customWidth="1"/>
    <col min="4" max="4" width="14.42578125" customWidth="1"/>
    <col min="5" max="5" width="12.7109375" bestFit="1" customWidth="1"/>
    <col min="6" max="9" width="10.5703125" bestFit="1" customWidth="1"/>
  </cols>
  <sheetData>
    <row r="2" spans="1:12">
      <c r="A2" s="181"/>
      <c r="B2" s="181"/>
      <c r="C2" s="181"/>
      <c r="D2" s="181"/>
      <c r="E2" s="181"/>
      <c r="F2" s="181"/>
      <c r="G2" s="181"/>
      <c r="H2" s="181"/>
      <c r="I2" s="181"/>
      <c r="J2" s="181"/>
      <c r="K2" s="181"/>
    </row>
    <row r="3" spans="1:12">
      <c r="A3" s="182"/>
      <c r="B3" s="184" t="s">
        <v>582</v>
      </c>
      <c r="C3" s="183" t="s">
        <v>220</v>
      </c>
      <c r="D3" s="183" t="s">
        <v>218</v>
      </c>
      <c r="E3" s="184">
        <v>2023</v>
      </c>
      <c r="F3" s="184">
        <v>2024</v>
      </c>
      <c r="G3" s="184">
        <v>2025</v>
      </c>
      <c r="H3" s="184">
        <v>2026</v>
      </c>
      <c r="I3" s="184">
        <v>2027</v>
      </c>
      <c r="J3" s="184">
        <v>2028</v>
      </c>
      <c r="K3" s="184">
        <v>2029</v>
      </c>
    </row>
    <row r="4" spans="1:12">
      <c r="B4" s="11" t="s">
        <v>571</v>
      </c>
      <c r="C4">
        <v>0</v>
      </c>
      <c r="D4" s="174">
        <v>26448000</v>
      </c>
      <c r="E4" s="192">
        <v>3364000</v>
      </c>
      <c r="F4" s="192">
        <v>6032000</v>
      </c>
      <c r="G4" s="192">
        <v>6496000</v>
      </c>
      <c r="H4" s="192">
        <v>6032000</v>
      </c>
      <c r="I4" s="192">
        <v>4524000</v>
      </c>
      <c r="J4" s="197"/>
      <c r="K4" s="197"/>
      <c r="L4" s="198"/>
    </row>
    <row r="5" spans="1:12" s="274" customFormat="1">
      <c r="B5" s="11" t="s">
        <v>572</v>
      </c>
      <c r="D5" s="174">
        <f>SUM(E5:I5)</f>
        <v>24268684.799999997</v>
      </c>
      <c r="E5" s="192">
        <f>E4*'Look Up Data (2)'!$B$88</f>
        <v>3086806.4</v>
      </c>
      <c r="F5" s="192">
        <f>F4*'Look Up Data (2)'!$B$88</f>
        <v>5534963.2000000002</v>
      </c>
      <c r="G5" s="192">
        <f>G4*'Look Up Data (2)'!$B$88</f>
        <v>5960729.5999999996</v>
      </c>
      <c r="H5" s="192">
        <f>H4*'Look Up Data (2)'!$B$88</f>
        <v>5534963.2000000002</v>
      </c>
      <c r="I5" s="192">
        <f>I4*'Look Up Data (2)'!$B$88</f>
        <v>4151222.4</v>
      </c>
      <c r="J5" s="197"/>
      <c r="K5" s="197"/>
      <c r="L5" s="198"/>
    </row>
    <row r="6" spans="1:12" s="193" customFormat="1">
      <c r="B6" s="212" t="s">
        <v>409</v>
      </c>
      <c r="E6" s="192">
        <f>$D4*(E9/$C$18)</f>
        <v>3560307.692307692</v>
      </c>
      <c r="F6" s="192">
        <f>$D4*(F9/$C$18)</f>
        <v>6103384.615384616</v>
      </c>
      <c r="G6" s="192">
        <f>$D4*(G9/$C$18)</f>
        <v>6103384.615384616</v>
      </c>
      <c r="H6" s="192">
        <f>$D4*(H9/$C$18)</f>
        <v>6103384.615384616</v>
      </c>
      <c r="I6" s="192">
        <f>$D4*(I9/$C$18)</f>
        <v>4577538.461538461</v>
      </c>
      <c r="J6" s="197"/>
      <c r="K6" s="197"/>
      <c r="L6" s="198"/>
    </row>
    <row r="7" spans="1:12">
      <c r="B7" s="19" t="s">
        <v>379</v>
      </c>
      <c r="C7" s="179">
        <v>0.06</v>
      </c>
      <c r="D7" s="58">
        <f>D$4*$C7</f>
        <v>1586880</v>
      </c>
      <c r="E7" s="58"/>
      <c r="F7" s="58"/>
      <c r="G7" s="58"/>
      <c r="H7" s="58"/>
      <c r="I7" s="58"/>
      <c r="J7" s="58"/>
      <c r="K7" s="58"/>
    </row>
    <row r="8" spans="1:12">
      <c r="B8" s="19" t="s">
        <v>380</v>
      </c>
      <c r="C8" s="180">
        <v>0.1</v>
      </c>
      <c r="D8" s="58">
        <f>D$4*$C8</f>
        <v>2644800</v>
      </c>
      <c r="E8" s="58"/>
      <c r="F8" s="58"/>
      <c r="G8" s="58"/>
      <c r="H8" s="58"/>
      <c r="I8" s="58"/>
      <c r="J8" s="58"/>
      <c r="K8" s="58"/>
    </row>
    <row r="9" spans="1:12">
      <c r="B9" s="19" t="s">
        <v>408</v>
      </c>
      <c r="C9" s="178"/>
      <c r="D9" s="193"/>
      <c r="E9" s="193">
        <v>7</v>
      </c>
      <c r="F9" s="193">
        <v>12</v>
      </c>
      <c r="G9" s="193">
        <v>12</v>
      </c>
      <c r="H9" s="193">
        <v>12</v>
      </c>
      <c r="I9" s="193">
        <v>9</v>
      </c>
    </row>
    <row r="10" spans="1:12" s="193" customFormat="1"/>
    <row r="11" spans="1:12" s="193" customFormat="1">
      <c r="B11" s="199" t="s">
        <v>407</v>
      </c>
      <c r="C11" s="178"/>
    </row>
    <row r="12" spans="1:12" s="193" customFormat="1">
      <c r="C12" s="178"/>
    </row>
    <row r="13" spans="1:12" s="193" customFormat="1">
      <c r="C13" s="178"/>
    </row>
    <row r="15" spans="1:12">
      <c r="B15" s="13" t="s">
        <v>384</v>
      </c>
    </row>
    <row r="16" spans="1:12">
      <c r="E16" s="193"/>
    </row>
    <row r="17" spans="1:5">
      <c r="A17" s="182"/>
      <c r="B17" s="186" t="s">
        <v>390</v>
      </c>
      <c r="C17" s="186" t="s">
        <v>389</v>
      </c>
      <c r="D17" s="182"/>
      <c r="E17" s="193"/>
    </row>
    <row r="18" spans="1:5">
      <c r="B18" s="3" t="s">
        <v>388</v>
      </c>
      <c r="C18" s="3">
        <v>52</v>
      </c>
      <c r="E18" s="193"/>
    </row>
    <row r="19" spans="1:5">
      <c r="B19" s="19" t="s">
        <v>391</v>
      </c>
      <c r="C19">
        <v>17</v>
      </c>
      <c r="E19" s="193"/>
    </row>
    <row r="20" spans="1:5">
      <c r="B20" s="19" t="s">
        <v>392</v>
      </c>
      <c r="C20">
        <v>15</v>
      </c>
      <c r="E20" s="193"/>
    </row>
    <row r="21" spans="1:5">
      <c r="B21" s="19" t="s">
        <v>393</v>
      </c>
      <c r="C21">
        <v>9</v>
      </c>
      <c r="E21" s="193"/>
    </row>
    <row r="22" spans="1:5">
      <c r="B22" s="19" t="s">
        <v>394</v>
      </c>
      <c r="C22">
        <v>11</v>
      </c>
    </row>
    <row r="23" spans="1:5">
      <c r="B23" s="19"/>
    </row>
    <row r="27" spans="1:5">
      <c r="B27" s="190" t="s">
        <v>1</v>
      </c>
      <c r="C27" s="190" t="s">
        <v>581</v>
      </c>
      <c r="D27" s="194" t="s">
        <v>580</v>
      </c>
    </row>
    <row r="28" spans="1:5">
      <c r="B28" s="200" t="s">
        <v>60</v>
      </c>
      <c r="C28" s="206">
        <v>2436000</v>
      </c>
      <c r="D28" s="206">
        <f>C28*'Look Up Data (2)'!$B$88</f>
        <v>2235273.6</v>
      </c>
    </row>
    <row r="29" spans="1:5">
      <c r="B29" s="207" t="s">
        <v>142</v>
      </c>
      <c r="C29" s="204">
        <v>2784000</v>
      </c>
      <c r="D29" s="204">
        <f>C29*'Look Up Data (2)'!$B$88</f>
        <v>2554598.3999999999</v>
      </c>
    </row>
    <row r="30" spans="1:5">
      <c r="B30" s="207" t="s">
        <v>96</v>
      </c>
      <c r="C30" s="204">
        <v>928000</v>
      </c>
      <c r="D30" s="204">
        <f>C30*'Look Up Data (2)'!$B$88</f>
        <v>851532.79999999993</v>
      </c>
    </row>
    <row r="31" spans="1:5">
      <c r="B31" s="207" t="s">
        <v>82</v>
      </c>
      <c r="C31" s="204">
        <v>1508000</v>
      </c>
      <c r="D31" s="204">
        <f>C31*'Look Up Data (2)'!$B$88</f>
        <v>1383740.8</v>
      </c>
    </row>
    <row r="32" spans="1:5">
      <c r="B32" s="207" t="s">
        <v>12</v>
      </c>
      <c r="C32" s="204">
        <v>4640000</v>
      </c>
      <c r="D32" s="204">
        <f>C32*'Look Up Data (2)'!$B$88</f>
        <v>4257664</v>
      </c>
    </row>
    <row r="33" spans="2:4">
      <c r="B33" s="207" t="s">
        <v>103</v>
      </c>
      <c r="C33" s="204">
        <v>464000</v>
      </c>
      <c r="D33" s="204">
        <f>C33*'Look Up Data (2)'!$B$88</f>
        <v>425766.39999999997</v>
      </c>
    </row>
    <row r="34" spans="2:4">
      <c r="B34" s="207" t="s">
        <v>64</v>
      </c>
      <c r="C34" s="204">
        <v>6844000</v>
      </c>
      <c r="D34" s="204">
        <f>C34*'Look Up Data (2)'!$B$88</f>
        <v>6280054.3999999994</v>
      </c>
    </row>
    <row r="35" spans="2:4">
      <c r="B35" s="207" t="s">
        <v>37</v>
      </c>
      <c r="C35" s="204">
        <v>4988000</v>
      </c>
      <c r="D35" s="204">
        <f>C35*'Look Up Data (2)'!$B$88</f>
        <v>4576988.8</v>
      </c>
    </row>
    <row r="36" spans="2:4">
      <c r="B36" s="208" t="s">
        <v>133</v>
      </c>
      <c r="C36" s="205">
        <v>1856000</v>
      </c>
      <c r="D36" s="205">
        <f>C36*'Look Up Data (2)'!$B$88</f>
        <v>1703065.5999999999</v>
      </c>
    </row>
    <row r="37" spans="2:4">
      <c r="B37" s="202" t="s">
        <v>200</v>
      </c>
      <c r="C37" s="203">
        <v>26448000</v>
      </c>
      <c r="D37" s="203">
        <f>SUM(D28:D36)</f>
        <v>24268684.800000001</v>
      </c>
    </row>
    <row r="38" spans="2:4" s="193" customFormat="1">
      <c r="B38" s="210"/>
      <c r="C38" s="211"/>
    </row>
    <row r="40" spans="2:4">
      <c r="B40" s="194" t="s">
        <v>405</v>
      </c>
      <c r="C40" s="194" t="s">
        <v>581</v>
      </c>
      <c r="D40" s="194" t="s">
        <v>580</v>
      </c>
    </row>
    <row r="41" spans="2:4">
      <c r="B41" s="200" t="s">
        <v>403</v>
      </c>
      <c r="C41" s="201">
        <v>21808000</v>
      </c>
      <c r="D41" s="201">
        <f>C41*'Look Up Data (2)'!$B$88</f>
        <v>20011020.800000001</v>
      </c>
    </row>
    <row r="42" spans="2:4">
      <c r="B42" s="207" t="s">
        <v>404</v>
      </c>
      <c r="C42" s="209">
        <v>4640000</v>
      </c>
      <c r="D42" s="209">
        <f>C42*'Look Up Data (2)'!$B$88</f>
        <v>4257664</v>
      </c>
    </row>
    <row r="43" spans="2:4">
      <c r="B43" s="195" t="s">
        <v>200</v>
      </c>
      <c r="C43" s="196">
        <v>26448000</v>
      </c>
      <c r="D43" s="196">
        <f>SUM(D41:D42)</f>
        <v>24268684.800000001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F71F1-8DED-4946-BB36-12F777FD12F4}">
  <sheetPr>
    <tabColor theme="5"/>
  </sheetPr>
  <dimension ref="B2:D16"/>
  <sheetViews>
    <sheetView workbookViewId="0">
      <selection activeCell="F9" sqref="F9"/>
    </sheetView>
  </sheetViews>
  <sheetFormatPr defaultRowHeight="15"/>
  <cols>
    <col min="2" max="2" width="21.5703125" customWidth="1"/>
  </cols>
  <sheetData>
    <row r="2" spans="2:4">
      <c r="B2" s="186"/>
      <c r="C2" s="186" t="s">
        <v>381</v>
      </c>
      <c r="D2" s="186" t="s">
        <v>382</v>
      </c>
    </row>
    <row r="3" spans="2:4">
      <c r="B3" t="s">
        <v>383</v>
      </c>
      <c r="C3">
        <v>25</v>
      </c>
      <c r="D3">
        <v>55</v>
      </c>
    </row>
    <row r="8" spans="2:4">
      <c r="B8" s="186" t="s">
        <v>387</v>
      </c>
      <c r="C8" s="186" t="s">
        <v>385</v>
      </c>
    </row>
    <row r="9" spans="2:4">
      <c r="B9" t="s">
        <v>386</v>
      </c>
      <c r="C9" s="185">
        <v>25000</v>
      </c>
    </row>
    <row r="10" spans="2:4">
      <c r="B10" t="s">
        <v>60</v>
      </c>
      <c r="C10" s="185">
        <v>10000</v>
      </c>
    </row>
    <row r="11" spans="2:4">
      <c r="B11" t="s">
        <v>64</v>
      </c>
      <c r="C11">
        <v>3200</v>
      </c>
    </row>
    <row r="12" spans="2:4">
      <c r="B12" t="s">
        <v>37</v>
      </c>
      <c r="C12" s="185">
        <v>9500</v>
      </c>
    </row>
    <row r="13" spans="2:4">
      <c r="C13" s="185"/>
    </row>
    <row r="14" spans="2:4">
      <c r="B14" t="s">
        <v>457</v>
      </c>
      <c r="C14" s="185"/>
    </row>
    <row r="15" spans="2:4">
      <c r="C15" s="185"/>
    </row>
    <row r="16" spans="2:4">
      <c r="C16" s="18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574C8-2BB2-4081-9B6F-921D82096EB1}">
  <dimension ref="A1:AV121"/>
  <sheetViews>
    <sheetView topLeftCell="A73" workbookViewId="0">
      <selection activeCell="E8" sqref="E8"/>
    </sheetView>
  </sheetViews>
  <sheetFormatPr defaultColWidth="8.85546875" defaultRowHeight="15"/>
  <cols>
    <col min="1" max="1" width="45.42578125" customWidth="1"/>
    <col min="2" max="3" width="22.85546875" bestFit="1" customWidth="1"/>
    <col min="4" max="5" width="18" bestFit="1" customWidth="1"/>
    <col min="6" max="9" width="13.5703125" bestFit="1" customWidth="1"/>
    <col min="10" max="47" width="12.140625" bestFit="1" customWidth="1"/>
    <col min="48" max="48" width="9.140625" bestFit="1" customWidth="1"/>
    <col min="49" max="51" width="10.5703125" customWidth="1"/>
  </cols>
  <sheetData>
    <row r="1" spans="1:42" ht="18.75">
      <c r="A1" s="36"/>
    </row>
    <row r="2" spans="1:42" ht="18.75">
      <c r="A2" s="36" t="s">
        <v>233</v>
      </c>
      <c r="C2" s="37" t="s">
        <v>234</v>
      </c>
    </row>
    <row r="3" spans="1:42">
      <c r="A3" t="s">
        <v>235</v>
      </c>
      <c r="B3">
        <v>7.0000000000000007E-2</v>
      </c>
      <c r="C3" s="38" t="s">
        <v>236</v>
      </c>
    </row>
    <row r="4" spans="1:42">
      <c r="A4" t="s">
        <v>237</v>
      </c>
      <c r="B4">
        <v>0.03</v>
      </c>
      <c r="C4" s="38" t="s">
        <v>236</v>
      </c>
    </row>
    <row r="5" spans="1:42" hidden="1">
      <c r="A5" t="s">
        <v>238</v>
      </c>
      <c r="B5">
        <v>300</v>
      </c>
      <c r="C5" s="38" t="s">
        <v>236</v>
      </c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</row>
    <row r="6" spans="1:42">
      <c r="A6" s="6" t="s">
        <v>239</v>
      </c>
      <c r="B6" s="40">
        <v>32</v>
      </c>
      <c r="C6" s="38" t="s">
        <v>236</v>
      </c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</row>
    <row r="7" spans="1:42">
      <c r="A7" t="s">
        <v>240</v>
      </c>
      <c r="B7" s="42">
        <f>60*60</f>
        <v>3600</v>
      </c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</row>
    <row r="8" spans="1:42">
      <c r="A8" t="s">
        <v>241</v>
      </c>
      <c r="B8" s="42">
        <v>1000000</v>
      </c>
      <c r="E8" s="43"/>
      <c r="F8" s="44"/>
      <c r="G8" s="44"/>
      <c r="H8" s="44"/>
      <c r="I8" s="44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</row>
    <row r="9" spans="1:42">
      <c r="A9" t="s">
        <v>242</v>
      </c>
      <c r="B9" s="15">
        <f>1/1000</f>
        <v>1E-3</v>
      </c>
      <c r="E9" s="43"/>
      <c r="F9" s="44"/>
      <c r="G9" s="44"/>
      <c r="H9" s="44"/>
      <c r="I9" s="44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</row>
    <row r="10" spans="1:42">
      <c r="A10" t="s">
        <v>243</v>
      </c>
      <c r="B10" s="45">
        <v>0.90718474000000004</v>
      </c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</row>
    <row r="11" spans="1:42">
      <c r="A11" s="306" t="s">
        <v>244</v>
      </c>
      <c r="B11" s="198"/>
      <c r="C11" s="198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</row>
    <row r="12" spans="1:42">
      <c r="A12" s="307" t="s">
        <v>245</v>
      </c>
      <c r="B12" s="308">
        <v>0.05</v>
      </c>
      <c r="C12" s="306" t="s">
        <v>246</v>
      </c>
    </row>
    <row r="13" spans="1:42">
      <c r="A13" s="309" t="s">
        <v>247</v>
      </c>
      <c r="B13" s="310">
        <f>((498.6-337.9)/339)/30</f>
        <v>1.5801376597836779E-2</v>
      </c>
      <c r="C13" s="306" t="s">
        <v>248</v>
      </c>
      <c r="F13" t="s">
        <v>249</v>
      </c>
      <c r="G13" t="s">
        <v>250</v>
      </c>
      <c r="H13" t="s">
        <v>251</v>
      </c>
    </row>
    <row r="14" spans="1:42">
      <c r="A14" s="309" t="s">
        <v>252</v>
      </c>
      <c r="B14" s="310">
        <f>((685.5-472.9)/472.9)/30</f>
        <v>1.4985550151547193E-2</v>
      </c>
      <c r="C14" s="306"/>
    </row>
    <row r="15" spans="1:42">
      <c r="B15" s="4"/>
      <c r="C15" s="31"/>
    </row>
    <row r="16" spans="1:42" ht="18.75">
      <c r="A16" s="46" t="s">
        <v>228</v>
      </c>
      <c r="B16" s="4"/>
      <c r="C16" s="31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</row>
    <row r="17" spans="1:42" ht="15.75" thickBot="1">
      <c r="A17" s="47" t="s">
        <v>253</v>
      </c>
      <c r="B17" s="47"/>
      <c r="AH17" s="39"/>
      <c r="AI17" s="39"/>
      <c r="AJ17" s="39"/>
      <c r="AK17" s="39"/>
      <c r="AL17" s="39"/>
      <c r="AM17" s="39"/>
      <c r="AN17" s="39"/>
      <c r="AO17" s="39"/>
      <c r="AP17" s="39"/>
    </row>
    <row r="18" spans="1:42">
      <c r="A18" s="48" t="s">
        <v>254</v>
      </c>
      <c r="B18" s="49">
        <v>2023</v>
      </c>
      <c r="C18" s="49">
        <v>2024</v>
      </c>
      <c r="D18" s="49">
        <v>2025</v>
      </c>
      <c r="E18" s="49">
        <v>2026</v>
      </c>
      <c r="F18" s="49">
        <v>2027</v>
      </c>
      <c r="G18" s="49">
        <v>2028</v>
      </c>
      <c r="H18" s="49">
        <v>2029</v>
      </c>
      <c r="I18" s="49">
        <v>2030</v>
      </c>
      <c r="J18" s="49">
        <v>2031</v>
      </c>
      <c r="K18" s="49">
        <v>2032</v>
      </c>
      <c r="L18" s="49">
        <v>2033</v>
      </c>
      <c r="M18" s="49">
        <v>2034</v>
      </c>
      <c r="N18" s="49">
        <v>2035</v>
      </c>
      <c r="O18" s="49">
        <v>2036</v>
      </c>
      <c r="P18" s="49">
        <v>2037</v>
      </c>
      <c r="Q18" s="49">
        <v>2038</v>
      </c>
      <c r="R18" s="49">
        <v>2039</v>
      </c>
      <c r="S18" s="49">
        <v>2040</v>
      </c>
      <c r="T18" s="49">
        <v>2041</v>
      </c>
      <c r="U18" s="49">
        <v>2042</v>
      </c>
      <c r="V18" s="49">
        <v>2043</v>
      </c>
      <c r="W18" s="49">
        <v>2044</v>
      </c>
      <c r="X18" s="49">
        <v>2045</v>
      </c>
      <c r="Y18" s="49">
        <v>2046</v>
      </c>
      <c r="Z18" s="49">
        <v>2047</v>
      </c>
      <c r="AA18" s="49">
        <v>2048</v>
      </c>
      <c r="AB18" s="49">
        <v>2049</v>
      </c>
      <c r="AC18" s="49">
        <v>2050</v>
      </c>
      <c r="AD18" s="49">
        <v>2051</v>
      </c>
      <c r="AE18" s="49">
        <v>2052</v>
      </c>
      <c r="AF18" s="49">
        <v>2053</v>
      </c>
      <c r="AG18" s="49">
        <v>2054</v>
      </c>
      <c r="AH18" s="49">
        <v>2055</v>
      </c>
      <c r="AI18" s="39"/>
      <c r="AJ18" s="39"/>
      <c r="AK18" s="39"/>
      <c r="AL18" s="39"/>
      <c r="AM18" s="39"/>
      <c r="AN18" s="39"/>
      <c r="AO18" s="39"/>
      <c r="AP18" s="39"/>
    </row>
    <row r="19" spans="1:42">
      <c r="A19" s="50" t="s">
        <v>255</v>
      </c>
      <c r="B19" s="51">
        <v>1650.3316092075399</v>
      </c>
      <c r="C19" s="51">
        <v>1616.5650222460099</v>
      </c>
      <c r="D19" s="51">
        <v>1585.3873700971499</v>
      </c>
      <c r="E19" s="51">
        <v>1555.962640790852</v>
      </c>
      <c r="F19" s="51">
        <v>1527.0840333416343</v>
      </c>
      <c r="G19" s="51">
        <v>1498.7414117485951</v>
      </c>
      <c r="H19" s="51">
        <v>1470.9248281346238</v>
      </c>
      <c r="I19" s="51">
        <v>1443.6245192548313</v>
      </c>
      <c r="J19" s="51">
        <v>1416.8309030697819</v>
      </c>
      <c r="K19" s="51">
        <v>1390.5345753823276</v>
      </c>
      <c r="L19" s="51">
        <v>1364.726306536862</v>
      </c>
      <c r="M19" s="51">
        <v>1339.3970381798356</v>
      </c>
      <c r="N19" s="51">
        <v>1314.5378800803967</v>
      </c>
      <c r="O19" s="51">
        <v>1290.1401070100396</v>
      </c>
      <c r="P19" s="51">
        <v>1266.1951556801685</v>
      </c>
      <c r="Q19" s="51">
        <v>1242.6946217364978</v>
      </c>
      <c r="R19" s="51">
        <v>1219.6302568092383</v>
      </c>
      <c r="S19" s="51">
        <v>1196.9939656180304</v>
      </c>
      <c r="T19" s="51">
        <v>1174.7778031306098</v>
      </c>
      <c r="U19" s="51">
        <v>1152.9739717742093</v>
      </c>
      <c r="V19" s="51">
        <v>1131.5748186987157</v>
      </c>
      <c r="W19" s="51">
        <v>1110.5728330906227</v>
      </c>
      <c r="X19" s="51">
        <v>1089.9606435368371</v>
      </c>
      <c r="Y19" s="51">
        <v>1069.7310154374127</v>
      </c>
      <c r="Z19" s="51">
        <v>1049.876848466303</v>
      </c>
      <c r="AA19" s="51">
        <v>1030.3911740792432</v>
      </c>
      <c r="AB19" s="51">
        <v>1011.2671530678848</v>
      </c>
      <c r="AC19" s="51">
        <v>992.49807315932617</v>
      </c>
      <c r="AD19" s="51">
        <v>974.07734666019564</v>
      </c>
      <c r="AE19" s="51">
        <v>955.99850814446006</v>
      </c>
      <c r="AF19" s="51">
        <v>938.25521218414747</v>
      </c>
      <c r="AG19" s="51">
        <v>920.84123112218788</v>
      </c>
      <c r="AH19" s="52">
        <v>920.84123112218788</v>
      </c>
      <c r="AI19" s="39"/>
      <c r="AJ19" s="39"/>
      <c r="AK19" s="39"/>
      <c r="AL19" s="39"/>
      <c r="AM19" s="39"/>
      <c r="AN19" s="39"/>
      <c r="AO19" s="39"/>
      <c r="AP19" s="39"/>
    </row>
    <row r="20" spans="1:42">
      <c r="A20" s="50" t="s">
        <v>256</v>
      </c>
      <c r="B20" s="51">
        <v>3.8522480468996201</v>
      </c>
      <c r="C20" s="51">
        <v>3.6265220354334096</v>
      </c>
      <c r="D20" s="51">
        <v>3.436582867663085</v>
      </c>
      <c r="E20" s="51">
        <v>3.2180770480588543</v>
      </c>
      <c r="F20" s="51">
        <v>3.0134643295493699</v>
      </c>
      <c r="G20" s="51">
        <v>2.8218613569069384</v>
      </c>
      <c r="H20" s="51">
        <v>2.6424409406549807</v>
      </c>
      <c r="I20" s="51">
        <v>2.4744284859207748</v>
      </c>
      <c r="J20" s="51">
        <v>2.3170986483499316</v>
      </c>
      <c r="K20" s="51">
        <v>2.1697722026454964</v>
      </c>
      <c r="L20" s="51">
        <v>2.0318131102125152</v>
      </c>
      <c r="M20" s="51">
        <v>1.9026257732484841</v>
      </c>
      <c r="N20" s="51">
        <v>1.7816524634250264</v>
      </c>
      <c r="O20" s="51">
        <v>1.6683709140598828</v>
      </c>
      <c r="P20" s="51">
        <v>1.5622920653841308</v>
      </c>
      <c r="Q20" s="51">
        <v>1.4629579531704826</v>
      </c>
      <c r="R20" s="51">
        <v>1.3699397316074391</v>
      </c>
      <c r="S20" s="51">
        <v>1.2828358218836389</v>
      </c>
      <c r="T20" s="51">
        <v>1.2012701784894602</v>
      </c>
      <c r="U20" s="51">
        <v>1.1248906657511415</v>
      </c>
      <c r="V20" s="51">
        <v>1.053367537588588</v>
      </c>
      <c r="W20" s="51">
        <v>0.98639201393366127</v>
      </c>
      <c r="X20" s="51">
        <v>0.92367494766305891</v>
      </c>
      <c r="Y20" s="51">
        <v>0.86494557629065916</v>
      </c>
      <c r="Z20" s="51">
        <v>0.80995035303012897</v>
      </c>
      <c r="AA20" s="51">
        <v>0.75845185218125166</v>
      </c>
      <c r="AB20" s="51">
        <v>0.71022774411430234</v>
      </c>
      <c r="AC20" s="51">
        <v>0.66506983542726705</v>
      </c>
      <c r="AD20" s="51">
        <v>0.62278317013206752</v>
      </c>
      <c r="AE20" s="51">
        <v>0.58318518798942665</v>
      </c>
      <c r="AF20" s="51">
        <v>0.54610493635873325</v>
      </c>
      <c r="AG20" s="51">
        <v>0.51138233216030016</v>
      </c>
      <c r="AH20" s="52">
        <v>0.51138233216030016</v>
      </c>
      <c r="AI20" s="39"/>
      <c r="AJ20" s="39"/>
      <c r="AK20" s="39"/>
      <c r="AL20" s="39"/>
      <c r="AM20" s="39"/>
      <c r="AN20" s="39"/>
      <c r="AO20" s="39"/>
      <c r="AP20" s="39"/>
    </row>
    <row r="21" spans="1:42">
      <c r="A21" s="50" t="s">
        <v>257</v>
      </c>
      <c r="B21" s="51">
        <v>8.2030472111605343E-2</v>
      </c>
      <c r="C21" s="51">
        <v>7.3607343903925149E-2</v>
      </c>
      <c r="D21" s="51">
        <v>6.6678689098195951E-2</v>
      </c>
      <c r="E21" s="51">
        <v>5.9455924049457397E-2</v>
      </c>
      <c r="F21" s="51">
        <v>5.3015542932599274E-2</v>
      </c>
      <c r="G21" s="51">
        <v>4.7272796401251579E-2</v>
      </c>
      <c r="H21" s="51">
        <v>4.2152115322769919E-2</v>
      </c>
      <c r="I21" s="51">
        <v>3.7586116359662879E-2</v>
      </c>
      <c r="J21" s="51">
        <v>3.3514715268369702E-2</v>
      </c>
      <c r="K21" s="51">
        <v>2.9884336247235733E-2</v>
      </c>
      <c r="L21" s="51">
        <v>2.6647206929450079E-2</v>
      </c>
      <c r="M21" s="51">
        <v>2.3760729743716937E-2</v>
      </c>
      <c r="N21" s="51">
        <v>2.118692137035939E-2</v>
      </c>
      <c r="O21" s="51">
        <v>1.8891912916626247E-2</v>
      </c>
      <c r="P21" s="51">
        <v>1.6845504233979961E-2</v>
      </c>
      <c r="Q21" s="51">
        <v>1.5020766512601157E-2</v>
      </c>
      <c r="R21" s="51">
        <v>1.3393687923627917E-2</v>
      </c>
      <c r="S21" s="51">
        <v>1.1942857646115627E-2</v>
      </c>
      <c r="T21" s="51">
        <v>1.0649184120809957E-2</v>
      </c>
      <c r="U21" s="51">
        <v>9.4956438232181011E-3</v>
      </c>
      <c r="V21" s="51">
        <v>8.467057250068669E-3</v>
      </c>
      <c r="W21" s="51">
        <v>7.549889171353112E-3</v>
      </c>
      <c r="X21" s="51">
        <v>6.7320705194538156E-3</v>
      </c>
      <c r="Y21" s="51">
        <v>6.0028395715875987E-3</v>
      </c>
      <c r="Z21" s="51">
        <v>5.3526003356752557E-3</v>
      </c>
      <c r="AA21" s="51">
        <v>4.7727962761286279E-3</v>
      </c>
      <c r="AB21" s="51">
        <v>4.2557977179055618E-3</v>
      </c>
      <c r="AC21" s="51">
        <v>3.7948014471762197E-3</v>
      </c>
      <c r="AD21" s="51">
        <v>3.3837411874401229E-3</v>
      </c>
      <c r="AE21" s="51">
        <v>3.0172077730439956E-3</v>
      </c>
      <c r="AF21" s="51">
        <v>2.6903779696591228E-3</v>
      </c>
      <c r="AG21" s="51">
        <v>2.398951005062786E-3</v>
      </c>
      <c r="AH21" s="52">
        <v>2.398951005062786E-3</v>
      </c>
      <c r="AI21" s="39"/>
      <c r="AJ21" s="39"/>
      <c r="AK21" s="39"/>
      <c r="AL21" s="39"/>
      <c r="AM21" s="39"/>
      <c r="AN21" s="39"/>
      <c r="AO21" s="39"/>
      <c r="AP21" s="39"/>
    </row>
    <row r="22" spans="1:42">
      <c r="A22" s="50" t="s">
        <v>258</v>
      </c>
      <c r="B22" s="51">
        <v>5.552246934636065E-3</v>
      </c>
      <c r="C22" s="51">
        <v>5.4342666399354997E-3</v>
      </c>
      <c r="D22" s="51">
        <v>5.3256545001667899E-3</v>
      </c>
      <c r="E22" s="51">
        <v>5.2221759581079757E-3</v>
      </c>
      <c r="F22" s="51">
        <v>5.1207080250111735E-3</v>
      </c>
      <c r="G22" s="51">
        <v>5.021211634338359E-3</v>
      </c>
      <c r="H22" s="51">
        <v>4.923648478622227E-3</v>
      </c>
      <c r="I22" s="51">
        <v>4.8279809947172963E-3</v>
      </c>
      <c r="J22" s="51">
        <v>4.7341723493375849E-3</v>
      </c>
      <c r="K22" s="51">
        <v>4.6421864248752933E-3</v>
      </c>
      <c r="L22" s="51">
        <v>4.551987805495033E-3</v>
      </c>
      <c r="M22" s="51">
        <v>4.4635417634982461E-3</v>
      </c>
      <c r="N22" s="51">
        <v>4.3768142459525696E-3</v>
      </c>
      <c r="O22" s="51">
        <v>4.2917718615809895E-3</v>
      </c>
      <c r="P22" s="51">
        <v>4.2083818679057453E-3</v>
      </c>
      <c r="Q22" s="51">
        <v>4.1266121586420301E-3</v>
      </c>
      <c r="R22" s="51">
        <v>4.0464312513366308E-3</v>
      </c>
      <c r="S22" s="51">
        <v>3.9678082752467574E-3</v>
      </c>
      <c r="T22" s="51">
        <v>3.8907129594543842E-3</v>
      </c>
      <c r="U22" s="51">
        <v>3.8151156212115323E-3</v>
      </c>
      <c r="V22" s="51">
        <v>3.7409871545120094E-3</v>
      </c>
      <c r="W22" s="51">
        <v>3.6682990188851993E-3</v>
      </c>
      <c r="X22" s="51">
        <v>3.597023228407591E-3</v>
      </c>
      <c r="Y22" s="51">
        <v>3.5271323409278173E-3</v>
      </c>
      <c r="Z22" s="51">
        <v>3.458599447501052E-3</v>
      </c>
      <c r="AA22" s="51">
        <v>3.3913981620286989E-3</v>
      </c>
      <c r="AB22" s="51">
        <v>3.3255026110993848E-3</v>
      </c>
      <c r="AC22" s="51">
        <v>3.260887424027342E-3</v>
      </c>
      <c r="AD22" s="51">
        <v>3.1975277230843488E-3</v>
      </c>
      <c r="AE22" s="51">
        <v>3.1353991139214665E-3</v>
      </c>
      <c r="AF22" s="51">
        <v>3.0744776761768792E-3</v>
      </c>
      <c r="AG22" s="51">
        <v>3.0147399542662309E-3</v>
      </c>
      <c r="AH22" s="52">
        <v>3.0147399542662309E-3</v>
      </c>
      <c r="AI22" s="39"/>
      <c r="AJ22" s="39"/>
      <c r="AK22" s="39"/>
      <c r="AL22" s="39"/>
      <c r="AM22" s="39"/>
      <c r="AN22" s="39"/>
      <c r="AO22" s="39"/>
      <c r="AP22" s="39"/>
    </row>
    <row r="23" spans="1:42">
      <c r="A23" s="50" t="s">
        <v>259</v>
      </c>
      <c r="B23" s="51">
        <v>0.19504456731723702</v>
      </c>
      <c r="C23" s="51">
        <v>0.182343635632779</v>
      </c>
      <c r="D23" s="51">
        <v>0.17171571883265049</v>
      </c>
      <c r="E23" s="51">
        <v>0.15983896195248876</v>
      </c>
      <c r="F23" s="51">
        <v>0.14878366367232823</v>
      </c>
      <c r="G23" s="51">
        <v>0.13849300762063543</v>
      </c>
      <c r="H23" s="51">
        <v>0.12891410714318002</v>
      </c>
      <c r="I23" s="51">
        <v>0.11999773350324074</v>
      </c>
      <c r="J23" s="51">
        <v>0.11169806288090607</v>
      </c>
      <c r="K23" s="51">
        <v>0.10397244087122612</v>
      </c>
      <c r="L23" s="51">
        <v>9.6781163270903456E-2</v>
      </c>
      <c r="M23" s="51">
        <v>9.0087272026922585E-2</v>
      </c>
      <c r="N23" s="51">
        <v>8.3856365298439012E-2</v>
      </c>
      <c r="O23" s="51">
        <v>7.8056420655781056E-2</v>
      </c>
      <c r="P23" s="51">
        <v>7.2657630507933085E-2</v>
      </c>
      <c r="Q23" s="51">
        <v>6.7632248912714424E-2</v>
      </c>
      <c r="R23" s="51">
        <v>6.2954448982367225E-2</v>
      </c>
      <c r="S23" s="51">
        <v>5.8600190151719321E-2</v>
      </c>
      <c r="T23" s="51">
        <v>5.454709462677497E-2</v>
      </c>
      <c r="U23" s="51">
        <v>5.0774332378766954E-2</v>
      </c>
      <c r="V23" s="51">
        <v>4.7262514092621347E-2</v>
      </c>
      <c r="W23" s="51">
        <v>4.3993591519666135E-2</v>
      </c>
      <c r="X23" s="51">
        <v>4.0950764722467475E-2</v>
      </c>
      <c r="Y23" s="51">
        <v>3.811839573509803E-2</v>
      </c>
      <c r="Z23" s="51">
        <v>3.5481928195112568E-2</v>
      </c>
      <c r="AA23" s="51">
        <v>3.3027812534196267E-2</v>
      </c>
      <c r="AB23" s="51">
        <v>3.0743436343018935E-2</v>
      </c>
      <c r="AC23" s="51">
        <v>2.8617059552419975E-2</v>
      </c>
      <c r="AD23" s="51">
        <v>2.6637754097801471E-2</v>
      </c>
      <c r="AE23" s="51">
        <v>2.479534775664731E-2</v>
      </c>
      <c r="AF23" s="51">
        <v>2.3080371870533096E-2</v>
      </c>
      <c r="AG23" s="51">
        <v>2.1484012682955193E-2</v>
      </c>
      <c r="AH23" s="52">
        <v>2.1484012682955193E-2</v>
      </c>
      <c r="AI23" s="39"/>
      <c r="AJ23" s="39"/>
      <c r="AK23" s="39"/>
      <c r="AL23" s="39"/>
      <c r="AM23" s="39"/>
      <c r="AN23" s="39"/>
      <c r="AO23" s="39"/>
      <c r="AP23" s="39"/>
    </row>
    <row r="24" spans="1:42" ht="30">
      <c r="A24" s="53" t="s">
        <v>260</v>
      </c>
      <c r="B24" s="54">
        <v>2023</v>
      </c>
      <c r="C24" s="54">
        <v>2024</v>
      </c>
      <c r="D24" s="54">
        <v>2025</v>
      </c>
      <c r="E24" s="54">
        <v>2026</v>
      </c>
      <c r="F24" s="54">
        <v>2027</v>
      </c>
      <c r="G24" s="54">
        <v>2028</v>
      </c>
      <c r="H24" s="54">
        <v>2029</v>
      </c>
      <c r="I24" s="54">
        <v>2030</v>
      </c>
      <c r="J24" s="54">
        <v>2031</v>
      </c>
      <c r="K24" s="54">
        <v>2032</v>
      </c>
      <c r="L24" s="54">
        <v>2033</v>
      </c>
      <c r="M24" s="54">
        <v>2034</v>
      </c>
      <c r="N24" s="54">
        <v>2035</v>
      </c>
      <c r="O24" s="54">
        <v>2036</v>
      </c>
      <c r="P24" s="54">
        <v>2037</v>
      </c>
      <c r="Q24" s="54">
        <v>2038</v>
      </c>
      <c r="R24" s="54">
        <v>2039</v>
      </c>
      <c r="S24" s="54">
        <v>2040</v>
      </c>
      <c r="T24" s="54">
        <v>2041</v>
      </c>
      <c r="U24" s="54">
        <v>2042</v>
      </c>
      <c r="V24" s="54">
        <v>2043</v>
      </c>
      <c r="W24" s="54">
        <v>2044</v>
      </c>
      <c r="X24" s="54">
        <v>2045</v>
      </c>
      <c r="Y24" s="54">
        <v>2046</v>
      </c>
      <c r="Z24" s="54">
        <v>2047</v>
      </c>
      <c r="AA24" s="54">
        <v>2048</v>
      </c>
      <c r="AB24" s="54">
        <v>2049</v>
      </c>
      <c r="AC24" s="54">
        <v>2050</v>
      </c>
      <c r="AD24" s="54">
        <v>2051</v>
      </c>
      <c r="AE24" s="54">
        <v>2052</v>
      </c>
      <c r="AF24" s="54">
        <v>2053</v>
      </c>
      <c r="AG24" s="54">
        <v>2054</v>
      </c>
      <c r="AH24" s="54">
        <v>2055</v>
      </c>
      <c r="AI24" s="39"/>
      <c r="AJ24" s="39"/>
      <c r="AK24" s="39"/>
      <c r="AL24" s="39"/>
      <c r="AM24" s="39"/>
      <c r="AN24" s="39"/>
      <c r="AO24" s="39"/>
      <c r="AP24" s="39"/>
    </row>
    <row r="25" spans="1:42">
      <c r="A25" s="50" t="s">
        <v>255</v>
      </c>
      <c r="B25" s="55">
        <v>1.6503316092075398E-3</v>
      </c>
      <c r="C25" s="55">
        <v>1.6165650222460099E-3</v>
      </c>
      <c r="D25" s="55">
        <v>1.5853873700971497E-3</v>
      </c>
      <c r="E25" s="55">
        <v>1.5559626407908519E-3</v>
      </c>
      <c r="F25" s="55">
        <v>1.5270840333416341E-3</v>
      </c>
      <c r="G25" s="55">
        <v>1.4987414117485949E-3</v>
      </c>
      <c r="H25" s="55">
        <v>1.4709248281346238E-3</v>
      </c>
      <c r="I25" s="55">
        <v>1.4436245192548313E-3</v>
      </c>
      <c r="J25" s="55">
        <v>1.4168309030697819E-3</v>
      </c>
      <c r="K25" s="55">
        <v>1.3905345753823276E-3</v>
      </c>
      <c r="L25" s="55">
        <v>1.364726306536862E-3</v>
      </c>
      <c r="M25" s="55">
        <v>1.3393970381798356E-3</v>
      </c>
      <c r="N25" s="55">
        <v>1.3145378800803965E-3</v>
      </c>
      <c r="O25" s="55">
        <v>1.2901401070100397E-3</v>
      </c>
      <c r="P25" s="55">
        <v>1.2661951556801683E-3</v>
      </c>
      <c r="Q25" s="55">
        <v>1.2426946217364977E-3</v>
      </c>
      <c r="R25" s="55">
        <v>1.2196302568092381E-3</v>
      </c>
      <c r="S25" s="55">
        <v>1.1969939656180303E-3</v>
      </c>
      <c r="T25" s="55">
        <v>1.1747778031306097E-3</v>
      </c>
      <c r="U25" s="55">
        <v>1.1529739717742093E-3</v>
      </c>
      <c r="V25" s="55">
        <v>1.1315748186987156E-3</v>
      </c>
      <c r="W25" s="55">
        <v>1.1105728330906227E-3</v>
      </c>
      <c r="X25" s="55">
        <v>1.0899606435368369E-3</v>
      </c>
      <c r="Y25" s="55">
        <v>1.0697310154374126E-3</v>
      </c>
      <c r="Z25" s="55">
        <v>1.049876848466303E-3</v>
      </c>
      <c r="AA25" s="55">
        <v>1.0303911740792433E-3</v>
      </c>
      <c r="AB25" s="55">
        <v>1.0112671530678847E-3</v>
      </c>
      <c r="AC25" s="55">
        <v>9.9249807315932611E-4</v>
      </c>
      <c r="AD25" s="55">
        <v>9.7407734666019562E-4</v>
      </c>
      <c r="AE25" s="55">
        <v>9.5599850814446E-4</v>
      </c>
      <c r="AF25" s="55">
        <v>9.3825521218414746E-4</v>
      </c>
      <c r="AG25" s="55">
        <v>9.2084123112218784E-4</v>
      </c>
      <c r="AH25" s="55">
        <v>9.2084123112218784E-4</v>
      </c>
      <c r="AI25" s="39"/>
      <c r="AJ25" s="39"/>
      <c r="AK25" s="39"/>
      <c r="AL25" s="39"/>
      <c r="AM25" s="39"/>
      <c r="AN25" s="39"/>
      <c r="AO25" s="39"/>
      <c r="AP25" s="39"/>
    </row>
    <row r="26" spans="1:42">
      <c r="A26" s="50" t="s">
        <v>256</v>
      </c>
      <c r="B26" s="55">
        <v>3.8522480468996203E-6</v>
      </c>
      <c r="C26" s="55">
        <v>3.6265220354334093E-6</v>
      </c>
      <c r="D26" s="55">
        <v>3.436582867663085E-6</v>
      </c>
      <c r="E26" s="55">
        <v>3.2180770480588543E-6</v>
      </c>
      <c r="F26" s="55">
        <v>3.0134643295493696E-6</v>
      </c>
      <c r="G26" s="55">
        <v>2.8218613569069381E-6</v>
      </c>
      <c r="H26" s="55">
        <v>2.6424409406549807E-6</v>
      </c>
      <c r="I26" s="55">
        <v>2.4744284859207746E-6</v>
      </c>
      <c r="J26" s="55">
        <v>2.3170986483499313E-6</v>
      </c>
      <c r="K26" s="55">
        <v>2.1697722026454964E-6</v>
      </c>
      <c r="L26" s="55">
        <v>2.0318131102125152E-6</v>
      </c>
      <c r="M26" s="55">
        <v>1.9026257732484841E-6</v>
      </c>
      <c r="N26" s="55">
        <v>1.7816524634250264E-6</v>
      </c>
      <c r="O26" s="55">
        <v>1.6683709140598828E-6</v>
      </c>
      <c r="P26" s="55">
        <v>1.5622920653841307E-6</v>
      </c>
      <c r="Q26" s="55">
        <v>1.4629579531704826E-6</v>
      </c>
      <c r="R26" s="55">
        <v>1.3699397316074391E-6</v>
      </c>
      <c r="S26" s="55">
        <v>1.2828358218836388E-6</v>
      </c>
      <c r="T26" s="55">
        <v>1.2012701784894602E-6</v>
      </c>
      <c r="U26" s="55">
        <v>1.1248906657511413E-6</v>
      </c>
      <c r="V26" s="55">
        <v>1.053367537588588E-6</v>
      </c>
      <c r="W26" s="55">
        <v>9.8639201393366126E-7</v>
      </c>
      <c r="X26" s="55">
        <v>9.2367494766305888E-7</v>
      </c>
      <c r="Y26" s="55">
        <v>8.6494557629065916E-7</v>
      </c>
      <c r="Z26" s="55">
        <v>8.0995035303012894E-7</v>
      </c>
      <c r="AA26" s="55">
        <v>7.5845185218125167E-7</v>
      </c>
      <c r="AB26" s="55">
        <v>7.1022774411430228E-7</v>
      </c>
      <c r="AC26" s="55">
        <v>6.6506983542726697E-7</v>
      </c>
      <c r="AD26" s="55">
        <v>6.227831701320675E-7</v>
      </c>
      <c r="AE26" s="55">
        <v>5.8318518798942663E-7</v>
      </c>
      <c r="AF26" s="55">
        <v>5.4610493635873323E-7</v>
      </c>
      <c r="AG26" s="55">
        <v>5.1138233216030009E-7</v>
      </c>
      <c r="AH26" s="55">
        <v>5.1138233216030009E-7</v>
      </c>
      <c r="AI26" s="39"/>
      <c r="AJ26" s="39"/>
      <c r="AK26" s="39"/>
      <c r="AL26" s="39"/>
      <c r="AM26" s="39"/>
      <c r="AN26" s="39"/>
      <c r="AO26" s="39"/>
      <c r="AP26" s="39"/>
    </row>
    <row r="27" spans="1:42">
      <c r="A27" s="50" t="s">
        <v>257</v>
      </c>
      <c r="B27" s="55">
        <v>8.2030472111605345E-8</v>
      </c>
      <c r="C27" s="55">
        <v>7.3607343903925151E-8</v>
      </c>
      <c r="D27" s="55">
        <v>6.6678689098195942E-8</v>
      </c>
      <c r="E27" s="55">
        <v>5.9455924049457396E-8</v>
      </c>
      <c r="F27" s="55">
        <v>5.3015542932599272E-8</v>
      </c>
      <c r="G27" s="55">
        <v>4.7272796401251574E-8</v>
      </c>
      <c r="H27" s="55">
        <v>4.2152115322769918E-8</v>
      </c>
      <c r="I27" s="55">
        <v>3.7586116359662875E-8</v>
      </c>
      <c r="J27" s="55">
        <v>3.3514715268369702E-8</v>
      </c>
      <c r="K27" s="55">
        <v>2.9884336247235735E-8</v>
      </c>
      <c r="L27" s="55">
        <v>2.6647206929450077E-8</v>
      </c>
      <c r="M27" s="55">
        <v>2.3760729743716937E-8</v>
      </c>
      <c r="N27" s="55">
        <v>2.118692137035939E-8</v>
      </c>
      <c r="O27" s="55">
        <v>1.8891912916626246E-8</v>
      </c>
      <c r="P27" s="55">
        <v>1.6845504233979959E-8</v>
      </c>
      <c r="Q27" s="55">
        <v>1.5020766512601156E-8</v>
      </c>
      <c r="R27" s="55">
        <v>1.3393687923627917E-8</v>
      </c>
      <c r="S27" s="55">
        <v>1.1942857646115628E-8</v>
      </c>
      <c r="T27" s="55">
        <v>1.0649184120809956E-8</v>
      </c>
      <c r="U27" s="55">
        <v>9.4956438232181013E-9</v>
      </c>
      <c r="V27" s="55">
        <v>8.4670572500686691E-9</v>
      </c>
      <c r="W27" s="55">
        <v>7.5498891713531117E-9</v>
      </c>
      <c r="X27" s="55">
        <v>6.7320705194538153E-9</v>
      </c>
      <c r="Y27" s="55">
        <v>6.0028395715875985E-9</v>
      </c>
      <c r="Z27" s="55">
        <v>5.3526003356752551E-9</v>
      </c>
      <c r="AA27" s="55">
        <v>4.7727962761286275E-9</v>
      </c>
      <c r="AB27" s="55">
        <v>4.2557977179055612E-9</v>
      </c>
      <c r="AC27" s="55">
        <v>3.7948014471762194E-9</v>
      </c>
      <c r="AD27" s="55">
        <v>3.3837411874401228E-9</v>
      </c>
      <c r="AE27" s="55">
        <v>3.0172077730439957E-9</v>
      </c>
      <c r="AF27" s="55">
        <v>2.6903779696591228E-9</v>
      </c>
      <c r="AG27" s="55">
        <v>2.398951005062786E-9</v>
      </c>
      <c r="AH27" s="55">
        <v>2.398951005062786E-9</v>
      </c>
      <c r="AI27" s="39"/>
      <c r="AJ27" s="39"/>
      <c r="AK27" s="39"/>
      <c r="AL27" s="39"/>
      <c r="AM27" s="39"/>
      <c r="AN27" s="39"/>
      <c r="AO27" s="39"/>
      <c r="AP27" s="39"/>
    </row>
    <row r="28" spans="1:42">
      <c r="A28" s="50" t="s">
        <v>258</v>
      </c>
      <c r="B28" s="55">
        <v>5.5522469346360648E-9</v>
      </c>
      <c r="C28" s="55">
        <v>5.4342666399354998E-9</v>
      </c>
      <c r="D28" s="55">
        <v>5.3256545001667893E-9</v>
      </c>
      <c r="E28" s="55">
        <v>5.2221759581079758E-9</v>
      </c>
      <c r="F28" s="55">
        <v>5.1207080250111735E-9</v>
      </c>
      <c r="G28" s="55">
        <v>5.0212116343383587E-9</v>
      </c>
      <c r="H28" s="55">
        <v>4.9236484786222272E-9</v>
      </c>
      <c r="I28" s="55">
        <v>4.8279809947172962E-9</v>
      </c>
      <c r="J28" s="55">
        <v>4.7341723493375846E-9</v>
      </c>
      <c r="K28" s="55">
        <v>4.6421864248752932E-9</v>
      </c>
      <c r="L28" s="55">
        <v>4.551987805495033E-9</v>
      </c>
      <c r="M28" s="55">
        <v>4.4635417634982457E-9</v>
      </c>
      <c r="N28" s="55">
        <v>4.3768142459525693E-9</v>
      </c>
      <c r="O28" s="55">
        <v>4.291771861580989E-9</v>
      </c>
      <c r="P28" s="55">
        <v>4.2083818679057451E-9</v>
      </c>
      <c r="Q28" s="55">
        <v>4.1266121586420298E-9</v>
      </c>
      <c r="R28" s="55">
        <v>4.0464312513366309E-9</v>
      </c>
      <c r="S28" s="55">
        <v>3.9678082752467571E-9</v>
      </c>
      <c r="T28" s="55">
        <v>3.8907129594543843E-9</v>
      </c>
      <c r="U28" s="55">
        <v>3.8151156212115324E-9</v>
      </c>
      <c r="V28" s="55">
        <v>3.7409871545120091E-9</v>
      </c>
      <c r="W28" s="55">
        <v>3.6682990188851992E-9</v>
      </c>
      <c r="X28" s="55">
        <v>3.5970232284075906E-9</v>
      </c>
      <c r="Y28" s="55">
        <v>3.5271323409278171E-9</v>
      </c>
      <c r="Z28" s="55">
        <v>3.4585994475010517E-9</v>
      </c>
      <c r="AA28" s="55">
        <v>3.3913981620286987E-9</v>
      </c>
      <c r="AB28" s="55">
        <v>3.3255026110993846E-9</v>
      </c>
      <c r="AC28" s="55">
        <v>3.2608874240273418E-9</v>
      </c>
      <c r="AD28" s="55">
        <v>3.1975277230843489E-9</v>
      </c>
      <c r="AE28" s="55">
        <v>3.1353991139214665E-9</v>
      </c>
      <c r="AF28" s="55">
        <v>3.0744776761768791E-9</v>
      </c>
      <c r="AG28" s="55">
        <v>3.0147399542662306E-9</v>
      </c>
      <c r="AH28" s="55">
        <v>3.0147399542662306E-9</v>
      </c>
      <c r="AI28" s="39"/>
      <c r="AJ28" s="39"/>
      <c r="AK28" s="39"/>
      <c r="AL28" s="39"/>
      <c r="AM28" s="39"/>
      <c r="AN28" s="39"/>
      <c r="AO28" s="39"/>
      <c r="AP28" s="39"/>
    </row>
    <row r="29" spans="1:42">
      <c r="A29" s="50" t="s">
        <v>259</v>
      </c>
      <c r="B29" s="55">
        <v>1.95044567317237E-7</v>
      </c>
      <c r="C29" s="55">
        <v>1.8234363563277899E-7</v>
      </c>
      <c r="D29" s="55">
        <v>1.717157188326505E-7</v>
      </c>
      <c r="E29" s="55">
        <v>1.5983896195248876E-7</v>
      </c>
      <c r="F29" s="55">
        <v>1.4878366367232823E-7</v>
      </c>
      <c r="G29" s="55">
        <v>1.3849300762063543E-7</v>
      </c>
      <c r="H29" s="55">
        <v>1.2891410714318002E-7</v>
      </c>
      <c r="I29" s="55">
        <v>1.1999773350324072E-7</v>
      </c>
      <c r="J29" s="55">
        <v>1.1169806288090607E-7</v>
      </c>
      <c r="K29" s="55">
        <v>1.0397244087122611E-7</v>
      </c>
      <c r="L29" s="55">
        <v>9.6781163270903458E-8</v>
      </c>
      <c r="M29" s="55">
        <v>9.0087272026922584E-8</v>
      </c>
      <c r="N29" s="55">
        <v>8.3856365298439003E-8</v>
      </c>
      <c r="O29" s="55">
        <v>7.8056420655781056E-8</v>
      </c>
      <c r="P29" s="55">
        <v>7.2657630507933083E-8</v>
      </c>
      <c r="Q29" s="55">
        <v>6.7632248912714416E-8</v>
      </c>
      <c r="R29" s="55">
        <v>6.2954448982367219E-8</v>
      </c>
      <c r="S29" s="55">
        <v>5.860019015171932E-8</v>
      </c>
      <c r="T29" s="55">
        <v>5.4547094626774969E-8</v>
      </c>
      <c r="U29" s="55">
        <v>5.0774332378766951E-8</v>
      </c>
      <c r="V29" s="55">
        <v>4.7262514092621347E-8</v>
      </c>
      <c r="W29" s="55">
        <v>4.399359151966613E-8</v>
      </c>
      <c r="X29" s="55">
        <v>4.0950764722467473E-8</v>
      </c>
      <c r="Y29" s="55">
        <v>3.8118395735098027E-8</v>
      </c>
      <c r="Z29" s="55">
        <v>3.5481928195112567E-8</v>
      </c>
      <c r="AA29" s="55">
        <v>3.3027812534196266E-8</v>
      </c>
      <c r="AB29" s="55">
        <v>3.0743436343018935E-8</v>
      </c>
      <c r="AC29" s="55">
        <v>2.8617059552419972E-8</v>
      </c>
      <c r="AD29" s="55">
        <v>2.6637754097801469E-8</v>
      </c>
      <c r="AE29" s="55">
        <v>2.4795347756647308E-8</v>
      </c>
      <c r="AF29" s="55">
        <v>2.3080371870533094E-8</v>
      </c>
      <c r="AG29" s="55">
        <v>2.148401268295519E-8</v>
      </c>
      <c r="AH29" s="55">
        <v>2.148401268295519E-8</v>
      </c>
      <c r="AI29" s="39"/>
      <c r="AJ29" s="39"/>
      <c r="AK29" s="39"/>
      <c r="AL29" s="39"/>
      <c r="AM29" s="39"/>
      <c r="AN29" s="39"/>
      <c r="AO29" s="39"/>
      <c r="AP29" s="39"/>
    </row>
    <row r="30" spans="1:42">
      <c r="A30" s="56" t="s">
        <v>261</v>
      </c>
      <c r="B30" s="57">
        <v>2023</v>
      </c>
      <c r="C30" s="54">
        <v>2024</v>
      </c>
      <c r="D30" s="54">
        <v>2025</v>
      </c>
      <c r="E30" s="54">
        <v>2026</v>
      </c>
      <c r="F30" s="54">
        <v>2027</v>
      </c>
      <c r="G30" s="54">
        <v>2028</v>
      </c>
      <c r="H30" s="54">
        <v>2029</v>
      </c>
      <c r="I30" s="54">
        <v>2030</v>
      </c>
      <c r="J30" s="54">
        <v>2031</v>
      </c>
      <c r="K30" s="54">
        <v>2032</v>
      </c>
      <c r="L30" s="54">
        <v>2033</v>
      </c>
      <c r="M30" s="54">
        <v>2034</v>
      </c>
      <c r="N30" s="54">
        <v>2035</v>
      </c>
      <c r="O30" s="54">
        <v>2036</v>
      </c>
      <c r="P30" s="54">
        <v>2037</v>
      </c>
      <c r="Q30" s="54">
        <v>2038</v>
      </c>
      <c r="R30" s="54">
        <v>2039</v>
      </c>
      <c r="S30" s="54">
        <v>2040</v>
      </c>
      <c r="T30" s="54">
        <v>2041</v>
      </c>
      <c r="U30" s="54">
        <v>2042</v>
      </c>
      <c r="V30" s="54">
        <v>2043</v>
      </c>
      <c r="W30" s="54">
        <v>2044</v>
      </c>
      <c r="X30" s="54">
        <v>2045</v>
      </c>
      <c r="Y30" s="54">
        <v>2046</v>
      </c>
      <c r="Z30" s="54">
        <v>2047</v>
      </c>
      <c r="AA30" s="54">
        <v>2048</v>
      </c>
      <c r="AB30" s="54">
        <v>2049</v>
      </c>
      <c r="AC30" s="54">
        <v>2050</v>
      </c>
      <c r="AD30" s="54">
        <v>2051</v>
      </c>
      <c r="AE30" s="54">
        <v>2052</v>
      </c>
      <c r="AF30" s="54">
        <v>2053</v>
      </c>
      <c r="AG30" s="54">
        <v>2054</v>
      </c>
      <c r="AH30" s="54">
        <v>2054</v>
      </c>
      <c r="AI30" s="39"/>
      <c r="AJ30" s="39"/>
      <c r="AK30" s="39"/>
      <c r="AL30" s="39"/>
      <c r="AM30" s="39"/>
      <c r="AN30" s="39"/>
      <c r="AO30" s="39"/>
      <c r="AP30" s="39"/>
    </row>
    <row r="31" spans="1:42">
      <c r="A31" s="50" t="s">
        <v>255</v>
      </c>
      <c r="B31" s="58">
        <v>54</v>
      </c>
      <c r="C31" s="58">
        <v>55</v>
      </c>
      <c r="D31" s="58">
        <v>56</v>
      </c>
      <c r="E31" s="58">
        <v>57</v>
      </c>
      <c r="F31" s="58">
        <v>58</v>
      </c>
      <c r="G31" s="58">
        <v>60</v>
      </c>
      <c r="H31" s="58">
        <v>61</v>
      </c>
      <c r="I31" s="58">
        <v>62</v>
      </c>
      <c r="J31" s="58">
        <v>63</v>
      </c>
      <c r="K31" s="58">
        <v>64</v>
      </c>
      <c r="L31" s="58">
        <v>65</v>
      </c>
      <c r="M31" s="58">
        <v>66</v>
      </c>
      <c r="N31" s="58">
        <v>67</v>
      </c>
      <c r="O31" s="58">
        <v>69</v>
      </c>
      <c r="P31" s="58">
        <v>70</v>
      </c>
      <c r="Q31" s="58">
        <v>71</v>
      </c>
      <c r="R31" s="58">
        <v>72</v>
      </c>
      <c r="S31" s="58">
        <v>73</v>
      </c>
      <c r="T31" s="58">
        <v>74</v>
      </c>
      <c r="U31" s="58">
        <v>75</v>
      </c>
      <c r="V31" s="58">
        <v>77</v>
      </c>
      <c r="W31" s="58">
        <v>78</v>
      </c>
      <c r="X31" s="58">
        <v>79</v>
      </c>
      <c r="Y31" s="58">
        <v>80</v>
      </c>
      <c r="Z31" s="58">
        <v>81</v>
      </c>
      <c r="AA31" s="58">
        <v>82</v>
      </c>
      <c r="AB31" s="58">
        <v>84</v>
      </c>
      <c r="AC31" s="58">
        <v>85</v>
      </c>
      <c r="AD31" s="58">
        <v>86</v>
      </c>
      <c r="AE31" s="58">
        <v>88</v>
      </c>
      <c r="AF31" s="58">
        <v>89</v>
      </c>
      <c r="AG31" s="58">
        <v>91</v>
      </c>
      <c r="AH31" s="58">
        <v>91</v>
      </c>
      <c r="AI31" s="39"/>
      <c r="AJ31" s="39"/>
      <c r="AK31" s="39"/>
      <c r="AL31" s="39"/>
      <c r="AM31" s="39"/>
      <c r="AN31" s="39"/>
      <c r="AO31" s="39"/>
      <c r="AP31" s="39"/>
    </row>
    <row r="32" spans="1:42">
      <c r="A32" s="50" t="s">
        <v>256</v>
      </c>
      <c r="B32" s="58">
        <v>16000</v>
      </c>
      <c r="C32" s="58">
        <v>16200</v>
      </c>
      <c r="D32" s="58">
        <v>16500</v>
      </c>
      <c r="E32" s="58">
        <v>16800</v>
      </c>
      <c r="F32" s="58">
        <v>17100</v>
      </c>
      <c r="G32" s="58">
        <v>17400</v>
      </c>
      <c r="H32" s="58">
        <v>17700</v>
      </c>
      <c r="I32" s="58">
        <v>18100</v>
      </c>
      <c r="J32" s="58">
        <v>18100</v>
      </c>
      <c r="K32" s="58">
        <v>18100</v>
      </c>
      <c r="L32" s="58">
        <v>18100</v>
      </c>
      <c r="M32" s="58">
        <v>18100</v>
      </c>
      <c r="N32" s="58">
        <v>18100</v>
      </c>
      <c r="O32" s="58">
        <v>18100</v>
      </c>
      <c r="P32" s="58">
        <v>18100</v>
      </c>
      <c r="Q32" s="58">
        <v>18100</v>
      </c>
      <c r="R32" s="58">
        <v>18100</v>
      </c>
      <c r="S32" s="58">
        <v>18100</v>
      </c>
      <c r="T32" s="58">
        <v>18100</v>
      </c>
      <c r="U32" s="58">
        <v>18100</v>
      </c>
      <c r="V32" s="58">
        <v>18100</v>
      </c>
      <c r="W32" s="58">
        <v>18100</v>
      </c>
      <c r="X32" s="58">
        <v>18100</v>
      </c>
      <c r="Y32" s="58">
        <v>18100</v>
      </c>
      <c r="Z32" s="58">
        <v>18100</v>
      </c>
      <c r="AA32" s="58">
        <v>18100</v>
      </c>
      <c r="AB32" s="58">
        <v>18100</v>
      </c>
      <c r="AC32" s="58">
        <v>18100</v>
      </c>
      <c r="AD32" s="58">
        <v>18100</v>
      </c>
      <c r="AE32" s="58">
        <v>18100</v>
      </c>
      <c r="AF32" s="58">
        <v>18100</v>
      </c>
      <c r="AG32" s="58">
        <v>18100</v>
      </c>
      <c r="AH32" s="58">
        <v>18100</v>
      </c>
      <c r="AI32" s="39"/>
      <c r="AJ32" s="39"/>
      <c r="AK32" s="39"/>
      <c r="AL32" s="39"/>
      <c r="AM32" s="39"/>
      <c r="AN32" s="39"/>
      <c r="AO32" s="39"/>
      <c r="AP32" s="39"/>
    </row>
    <row r="33" spans="1:48">
      <c r="A33" s="50" t="s">
        <v>257</v>
      </c>
      <c r="B33" s="58">
        <v>774700</v>
      </c>
      <c r="C33" s="58">
        <v>788100</v>
      </c>
      <c r="D33" s="58">
        <v>801700</v>
      </c>
      <c r="E33" s="58">
        <v>814500</v>
      </c>
      <c r="F33" s="58">
        <v>827400</v>
      </c>
      <c r="G33" s="58">
        <v>840600</v>
      </c>
      <c r="H33" s="58">
        <v>854000</v>
      </c>
      <c r="I33" s="58">
        <v>867600</v>
      </c>
      <c r="J33" s="58">
        <v>867600</v>
      </c>
      <c r="K33" s="58">
        <v>867600</v>
      </c>
      <c r="L33" s="58">
        <v>867600</v>
      </c>
      <c r="M33" s="58">
        <v>867600</v>
      </c>
      <c r="N33" s="58">
        <v>867600</v>
      </c>
      <c r="O33" s="58">
        <v>867600</v>
      </c>
      <c r="P33" s="58">
        <v>867600</v>
      </c>
      <c r="Q33" s="58">
        <v>867600</v>
      </c>
      <c r="R33" s="58">
        <v>867600</v>
      </c>
      <c r="S33" s="58">
        <v>867600</v>
      </c>
      <c r="T33" s="58">
        <v>867600</v>
      </c>
      <c r="U33" s="58">
        <v>867600</v>
      </c>
      <c r="V33" s="58">
        <v>867600</v>
      </c>
      <c r="W33" s="58">
        <v>867600</v>
      </c>
      <c r="X33" s="58">
        <v>867600</v>
      </c>
      <c r="Y33" s="58">
        <v>867600</v>
      </c>
      <c r="Z33" s="58">
        <v>867600</v>
      </c>
      <c r="AA33" s="58">
        <v>867600</v>
      </c>
      <c r="AB33" s="58">
        <v>867600</v>
      </c>
      <c r="AC33" s="58">
        <v>867600</v>
      </c>
      <c r="AD33" s="58">
        <v>867600</v>
      </c>
      <c r="AE33" s="58">
        <v>867600</v>
      </c>
      <c r="AF33" s="58">
        <v>867600</v>
      </c>
      <c r="AG33" s="58">
        <v>867600</v>
      </c>
      <c r="AH33" s="58">
        <v>867600</v>
      </c>
      <c r="AI33" s="39"/>
      <c r="AJ33" s="39"/>
      <c r="AK33" s="39"/>
      <c r="AL33" s="39"/>
      <c r="AM33" s="39"/>
      <c r="AN33" s="39"/>
      <c r="AO33" s="39"/>
      <c r="AP33" s="39"/>
    </row>
    <row r="34" spans="1:48">
      <c r="A34" s="50" t="s">
        <v>258</v>
      </c>
      <c r="B34" s="58">
        <v>43100</v>
      </c>
      <c r="C34" s="58">
        <v>44000</v>
      </c>
      <c r="D34" s="58">
        <v>44900</v>
      </c>
      <c r="E34" s="58">
        <v>45700</v>
      </c>
      <c r="F34" s="58">
        <v>46500</v>
      </c>
      <c r="G34" s="58">
        <v>47300</v>
      </c>
      <c r="H34" s="58">
        <v>48200</v>
      </c>
      <c r="I34" s="58">
        <v>49100</v>
      </c>
      <c r="J34" s="58">
        <v>49100</v>
      </c>
      <c r="K34" s="58">
        <v>49100</v>
      </c>
      <c r="L34" s="58">
        <v>49100</v>
      </c>
      <c r="M34" s="58">
        <v>49100</v>
      </c>
      <c r="N34" s="58">
        <v>49100</v>
      </c>
      <c r="O34" s="58">
        <v>49100</v>
      </c>
      <c r="P34" s="58">
        <v>49100</v>
      </c>
      <c r="Q34" s="58">
        <v>49100</v>
      </c>
      <c r="R34" s="58">
        <v>49100</v>
      </c>
      <c r="S34" s="58">
        <v>49100</v>
      </c>
      <c r="T34" s="58">
        <v>49100</v>
      </c>
      <c r="U34" s="58">
        <v>49100</v>
      </c>
      <c r="V34" s="58">
        <v>49100</v>
      </c>
      <c r="W34" s="58">
        <v>49100</v>
      </c>
      <c r="X34" s="58">
        <v>49100</v>
      </c>
      <c r="Y34" s="58">
        <v>49100</v>
      </c>
      <c r="Z34" s="58">
        <v>49100</v>
      </c>
      <c r="AA34" s="58">
        <v>49100</v>
      </c>
      <c r="AB34" s="58">
        <v>49100</v>
      </c>
      <c r="AC34" s="58">
        <v>49100</v>
      </c>
      <c r="AD34" s="58">
        <v>49100</v>
      </c>
      <c r="AE34" s="58">
        <v>49100</v>
      </c>
      <c r="AF34" s="58">
        <v>49100</v>
      </c>
      <c r="AG34" s="58">
        <v>49100</v>
      </c>
      <c r="AH34" s="58">
        <v>49100</v>
      </c>
      <c r="AI34" s="39"/>
      <c r="AJ34" s="39"/>
      <c r="AK34" s="39"/>
      <c r="AL34" s="39"/>
      <c r="AM34" s="39"/>
      <c r="AN34" s="39"/>
      <c r="AO34" s="39"/>
      <c r="AP34" s="39"/>
    </row>
    <row r="35" spans="1:48" ht="15.75" thickBot="1">
      <c r="A35" s="59" t="s">
        <v>259</v>
      </c>
      <c r="B35" s="60">
        <v>2384</v>
      </c>
      <c r="C35" s="60">
        <v>2384</v>
      </c>
      <c r="D35" s="60">
        <v>2384</v>
      </c>
      <c r="E35" s="60">
        <v>2384</v>
      </c>
      <c r="F35" s="60">
        <v>2384</v>
      </c>
      <c r="G35" s="60">
        <v>2384</v>
      </c>
      <c r="H35" s="60">
        <v>2384</v>
      </c>
      <c r="I35" s="60">
        <v>2384</v>
      </c>
      <c r="J35" s="60">
        <v>2384</v>
      </c>
      <c r="K35" s="60">
        <v>2384</v>
      </c>
      <c r="L35" s="60">
        <v>2384</v>
      </c>
      <c r="M35" s="60">
        <v>2384</v>
      </c>
      <c r="N35" s="60">
        <v>2384</v>
      </c>
      <c r="O35" s="60">
        <v>2384</v>
      </c>
      <c r="P35" s="60">
        <v>2384</v>
      </c>
      <c r="Q35" s="60">
        <v>2384</v>
      </c>
      <c r="R35" s="60">
        <v>2384</v>
      </c>
      <c r="S35" s="60">
        <v>2384</v>
      </c>
      <c r="T35" s="60">
        <v>2384</v>
      </c>
      <c r="U35" s="60">
        <v>2384</v>
      </c>
      <c r="V35" s="60">
        <v>2384</v>
      </c>
      <c r="W35" s="60">
        <v>2384</v>
      </c>
      <c r="X35" s="60">
        <v>2384</v>
      </c>
      <c r="Y35" s="60">
        <v>2384</v>
      </c>
      <c r="Z35" s="60">
        <v>2384</v>
      </c>
      <c r="AA35" s="60">
        <v>2384</v>
      </c>
      <c r="AB35" s="60">
        <v>2384</v>
      </c>
      <c r="AC35" s="60">
        <v>2384</v>
      </c>
      <c r="AD35" s="60">
        <v>2384</v>
      </c>
      <c r="AE35" s="60">
        <v>2384</v>
      </c>
      <c r="AF35" s="60">
        <v>2384</v>
      </c>
      <c r="AG35" s="60">
        <v>2384</v>
      </c>
      <c r="AH35" s="60">
        <v>2384</v>
      </c>
      <c r="AI35" s="39"/>
      <c r="AJ35" s="39"/>
      <c r="AK35" s="39"/>
      <c r="AL35" s="39"/>
      <c r="AM35" s="39"/>
      <c r="AN35" s="39"/>
      <c r="AO35" s="39"/>
      <c r="AP35" s="39"/>
    </row>
    <row r="36" spans="1:48">
      <c r="A36" s="47" t="s">
        <v>253</v>
      </c>
      <c r="B36" s="42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</row>
    <row r="37" spans="1:48">
      <c r="A37" s="19"/>
      <c r="D37" s="19"/>
      <c r="E37" s="61"/>
      <c r="F37" s="61"/>
      <c r="G37" s="61"/>
      <c r="H37" s="61"/>
      <c r="I37" s="61"/>
      <c r="K37" s="61"/>
      <c r="L37" s="62"/>
      <c r="M37" s="63"/>
      <c r="N37" s="63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</row>
    <row r="38" spans="1:48" ht="18.75">
      <c r="A38" s="65" t="s">
        <v>262</v>
      </c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</row>
    <row r="39" spans="1:48">
      <c r="A39" s="19"/>
    </row>
    <row r="40" spans="1:48">
      <c r="A40" s="66" t="s">
        <v>263</v>
      </c>
      <c r="B40" t="s">
        <v>234</v>
      </c>
      <c r="C40" t="s">
        <v>264</v>
      </c>
      <c r="D40" t="s">
        <v>265</v>
      </c>
    </row>
    <row r="41" spans="1:48">
      <c r="A41" s="19" t="s">
        <v>202</v>
      </c>
      <c r="B41" s="67" t="s">
        <v>236</v>
      </c>
      <c r="C41" t="s">
        <v>266</v>
      </c>
      <c r="D41" s="68">
        <v>3900</v>
      </c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</row>
    <row r="42" spans="1:48">
      <c r="A42" s="19" t="s">
        <v>267</v>
      </c>
      <c r="B42" s="67" t="s">
        <v>236</v>
      </c>
      <c r="C42" t="s">
        <v>266</v>
      </c>
      <c r="D42" s="68">
        <v>77200</v>
      </c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</row>
    <row r="43" spans="1:48">
      <c r="A43" s="19" t="s">
        <v>203</v>
      </c>
      <c r="B43" s="67" t="s">
        <v>236</v>
      </c>
      <c r="C43" t="s">
        <v>266</v>
      </c>
      <c r="D43" s="68">
        <v>151100</v>
      </c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</row>
    <row r="44" spans="1:48">
      <c r="A44" s="19" t="s">
        <v>268</v>
      </c>
      <c r="B44" s="67" t="s">
        <v>236</v>
      </c>
      <c r="C44" t="s">
        <v>266</v>
      </c>
      <c r="D44" s="68">
        <v>554800</v>
      </c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</row>
    <row r="45" spans="1:48">
      <c r="A45" s="19" t="s">
        <v>204</v>
      </c>
      <c r="B45" s="67" t="s">
        <v>236</v>
      </c>
      <c r="C45" t="s">
        <v>266</v>
      </c>
      <c r="D45" s="68">
        <v>11600000</v>
      </c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</row>
    <row r="47" spans="1:48">
      <c r="A47" s="66" t="s">
        <v>269</v>
      </c>
      <c r="D47" t="s">
        <v>265</v>
      </c>
    </row>
    <row r="48" spans="1:48">
      <c r="A48" s="19" t="s">
        <v>270</v>
      </c>
      <c r="B48" s="67" t="s">
        <v>236</v>
      </c>
      <c r="D48" s="69">
        <v>17.8</v>
      </c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>
        <f t="shared" ref="AV48:AV49" si="0">AU48</f>
        <v>0</v>
      </c>
    </row>
    <row r="49" spans="1:48">
      <c r="A49" s="19" t="s">
        <v>271</v>
      </c>
      <c r="B49" s="67" t="s">
        <v>236</v>
      </c>
      <c r="D49" s="69">
        <v>32</v>
      </c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>
        <f t="shared" si="0"/>
        <v>0</v>
      </c>
    </row>
    <row r="50" spans="1:48">
      <c r="A50" s="19" t="s">
        <v>272</v>
      </c>
      <c r="B50" s="67" t="s">
        <v>236</v>
      </c>
      <c r="D50" s="70">
        <v>0.93</v>
      </c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4"/>
      <c r="AL50" s="4"/>
      <c r="AM50" s="4"/>
    </row>
    <row r="51" spans="1:48">
      <c r="A51" s="19"/>
      <c r="B51" s="38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4"/>
      <c r="AL51" s="4"/>
      <c r="AM51" s="4"/>
    </row>
    <row r="52" spans="1:48" ht="18.75">
      <c r="A52" s="65" t="s">
        <v>273</v>
      </c>
      <c r="B52" s="38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</row>
    <row r="53" spans="1:48" ht="15.75" thickBot="1">
      <c r="A53" s="71" t="s">
        <v>274</v>
      </c>
    </row>
    <row r="54" spans="1:48" ht="15.75" thickBot="1">
      <c r="A54" s="72" t="s">
        <v>275</v>
      </c>
      <c r="B54" s="73" t="s">
        <v>276</v>
      </c>
    </row>
    <row r="55" spans="1:48" ht="15.75" thickBot="1">
      <c r="A55" s="74" t="s">
        <v>277</v>
      </c>
      <c r="B55" s="75">
        <v>4.36E-2</v>
      </c>
    </row>
    <row r="56" spans="1:48" ht="15.75" thickBot="1">
      <c r="A56" s="74" t="s">
        <v>278</v>
      </c>
      <c r="B56" s="75">
        <v>0.24660000000000001</v>
      </c>
    </row>
    <row r="57" spans="1:48" ht="15.75" thickBot="1">
      <c r="A57" s="74" t="s">
        <v>279</v>
      </c>
      <c r="B57" s="75">
        <v>0.35520000000000002</v>
      </c>
    </row>
    <row r="58" spans="1:48" ht="15.75" thickBot="1">
      <c r="A58" s="74" t="s">
        <v>280</v>
      </c>
      <c r="B58" s="75">
        <v>0.14829999999999999</v>
      </c>
    </row>
    <row r="59" spans="1:48" ht="15.75" thickBot="1">
      <c r="A59" s="74" t="s">
        <v>281</v>
      </c>
      <c r="B59" s="75">
        <v>0.1603</v>
      </c>
    </row>
    <row r="60" spans="1:48" ht="15.75" thickBot="1">
      <c r="A60" s="74" t="s">
        <v>282</v>
      </c>
      <c r="B60" s="75">
        <v>0.13109999999999999</v>
      </c>
    </row>
    <row r="61" spans="1:48" ht="15.75" thickBot="1">
      <c r="A61" s="74" t="s">
        <v>283</v>
      </c>
      <c r="B61" s="75" t="s">
        <v>284</v>
      </c>
    </row>
    <row r="62" spans="1:48" ht="15.75" thickBot="1">
      <c r="A62" s="74" t="s">
        <v>285</v>
      </c>
      <c r="B62" s="75" t="s">
        <v>286</v>
      </c>
    </row>
    <row r="63" spans="1:48" ht="15.75" thickBot="1">
      <c r="A63" s="74" t="s">
        <v>287</v>
      </c>
      <c r="B63" s="75">
        <v>2.5072999999999999</v>
      </c>
    </row>
    <row r="64" spans="1:48" ht="15.75" thickBot="1">
      <c r="A64" s="74" t="s">
        <v>288</v>
      </c>
      <c r="B64" s="75">
        <v>2.2000000000000002</v>
      </c>
    </row>
    <row r="65" spans="1:2" ht="15.75" thickBot="1">
      <c r="A65" s="74" t="s">
        <v>289</v>
      </c>
      <c r="B65" s="75" t="s">
        <v>290</v>
      </c>
    </row>
    <row r="66" spans="1:2" ht="15.75" thickBot="1">
      <c r="A66" s="74" t="s">
        <v>291</v>
      </c>
      <c r="B66" s="75">
        <v>7.6920000000000002</v>
      </c>
    </row>
    <row r="67" spans="1:2" ht="15.75" thickBot="1">
      <c r="A67" s="74" t="s">
        <v>292</v>
      </c>
      <c r="B67" s="75">
        <v>70</v>
      </c>
    </row>
    <row r="68" spans="1:2" ht="15.75" thickBot="1">
      <c r="A68" s="74" t="s">
        <v>293</v>
      </c>
      <c r="B68" s="75">
        <v>48</v>
      </c>
    </row>
    <row r="69" spans="1:2" ht="15.75" thickBot="1">
      <c r="A69" s="74" t="s">
        <v>294</v>
      </c>
      <c r="B69" s="75">
        <v>9.6235999999999997</v>
      </c>
    </row>
    <row r="70" spans="1:2" ht="15.75" thickBot="1">
      <c r="A70" s="74" t="s">
        <v>295</v>
      </c>
      <c r="B70" s="75">
        <v>1.7629999999999999</v>
      </c>
    </row>
    <row r="71" spans="1:2" ht="15.75" thickBot="1">
      <c r="A71" s="74" t="s">
        <v>296</v>
      </c>
      <c r="B71" s="75">
        <v>0.20300000000000001</v>
      </c>
    </row>
    <row r="72" spans="1:2" ht="15.75" thickBot="1">
      <c r="A72" s="74" t="s">
        <v>297</v>
      </c>
      <c r="B72" s="75">
        <v>7.8E-2</v>
      </c>
    </row>
    <row r="73" spans="1:2" ht="15.75" thickBot="1">
      <c r="A73" s="74" t="s">
        <v>298</v>
      </c>
      <c r="B73" s="75">
        <v>0.94199999999999995</v>
      </c>
    </row>
    <row r="74" spans="1:2" ht="15.75" thickBot="1">
      <c r="A74" s="76" t="s">
        <v>299</v>
      </c>
      <c r="B74" s="75">
        <v>1.653</v>
      </c>
    </row>
    <row r="75" spans="1:2" ht="15.75" thickBot="1">
      <c r="A75" s="74" t="s">
        <v>300</v>
      </c>
      <c r="B75" s="75">
        <v>5.9269999999999996</v>
      </c>
    </row>
    <row r="76" spans="1:2">
      <c r="A76" t="s">
        <v>301</v>
      </c>
    </row>
    <row r="77" spans="1:2">
      <c r="A77" s="77"/>
    </row>
    <row r="85" spans="1:21" ht="18.75">
      <c r="A85" s="36" t="s">
        <v>302</v>
      </c>
    </row>
    <row r="86" spans="1:21" ht="15.75" thickBot="1"/>
    <row r="87" spans="1:21">
      <c r="L87" s="333" t="s">
        <v>303</v>
      </c>
      <c r="M87" s="334"/>
      <c r="N87" s="334"/>
      <c r="O87" s="334"/>
      <c r="P87" s="334"/>
      <c r="Q87" s="334"/>
      <c r="R87" s="334"/>
      <c r="S87" s="334"/>
      <c r="T87" s="334"/>
      <c r="U87" s="335"/>
    </row>
    <row r="88" spans="1:21">
      <c r="B88" s="78" t="s">
        <v>304</v>
      </c>
      <c r="C88" s="79"/>
      <c r="D88" s="79"/>
      <c r="E88" s="80"/>
      <c r="G88" s="78" t="s">
        <v>305</v>
      </c>
      <c r="H88" s="80"/>
      <c r="L88" s="336" t="s">
        <v>306</v>
      </c>
      <c r="M88" s="323"/>
      <c r="N88" s="323"/>
      <c r="O88" s="323"/>
      <c r="P88" s="323"/>
      <c r="Q88" s="323"/>
      <c r="R88" s="323"/>
      <c r="S88" s="323"/>
      <c r="T88" s="323"/>
      <c r="U88" s="324"/>
    </row>
    <row r="89" spans="1:21">
      <c r="B89" s="81"/>
      <c r="E89" s="82"/>
      <c r="G89" s="81"/>
      <c r="H89" s="82"/>
      <c r="L89" s="83"/>
      <c r="M89" s="84"/>
      <c r="N89" s="84"/>
      <c r="O89" s="84"/>
      <c r="P89" s="84"/>
      <c r="Q89" s="84"/>
      <c r="R89" s="84"/>
      <c r="S89" s="84"/>
      <c r="T89" s="84"/>
      <c r="U89" s="85"/>
    </row>
    <row r="90" spans="1:21">
      <c r="B90" s="81" t="s">
        <v>307</v>
      </c>
      <c r="C90" s="86">
        <f>N108</f>
        <v>5005</v>
      </c>
      <c r="D90" s="87">
        <f>C90/C94</f>
        <v>9.302973977695167E-3</v>
      </c>
      <c r="E90" s="82"/>
      <c r="G90" s="88">
        <v>12071000</v>
      </c>
      <c r="H90" s="82"/>
      <c r="L90" s="337" t="s">
        <v>308</v>
      </c>
      <c r="M90" s="338"/>
      <c r="N90" s="339" t="s">
        <v>309</v>
      </c>
      <c r="O90" s="339"/>
      <c r="P90" s="339"/>
      <c r="Q90" s="339"/>
      <c r="R90" s="339"/>
      <c r="S90" s="339"/>
      <c r="T90" s="339"/>
      <c r="U90" s="340"/>
    </row>
    <row r="91" spans="1:21" ht="14.45" customHeight="1">
      <c r="B91" s="81" t="s">
        <v>310</v>
      </c>
      <c r="C91" s="86">
        <f>P108</f>
        <v>119000</v>
      </c>
      <c r="D91" s="87">
        <f>C91/C94</f>
        <v>0.22118959107806691</v>
      </c>
      <c r="E91" s="82"/>
      <c r="G91" s="88">
        <v>284100</v>
      </c>
      <c r="H91" s="82"/>
      <c r="L91" s="337"/>
      <c r="M91" s="338"/>
      <c r="N91" s="341" t="s">
        <v>311</v>
      </c>
      <c r="O91" s="339"/>
      <c r="P91" s="341" t="s">
        <v>312</v>
      </c>
      <c r="Q91" s="339"/>
      <c r="R91" s="342" t="s">
        <v>313</v>
      </c>
      <c r="S91" s="342"/>
      <c r="T91" s="341" t="s">
        <v>200</v>
      </c>
      <c r="U91" s="340"/>
    </row>
    <row r="92" spans="1:21">
      <c r="B92" s="81" t="s">
        <v>314</v>
      </c>
      <c r="C92" s="86">
        <f>R108</f>
        <v>414000</v>
      </c>
      <c r="D92" s="87">
        <f>C92/C94</f>
        <v>0.76951672862453535</v>
      </c>
      <c r="E92" s="82"/>
      <c r="G92" s="88">
        <v>4500</v>
      </c>
      <c r="H92" s="82"/>
      <c r="L92" s="337"/>
      <c r="M92" s="338"/>
      <c r="N92" s="89" t="s">
        <v>315</v>
      </c>
      <c r="O92" s="89" t="s">
        <v>316</v>
      </c>
      <c r="P92" s="89" t="s">
        <v>315</v>
      </c>
      <c r="Q92" s="89" t="s">
        <v>316</v>
      </c>
      <c r="R92" s="89" t="s">
        <v>315</v>
      </c>
      <c r="S92" s="89" t="s">
        <v>316</v>
      </c>
      <c r="T92" s="89" t="s">
        <v>315</v>
      </c>
      <c r="U92" s="90" t="s">
        <v>316</v>
      </c>
    </row>
    <row r="93" spans="1:21">
      <c r="B93" s="81"/>
      <c r="E93" s="82"/>
      <c r="G93" s="88"/>
      <c r="H93" s="82"/>
      <c r="L93" s="330" t="s">
        <v>317</v>
      </c>
      <c r="M93" s="91" t="s">
        <v>318</v>
      </c>
      <c r="N93" s="92">
        <v>2153</v>
      </c>
      <c r="O93" s="93">
        <v>43</v>
      </c>
      <c r="P93" s="92">
        <v>50000</v>
      </c>
      <c r="Q93" s="93">
        <v>42.1</v>
      </c>
      <c r="R93" s="92">
        <v>121000</v>
      </c>
      <c r="S93" s="93">
        <v>29.3</v>
      </c>
      <c r="T93" s="92">
        <v>173000</v>
      </c>
      <c r="U93" s="94">
        <v>32.299999999999997</v>
      </c>
    </row>
    <row r="94" spans="1:21">
      <c r="B94" s="95" t="s">
        <v>319</v>
      </c>
      <c r="C94" s="96">
        <f>T108</f>
        <v>538000</v>
      </c>
      <c r="D94" s="97">
        <v>1</v>
      </c>
      <c r="E94" s="98"/>
      <c r="G94" s="99"/>
      <c r="H94" s="98"/>
      <c r="L94" s="331"/>
      <c r="M94" s="91" t="s">
        <v>320</v>
      </c>
      <c r="N94" s="92">
        <v>364</v>
      </c>
      <c r="O94" s="93">
        <v>7.3</v>
      </c>
      <c r="P94" s="92">
        <v>11000</v>
      </c>
      <c r="Q94" s="93">
        <v>9</v>
      </c>
      <c r="R94" s="92">
        <v>53000</v>
      </c>
      <c r="S94" s="93">
        <v>12.8</v>
      </c>
      <c r="T94" s="92">
        <v>64000</v>
      </c>
      <c r="U94" s="94">
        <v>11.9</v>
      </c>
    </row>
    <row r="95" spans="1:21">
      <c r="L95" s="331"/>
      <c r="M95" s="91" t="s">
        <v>321</v>
      </c>
      <c r="N95" s="92">
        <v>238</v>
      </c>
      <c r="O95" s="93">
        <v>4.8</v>
      </c>
      <c r="P95" s="92">
        <v>13000</v>
      </c>
      <c r="Q95" s="93">
        <v>10.6</v>
      </c>
      <c r="R95" s="92">
        <v>57000</v>
      </c>
      <c r="S95" s="93">
        <v>13.7</v>
      </c>
      <c r="T95" s="92">
        <v>70000</v>
      </c>
      <c r="U95" s="94">
        <v>12.9</v>
      </c>
    </row>
    <row r="96" spans="1:21" ht="15.75" thickBot="1">
      <c r="L96" s="331"/>
      <c r="M96" s="91" t="s">
        <v>322</v>
      </c>
      <c r="N96" s="92">
        <v>904</v>
      </c>
      <c r="O96" s="93">
        <v>18.100000000000001</v>
      </c>
      <c r="P96" s="92">
        <v>25000</v>
      </c>
      <c r="Q96" s="93">
        <v>21.4</v>
      </c>
      <c r="R96" s="92">
        <v>83000</v>
      </c>
      <c r="S96" s="93">
        <v>20.100000000000001</v>
      </c>
      <c r="T96" s="92">
        <v>110000</v>
      </c>
      <c r="U96" s="94">
        <v>20.399999999999999</v>
      </c>
    </row>
    <row r="97" spans="2:21">
      <c r="B97" s="100" t="s">
        <v>323</v>
      </c>
      <c r="C97" s="101"/>
      <c r="D97" s="101"/>
      <c r="E97" s="101"/>
      <c r="F97" s="101"/>
      <c r="G97" s="101"/>
      <c r="H97" s="101"/>
      <c r="I97" s="101"/>
      <c r="J97" s="102"/>
      <c r="L97" s="331"/>
      <c r="M97" s="91" t="s">
        <v>324</v>
      </c>
      <c r="N97" s="92">
        <v>77</v>
      </c>
      <c r="O97" s="93">
        <v>1.5</v>
      </c>
      <c r="P97" s="92">
        <v>0</v>
      </c>
      <c r="Q97" s="93">
        <v>0</v>
      </c>
      <c r="R97" s="92">
        <v>1000</v>
      </c>
      <c r="S97" s="93">
        <v>0.1</v>
      </c>
      <c r="T97" s="92">
        <v>1000</v>
      </c>
      <c r="U97" s="94">
        <v>0.1</v>
      </c>
    </row>
    <row r="98" spans="2:21" ht="15.75" thickBot="1">
      <c r="B98" s="103"/>
      <c r="C98" s="104" t="s">
        <v>325</v>
      </c>
      <c r="J98" s="105"/>
      <c r="L98" s="331"/>
      <c r="M98" s="91" t="s">
        <v>200</v>
      </c>
      <c r="N98" s="92">
        <v>3736</v>
      </c>
      <c r="O98" s="93">
        <v>74.599999999999994</v>
      </c>
      <c r="P98" s="92">
        <v>99000</v>
      </c>
      <c r="Q98" s="93">
        <v>83.1</v>
      </c>
      <c r="R98" s="92">
        <v>315000</v>
      </c>
      <c r="S98" s="93">
        <v>76.099999999999994</v>
      </c>
      <c r="T98" s="92">
        <v>417000</v>
      </c>
      <c r="U98" s="94">
        <v>77.599999999999994</v>
      </c>
    </row>
    <row r="99" spans="2:21" ht="39" thickBot="1">
      <c r="B99" s="106">
        <f>G90*D90+G91*D91+G92*D92</f>
        <v>178598.98698884755</v>
      </c>
      <c r="C99" s="107"/>
      <c r="D99" s="107"/>
      <c r="E99" s="107"/>
      <c r="F99" s="107"/>
      <c r="G99" s="107"/>
      <c r="H99" s="107"/>
      <c r="I99" s="107"/>
      <c r="J99" s="108"/>
      <c r="L99" s="332" t="s">
        <v>326</v>
      </c>
      <c r="M99" s="109" t="s">
        <v>327</v>
      </c>
      <c r="N99" s="92">
        <v>211</v>
      </c>
      <c r="O99" s="93">
        <v>4.2</v>
      </c>
      <c r="P99" s="92">
        <v>6000</v>
      </c>
      <c r="Q99" s="93">
        <v>4.8</v>
      </c>
      <c r="R99" s="92">
        <v>41000</v>
      </c>
      <c r="S99" s="93">
        <v>10</v>
      </c>
      <c r="T99" s="92">
        <v>47000</v>
      </c>
      <c r="U99" s="94">
        <v>8.8000000000000007</v>
      </c>
    </row>
    <row r="100" spans="2:21">
      <c r="L100" s="331"/>
      <c r="M100" s="91" t="s">
        <v>200</v>
      </c>
      <c r="N100" s="92">
        <v>211</v>
      </c>
      <c r="O100" s="93">
        <v>4.2</v>
      </c>
      <c r="P100" s="92">
        <v>6000</v>
      </c>
      <c r="Q100" s="93">
        <v>4.8</v>
      </c>
      <c r="R100" s="92">
        <v>41000</v>
      </c>
      <c r="S100" s="93">
        <v>10</v>
      </c>
      <c r="T100" s="92">
        <v>47000</v>
      </c>
      <c r="U100" s="94">
        <v>8.8000000000000007</v>
      </c>
    </row>
    <row r="101" spans="2:21" ht="15.75" thickBot="1">
      <c r="L101" s="332" t="s">
        <v>328</v>
      </c>
      <c r="M101" s="91" t="s">
        <v>329</v>
      </c>
      <c r="N101" s="92">
        <v>524</v>
      </c>
      <c r="O101" s="93">
        <v>10.5</v>
      </c>
      <c r="P101" s="92">
        <v>3000</v>
      </c>
      <c r="Q101" s="93">
        <v>2.2000000000000002</v>
      </c>
      <c r="R101" s="92" t="s">
        <v>330</v>
      </c>
      <c r="S101" s="110" t="s">
        <v>330</v>
      </c>
      <c r="T101" s="92">
        <v>3000</v>
      </c>
      <c r="U101" s="94">
        <v>0.6</v>
      </c>
    </row>
    <row r="102" spans="2:21" ht="15.75" thickBot="1">
      <c r="B102" s="100" t="s">
        <v>331</v>
      </c>
      <c r="C102" s="101"/>
      <c r="D102" s="101"/>
      <c r="E102" s="101"/>
      <c r="F102" s="101"/>
      <c r="G102" s="111">
        <f>G104/G105</f>
        <v>1.7930344942509582</v>
      </c>
      <c r="H102" s="102"/>
      <c r="L102" s="331"/>
      <c r="M102" s="91" t="s">
        <v>216</v>
      </c>
      <c r="N102" s="92">
        <v>111</v>
      </c>
      <c r="O102" s="93">
        <v>2.2000000000000002</v>
      </c>
      <c r="P102" s="92">
        <v>4000</v>
      </c>
      <c r="Q102" s="93">
        <v>3.7</v>
      </c>
      <c r="R102" s="92">
        <v>45000</v>
      </c>
      <c r="S102" s="93">
        <v>10.8</v>
      </c>
      <c r="T102" s="92">
        <v>49000</v>
      </c>
      <c r="U102" s="94">
        <v>9.1999999999999993</v>
      </c>
    </row>
    <row r="103" spans="2:21">
      <c r="B103" s="103"/>
      <c r="F103" s="112"/>
      <c r="G103" s="113"/>
      <c r="H103" s="105"/>
      <c r="L103" s="331"/>
      <c r="M103" s="91" t="s">
        <v>200</v>
      </c>
      <c r="N103" s="92">
        <v>635</v>
      </c>
      <c r="O103" s="93">
        <v>12.7</v>
      </c>
      <c r="P103" s="92">
        <v>7000</v>
      </c>
      <c r="Q103" s="93">
        <v>5.9</v>
      </c>
      <c r="R103" s="92">
        <v>45000</v>
      </c>
      <c r="S103" s="93">
        <v>10.8</v>
      </c>
      <c r="T103" s="92">
        <v>53000</v>
      </c>
      <c r="U103" s="94">
        <v>9.8000000000000007</v>
      </c>
    </row>
    <row r="104" spans="2:21">
      <c r="B104" s="103" t="s">
        <v>332</v>
      </c>
      <c r="F104" s="112"/>
      <c r="G104" s="114">
        <v>538000</v>
      </c>
      <c r="H104" s="105"/>
      <c r="L104" s="332" t="s">
        <v>333</v>
      </c>
      <c r="M104" s="91" t="s">
        <v>333</v>
      </c>
      <c r="N104" s="92">
        <v>421</v>
      </c>
      <c r="O104" s="93">
        <v>8.4</v>
      </c>
      <c r="P104" s="92">
        <v>7000</v>
      </c>
      <c r="Q104" s="93">
        <v>6.2</v>
      </c>
      <c r="R104" s="92">
        <v>13000</v>
      </c>
      <c r="S104" s="93">
        <v>3.1</v>
      </c>
      <c r="T104" s="92">
        <v>21000</v>
      </c>
      <c r="U104" s="94">
        <v>3.8</v>
      </c>
    </row>
    <row r="105" spans="2:21" ht="15.75" thickBot="1">
      <c r="B105" s="115" t="s">
        <v>334</v>
      </c>
      <c r="C105" s="107"/>
      <c r="D105" s="107"/>
      <c r="E105" s="107"/>
      <c r="F105" s="116"/>
      <c r="G105" s="117">
        <v>300050</v>
      </c>
      <c r="H105" s="108"/>
      <c r="L105" s="331"/>
      <c r="M105" s="91" t="s">
        <v>200</v>
      </c>
      <c r="N105" s="92">
        <v>421</v>
      </c>
      <c r="O105" s="93">
        <v>8.4</v>
      </c>
      <c r="P105" s="92">
        <v>7000</v>
      </c>
      <c r="Q105" s="93">
        <v>6.2</v>
      </c>
      <c r="R105" s="92">
        <v>13000</v>
      </c>
      <c r="S105" s="93">
        <v>3.1</v>
      </c>
      <c r="T105" s="92">
        <v>21000</v>
      </c>
      <c r="U105" s="94">
        <v>3.8</v>
      </c>
    </row>
    <row r="106" spans="2:21">
      <c r="E106" t="s">
        <v>335</v>
      </c>
      <c r="L106" s="332" t="s">
        <v>336</v>
      </c>
      <c r="M106" s="91" t="s">
        <v>336</v>
      </c>
      <c r="N106" s="92">
        <v>2</v>
      </c>
      <c r="O106" s="93">
        <v>0</v>
      </c>
      <c r="P106" s="92" t="s">
        <v>330</v>
      </c>
      <c r="Q106" s="110" t="s">
        <v>330</v>
      </c>
      <c r="R106" s="92" t="s">
        <v>330</v>
      </c>
      <c r="S106" s="110" t="s">
        <v>330</v>
      </c>
      <c r="T106" s="92">
        <v>0</v>
      </c>
      <c r="U106" s="94">
        <v>0</v>
      </c>
    </row>
    <row r="107" spans="2:21">
      <c r="L107" s="331"/>
      <c r="M107" s="91" t="s">
        <v>200</v>
      </c>
      <c r="N107" s="92">
        <v>2</v>
      </c>
      <c r="O107" s="93">
        <v>0</v>
      </c>
      <c r="P107" s="92" t="s">
        <v>330</v>
      </c>
      <c r="Q107" s="110" t="s">
        <v>330</v>
      </c>
      <c r="R107" s="92" t="s">
        <v>330</v>
      </c>
      <c r="S107" s="110" t="s">
        <v>330</v>
      </c>
      <c r="T107" s="92">
        <v>0</v>
      </c>
      <c r="U107" s="94">
        <v>0</v>
      </c>
    </row>
    <row r="108" spans="2:21">
      <c r="H108" s="69"/>
      <c r="L108" s="118" t="s">
        <v>200</v>
      </c>
      <c r="M108" s="91" t="s">
        <v>200</v>
      </c>
      <c r="N108" s="119">
        <v>5005</v>
      </c>
      <c r="O108" s="120">
        <v>100</v>
      </c>
      <c r="P108" s="119">
        <v>119000</v>
      </c>
      <c r="Q108" s="120">
        <v>100</v>
      </c>
      <c r="R108" s="119">
        <v>414000</v>
      </c>
      <c r="S108" s="120">
        <v>100</v>
      </c>
      <c r="T108" s="119">
        <v>538000</v>
      </c>
      <c r="U108" s="121">
        <v>100</v>
      </c>
    </row>
    <row r="109" spans="2:21">
      <c r="L109" s="83"/>
      <c r="M109" s="84"/>
      <c r="N109" s="84"/>
      <c r="O109" s="84"/>
      <c r="P109" s="84"/>
      <c r="Q109" s="84"/>
      <c r="R109" s="84"/>
      <c r="S109" s="84"/>
      <c r="T109" s="84"/>
      <c r="U109" s="85"/>
    </row>
    <row r="110" spans="2:21">
      <c r="L110" s="322" t="s">
        <v>337</v>
      </c>
      <c r="M110" s="323"/>
      <c r="N110" s="323"/>
      <c r="O110" s="323"/>
      <c r="P110" s="323"/>
      <c r="Q110" s="323"/>
      <c r="R110" s="323"/>
      <c r="S110" s="323"/>
      <c r="T110" s="323"/>
      <c r="U110" s="324"/>
    </row>
    <row r="111" spans="2:21">
      <c r="L111" s="322" t="s">
        <v>338</v>
      </c>
      <c r="M111" s="323"/>
      <c r="N111" s="323"/>
      <c r="O111" s="323"/>
      <c r="P111" s="323"/>
      <c r="Q111" s="323"/>
      <c r="R111" s="323"/>
      <c r="S111" s="323"/>
      <c r="T111" s="323"/>
      <c r="U111" s="324"/>
    </row>
    <row r="112" spans="2:21" ht="15.75" thickBot="1">
      <c r="L112" s="325" t="s">
        <v>339</v>
      </c>
      <c r="M112" s="326"/>
      <c r="N112" s="326"/>
      <c r="O112" s="326"/>
      <c r="P112" s="326"/>
      <c r="Q112" s="326"/>
      <c r="R112" s="326"/>
      <c r="S112" s="326"/>
      <c r="T112" s="326"/>
      <c r="U112" s="327"/>
    </row>
    <row r="113" spans="2:22">
      <c r="K113" s="122"/>
      <c r="L113" s="123"/>
      <c r="M113" s="124"/>
      <c r="N113" s="125"/>
      <c r="O113" s="126"/>
      <c r="P113" s="125"/>
      <c r="Q113" s="126"/>
      <c r="R113" s="125"/>
      <c r="S113" s="126"/>
      <c r="T113" s="127"/>
      <c r="U113" s="128"/>
      <c r="V113" s="122"/>
    </row>
    <row r="114" spans="2:22">
      <c r="K114" s="122"/>
      <c r="L114" s="328" t="s">
        <v>340</v>
      </c>
      <c r="M114" s="328"/>
      <c r="N114" s="328"/>
      <c r="O114" s="328"/>
      <c r="P114" s="328"/>
      <c r="Q114" s="328"/>
      <c r="R114" s="328"/>
      <c r="S114" s="129"/>
      <c r="T114" s="130"/>
      <c r="U114" s="129"/>
      <c r="V114" s="122"/>
    </row>
    <row r="115" spans="2:22">
      <c r="K115" s="122"/>
      <c r="L115" s="329" t="s">
        <v>341</v>
      </c>
      <c r="M115" s="328"/>
      <c r="N115" s="328"/>
      <c r="O115" s="328"/>
      <c r="P115" s="328"/>
      <c r="Q115" s="328"/>
      <c r="R115" s="328"/>
      <c r="S115" s="129"/>
      <c r="T115" s="130"/>
      <c r="U115" s="129"/>
      <c r="V115" s="122"/>
    </row>
    <row r="116" spans="2:22">
      <c r="K116" s="122"/>
      <c r="L116" s="131"/>
      <c r="M116" s="132"/>
      <c r="N116" s="130"/>
      <c r="O116" s="129"/>
      <c r="P116" s="130"/>
      <c r="Q116" s="129"/>
      <c r="R116" s="130"/>
      <c r="S116" s="129"/>
      <c r="T116" s="130"/>
      <c r="U116" s="129"/>
      <c r="V116" s="122"/>
    </row>
    <row r="117" spans="2:22">
      <c r="B117" s="133"/>
      <c r="K117" s="122"/>
      <c r="L117" s="134"/>
      <c r="M117" s="132"/>
      <c r="N117" s="130"/>
      <c r="O117" s="129"/>
      <c r="P117" s="130"/>
      <c r="Q117" s="135"/>
      <c r="R117" s="130"/>
      <c r="S117" s="135"/>
      <c r="T117" s="130"/>
      <c r="U117" s="129"/>
      <c r="V117" s="122"/>
    </row>
    <row r="118" spans="2:22">
      <c r="K118" s="122"/>
      <c r="L118" s="131"/>
      <c r="M118" s="132"/>
      <c r="N118" s="130"/>
      <c r="O118" s="129"/>
      <c r="P118" s="130"/>
      <c r="Q118" s="135"/>
      <c r="R118" s="130"/>
      <c r="S118" s="135"/>
      <c r="T118" s="130"/>
      <c r="U118" s="129"/>
      <c r="V118" s="122"/>
    </row>
    <row r="119" spans="2:22">
      <c r="K119" s="122"/>
      <c r="L119" s="134"/>
      <c r="M119" s="132"/>
      <c r="N119" s="130"/>
      <c r="O119" s="129"/>
      <c r="P119" s="130"/>
      <c r="Q119" s="129"/>
      <c r="R119" s="130"/>
      <c r="S119" s="129"/>
      <c r="T119" s="130"/>
      <c r="U119" s="129"/>
      <c r="V119" s="122"/>
    </row>
    <row r="120" spans="2:22">
      <c r="K120" s="122"/>
      <c r="L120" s="136"/>
      <c r="M120" s="136"/>
      <c r="N120" s="136"/>
      <c r="O120" s="136"/>
      <c r="P120" s="136"/>
      <c r="Q120" s="136"/>
      <c r="R120" s="136"/>
      <c r="S120" s="136"/>
      <c r="T120" s="136"/>
      <c r="U120" s="136"/>
      <c r="V120" s="122"/>
    </row>
    <row r="121" spans="2:22">
      <c r="K121" s="122"/>
      <c r="L121" s="137"/>
      <c r="M121" s="136"/>
      <c r="N121" s="136"/>
      <c r="O121" s="136"/>
      <c r="P121" s="136"/>
      <c r="Q121" s="136"/>
      <c r="R121" s="136"/>
      <c r="S121" s="136"/>
      <c r="T121" s="136"/>
      <c r="U121" s="136"/>
      <c r="V121" s="122"/>
    </row>
  </sheetData>
  <mergeCells count="18">
    <mergeCell ref="L87:U87"/>
    <mergeCell ref="L88:U88"/>
    <mergeCell ref="L90:M92"/>
    <mergeCell ref="N90:U90"/>
    <mergeCell ref="N91:O91"/>
    <mergeCell ref="P91:Q91"/>
    <mergeCell ref="R91:S91"/>
    <mergeCell ref="T91:U91"/>
    <mergeCell ref="L111:U111"/>
    <mergeCell ref="L112:U112"/>
    <mergeCell ref="L114:R114"/>
    <mergeCell ref="L115:R115"/>
    <mergeCell ref="L93:L98"/>
    <mergeCell ref="L99:L100"/>
    <mergeCell ref="L101:L103"/>
    <mergeCell ref="L104:L105"/>
    <mergeCell ref="L106:L107"/>
    <mergeCell ref="L110:U1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03703E1B51724D9D6B94116794D007" ma:contentTypeVersion="9" ma:contentTypeDescription="Create a new document." ma:contentTypeScope="" ma:versionID="97819431d98a2ec0b9b3b6ead9a74e1a">
  <xsd:schema xmlns:xsd="http://www.w3.org/2001/XMLSchema" xmlns:xs="http://www.w3.org/2001/XMLSchema" xmlns:p="http://schemas.microsoft.com/office/2006/metadata/properties" xmlns:ns2="32292248-d854-464d-826e-8dc5cfe2c8e9" targetNamespace="http://schemas.microsoft.com/office/2006/metadata/properties" ma:root="true" ma:fieldsID="6cb8b4d8411d3f05452c044ea6cc7154" ns2:_="">
    <xsd:import namespace="32292248-d854-464d-826e-8dc5cfe2c8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92248-d854-464d-826e-8dc5cfe2c8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E10E50-BF04-45A2-91C3-E3E1D0D2B636}">
  <ds:schemaRefs>
    <ds:schemaRef ds:uri="http://schemas.microsoft.com/office/2006/metadata/properties"/>
    <ds:schemaRef ds:uri="http://www.w3.org/XML/1998/namespace"/>
    <ds:schemaRef ds:uri="http://schemas.microsoft.com/office/infopath/2007/PartnerControls"/>
    <ds:schemaRef ds:uri="7e168d4e-f650-4b76-bafd-0826542b0a5c"/>
    <ds:schemaRef ds:uri="http://schemas.microsoft.com/office/2006/documentManagement/types"/>
    <ds:schemaRef ds:uri="http://schemas.openxmlformats.org/package/2006/metadata/core-properties"/>
    <ds:schemaRef ds:uri="9a903cf6-a1bb-469c-8ec6-069130e1654e"/>
    <ds:schemaRef ds:uri="http://purl.org/dc/elements/1.1/"/>
    <ds:schemaRef ds:uri="http://purl.org/dc/terms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255C1C1-961E-4E7C-BEE2-0F1F4BD5C4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292248-d854-464d-826e-8dc5cfe2c8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0CD841-46D8-4727-97B8-F36B4E2C63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BCA</vt:lpstr>
      <vt:lpstr>Crossing Inventory Data</vt:lpstr>
      <vt:lpstr>Crash data collection</vt:lpstr>
      <vt:lpstr>Crashes total</vt:lpstr>
      <vt:lpstr>CMFs</vt:lpstr>
      <vt:lpstr>Crash costs</vt:lpstr>
      <vt:lpstr>Capital costs</vt:lpstr>
      <vt:lpstr>Traffic at Crossings</vt:lpstr>
      <vt:lpstr>Look Up Data (1)</vt:lpstr>
      <vt:lpstr>Look Up Data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Justin Garrison</dc:creator>
  <cp:keywords/>
  <dc:description/>
  <cp:lastModifiedBy>Sarah McElroy</cp:lastModifiedBy>
  <cp:revision/>
  <dcterms:created xsi:type="dcterms:W3CDTF">2022-04-22T14:05:44Z</dcterms:created>
  <dcterms:modified xsi:type="dcterms:W3CDTF">2022-05-23T21:14:31Z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0x0101000503703E1B51724D9D6B94116794D007</vt:lpwstr>
  </property>
</Properties>
</file>