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kcow00\jobs\75808\TaskOrder1\Planning\Documents\BCA\"/>
    </mc:Choice>
  </mc:AlternateContent>
  <xr:revisionPtr revIDLastSave="0" documentId="13_ncr:1_{4204CF2E-7061-44F5-9AB5-55AE0E7B0FA1}" xr6:coauthVersionLast="45" xr6:coauthVersionMax="45" xr10:uidLastSave="{00000000-0000-0000-0000-000000000000}"/>
  <bookViews>
    <workbookView xWindow="29745" yWindow="-120" windowWidth="27975" windowHeight="16440" tabRatio="896" activeTab="1" xr2:uid="{00000000-000D-0000-FFFF-FFFF00000000}"/>
  </bookViews>
  <sheets>
    <sheet name="Summary" sheetId="12" r:id="rId1"/>
    <sheet name="Summary Table" sheetId="41" r:id="rId2"/>
    <sheet name="NPV" sheetId="5" r:id="rId3"/>
    <sheet name="Costs" sheetId="27" r:id="rId4"/>
    <sheet name="Maintenance" sheetId="49" r:id="rId5"/>
    <sheet name="Safety" sheetId="21" r:id="rId6"/>
    <sheet name="Travel Time" sheetId="51" r:id="rId7"/>
    <sheet name="Environmental Protection" sheetId="47" r:id="rId8"/>
  </sheets>
  <externalReferences>
    <externalReference r:id="rId9"/>
    <externalReference r:id="rId10"/>
    <externalReference r:id="rId11"/>
  </externalReferences>
  <definedNames>
    <definedName name="Annual_Traffic_Growth_Rate">'[1]START Assumptions'!$B$39</definedName>
    <definedName name="Auto_Occ" localSheetId="4">'[1]START Assumptions'!#REF!</definedName>
    <definedName name="Auto_Occ" localSheetId="6">'[1]START Assumptions'!#REF!</definedName>
    <definedName name="Auto_Occ">'[1]START Assumptions'!#REF!</definedName>
    <definedName name="Auto_Op_Cost">'[1]START Assumptions'!$B$37</definedName>
    <definedName name="Ave_Fatal_Cost" localSheetId="4">'[1]START Assumptions'!#REF!</definedName>
    <definedName name="Ave_Fatal_Cost" localSheetId="6">'[1]START Assumptions'!#REF!</definedName>
    <definedName name="Ave_Fatal_Cost">'[1]START Assumptions'!#REF!</definedName>
    <definedName name="Ave_PD_Cost" localSheetId="4">'[1]START Assumptions'!#REF!</definedName>
    <definedName name="Ave_PD_Cost" localSheetId="6">'[1]START Assumptions'!#REF!</definedName>
    <definedName name="Ave_PD_Cost">'[1]START Assumptions'!#REF!</definedName>
    <definedName name="Ave_Type_A_Cost" localSheetId="4">'[1]START Assumptions'!#REF!</definedName>
    <definedName name="Ave_Type_A_Cost">'[1]START Assumptions'!#REF!</definedName>
    <definedName name="Ave_Type_B_Cost" localSheetId="4">'[1]START Assumptions'!#REF!</definedName>
    <definedName name="Ave_Type_B_Cost">'[1]START Assumptions'!#REF!</definedName>
    <definedName name="Ave_Type_C_Cost" localSheetId="4">'[1]START Assumptions'!#REF!</definedName>
    <definedName name="Ave_Type_C_Cost">'[1]START Assumptions'!#REF!</definedName>
    <definedName name="Ave_Type_Fatal_Cost" localSheetId="4">'[1]START Assumptions'!#REF!</definedName>
    <definedName name="Ave_Type_Fatal_Cost">'[1]START Assumptions'!#REF!</definedName>
    <definedName name="Ave_Type_PD_Cost" localSheetId="4">'[1]START Assumptions'!#REF!</definedName>
    <definedName name="Ave_Type_PD_Cost">'[1]START Assumptions'!#REF!</definedName>
    <definedName name="Avg_Crash_Cost" localSheetId="4">'[1]START Assumptions'!#REF!</definedName>
    <definedName name="Avg_Crash_Cost">'[1]START Assumptions'!#REF!</definedName>
    <definedName name="Base_Year">'[1]START Assumptions'!$B$31</definedName>
    <definedName name="Base_Year_Traffic" localSheetId="4">'[1]START Assumptions'!#REF!</definedName>
    <definedName name="Base_Year_Traffic" localSheetId="6">'[1]START Assumptions'!#REF!</definedName>
    <definedName name="Base_Year_Traffic">'[1]START Assumptions'!#REF!</definedName>
    <definedName name="Benefit_Period">'[1]START Assumptions'!$B$33</definedName>
    <definedName name="CIP" localSheetId="7">#REF!</definedName>
    <definedName name="CIP" localSheetId="4">#REF!</definedName>
    <definedName name="CIP" localSheetId="1">#REF!</definedName>
    <definedName name="CIP" localSheetId="6">#REF!</definedName>
    <definedName name="CIP">#REF!</definedName>
    <definedName name="Const_Comp_Year">'[1]START Assumptions'!$B$32</definedName>
    <definedName name="Crash_Rate_AC" localSheetId="4">'[1]START Assumptions'!#REF!</definedName>
    <definedName name="Crash_Rate_AC" localSheetId="6">'[1]START Assumptions'!#REF!</definedName>
    <definedName name="Crash_Rate_AC">'[1]START Assumptions'!#REF!</definedName>
    <definedName name="Crash_Rate_BC" localSheetId="4">'[1]START Assumptions'!#REF!</definedName>
    <definedName name="Crash_Rate_BC" localSheetId="6">'[1]START Assumptions'!#REF!</definedName>
    <definedName name="Crash_Rate_BC">'[1]START Assumptions'!#REF!</definedName>
    <definedName name="dblStack">'[2]Tunnel Capacity'!$C$6</definedName>
    <definedName name="Discount_Rate">'[1]START Assumptions'!$B$35</definedName>
    <definedName name="domstackRate">'[2]Tunnel Capacity'!$C$4</definedName>
    <definedName name="Fatal_Crash_Cost" localSheetId="4">'[1]START Assumptions'!#REF!</definedName>
    <definedName name="Fatal_Crash_Cost" localSheetId="6">'[1]START Assumptions'!#REF!</definedName>
    <definedName name="Fatal_Crash_Cost">'[1]START Assumptions'!#REF!</definedName>
    <definedName name="Fatal_Crash_Rate_AC" localSheetId="4">'[1]START Assumptions'!#REF!</definedName>
    <definedName name="Fatal_Crash_Rate_AC" localSheetId="6">'[1]START Assumptions'!#REF!</definedName>
    <definedName name="Fatal_Crash_Rate_AC">'[1]START Assumptions'!#REF!</definedName>
    <definedName name="Fatal_Crash_Rate_BC" localSheetId="4">'[1]START Assumptions'!#REF!</definedName>
    <definedName name="Fatal_Crash_Rate_BC">'[1]START Assumptions'!#REF!</definedName>
    <definedName name="HCV_Cost_Op" localSheetId="4">'[1]START Assumptions'!#REF!</definedName>
    <definedName name="HCV_Cost_Op">'[1]START Assumptions'!#REF!</definedName>
    <definedName name="HCV_Density_AC" localSheetId="4">'[1]START Assumptions'!#REF!</definedName>
    <definedName name="HCV_Density_AC">'[1]START Assumptions'!#REF!</definedName>
    <definedName name="HCV_Density_BC" localSheetId="4">'[1]START Assumptions'!#REF!</definedName>
    <definedName name="HCV_Density_BC">'[1]START Assumptions'!#REF!</definedName>
    <definedName name="HCV_Occ" localSheetId="4">'[1]START Assumptions'!#REF!</definedName>
    <definedName name="HCV_Occ">'[1]START Assumptions'!#REF!</definedName>
    <definedName name="HCV_Value_of_Time" localSheetId="4">'[1]START Assumptions'!#REF!</definedName>
    <definedName name="HCV_Value_of_Time">'[1]START Assumptions'!#REF!</definedName>
    <definedName name="Injury_Crash_Cost" localSheetId="4">'[1]START Assumptions'!#REF!</definedName>
    <definedName name="Injury_Crash_Cost">'[1]START Assumptions'!#REF!</definedName>
    <definedName name="Injury_Crash_Rate_AC" localSheetId="4">'[1]START Assumptions'!#REF!</definedName>
    <definedName name="Injury_Crash_Rate_AC">'[1]START Assumptions'!#REF!</definedName>
    <definedName name="Injury_Crash_Rate_BC" localSheetId="4">'[1]START Assumptions'!#REF!</definedName>
    <definedName name="Injury_Crash_Rate_BC">'[1]START Assumptions'!#REF!</definedName>
    <definedName name="intlstackRate">'[2]Tunnel Capacity'!$C$3</definedName>
    <definedName name="Length_AC" localSheetId="4">'[1]START Assumptions'!#REF!</definedName>
    <definedName name="Length_AC" localSheetId="6">'[1]START Assumptions'!#REF!</definedName>
    <definedName name="Length_AC">'[1]START Assumptions'!#REF!</definedName>
    <definedName name="Length_BC" localSheetId="4">'[1]START Assumptions'!#REF!</definedName>
    <definedName name="Length_BC" localSheetId="6">'[1]START Assumptions'!#REF!</definedName>
    <definedName name="Length_BC">'[1]START Assumptions'!#REF!</definedName>
    <definedName name="List">'[3]NEW ROAD'!$A$2:$A$19</definedName>
    <definedName name="maxLength">'[2]Tunnel Capacity'!$C$2</definedName>
    <definedName name="NEW">'[3]NEW ROAD'!$A$4:$A$5</definedName>
    <definedName name="NPV_Costs">'[1]START Costs'!$I$5</definedName>
    <definedName name="NPV_Distance" localSheetId="4">'[1]START Distance Benefit'!#REF!</definedName>
    <definedName name="NPV_Distance" localSheetId="6">'[1]START Distance Benefit'!#REF!</definedName>
    <definedName name="NPV_Distance">'[1]START Distance Benefit'!#REF!</definedName>
    <definedName name="NPV_maint">'[1]START Costs'!$L$5</definedName>
    <definedName name="NPV_Safety" localSheetId="4">#REF!</definedName>
    <definedName name="NPV_Safety" localSheetId="6">#REF!</definedName>
    <definedName name="NPV_Safety">#REF!</definedName>
    <definedName name="NPV_Time" localSheetId="4">#REF!</definedName>
    <definedName name="NPV_Time">#REF!</definedName>
    <definedName name="PD_Crash_Cost" localSheetId="4">'[1]START Assumptions'!#REF!</definedName>
    <definedName name="PD_Crash_Cost" localSheetId="6">'[1]START Assumptions'!#REF!</definedName>
    <definedName name="PD_Crash_Cost">'[1]START Assumptions'!#REF!</definedName>
    <definedName name="PD_Crash_Rate_AC" localSheetId="4">'[1]START Assumptions'!#REF!</definedName>
    <definedName name="PD_Crash_Rate_AC" localSheetId="6">'[1]START Assumptions'!#REF!</definedName>
    <definedName name="PD_Crash_Rate_AC">'[1]START Assumptions'!#REF!</definedName>
    <definedName name="PD_Crash_Rate_BC" localSheetId="4">'[1]START Assumptions'!#REF!</definedName>
    <definedName name="PD_Crash_Rate_BC">'[1]START Assumptions'!#REF!</definedName>
    <definedName name="_xlnm.Print_Area" localSheetId="3">Costs!$A$2:$I$43</definedName>
    <definedName name="_xlnm.Print_Area" localSheetId="7">'Environmental Protection'!$A$6:$P$80</definedName>
    <definedName name="_xlnm.Print_Area" localSheetId="4">Maintenance!$A$2:$H$43</definedName>
    <definedName name="_xlnm.Print_Area" localSheetId="2">NPV!$A$1:$C$43</definedName>
    <definedName name="_xlnm.Print_Area" localSheetId="5">Safety!$A$1:$U$144,Safety!#REF!</definedName>
    <definedName name="_xlnm.Print_Area" localSheetId="0">Summary!$B$2:$H$3</definedName>
    <definedName name="_xlnm.Print_Area" localSheetId="1">'Summary Table'!$A$1:$G$59</definedName>
    <definedName name="_xlnm.Print_Area" localSheetId="6">'Travel Time'!$A$177:$R$214,'Travel Time'!$A$301:$M$306</definedName>
    <definedName name="printa" localSheetId="7">#REF!</definedName>
    <definedName name="printa" localSheetId="4">#REF!</definedName>
    <definedName name="printa" localSheetId="1">#REF!</definedName>
    <definedName name="printa" localSheetId="6">#REF!</definedName>
    <definedName name="printa">#REF!</definedName>
    <definedName name="Prop_Dam_Crash_Cost" localSheetId="4">'[1]START Assumptions'!#REF!</definedName>
    <definedName name="Prop_Dam_Crash_Cost" localSheetId="6">'[1]START Assumptions'!#REF!</definedName>
    <definedName name="Prop_Dam_Crash_Cost">'[1]START Assumptions'!#REF!</definedName>
    <definedName name="singleStack">'[2]Tunnel Capacity'!$C$5</definedName>
    <definedName name="Speed_AC" localSheetId="4">'[1]START Assumptions'!#REF!</definedName>
    <definedName name="Speed_AC" localSheetId="6">'[1]START Assumptions'!#REF!</definedName>
    <definedName name="Speed_AC">'[1]START Assumptions'!#REF!</definedName>
    <definedName name="Speed_BC" localSheetId="4">'[1]START Assumptions'!#REF!</definedName>
    <definedName name="Speed_BC" localSheetId="6">'[1]START Assumptions'!#REF!</definedName>
    <definedName name="Speed_BC">'[1]START Assumptions'!#REF!</definedName>
    <definedName name="Type_A_Crash_Rate_AC" localSheetId="4">'[1]START Assumptions'!#REF!</definedName>
    <definedName name="Type_A_Crash_Rate_AC">'[1]START Assumptions'!#REF!</definedName>
    <definedName name="Type_A_Crash_Rate_BC" localSheetId="4">'[1]START Assumptions'!#REF!</definedName>
    <definedName name="Type_A_Crash_Rate_BC">'[1]START Assumptions'!#REF!</definedName>
    <definedName name="Type_B_Crash_Rate_AC" localSheetId="4">'[1]START Assumptions'!#REF!</definedName>
    <definedName name="Type_B_Crash_Rate_AC">'[1]START Assumptions'!#REF!</definedName>
    <definedName name="Type_B_Crash_Rate_BC" localSheetId="4">'[1]START Assumptions'!#REF!</definedName>
    <definedName name="Type_B_Crash_Rate_BC">'[1]START Assumptions'!#REF!</definedName>
    <definedName name="Type_C_Crash_Rate_AC" localSheetId="4">'[1]START Assumptions'!#REF!</definedName>
    <definedName name="Type_C_Crash_Rate_AC">'[1]START Assumptions'!#REF!</definedName>
    <definedName name="Type_C_Crash_Rate_BC" localSheetId="4">'[1]START Assumptions'!#REF!</definedName>
    <definedName name="Type_C_Crash_Rate_BC">'[1]START Assumptions'!#REF!</definedName>
    <definedName name="Type_Fatal_Crash_Rate_AC" localSheetId="4">'[1]START Assumptions'!#REF!</definedName>
    <definedName name="Type_Fatal_Crash_Rate_AC">'[1]START Assumptions'!#REF!</definedName>
    <definedName name="Type_Fatal_Crash_Rate_BC" localSheetId="4">'[1]START Assumptions'!#REF!</definedName>
    <definedName name="Type_Fatal_Crash_Rate_BC">'[1]START Assumptions'!#REF!</definedName>
    <definedName name="Type_PD_Crash_Rate_AC" localSheetId="4">'[1]START Assumptions'!#REF!</definedName>
    <definedName name="Type_PD_Crash_Rate_AC">'[1]START Assumptions'!#REF!</definedName>
    <definedName name="Type_PD_Crash_Rate_BC" localSheetId="4">'[1]START Assumptions'!#REF!</definedName>
    <definedName name="Type_PD_Crash_Rate_BC">'[1]START Assumptions'!#REF!</definedName>
    <definedName name="Version2" localSheetId="7">#REF!</definedName>
    <definedName name="Version2" localSheetId="4">#REF!</definedName>
    <definedName name="Version2" localSheetId="1">#REF!</definedName>
    <definedName name="Version2" localSheetId="6">#REF!</definedName>
    <definedName name="Version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27" l="1"/>
  <c r="J38" i="47" l="1"/>
  <c r="J37" i="47"/>
  <c r="J8" i="47"/>
  <c r="K29" i="41"/>
  <c r="K30" i="41"/>
  <c r="K31" i="41"/>
  <c r="K32" i="41"/>
  <c r="K33" i="41"/>
  <c r="K34" i="41"/>
  <c r="K35" i="41"/>
  <c r="K36" i="41"/>
  <c r="K37" i="41"/>
  <c r="K38" i="41"/>
  <c r="K39" i="41"/>
  <c r="K40" i="41"/>
  <c r="K41" i="41"/>
  <c r="K42" i="41"/>
  <c r="K43" i="41"/>
  <c r="K44" i="41"/>
  <c r="K45" i="41"/>
  <c r="K46" i="41"/>
  <c r="K47" i="41"/>
  <c r="K48" i="41"/>
  <c r="K49" i="41"/>
  <c r="K50" i="41"/>
  <c r="K51" i="41"/>
  <c r="K52" i="41"/>
  <c r="K53" i="41"/>
  <c r="K54" i="41"/>
  <c r="K55" i="41"/>
  <c r="K56" i="41"/>
  <c r="K57" i="41"/>
  <c r="K28" i="41"/>
  <c r="C2" i="47"/>
  <c r="I38" i="47"/>
  <c r="H38" i="47"/>
  <c r="I9" i="47"/>
  <c r="I10" i="47"/>
  <c r="I11" i="47"/>
  <c r="I12" i="47"/>
  <c r="I13" i="47"/>
  <c r="I14" i="47"/>
  <c r="I15" i="47"/>
  <c r="I16" i="47"/>
  <c r="I17" i="47"/>
  <c r="I18" i="47"/>
  <c r="I19" i="47"/>
  <c r="I20" i="47"/>
  <c r="I21" i="47"/>
  <c r="I22" i="47"/>
  <c r="I23" i="47"/>
  <c r="I24" i="47"/>
  <c r="I25" i="47"/>
  <c r="I26" i="47"/>
  <c r="I27" i="47"/>
  <c r="I28" i="47"/>
  <c r="I29" i="47"/>
  <c r="I30" i="47"/>
  <c r="I31" i="47"/>
  <c r="I32" i="47"/>
  <c r="I33" i="47"/>
  <c r="I34" i="47"/>
  <c r="I35" i="47"/>
  <c r="I36" i="47"/>
  <c r="I37" i="47"/>
  <c r="I8" i="47"/>
  <c r="B8" i="47"/>
  <c r="S11" i="51"/>
  <c r="S41" i="51" s="1"/>
  <c r="R41" i="51"/>
  <c r="R11" i="51"/>
  <c r="P11" i="51"/>
  <c r="L77" i="51"/>
  <c r="M77" i="51"/>
  <c r="M47" i="51"/>
  <c r="L47" i="51"/>
  <c r="J47" i="51"/>
  <c r="K85" i="51"/>
  <c r="K86" i="51"/>
  <c r="K87" i="51"/>
  <c r="K88" i="51"/>
  <c r="K89" i="51"/>
  <c r="K90" i="51"/>
  <c r="K91" i="51"/>
  <c r="K92" i="51"/>
  <c r="K93" i="51"/>
  <c r="K94" i="51"/>
  <c r="K95" i="51"/>
  <c r="K96" i="51"/>
  <c r="K97" i="51"/>
  <c r="K98" i="51"/>
  <c r="K99" i="51"/>
  <c r="K100" i="51"/>
  <c r="K101" i="51"/>
  <c r="K102" i="51"/>
  <c r="K103" i="51"/>
  <c r="K104" i="51"/>
  <c r="K105" i="51"/>
  <c r="K106" i="51"/>
  <c r="K107" i="51"/>
  <c r="K108" i="51"/>
  <c r="K109" i="51"/>
  <c r="K110" i="51"/>
  <c r="K111" i="51"/>
  <c r="K112" i="51"/>
  <c r="K113" i="51"/>
  <c r="K114" i="51"/>
  <c r="K115" i="51"/>
  <c r="K116" i="51"/>
  <c r="K117" i="51"/>
  <c r="K118" i="51"/>
  <c r="K119" i="51"/>
  <c r="K120" i="51"/>
  <c r="K121" i="51"/>
  <c r="K84" i="51"/>
  <c r="H84" i="51"/>
  <c r="E84" i="51"/>
  <c r="H29" i="41"/>
  <c r="H30" i="41"/>
  <c r="H31" i="41"/>
  <c r="H32" i="41"/>
  <c r="H33" i="41"/>
  <c r="H34" i="41"/>
  <c r="H35" i="41"/>
  <c r="H36" i="41"/>
  <c r="H37" i="41"/>
  <c r="H38" i="41"/>
  <c r="H39" i="41"/>
  <c r="H40" i="41"/>
  <c r="H41" i="41"/>
  <c r="H42" i="41"/>
  <c r="H43" i="41"/>
  <c r="H44" i="41"/>
  <c r="H45" i="41"/>
  <c r="H46" i="41"/>
  <c r="H47" i="41"/>
  <c r="H48" i="41"/>
  <c r="H49" i="41"/>
  <c r="H50" i="41"/>
  <c r="H51" i="41"/>
  <c r="H52" i="41"/>
  <c r="H53" i="41"/>
  <c r="H54" i="41"/>
  <c r="H55" i="41"/>
  <c r="H56" i="41"/>
  <c r="H57" i="41"/>
  <c r="H28" i="41"/>
  <c r="B292" i="51"/>
  <c r="B294" i="51" s="1"/>
  <c r="E147" i="51"/>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14" i="49"/>
  <c r="F13" i="49"/>
  <c r="E43" i="49"/>
  <c r="C21" i="49"/>
  <c r="C20" i="49"/>
  <c r="C7" i="49"/>
  <c r="C6" i="49"/>
  <c r="B5" i="49"/>
  <c r="B43" i="49"/>
  <c r="F43" i="49" l="1"/>
  <c r="D12" i="41"/>
  <c r="C12" i="41"/>
  <c r="B12" i="41"/>
  <c r="F7" i="27"/>
  <c r="F12" i="27"/>
  <c r="F14" i="27"/>
  <c r="F15" i="27"/>
  <c r="F16" i="27"/>
  <c r="F18" i="27"/>
  <c r="C4" i="27"/>
  <c r="D3" i="12"/>
  <c r="C4" i="5"/>
  <c r="D4" i="5"/>
  <c r="H7" i="27"/>
  <c r="R12" i="41"/>
  <c r="R13" i="41" l="1"/>
  <c r="R14" i="41"/>
  <c r="R15" i="41"/>
  <c r="R16" i="41"/>
  <c r="R17" i="41"/>
  <c r="B17" i="41" s="1"/>
  <c r="D17" i="41" s="1"/>
  <c r="R18" i="41"/>
  <c r="R19" i="41"/>
  <c r="Q12" i="41"/>
  <c r="Q13" i="41"/>
  <c r="Q14" i="41"/>
  <c r="Q15" i="41"/>
  <c r="B15" i="41" s="1"/>
  <c r="Q16" i="41"/>
  <c r="B16" i="41"/>
  <c r="D16" i="41" s="1"/>
  <c r="Q17" i="41"/>
  <c r="Q18" i="41"/>
  <c r="Q19" i="41"/>
  <c r="Q20" i="41"/>
  <c r="R20" i="41"/>
  <c r="B20" i="41" s="1"/>
  <c r="Q21" i="41"/>
  <c r="R21" i="41" s="1"/>
  <c r="B21" i="41" s="1"/>
  <c r="P16" i="41"/>
  <c r="P17" i="41" s="1"/>
  <c r="G16" i="41"/>
  <c r="G17" i="41" s="1"/>
  <c r="C13" i="41"/>
  <c r="C14" i="41"/>
  <c r="C15" i="41"/>
  <c r="C16" i="41"/>
  <c r="C17" i="41"/>
  <c r="C18" i="41"/>
  <c r="B19" i="41"/>
  <c r="C19" i="41"/>
  <c r="D19" i="41"/>
  <c r="C20" i="41"/>
  <c r="C21" i="41"/>
  <c r="A16" i="41"/>
  <c r="A17" i="41" s="1"/>
  <c r="D15" i="41" l="1"/>
  <c r="D21" i="41"/>
  <c r="B13" i="41"/>
  <c r="D13" i="41" s="1"/>
  <c r="B14" i="41"/>
  <c r="D14" i="41" s="1"/>
  <c r="B18" i="41"/>
  <c r="D18" i="41" s="1"/>
  <c r="D20" i="41"/>
  <c r="G15" i="27"/>
  <c r="E85" i="51" l="1"/>
  <c r="F85" i="51"/>
  <c r="E86" i="51"/>
  <c r="F86" i="51"/>
  <c r="E87" i="51"/>
  <c r="F87" i="51"/>
  <c r="E88" i="51"/>
  <c r="F88" i="51"/>
  <c r="E89" i="51"/>
  <c r="F89" i="51"/>
  <c r="E90" i="51"/>
  <c r="F90" i="51"/>
  <c r="E91" i="51"/>
  <c r="F91" i="51"/>
  <c r="E92" i="51"/>
  <c r="F92" i="51"/>
  <c r="E93" i="51"/>
  <c r="F93" i="51"/>
  <c r="E94" i="51"/>
  <c r="F94" i="51"/>
  <c r="E95" i="51"/>
  <c r="F95" i="51"/>
  <c r="E96" i="51"/>
  <c r="F96" i="51"/>
  <c r="E97" i="51"/>
  <c r="F97" i="51"/>
  <c r="E98" i="51"/>
  <c r="F98" i="51"/>
  <c r="E99" i="51"/>
  <c r="F99" i="51"/>
  <c r="E100" i="51"/>
  <c r="F100" i="51"/>
  <c r="E101" i="51"/>
  <c r="F101" i="51"/>
  <c r="E102" i="51"/>
  <c r="F102" i="51"/>
  <c r="E103" i="51"/>
  <c r="F103" i="51"/>
  <c r="E104" i="51"/>
  <c r="F104" i="51"/>
  <c r="E105" i="51"/>
  <c r="F105" i="51"/>
  <c r="E106" i="51"/>
  <c r="F106" i="51"/>
  <c r="E107" i="51"/>
  <c r="F107" i="51"/>
  <c r="E108" i="51"/>
  <c r="F108" i="51"/>
  <c r="E109" i="51"/>
  <c r="F109" i="51"/>
  <c r="E110" i="51"/>
  <c r="F110" i="51"/>
  <c r="E111" i="51"/>
  <c r="F111" i="51"/>
  <c r="E112" i="51"/>
  <c r="F112" i="51"/>
  <c r="E113" i="51"/>
  <c r="F113" i="51"/>
  <c r="E114" i="51"/>
  <c r="F114" i="51"/>
  <c r="E115" i="51"/>
  <c r="F115" i="51"/>
  <c r="E116" i="51"/>
  <c r="F116" i="51"/>
  <c r="E117" i="51"/>
  <c r="F117" i="51"/>
  <c r="E118" i="51"/>
  <c r="F118" i="51"/>
  <c r="E119" i="51"/>
  <c r="F119" i="51"/>
  <c r="E120" i="51"/>
  <c r="F120" i="51"/>
  <c r="E121" i="51"/>
  <c r="F121" i="51"/>
  <c r="F84" i="51"/>
  <c r="B272" i="51"/>
  <c r="B265" i="51"/>
  <c r="E12" i="41" l="1"/>
  <c r="E13" i="41" s="1"/>
  <c r="E14" i="41" s="1"/>
  <c r="E15" i="41" s="1"/>
  <c r="E16" i="41" s="1"/>
  <c r="E17" i="41" s="1"/>
  <c r="E18" i="41" s="1"/>
  <c r="E19" i="41" s="1"/>
  <c r="E20" i="41" s="1"/>
  <c r="E21" i="41" s="1"/>
  <c r="E22" i="41" s="1"/>
  <c r="H18" i="27"/>
  <c r="H19" i="27"/>
  <c r="H20" i="27"/>
  <c r="H21" i="27"/>
  <c r="H22" i="27"/>
  <c r="H58" i="41" l="1"/>
  <c r="D43" i="5"/>
  <c r="D169" i="51" l="1"/>
  <c r="E169" i="51"/>
  <c r="D170" i="51"/>
  <c r="E170" i="51"/>
  <c r="D171" i="51"/>
  <c r="E171" i="51"/>
  <c r="D172" i="51"/>
  <c r="E172" i="51"/>
  <c r="E13" i="49"/>
  <c r="E19" i="49"/>
  <c r="E26" i="49"/>
  <c r="E33" i="49"/>
  <c r="E40" i="49"/>
  <c r="E41" i="49"/>
  <c r="E42" i="49"/>
  <c r="C42" i="49"/>
  <c r="C41" i="49"/>
  <c r="B39" i="49"/>
  <c r="D39" i="49" s="1"/>
  <c r="B40" i="49"/>
  <c r="D40" i="49" s="1"/>
  <c r="B41" i="49"/>
  <c r="D41" i="49"/>
  <c r="C292" i="51" l="1"/>
  <c r="C294" i="51" s="1"/>
  <c r="C241" i="51"/>
  <c r="D241" i="51"/>
  <c r="E241" i="51"/>
  <c r="F241" i="51"/>
  <c r="G241" i="51"/>
  <c r="H241" i="51"/>
  <c r="I241" i="51"/>
  <c r="B241" i="51"/>
  <c r="D292" i="51" l="1"/>
  <c r="B234" i="51" l="1"/>
  <c r="B235" i="51" s="1"/>
  <c r="F234" i="51"/>
  <c r="F235" i="51" s="1"/>
  <c r="F231" i="51"/>
  <c r="F230" i="51" s="1"/>
  <c r="J234" i="51"/>
  <c r="J235" i="51" s="1"/>
  <c r="G234" i="51"/>
  <c r="G235" i="51" s="1"/>
  <c r="J231" i="51"/>
  <c r="J230" i="51" s="1"/>
  <c r="G231" i="51"/>
  <c r="G230" i="51" s="1"/>
  <c r="D234" i="51" l="1"/>
  <c r="D235" i="51" s="1"/>
  <c r="D231" i="51"/>
  <c r="D230" i="51" s="1"/>
  <c r="D293" i="51"/>
  <c r="D294" i="51" s="1"/>
  <c r="E286" i="51"/>
  <c r="B273" i="51"/>
  <c r="B274" i="51" s="1"/>
  <c r="B266" i="51"/>
  <c r="B267" i="51" s="1"/>
  <c r="B262" i="51"/>
  <c r="B263" i="51" s="1"/>
  <c r="I242" i="51"/>
  <c r="I243" i="51" s="1"/>
  <c r="H242" i="51"/>
  <c r="H243" i="51" s="1"/>
  <c r="G242" i="51"/>
  <c r="G243" i="51" s="1"/>
  <c r="F242" i="51"/>
  <c r="F243" i="51" s="1"/>
  <c r="E242" i="51"/>
  <c r="E243" i="51" s="1"/>
  <c r="D242" i="51"/>
  <c r="D243" i="51" s="1"/>
  <c r="C242" i="51"/>
  <c r="C243" i="51" s="1"/>
  <c r="B242" i="51"/>
  <c r="B243" i="51" s="1"/>
  <c r="C234" i="51"/>
  <c r="C235" i="51" s="1"/>
  <c r="C231" i="51"/>
  <c r="C230" i="51" s="1"/>
  <c r="B231" i="51"/>
  <c r="B230" i="51" s="1"/>
  <c r="J226" i="51"/>
  <c r="J227" i="51" s="1"/>
  <c r="I226" i="51"/>
  <c r="I227" i="51" s="1"/>
  <c r="H226" i="51"/>
  <c r="H227" i="51" s="1"/>
  <c r="G226" i="51"/>
  <c r="G227" i="51" s="1"/>
  <c r="F226" i="51"/>
  <c r="F227" i="51" s="1"/>
  <c r="E226" i="51"/>
  <c r="E227" i="51" s="1"/>
  <c r="D226" i="51"/>
  <c r="D227" i="51" s="1"/>
  <c r="C226" i="51"/>
  <c r="C227" i="51" s="1"/>
  <c r="B226" i="51"/>
  <c r="B227" i="51" s="1"/>
  <c r="J223" i="51"/>
  <c r="C135" i="51" s="1"/>
  <c r="C136" i="51" s="1"/>
  <c r="C137" i="51" s="1"/>
  <c r="C138" i="51" s="1"/>
  <c r="C139" i="51" s="1"/>
  <c r="C140" i="51" s="1"/>
  <c r="C141" i="51" s="1"/>
  <c r="C142" i="51" s="1"/>
  <c r="C143" i="51" s="1"/>
  <c r="C144" i="51" s="1"/>
  <c r="C145" i="51" s="1"/>
  <c r="C146" i="51" s="1"/>
  <c r="C147" i="51" s="1"/>
  <c r="C148" i="51" s="1"/>
  <c r="C149" i="51" s="1"/>
  <c r="C150" i="51" s="1"/>
  <c r="C151" i="51" s="1"/>
  <c r="C152" i="51" s="1"/>
  <c r="C153" i="51" s="1"/>
  <c r="C154" i="51" s="1"/>
  <c r="C155" i="51" s="1"/>
  <c r="C156" i="51" s="1"/>
  <c r="C157" i="51" s="1"/>
  <c r="C158" i="51" s="1"/>
  <c r="C159" i="51" s="1"/>
  <c r="C160" i="51" s="1"/>
  <c r="C161" i="51" s="1"/>
  <c r="C162" i="51" s="1"/>
  <c r="C163" i="51" s="1"/>
  <c r="I223" i="51"/>
  <c r="H223" i="51"/>
  <c r="C84" i="51" s="1"/>
  <c r="G223" i="51"/>
  <c r="G222" i="51" s="1"/>
  <c r="F223" i="51"/>
  <c r="F222" i="51" s="1"/>
  <c r="E223" i="51"/>
  <c r="E222" i="51" s="1"/>
  <c r="D223" i="51"/>
  <c r="D222" i="51" s="1"/>
  <c r="C223" i="51"/>
  <c r="C222" i="51" s="1"/>
  <c r="B223" i="51"/>
  <c r="B222" i="51" s="1"/>
  <c r="A180" i="51"/>
  <c r="A181" i="51" s="1"/>
  <c r="A182" i="51" s="1"/>
  <c r="A183" i="51" s="1"/>
  <c r="A184" i="51" s="1"/>
  <c r="A185" i="51" s="1"/>
  <c r="A186" i="51" s="1"/>
  <c r="A187" i="51" s="1"/>
  <c r="A188" i="51" s="1"/>
  <c r="A189" i="51" s="1"/>
  <c r="A190" i="51" s="1"/>
  <c r="A191" i="51" s="1"/>
  <c r="A192" i="51" s="1"/>
  <c r="A193" i="51" s="1"/>
  <c r="A194" i="51" s="1"/>
  <c r="A195" i="51" s="1"/>
  <c r="A196" i="51" s="1"/>
  <c r="A197" i="51" s="1"/>
  <c r="A198" i="51" s="1"/>
  <c r="A199" i="51" s="1"/>
  <c r="A200" i="51" s="1"/>
  <c r="A201" i="51" s="1"/>
  <c r="A202" i="51" s="1"/>
  <c r="A203" i="51" s="1"/>
  <c r="A204" i="51" s="1"/>
  <c r="A205" i="51" s="1"/>
  <c r="A206" i="51" s="1"/>
  <c r="A207" i="51" s="1"/>
  <c r="A208" i="51" s="1"/>
  <c r="A209" i="51" s="1"/>
  <c r="A210" i="51" s="1"/>
  <c r="A211" i="51" s="1"/>
  <c r="A212" i="51" s="1"/>
  <c r="A213" i="51" s="1"/>
  <c r="A214" i="51" s="1"/>
  <c r="A215" i="51" s="1"/>
  <c r="A216" i="51" s="1"/>
  <c r="E168" i="51"/>
  <c r="D168" i="51"/>
  <c r="E167" i="51"/>
  <c r="D167" i="51"/>
  <c r="E166" i="51"/>
  <c r="D166" i="51"/>
  <c r="E165" i="51"/>
  <c r="D165" i="51"/>
  <c r="E164" i="51"/>
  <c r="D164" i="51"/>
  <c r="E163" i="51"/>
  <c r="D163" i="51"/>
  <c r="E162" i="51"/>
  <c r="D162" i="51"/>
  <c r="E161" i="51"/>
  <c r="D161" i="51"/>
  <c r="E160" i="51"/>
  <c r="D160" i="51"/>
  <c r="E159" i="51"/>
  <c r="D159" i="51"/>
  <c r="E158" i="51"/>
  <c r="D158" i="51"/>
  <c r="E157" i="51"/>
  <c r="D157" i="51"/>
  <c r="E156" i="51"/>
  <c r="D156" i="51"/>
  <c r="E155" i="51"/>
  <c r="D155" i="51"/>
  <c r="E154" i="51"/>
  <c r="D154" i="51"/>
  <c r="E153" i="51"/>
  <c r="D153" i="51"/>
  <c r="E152" i="51"/>
  <c r="D152" i="51"/>
  <c r="E151" i="51"/>
  <c r="D151" i="51"/>
  <c r="E150" i="51"/>
  <c r="D150" i="51"/>
  <c r="E149" i="51"/>
  <c r="D149" i="51"/>
  <c r="E148" i="51"/>
  <c r="D148" i="51"/>
  <c r="D147" i="51"/>
  <c r="E146" i="51"/>
  <c r="D146" i="51"/>
  <c r="E145" i="51"/>
  <c r="D145" i="51"/>
  <c r="E144" i="51"/>
  <c r="D144" i="51"/>
  <c r="E143" i="51"/>
  <c r="D143" i="51"/>
  <c r="E142" i="51"/>
  <c r="D142" i="51"/>
  <c r="E141" i="51"/>
  <c r="D141" i="51"/>
  <c r="E140" i="51"/>
  <c r="D140" i="51"/>
  <c r="E139" i="51"/>
  <c r="D139" i="51"/>
  <c r="E138" i="51"/>
  <c r="D138" i="51"/>
  <c r="E137" i="51"/>
  <c r="D137" i="51"/>
  <c r="E136" i="51"/>
  <c r="D136" i="51"/>
  <c r="A136" i="51"/>
  <c r="A137" i="51" s="1"/>
  <c r="A138" i="51" s="1"/>
  <c r="A139" i="51" s="1"/>
  <c r="A140" i="51" s="1"/>
  <c r="A141" i="51" s="1"/>
  <c r="A142" i="51" s="1"/>
  <c r="A143" i="51" s="1"/>
  <c r="A144" i="51" s="1"/>
  <c r="A145" i="51" s="1"/>
  <c r="A146" i="51" s="1"/>
  <c r="A147" i="51" s="1"/>
  <c r="A148" i="51" s="1"/>
  <c r="A149" i="51" s="1"/>
  <c r="A150" i="51" s="1"/>
  <c r="A151" i="51" s="1"/>
  <c r="A152" i="51" s="1"/>
  <c r="A153" i="51" s="1"/>
  <c r="A154" i="51" s="1"/>
  <c r="A155" i="51" s="1"/>
  <c r="A156" i="51" s="1"/>
  <c r="A157" i="51" s="1"/>
  <c r="A158" i="51" s="1"/>
  <c r="A159" i="51" s="1"/>
  <c r="A160" i="51" s="1"/>
  <c r="A161" i="51" s="1"/>
  <c r="A162" i="51" s="1"/>
  <c r="A163" i="51" s="1"/>
  <c r="A164" i="51" s="1"/>
  <c r="A165" i="51" s="1"/>
  <c r="A166" i="51" s="1"/>
  <c r="A167" i="51" s="1"/>
  <c r="A168" i="51" s="1"/>
  <c r="A169" i="51" s="1"/>
  <c r="A170" i="51" s="1"/>
  <c r="A171" i="51" s="1"/>
  <c r="A172" i="51" s="1"/>
  <c r="E135" i="51"/>
  <c r="D135" i="51"/>
  <c r="A85" i="5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A114" i="51" s="1"/>
  <c r="A115" i="51" s="1"/>
  <c r="A116" i="51" s="1"/>
  <c r="A117" i="51" s="1"/>
  <c r="A118" i="51" s="1"/>
  <c r="A119" i="51" s="1"/>
  <c r="A120" i="51" s="1"/>
  <c r="A121" i="51" s="1"/>
  <c r="A48" i="5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12" i="5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K230" i="51" l="1"/>
  <c r="H88" i="51"/>
  <c r="H94" i="51"/>
  <c r="H100" i="51"/>
  <c r="H106" i="51"/>
  <c r="H112" i="51"/>
  <c r="H118" i="51"/>
  <c r="H85" i="51"/>
  <c r="H115" i="51"/>
  <c r="H98" i="51"/>
  <c r="H116" i="51"/>
  <c r="H111" i="51"/>
  <c r="H89" i="51"/>
  <c r="H95" i="51"/>
  <c r="H101" i="51"/>
  <c r="H107" i="51"/>
  <c r="H113" i="51"/>
  <c r="H119" i="51"/>
  <c r="H97" i="51"/>
  <c r="H109" i="51"/>
  <c r="H86" i="51"/>
  <c r="H110" i="51"/>
  <c r="H93" i="51"/>
  <c r="H99" i="51"/>
  <c r="H117" i="51"/>
  <c r="H90" i="51"/>
  <c r="H96" i="51"/>
  <c r="H102" i="51"/>
  <c r="H108" i="51"/>
  <c r="H114" i="51"/>
  <c r="H120" i="51"/>
  <c r="H91" i="51"/>
  <c r="H103" i="51"/>
  <c r="H121" i="51"/>
  <c r="H92" i="51"/>
  <c r="H104" i="51"/>
  <c r="H87" i="51"/>
  <c r="H105" i="51"/>
  <c r="J222" i="51"/>
  <c r="B135" i="51" s="1"/>
  <c r="I222" i="51"/>
  <c r="H222" i="51"/>
  <c r="B84" i="51" s="1"/>
  <c r="I84" i="51" s="1"/>
  <c r="K238" i="51"/>
  <c r="F215" i="51" s="1"/>
  <c r="F202" i="51" s="1"/>
  <c r="C164" i="51"/>
  <c r="C165" i="51" s="1"/>
  <c r="C166" i="51" s="1"/>
  <c r="C167" i="51" s="1"/>
  <c r="C168" i="51" s="1"/>
  <c r="C169" i="51" s="1"/>
  <c r="C170" i="51" s="1"/>
  <c r="C171" i="51" s="1"/>
  <c r="C172" i="51" s="1"/>
  <c r="A34" i="51"/>
  <c r="A35" i="51" s="1"/>
  <c r="A36" i="51" s="1"/>
  <c r="A37" i="51" s="1"/>
  <c r="A38" i="51" s="1"/>
  <c r="A39" i="51" s="1"/>
  <c r="A40" i="51" s="1"/>
  <c r="C239" i="51"/>
  <c r="C238" i="51" s="1"/>
  <c r="F239" i="51"/>
  <c r="F238" i="51" s="1"/>
  <c r="D239" i="51"/>
  <c r="D238" i="51" s="1"/>
  <c r="G239" i="51"/>
  <c r="G238" i="51" s="1"/>
  <c r="E239" i="51"/>
  <c r="E238" i="51" s="1"/>
  <c r="H239" i="51"/>
  <c r="H238" i="51" s="1"/>
  <c r="I239" i="51"/>
  <c r="I238" i="51" s="1"/>
  <c r="B239" i="51"/>
  <c r="B238" i="51" s="1"/>
  <c r="K222" i="51"/>
  <c r="B179" i="51" s="1"/>
  <c r="B268" i="51"/>
  <c r="B270" i="51" s="1"/>
  <c r="B275" i="51"/>
  <c r="B277" i="51" s="1"/>
  <c r="I135" i="51" l="1"/>
  <c r="H135" i="51"/>
  <c r="B135" i="21"/>
  <c r="B132" i="21" s="1"/>
  <c r="B187" i="51"/>
  <c r="E215" i="51"/>
  <c r="E214" i="51" s="1"/>
  <c r="N73" i="21" s="1"/>
  <c r="B136" i="51"/>
  <c r="B137" i="51" s="1"/>
  <c r="B138" i="51" s="1"/>
  <c r="B139" i="51" s="1"/>
  <c r="B140" i="51" s="1"/>
  <c r="B141" i="51" s="1"/>
  <c r="B142" i="51" s="1"/>
  <c r="B143" i="51" s="1"/>
  <c r="B144" i="51" s="1"/>
  <c r="B145" i="51" s="1"/>
  <c r="B146" i="51" s="1"/>
  <c r="B147" i="51" s="1"/>
  <c r="B148" i="51" s="1"/>
  <c r="B149" i="51" s="1"/>
  <c r="B150" i="51" s="1"/>
  <c r="B151" i="51" s="1"/>
  <c r="B152" i="51" s="1"/>
  <c r="B153" i="51" s="1"/>
  <c r="B154" i="51" s="1"/>
  <c r="B155" i="51" s="1"/>
  <c r="B156" i="51" s="1"/>
  <c r="B157" i="51" s="1"/>
  <c r="B158" i="51" s="1"/>
  <c r="B159" i="51" s="1"/>
  <c r="B160" i="51" s="1"/>
  <c r="B161" i="51" s="1"/>
  <c r="B162" i="51" s="1"/>
  <c r="B163" i="51" s="1"/>
  <c r="B164" i="51" s="1"/>
  <c r="B165" i="51" s="1"/>
  <c r="B166" i="51" s="1"/>
  <c r="B167" i="51" s="1"/>
  <c r="B168" i="51" s="1"/>
  <c r="B169" i="51" s="1"/>
  <c r="B170" i="51" s="1"/>
  <c r="B171" i="51" s="1"/>
  <c r="B172" i="51" s="1"/>
  <c r="E205" i="51"/>
  <c r="C85" i="51"/>
  <c r="B85" i="51"/>
  <c r="I85" i="51" s="1"/>
  <c r="D84" i="51"/>
  <c r="G84" i="51" s="1"/>
  <c r="J84" i="51" s="1"/>
  <c r="M84" i="51" s="1"/>
  <c r="O84" i="51" s="1"/>
  <c r="E212" i="51"/>
  <c r="N71" i="21" s="1"/>
  <c r="E209" i="51"/>
  <c r="N68" i="21" s="1"/>
  <c r="Q215" i="51"/>
  <c r="E211" i="51"/>
  <c r="N70" i="21" s="1"/>
  <c r="N74" i="21"/>
  <c r="O74" i="21"/>
  <c r="I169" i="51"/>
  <c r="K169" i="51" s="1"/>
  <c r="M169" i="51" s="1"/>
  <c r="O169" i="51" s="1"/>
  <c r="Q169" i="51" s="1"/>
  <c r="I37" i="51" s="1"/>
  <c r="I172" i="51"/>
  <c r="K172" i="51" s="1"/>
  <c r="M172" i="51" s="1"/>
  <c r="O172" i="51" s="1"/>
  <c r="Q172" i="51" s="1"/>
  <c r="I40" i="51" s="1"/>
  <c r="H171" i="51"/>
  <c r="I171" i="51"/>
  <c r="H170" i="51"/>
  <c r="H172" i="51"/>
  <c r="I170" i="51"/>
  <c r="K170" i="51" s="1"/>
  <c r="M170" i="51" s="1"/>
  <c r="O170" i="51" s="1"/>
  <c r="Q170" i="51" s="1"/>
  <c r="I38" i="51" s="1"/>
  <c r="H169" i="51"/>
  <c r="B131" i="21"/>
  <c r="B133" i="21"/>
  <c r="B134" i="21"/>
  <c r="P215" i="51"/>
  <c r="F204" i="51"/>
  <c r="F212" i="51"/>
  <c r="O71" i="21" s="1"/>
  <c r="F207" i="51"/>
  <c r="F201" i="51"/>
  <c r="F216" i="51"/>
  <c r="F210" i="51"/>
  <c r="O69" i="21" s="1"/>
  <c r="F205" i="51"/>
  <c r="F213" i="51"/>
  <c r="O72" i="21" s="1"/>
  <c r="F206" i="51"/>
  <c r="F214" i="51"/>
  <c r="F203" i="51"/>
  <c r="F208" i="51"/>
  <c r="O67" i="21" s="1"/>
  <c r="F209" i="51"/>
  <c r="O68" i="21" s="1"/>
  <c r="F211" i="51"/>
  <c r="O70" i="21" s="1"/>
  <c r="B183" i="51"/>
  <c r="B180" i="51"/>
  <c r="B181" i="51"/>
  <c r="B182" i="51"/>
  <c r="C182" i="51" s="1"/>
  <c r="D182" i="51" s="1"/>
  <c r="I163" i="51"/>
  <c r="H162" i="51"/>
  <c r="I155" i="51"/>
  <c r="H154" i="51"/>
  <c r="I147" i="51"/>
  <c r="H146" i="51"/>
  <c r="I139" i="51"/>
  <c r="H138" i="51"/>
  <c r="I164" i="51"/>
  <c r="H163" i="51"/>
  <c r="I156" i="51"/>
  <c r="H155" i="51"/>
  <c r="I148" i="51"/>
  <c r="H147" i="51"/>
  <c r="I140" i="51"/>
  <c r="H139" i="51"/>
  <c r="I165" i="51"/>
  <c r="H164" i="51"/>
  <c r="I157" i="51"/>
  <c r="H156" i="51"/>
  <c r="I149" i="51"/>
  <c r="H148" i="51"/>
  <c r="I141" i="51"/>
  <c r="H140" i="51"/>
  <c r="I166" i="51"/>
  <c r="H165" i="51"/>
  <c r="I158" i="51"/>
  <c r="H157" i="51"/>
  <c r="I150" i="51"/>
  <c r="H149" i="51"/>
  <c r="I142" i="51"/>
  <c r="H141" i="51"/>
  <c r="I167" i="51"/>
  <c r="H166" i="51"/>
  <c r="I159" i="51"/>
  <c r="H158" i="51"/>
  <c r="I151" i="51"/>
  <c r="H150" i="51"/>
  <c r="I143" i="51"/>
  <c r="H142" i="51"/>
  <c r="I168" i="51"/>
  <c r="H167" i="51"/>
  <c r="I160" i="51"/>
  <c r="H159" i="51"/>
  <c r="I152" i="51"/>
  <c r="H151" i="51"/>
  <c r="I144" i="51"/>
  <c r="H143" i="51"/>
  <c r="I136" i="51"/>
  <c r="H168" i="51"/>
  <c r="I161" i="51"/>
  <c r="H160" i="51"/>
  <c r="I153" i="51"/>
  <c r="H152" i="51"/>
  <c r="I145" i="51"/>
  <c r="H144" i="51"/>
  <c r="I137" i="51"/>
  <c r="H136" i="51"/>
  <c r="H145" i="51"/>
  <c r="I162" i="51"/>
  <c r="I146" i="51"/>
  <c r="H137" i="51"/>
  <c r="J135" i="51"/>
  <c r="L135" i="51" s="1"/>
  <c r="H161" i="51"/>
  <c r="I138" i="51"/>
  <c r="I154" i="51"/>
  <c r="H153" i="51"/>
  <c r="B199" i="51"/>
  <c r="B58" i="21" s="1"/>
  <c r="B191" i="51"/>
  <c r="B50" i="21" s="1"/>
  <c r="B194" i="51"/>
  <c r="B53" i="21" s="1"/>
  <c r="B200" i="51"/>
  <c r="B192" i="51"/>
  <c r="B51" i="21" s="1"/>
  <c r="B195" i="51"/>
  <c r="B54" i="21" s="1"/>
  <c r="B198" i="51"/>
  <c r="B57" i="21" s="1"/>
  <c r="B190" i="51"/>
  <c r="B49" i="21" s="1"/>
  <c r="B193" i="51"/>
  <c r="B52" i="21" s="1"/>
  <c r="B184" i="51"/>
  <c r="B196" i="51"/>
  <c r="B55" i="21" s="1"/>
  <c r="B188" i="51"/>
  <c r="B47" i="21" s="1"/>
  <c r="B186" i="51"/>
  <c r="B185" i="51"/>
  <c r="B189" i="51"/>
  <c r="B48" i="21" s="1"/>
  <c r="C179" i="51"/>
  <c r="D179" i="51" s="1"/>
  <c r="B197" i="51"/>
  <c r="B56" i="21" s="1"/>
  <c r="E203" i="51" l="1"/>
  <c r="E204" i="51"/>
  <c r="B206" i="51"/>
  <c r="B201" i="51"/>
  <c r="B216" i="51"/>
  <c r="E216" i="51"/>
  <c r="N75" i="21" s="1"/>
  <c r="E201" i="51"/>
  <c r="E200" i="51" s="1"/>
  <c r="E199" i="51" s="1"/>
  <c r="E202" i="51"/>
  <c r="B46" i="21"/>
  <c r="I187" i="51"/>
  <c r="O187" i="51"/>
  <c r="E208" i="51"/>
  <c r="N67" i="21" s="1"/>
  <c r="G215" i="51"/>
  <c r="H215" i="51" s="1"/>
  <c r="F75" i="51" s="1"/>
  <c r="E207" i="51"/>
  <c r="N135" i="51"/>
  <c r="P135" i="51" s="1"/>
  <c r="F200" i="51"/>
  <c r="F190" i="51"/>
  <c r="F194" i="51"/>
  <c r="E213" i="51"/>
  <c r="N72" i="21" s="1"/>
  <c r="J215" i="51"/>
  <c r="B130" i="21"/>
  <c r="E210" i="51"/>
  <c r="N69" i="21" s="1"/>
  <c r="E206" i="51"/>
  <c r="J170" i="51"/>
  <c r="L170" i="51" s="1"/>
  <c r="N170" i="51" s="1"/>
  <c r="P170" i="51" s="1"/>
  <c r="H38" i="51" s="1"/>
  <c r="J171" i="51"/>
  <c r="L171" i="51" s="1"/>
  <c r="N171" i="51" s="1"/>
  <c r="P171" i="51" s="1"/>
  <c r="H39" i="51" s="1"/>
  <c r="C86" i="51"/>
  <c r="E191" i="51"/>
  <c r="E194" i="51"/>
  <c r="E192" i="51"/>
  <c r="J216" i="51"/>
  <c r="E189" i="51"/>
  <c r="D85" i="51"/>
  <c r="G85" i="51" s="1"/>
  <c r="Q216" i="51"/>
  <c r="J214" i="51"/>
  <c r="O73" i="21"/>
  <c r="P216" i="51"/>
  <c r="O75" i="21"/>
  <c r="B75" i="21"/>
  <c r="B215" i="51"/>
  <c r="B74" i="21" s="1"/>
  <c r="J169" i="51"/>
  <c r="L169" i="51" s="1"/>
  <c r="N169" i="51" s="1"/>
  <c r="P169" i="51" s="1"/>
  <c r="H37" i="51" s="1"/>
  <c r="G214" i="51"/>
  <c r="J172" i="51"/>
  <c r="L172" i="51" s="1"/>
  <c r="N172" i="51" s="1"/>
  <c r="P172" i="51" s="1"/>
  <c r="H40" i="51" s="1"/>
  <c r="F188" i="51"/>
  <c r="F196" i="51"/>
  <c r="F191" i="51"/>
  <c r="F189" i="51"/>
  <c r="F197" i="51"/>
  <c r="F198" i="51"/>
  <c r="F199" i="51"/>
  <c r="F195" i="51"/>
  <c r="F192" i="51"/>
  <c r="F193" i="51"/>
  <c r="F187" i="51"/>
  <c r="K171" i="51"/>
  <c r="M171" i="51" s="1"/>
  <c r="O171" i="51" s="1"/>
  <c r="Q171" i="51" s="1"/>
  <c r="I39" i="51" s="1"/>
  <c r="G216" i="51"/>
  <c r="B59" i="21"/>
  <c r="J167" i="51"/>
  <c r="L167" i="51" s="1"/>
  <c r="N167" i="51" s="1"/>
  <c r="P167" i="51" s="1"/>
  <c r="H35" i="51" s="1"/>
  <c r="J166" i="51"/>
  <c r="L166" i="51" s="1"/>
  <c r="N166" i="51" s="1"/>
  <c r="P166" i="51" s="1"/>
  <c r="H34" i="51" s="1"/>
  <c r="J165" i="51"/>
  <c r="L165" i="51" s="1"/>
  <c r="N165" i="51" s="1"/>
  <c r="P165" i="51" s="1"/>
  <c r="H33" i="51" s="1"/>
  <c r="J164" i="51"/>
  <c r="L164" i="51" s="1"/>
  <c r="N164" i="51" s="1"/>
  <c r="P164" i="51" s="1"/>
  <c r="H32" i="51" s="1"/>
  <c r="K167" i="51"/>
  <c r="M167" i="51" s="1"/>
  <c r="O167" i="51" s="1"/>
  <c r="Q167" i="51" s="1"/>
  <c r="I35" i="51" s="1"/>
  <c r="K166" i="51"/>
  <c r="M166" i="51" s="1"/>
  <c r="O166" i="51" s="1"/>
  <c r="Q166" i="51" s="1"/>
  <c r="I34" i="51" s="1"/>
  <c r="K165" i="51"/>
  <c r="M165" i="51" s="1"/>
  <c r="O165" i="51" s="1"/>
  <c r="Q165" i="51" s="1"/>
  <c r="I33" i="51" s="1"/>
  <c r="K164" i="51"/>
  <c r="M164" i="51" s="1"/>
  <c r="O164" i="51" s="1"/>
  <c r="Q164" i="51" s="1"/>
  <c r="I32" i="51" s="1"/>
  <c r="C181" i="51"/>
  <c r="D181" i="51" s="1"/>
  <c r="C180" i="51"/>
  <c r="D180" i="51" s="1"/>
  <c r="C183" i="51"/>
  <c r="D183" i="51" s="1"/>
  <c r="C194" i="51"/>
  <c r="C18" i="51" s="1"/>
  <c r="C54" i="51" s="1"/>
  <c r="O194" i="51"/>
  <c r="I194" i="51"/>
  <c r="C185" i="51"/>
  <c r="I199" i="51"/>
  <c r="O199" i="51"/>
  <c r="C199" i="51"/>
  <c r="C23" i="51" s="1"/>
  <c r="C59" i="51" s="1"/>
  <c r="J152" i="51"/>
  <c r="L152" i="51" s="1"/>
  <c r="N152" i="51" s="1"/>
  <c r="P152" i="51" s="1"/>
  <c r="H20" i="51" s="1"/>
  <c r="K142" i="51"/>
  <c r="M142" i="51" s="1"/>
  <c r="O142" i="51" s="1"/>
  <c r="Q142" i="51" s="1"/>
  <c r="K139" i="51"/>
  <c r="M139" i="51" s="1"/>
  <c r="O139" i="51" s="1"/>
  <c r="Q139" i="51" s="1"/>
  <c r="C188" i="51"/>
  <c r="C12" i="51" s="1"/>
  <c r="C48" i="51" s="1"/>
  <c r="O188" i="51"/>
  <c r="I188" i="51"/>
  <c r="C195" i="51"/>
  <c r="C19" i="51" s="1"/>
  <c r="C55" i="51" s="1"/>
  <c r="I195" i="51"/>
  <c r="O195" i="51"/>
  <c r="J153" i="51"/>
  <c r="L153" i="51" s="1"/>
  <c r="N153" i="51" s="1"/>
  <c r="P153" i="51" s="1"/>
  <c r="H21" i="51" s="1"/>
  <c r="K146" i="51"/>
  <c r="M146" i="51" s="1"/>
  <c r="O146" i="51" s="1"/>
  <c r="Q146" i="51" s="1"/>
  <c r="I14" i="51" s="1"/>
  <c r="K153" i="51"/>
  <c r="M153" i="51" s="1"/>
  <c r="O153" i="51" s="1"/>
  <c r="Q153" i="51" s="1"/>
  <c r="I21" i="51" s="1"/>
  <c r="J151" i="51"/>
  <c r="L151" i="51" s="1"/>
  <c r="N151" i="51" s="1"/>
  <c r="P151" i="51" s="1"/>
  <c r="H19" i="51" s="1"/>
  <c r="J150" i="51"/>
  <c r="L150" i="51" s="1"/>
  <c r="N150" i="51" s="1"/>
  <c r="P150" i="51" s="1"/>
  <c r="H18" i="51" s="1"/>
  <c r="J149" i="51"/>
  <c r="L149" i="51" s="1"/>
  <c r="N149" i="51" s="1"/>
  <c r="P149" i="51" s="1"/>
  <c r="H17" i="51" s="1"/>
  <c r="J148" i="51"/>
  <c r="L148" i="51" s="1"/>
  <c r="N148" i="51" s="1"/>
  <c r="P148" i="51" s="1"/>
  <c r="H16" i="51" s="1"/>
  <c r="J147" i="51"/>
  <c r="L147" i="51" s="1"/>
  <c r="N147" i="51" s="1"/>
  <c r="P147" i="51" s="1"/>
  <c r="H15" i="51" s="1"/>
  <c r="J146" i="51"/>
  <c r="L146" i="51" s="1"/>
  <c r="N146" i="51" s="1"/>
  <c r="P146" i="51" s="1"/>
  <c r="H14" i="51" s="1"/>
  <c r="O193" i="51"/>
  <c r="C193" i="51"/>
  <c r="C17" i="51" s="1"/>
  <c r="C53" i="51" s="1"/>
  <c r="I193" i="51"/>
  <c r="C187" i="51"/>
  <c r="C11" i="51" s="1"/>
  <c r="C47" i="51" s="1"/>
  <c r="K135" i="51"/>
  <c r="M135" i="51" s="1"/>
  <c r="O135" i="51" s="1"/>
  <c r="Q135" i="51" s="1"/>
  <c r="K143" i="51"/>
  <c r="M143" i="51" s="1"/>
  <c r="O143" i="51" s="1"/>
  <c r="Q143" i="51" s="1"/>
  <c r="I11" i="51" s="1"/>
  <c r="I189" i="51"/>
  <c r="O189" i="51"/>
  <c r="C189" i="51"/>
  <c r="C13" i="51" s="1"/>
  <c r="C49" i="51" s="1"/>
  <c r="I196" i="51"/>
  <c r="C196" i="51"/>
  <c r="C20" i="51" s="1"/>
  <c r="C56" i="51" s="1"/>
  <c r="O196" i="51"/>
  <c r="I192" i="51"/>
  <c r="O192" i="51"/>
  <c r="C192" i="51"/>
  <c r="C16" i="51" s="1"/>
  <c r="C52" i="51" s="1"/>
  <c r="K154" i="51"/>
  <c r="M154" i="51" s="1"/>
  <c r="O154" i="51" s="1"/>
  <c r="Q154" i="51" s="1"/>
  <c r="I22" i="51" s="1"/>
  <c r="K162" i="51"/>
  <c r="M162" i="51" s="1"/>
  <c r="O162" i="51" s="1"/>
  <c r="Q162" i="51" s="1"/>
  <c r="I30" i="51" s="1"/>
  <c r="J160" i="51"/>
  <c r="L160" i="51" s="1"/>
  <c r="N160" i="51" s="1"/>
  <c r="P160" i="51" s="1"/>
  <c r="H28" i="51" s="1"/>
  <c r="K152" i="51"/>
  <c r="M152" i="51" s="1"/>
  <c r="O152" i="51" s="1"/>
  <c r="Q152" i="51" s="1"/>
  <c r="I20" i="51" s="1"/>
  <c r="K151" i="51"/>
  <c r="M151" i="51" s="1"/>
  <c r="O151" i="51" s="1"/>
  <c r="Q151" i="51" s="1"/>
  <c r="I19" i="51" s="1"/>
  <c r="K150" i="51"/>
  <c r="M150" i="51" s="1"/>
  <c r="O150" i="51" s="1"/>
  <c r="Q150" i="51" s="1"/>
  <c r="I18" i="51" s="1"/>
  <c r="K149" i="51"/>
  <c r="M149" i="51" s="1"/>
  <c r="O149" i="51" s="1"/>
  <c r="Q149" i="51" s="1"/>
  <c r="I17" i="51" s="1"/>
  <c r="K148" i="51"/>
  <c r="M148" i="51" s="1"/>
  <c r="O148" i="51" s="1"/>
  <c r="Q148" i="51" s="1"/>
  <c r="I16" i="51" s="1"/>
  <c r="K147" i="51"/>
  <c r="M147" i="51" s="1"/>
  <c r="O147" i="51" s="1"/>
  <c r="Q147" i="51" s="1"/>
  <c r="I15" i="51" s="1"/>
  <c r="C197" i="51"/>
  <c r="C21" i="51" s="1"/>
  <c r="C57" i="51" s="1"/>
  <c r="I197" i="51"/>
  <c r="O197" i="51"/>
  <c r="O198" i="51"/>
  <c r="C198" i="51"/>
  <c r="C22" i="51" s="1"/>
  <c r="C58" i="51" s="1"/>
  <c r="I198" i="51"/>
  <c r="K144" i="51"/>
  <c r="M144" i="51" s="1"/>
  <c r="O144" i="51" s="1"/>
  <c r="Q144" i="51" s="1"/>
  <c r="I12" i="51" s="1"/>
  <c r="K141" i="51"/>
  <c r="M141" i="51" s="1"/>
  <c r="O141" i="51" s="1"/>
  <c r="Q141" i="51" s="1"/>
  <c r="K140" i="51"/>
  <c r="M140" i="51" s="1"/>
  <c r="O140" i="51" s="1"/>
  <c r="Q140" i="51" s="1"/>
  <c r="B207" i="51"/>
  <c r="B66" i="21" s="1"/>
  <c r="B210" i="51"/>
  <c r="B69" i="21" s="1"/>
  <c r="B202" i="51"/>
  <c r="B61" i="21" s="1"/>
  <c r="B213" i="51"/>
  <c r="B72" i="21" s="1"/>
  <c r="B205" i="51"/>
  <c r="B64" i="21" s="1"/>
  <c r="B208" i="51"/>
  <c r="B67" i="21" s="1"/>
  <c r="B211" i="51"/>
  <c r="B70" i="21" s="1"/>
  <c r="B203" i="51"/>
  <c r="B62" i="21" s="1"/>
  <c r="I200" i="51"/>
  <c r="B214" i="51"/>
  <c r="B73" i="21" s="1"/>
  <c r="B65" i="21"/>
  <c r="B209" i="51"/>
  <c r="B68" i="21" s="1"/>
  <c r="B60" i="21"/>
  <c r="O200" i="51"/>
  <c r="B212" i="51"/>
  <c r="B71" i="21" s="1"/>
  <c r="B204" i="51"/>
  <c r="B63" i="21" s="1"/>
  <c r="C200" i="51"/>
  <c r="C24" i="51" s="1"/>
  <c r="C60" i="51" s="1"/>
  <c r="K138" i="51"/>
  <c r="M138" i="51" s="1"/>
  <c r="O138" i="51" s="1"/>
  <c r="Q138" i="51" s="1"/>
  <c r="J145" i="51"/>
  <c r="L145" i="51" s="1"/>
  <c r="N145" i="51" s="1"/>
  <c r="P145" i="51" s="1"/>
  <c r="H13" i="51" s="1"/>
  <c r="K161" i="51"/>
  <c r="M161" i="51" s="1"/>
  <c r="O161" i="51" s="1"/>
  <c r="Q161" i="51" s="1"/>
  <c r="I29" i="51" s="1"/>
  <c r="J159" i="51"/>
  <c r="L159" i="51" s="1"/>
  <c r="N159" i="51" s="1"/>
  <c r="P159" i="51" s="1"/>
  <c r="H27" i="51" s="1"/>
  <c r="J158" i="51"/>
  <c r="L158" i="51" s="1"/>
  <c r="N158" i="51" s="1"/>
  <c r="P158" i="51" s="1"/>
  <c r="H26" i="51" s="1"/>
  <c r="J157" i="51"/>
  <c r="L157" i="51" s="1"/>
  <c r="N157" i="51" s="1"/>
  <c r="P157" i="51" s="1"/>
  <c r="H25" i="51" s="1"/>
  <c r="J156" i="51"/>
  <c r="L156" i="51" s="1"/>
  <c r="N156" i="51" s="1"/>
  <c r="P156" i="51" s="1"/>
  <c r="H24" i="51" s="1"/>
  <c r="J155" i="51"/>
  <c r="L155" i="51" s="1"/>
  <c r="N155" i="51" s="1"/>
  <c r="P155" i="51" s="1"/>
  <c r="H23" i="51" s="1"/>
  <c r="J154" i="51"/>
  <c r="L154" i="51" s="1"/>
  <c r="N154" i="51" s="1"/>
  <c r="P154" i="51" s="1"/>
  <c r="H22" i="51" s="1"/>
  <c r="J161" i="51"/>
  <c r="L161" i="51" s="1"/>
  <c r="N161" i="51" s="1"/>
  <c r="P161" i="51" s="1"/>
  <c r="H29" i="51" s="1"/>
  <c r="J136" i="51"/>
  <c r="L136" i="51" s="1"/>
  <c r="N136" i="51" s="1"/>
  <c r="P136" i="51" s="1"/>
  <c r="J168" i="51"/>
  <c r="L168" i="51" s="1"/>
  <c r="N168" i="51" s="1"/>
  <c r="P168" i="51" s="1"/>
  <c r="H36" i="51" s="1"/>
  <c r="K160" i="51"/>
  <c r="M160" i="51" s="1"/>
  <c r="O160" i="51" s="1"/>
  <c r="Q160" i="51" s="1"/>
  <c r="I28" i="51" s="1"/>
  <c r="K159" i="51"/>
  <c r="M159" i="51" s="1"/>
  <c r="O159" i="51" s="1"/>
  <c r="Q159" i="51" s="1"/>
  <c r="I27" i="51" s="1"/>
  <c r="K158" i="51"/>
  <c r="M158" i="51" s="1"/>
  <c r="O158" i="51" s="1"/>
  <c r="Q158" i="51" s="1"/>
  <c r="I26" i="51" s="1"/>
  <c r="K157" i="51"/>
  <c r="M157" i="51" s="1"/>
  <c r="O157" i="51" s="1"/>
  <c r="Q157" i="51" s="1"/>
  <c r="I25" i="51" s="1"/>
  <c r="K156" i="51"/>
  <c r="M156" i="51" s="1"/>
  <c r="O156" i="51" s="1"/>
  <c r="Q156" i="51" s="1"/>
  <c r="I24" i="51" s="1"/>
  <c r="K155" i="51"/>
  <c r="M155" i="51" s="1"/>
  <c r="O155" i="51" s="1"/>
  <c r="Q155" i="51" s="1"/>
  <c r="I23" i="51" s="1"/>
  <c r="C184" i="51"/>
  <c r="D184" i="51" s="1"/>
  <c r="I191" i="51"/>
  <c r="O191" i="51"/>
  <c r="C191" i="51"/>
  <c r="C15" i="51" s="1"/>
  <c r="C51" i="51" s="1"/>
  <c r="K137" i="51"/>
  <c r="M137" i="51" s="1"/>
  <c r="O137" i="51" s="1"/>
  <c r="Q137" i="51" s="1"/>
  <c r="J163" i="51"/>
  <c r="L163" i="51" s="1"/>
  <c r="N163" i="51" s="1"/>
  <c r="P163" i="51" s="1"/>
  <c r="H31" i="51" s="1"/>
  <c r="J162" i="51"/>
  <c r="L162" i="51" s="1"/>
  <c r="N162" i="51" s="1"/>
  <c r="P162" i="51" s="1"/>
  <c r="H30" i="51" s="1"/>
  <c r="J137" i="51"/>
  <c r="L137" i="51" s="1"/>
  <c r="N137" i="51" s="1"/>
  <c r="P137" i="51" s="1"/>
  <c r="J144" i="51"/>
  <c r="L144" i="51" s="1"/>
  <c r="N144" i="51" s="1"/>
  <c r="P144" i="51" s="1"/>
  <c r="H12" i="51" s="1"/>
  <c r="K136" i="51"/>
  <c r="M136" i="51" s="1"/>
  <c r="O136" i="51" s="1"/>
  <c r="Q136" i="51" s="1"/>
  <c r="K168" i="51"/>
  <c r="M168" i="51" s="1"/>
  <c r="O168" i="51" s="1"/>
  <c r="Q168" i="51" s="1"/>
  <c r="I36" i="51" s="1"/>
  <c r="K163" i="51"/>
  <c r="M163" i="51" s="1"/>
  <c r="O163" i="51" s="1"/>
  <c r="Q163" i="51" s="1"/>
  <c r="I31" i="51" s="1"/>
  <c r="C186" i="51"/>
  <c r="O190" i="51"/>
  <c r="C190" i="51"/>
  <c r="C14" i="51" s="1"/>
  <c r="C50" i="51" s="1"/>
  <c r="I190" i="51"/>
  <c r="K145" i="51"/>
  <c r="M145" i="51" s="1"/>
  <c r="O145" i="51" s="1"/>
  <c r="Q145" i="51" s="1"/>
  <c r="I13" i="51" s="1"/>
  <c r="J143" i="51"/>
  <c r="L143" i="51" s="1"/>
  <c r="N143" i="51" s="1"/>
  <c r="P143" i="51" s="1"/>
  <c r="H11" i="51" s="1"/>
  <c r="J142" i="51"/>
  <c r="L142" i="51" s="1"/>
  <c r="N142" i="51" s="1"/>
  <c r="P142" i="51" s="1"/>
  <c r="J141" i="51"/>
  <c r="L141" i="51" s="1"/>
  <c r="N141" i="51" s="1"/>
  <c r="P141" i="51" s="1"/>
  <c r="J140" i="51"/>
  <c r="L140" i="51" s="1"/>
  <c r="N140" i="51" s="1"/>
  <c r="P140" i="51" s="1"/>
  <c r="J139" i="51"/>
  <c r="L139" i="51" s="1"/>
  <c r="N139" i="51" s="1"/>
  <c r="P139" i="51" s="1"/>
  <c r="J138" i="51"/>
  <c r="L138" i="51" s="1"/>
  <c r="N138" i="51" s="1"/>
  <c r="P138" i="51" s="1"/>
  <c r="M39" i="51" l="1"/>
  <c r="G75" i="51"/>
  <c r="L39" i="51"/>
  <c r="E197" i="51"/>
  <c r="E193" i="51"/>
  <c r="E195" i="51"/>
  <c r="R187" i="51"/>
  <c r="S187" i="51"/>
  <c r="K187" i="51"/>
  <c r="L187" i="51" s="1"/>
  <c r="L84" i="51"/>
  <c r="N84" i="51" s="1"/>
  <c r="E187" i="51"/>
  <c r="E196" i="51"/>
  <c r="M215" i="51"/>
  <c r="N215" i="51" s="1"/>
  <c r="N39" i="51" s="1"/>
  <c r="E188" i="51"/>
  <c r="E190" i="51"/>
  <c r="T215" i="51"/>
  <c r="U215" i="51" s="1"/>
  <c r="H75" i="51" s="1"/>
  <c r="E198" i="51"/>
  <c r="J85" i="51"/>
  <c r="C87" i="51"/>
  <c r="B86" i="51"/>
  <c r="I86" i="51" s="1"/>
  <c r="H214" i="51"/>
  <c r="G74" i="51"/>
  <c r="M38" i="51"/>
  <c r="H216" i="51"/>
  <c r="G76" i="51"/>
  <c r="M40" i="51"/>
  <c r="T216" i="51"/>
  <c r="I214" i="51"/>
  <c r="K214" i="51" s="1"/>
  <c r="E38" i="51" s="1"/>
  <c r="I215" i="51"/>
  <c r="O215" i="51"/>
  <c r="C215" i="51"/>
  <c r="C39" i="51" s="1"/>
  <c r="C75" i="51" s="1"/>
  <c r="C216" i="51"/>
  <c r="O216" i="51"/>
  <c r="I216" i="51"/>
  <c r="M216" i="51"/>
  <c r="M214" i="51"/>
  <c r="D194" i="51"/>
  <c r="B18" i="51" s="1"/>
  <c r="B54" i="51" s="1"/>
  <c r="D196" i="51"/>
  <c r="B20" i="51" s="1"/>
  <c r="B56" i="51" s="1"/>
  <c r="D191" i="51"/>
  <c r="B15" i="51" s="1"/>
  <c r="B51" i="51" s="1"/>
  <c r="D200" i="51"/>
  <c r="B24" i="51" s="1"/>
  <c r="B60" i="51" s="1"/>
  <c r="D185" i="51"/>
  <c r="I204" i="51"/>
  <c r="O204" i="51"/>
  <c r="C204" i="51"/>
  <c r="C28" i="51" s="1"/>
  <c r="C64" i="51" s="1"/>
  <c r="K197" i="51"/>
  <c r="E21" i="51" s="1"/>
  <c r="I212" i="51"/>
  <c r="O212" i="51"/>
  <c r="C212" i="51"/>
  <c r="C36" i="51" s="1"/>
  <c r="C72" i="51" s="1"/>
  <c r="C211" i="51"/>
  <c r="C35" i="51" s="1"/>
  <c r="C71" i="51" s="1"/>
  <c r="I211" i="51"/>
  <c r="O211" i="51"/>
  <c r="D192" i="51"/>
  <c r="B16" i="51" s="1"/>
  <c r="B52" i="51" s="1"/>
  <c r="K189" i="51"/>
  <c r="E13" i="51" s="1"/>
  <c r="R195" i="51"/>
  <c r="D199" i="51"/>
  <c r="B23" i="51" s="1"/>
  <c r="B59" i="51" s="1"/>
  <c r="K194" i="51"/>
  <c r="E18" i="51" s="1"/>
  <c r="K191" i="51"/>
  <c r="E15" i="51" s="1"/>
  <c r="C203" i="51"/>
  <c r="C27" i="51" s="1"/>
  <c r="C63" i="51" s="1"/>
  <c r="I203" i="51"/>
  <c r="O203" i="51"/>
  <c r="R189" i="51"/>
  <c r="R193" i="51"/>
  <c r="D190" i="51"/>
  <c r="B14" i="51" s="1"/>
  <c r="B50" i="51" s="1"/>
  <c r="R190" i="51"/>
  <c r="R200" i="51"/>
  <c r="C208" i="51"/>
  <c r="C32" i="51" s="1"/>
  <c r="C68" i="51" s="1"/>
  <c r="I208" i="51"/>
  <c r="O208" i="51"/>
  <c r="D197" i="51"/>
  <c r="B21" i="51" s="1"/>
  <c r="B57" i="51" s="1"/>
  <c r="R196" i="51"/>
  <c r="D187" i="51"/>
  <c r="B11" i="51" s="1"/>
  <c r="B47" i="51" s="1"/>
  <c r="D195" i="51"/>
  <c r="B19" i="51" s="1"/>
  <c r="B55" i="51" s="1"/>
  <c r="R199" i="51"/>
  <c r="R194" i="51"/>
  <c r="K192" i="51"/>
  <c r="E16" i="51" s="1"/>
  <c r="O201" i="51"/>
  <c r="C201" i="51"/>
  <c r="C25" i="51" s="1"/>
  <c r="C61" i="51" s="1"/>
  <c r="I201" i="51"/>
  <c r="C205" i="51"/>
  <c r="C29" i="51" s="1"/>
  <c r="C65" i="51" s="1"/>
  <c r="I205" i="51"/>
  <c r="O205" i="51"/>
  <c r="K198" i="51"/>
  <c r="E22" i="51" s="1"/>
  <c r="K195" i="51"/>
  <c r="E19" i="51" s="1"/>
  <c r="K199" i="51"/>
  <c r="E23" i="51" s="1"/>
  <c r="O209" i="51"/>
  <c r="C209" i="51"/>
  <c r="C33" i="51" s="1"/>
  <c r="C69" i="51" s="1"/>
  <c r="I209" i="51"/>
  <c r="C213" i="51"/>
  <c r="C37" i="51" s="1"/>
  <c r="C73" i="51" s="1"/>
  <c r="I213" i="51"/>
  <c r="O213" i="51"/>
  <c r="D186" i="51"/>
  <c r="O206" i="51"/>
  <c r="C206" i="51"/>
  <c r="C30" i="51" s="1"/>
  <c r="C66" i="51" s="1"/>
  <c r="I206" i="51"/>
  <c r="D198" i="51"/>
  <c r="B22" i="51" s="1"/>
  <c r="B58" i="51" s="1"/>
  <c r="K196" i="51"/>
  <c r="E20" i="51" s="1"/>
  <c r="K193" i="51"/>
  <c r="E17" i="51" s="1"/>
  <c r="K188" i="51"/>
  <c r="E12" i="51" s="1"/>
  <c r="I207" i="51"/>
  <c r="O207" i="51"/>
  <c r="C207" i="51"/>
  <c r="C31" i="51" s="1"/>
  <c r="C67" i="51" s="1"/>
  <c r="O214" i="51"/>
  <c r="C214" i="51"/>
  <c r="C38" i="51" s="1"/>
  <c r="C74" i="51" s="1"/>
  <c r="C202" i="51"/>
  <c r="C26" i="51" s="1"/>
  <c r="C62" i="51" s="1"/>
  <c r="I202" i="51"/>
  <c r="O202" i="51"/>
  <c r="R198" i="51"/>
  <c r="D188" i="51"/>
  <c r="B12" i="51" s="1"/>
  <c r="B48" i="51" s="1"/>
  <c r="K190" i="51"/>
  <c r="E14" i="51" s="1"/>
  <c r="R191" i="51"/>
  <c r="K200" i="51"/>
  <c r="E24" i="51" s="1"/>
  <c r="C210" i="51"/>
  <c r="C34" i="51" s="1"/>
  <c r="C70" i="51" s="1"/>
  <c r="I210" i="51"/>
  <c r="O210" i="51"/>
  <c r="R197" i="51"/>
  <c r="R192" i="51"/>
  <c r="D189" i="51"/>
  <c r="B13" i="51" s="1"/>
  <c r="B49" i="51" s="1"/>
  <c r="D193" i="51"/>
  <c r="B17" i="51" s="1"/>
  <c r="B53" i="51" s="1"/>
  <c r="R188" i="51"/>
  <c r="E11" i="51" l="1"/>
  <c r="O39" i="51"/>
  <c r="G187" i="51"/>
  <c r="J187" i="51"/>
  <c r="M187" i="51" s="1"/>
  <c r="N187" i="51" s="1"/>
  <c r="N11" i="51" s="1"/>
  <c r="H187" i="51"/>
  <c r="L11" i="51" s="1"/>
  <c r="N46" i="21"/>
  <c r="I75" i="51"/>
  <c r="L85" i="51"/>
  <c r="M85" i="51"/>
  <c r="N85" i="51"/>
  <c r="O85" i="51"/>
  <c r="C88" i="51"/>
  <c r="D86" i="51"/>
  <c r="G86" i="51" s="1"/>
  <c r="B87" i="51"/>
  <c r="I87" i="51" s="1"/>
  <c r="D215" i="51"/>
  <c r="B39" i="51" s="1"/>
  <c r="B75" i="51" s="1"/>
  <c r="E48" i="51"/>
  <c r="E59" i="51"/>
  <c r="E60" i="51"/>
  <c r="N214" i="51"/>
  <c r="N38" i="51" s="1"/>
  <c r="O38" i="51"/>
  <c r="N216" i="51"/>
  <c r="N40" i="51" s="1"/>
  <c r="O40" i="51"/>
  <c r="U216" i="51"/>
  <c r="H76" i="51" s="1"/>
  <c r="I76" i="51"/>
  <c r="E51" i="51"/>
  <c r="E56" i="51"/>
  <c r="E50" i="51"/>
  <c r="E52" i="51"/>
  <c r="D216" i="51"/>
  <c r="B40" i="51" s="1"/>
  <c r="B76" i="51" s="1"/>
  <c r="C40" i="51"/>
  <c r="C76" i="51" s="1"/>
  <c r="F74" i="51"/>
  <c r="L38" i="51"/>
  <c r="E57" i="51"/>
  <c r="E47" i="51"/>
  <c r="E53" i="51"/>
  <c r="E55" i="51"/>
  <c r="F76" i="51"/>
  <c r="L40" i="51"/>
  <c r="E54" i="51"/>
  <c r="E58" i="51"/>
  <c r="E49" i="51"/>
  <c r="R215" i="51"/>
  <c r="K215" i="51"/>
  <c r="K216" i="51"/>
  <c r="R216" i="51"/>
  <c r="L194" i="51"/>
  <c r="D18" i="51" s="1"/>
  <c r="D11" i="51"/>
  <c r="S192" i="51"/>
  <c r="L188" i="51"/>
  <c r="D12" i="51" s="1"/>
  <c r="L192" i="51"/>
  <c r="D16" i="51" s="1"/>
  <c r="L199" i="51"/>
  <c r="D23" i="51" s="1"/>
  <c r="L193" i="51"/>
  <c r="D17" i="51" s="1"/>
  <c r="L195" i="51"/>
  <c r="D19" i="51" s="1"/>
  <c r="D213" i="51"/>
  <c r="B37" i="51" s="1"/>
  <c r="B73" i="51" s="1"/>
  <c r="L191" i="51"/>
  <c r="D15" i="51" s="1"/>
  <c r="D211" i="51"/>
  <c r="B35" i="51" s="1"/>
  <c r="B71" i="51" s="1"/>
  <c r="L198" i="51"/>
  <c r="D22" i="51" s="1"/>
  <c r="D201" i="51"/>
  <c r="B25" i="51" s="1"/>
  <c r="B61" i="51" s="1"/>
  <c r="L197" i="51"/>
  <c r="D21" i="51" s="1"/>
  <c r="S193" i="51"/>
  <c r="K207" i="51"/>
  <c r="E31" i="51" s="1"/>
  <c r="D214" i="51"/>
  <c r="B38" i="51" s="1"/>
  <c r="B74" i="51" s="1"/>
  <c r="D206" i="51"/>
  <c r="B30" i="51" s="1"/>
  <c r="B66" i="51" s="1"/>
  <c r="R213" i="51"/>
  <c r="R214" i="51"/>
  <c r="D205" i="51"/>
  <c r="B29" i="51" s="1"/>
  <c r="B65" i="51" s="1"/>
  <c r="S189" i="51"/>
  <c r="R211" i="51"/>
  <c r="D204" i="51"/>
  <c r="B28" i="51" s="1"/>
  <c r="B64" i="51" s="1"/>
  <c r="K212" i="51"/>
  <c r="E36" i="51" s="1"/>
  <c r="L200" i="51"/>
  <c r="D24" i="51" s="1"/>
  <c r="S198" i="51"/>
  <c r="R206" i="51"/>
  <c r="K213" i="51"/>
  <c r="E37" i="51" s="1"/>
  <c r="S197" i="51"/>
  <c r="D202" i="51"/>
  <c r="B26" i="51" s="1"/>
  <c r="B62" i="51" s="1"/>
  <c r="L196" i="51"/>
  <c r="D20" i="51" s="1"/>
  <c r="K201" i="51"/>
  <c r="E25" i="51" s="1"/>
  <c r="S194" i="51"/>
  <c r="R208" i="51"/>
  <c r="S190" i="51"/>
  <c r="R203" i="51"/>
  <c r="K211" i="51"/>
  <c r="E35" i="51" s="1"/>
  <c r="R204" i="51"/>
  <c r="S191" i="51"/>
  <c r="R202" i="51"/>
  <c r="S199" i="51"/>
  <c r="K208" i="51"/>
  <c r="E32" i="51" s="1"/>
  <c r="K203" i="51"/>
  <c r="E27" i="51" s="1"/>
  <c r="K204" i="51"/>
  <c r="E28" i="51" s="1"/>
  <c r="K209" i="51"/>
  <c r="E33" i="51" s="1"/>
  <c r="S188" i="51"/>
  <c r="R201" i="51"/>
  <c r="D208" i="51"/>
  <c r="B32" i="51" s="1"/>
  <c r="B68" i="51" s="1"/>
  <c r="D203" i="51"/>
  <c r="B27" i="51" s="1"/>
  <c r="B63" i="51" s="1"/>
  <c r="L189" i="51"/>
  <c r="D13" i="51" s="1"/>
  <c r="D210" i="51"/>
  <c r="B34" i="51" s="1"/>
  <c r="B70" i="51" s="1"/>
  <c r="K202" i="51"/>
  <c r="E26" i="51" s="1"/>
  <c r="R210" i="51"/>
  <c r="L190" i="51"/>
  <c r="D14" i="51" s="1"/>
  <c r="D207" i="51"/>
  <c r="B31" i="51" s="1"/>
  <c r="B67" i="51" s="1"/>
  <c r="K210" i="51"/>
  <c r="E34" i="51" s="1"/>
  <c r="R207" i="51"/>
  <c r="K206" i="51"/>
  <c r="E30" i="51" s="1"/>
  <c r="D209" i="51"/>
  <c r="B33" i="51" s="1"/>
  <c r="B69" i="51" s="1"/>
  <c r="R205" i="51"/>
  <c r="S196" i="51"/>
  <c r="S200" i="51"/>
  <c r="S195" i="51"/>
  <c r="D212" i="51"/>
  <c r="B36" i="51" s="1"/>
  <c r="B72" i="51" s="1"/>
  <c r="R209" i="51"/>
  <c r="K205" i="51"/>
  <c r="E29" i="51" s="1"/>
  <c r="R212" i="51"/>
  <c r="J86" i="51" l="1"/>
  <c r="C89" i="51"/>
  <c r="D87" i="51"/>
  <c r="G87" i="51" s="1"/>
  <c r="B88" i="51"/>
  <c r="I88" i="51" s="1"/>
  <c r="E65" i="51"/>
  <c r="E63" i="51"/>
  <c r="D53" i="51"/>
  <c r="E70" i="51"/>
  <c r="D47" i="51"/>
  <c r="D50" i="51"/>
  <c r="D57" i="51"/>
  <c r="E74" i="51"/>
  <c r="S216" i="51"/>
  <c r="E76" i="51"/>
  <c r="K76" i="51" s="1"/>
  <c r="C37" i="47"/>
  <c r="E72" i="51"/>
  <c r="E69" i="51"/>
  <c r="E67" i="51"/>
  <c r="D59" i="51"/>
  <c r="L216" i="51"/>
  <c r="D40" i="51" s="1"/>
  <c r="E40" i="51"/>
  <c r="E62" i="51"/>
  <c r="E68" i="51"/>
  <c r="E66" i="51"/>
  <c r="L215" i="51"/>
  <c r="D39" i="51" s="1"/>
  <c r="E39" i="51"/>
  <c r="D56" i="51"/>
  <c r="D52" i="51"/>
  <c r="E73" i="51"/>
  <c r="D55" i="51"/>
  <c r="E61" i="51"/>
  <c r="D51" i="51"/>
  <c r="D54" i="51"/>
  <c r="D58" i="51"/>
  <c r="E71" i="51"/>
  <c r="S215" i="51"/>
  <c r="E75" i="51"/>
  <c r="K75" i="51" s="1"/>
  <c r="C36" i="47"/>
  <c r="D60" i="51"/>
  <c r="D48" i="51"/>
  <c r="E64" i="51"/>
  <c r="D49" i="51"/>
  <c r="L213" i="51"/>
  <c r="D37" i="51" s="1"/>
  <c r="S208" i="51"/>
  <c r="S202" i="51"/>
  <c r="L202" i="51"/>
  <c r="D26" i="51" s="1"/>
  <c r="L203" i="51"/>
  <c r="D27" i="51" s="1"/>
  <c r="S207" i="51"/>
  <c r="S205" i="51"/>
  <c r="S210" i="51"/>
  <c r="L204" i="51"/>
  <c r="D28" i="51" s="1"/>
  <c r="L208" i="51"/>
  <c r="D32" i="51" s="1"/>
  <c r="S206" i="51"/>
  <c r="L212" i="51"/>
  <c r="D36" i="51" s="1"/>
  <c r="L207" i="51"/>
  <c r="D31" i="51" s="1"/>
  <c r="S203" i="51"/>
  <c r="S211" i="51"/>
  <c r="S212" i="51"/>
  <c r="L209" i="51"/>
  <c r="D33" i="51" s="1"/>
  <c r="L211" i="51"/>
  <c r="D35" i="51" s="1"/>
  <c r="S214" i="51"/>
  <c r="L201" i="51"/>
  <c r="D25" i="51" s="1"/>
  <c r="L205" i="51"/>
  <c r="D29" i="51" s="1"/>
  <c r="L206" i="51"/>
  <c r="D30" i="51" s="1"/>
  <c r="L214" i="51"/>
  <c r="D38" i="51" s="1"/>
  <c r="S213" i="51"/>
  <c r="S209" i="51"/>
  <c r="L210" i="51"/>
  <c r="D34" i="51" s="1"/>
  <c r="S201" i="51"/>
  <c r="S204" i="51"/>
  <c r="M86" i="51" l="1"/>
  <c r="L86" i="51"/>
  <c r="N86" i="51"/>
  <c r="O86" i="51"/>
  <c r="J87" i="51"/>
  <c r="C90" i="51"/>
  <c r="D88" i="51"/>
  <c r="G88" i="51" s="1"/>
  <c r="B89" i="51"/>
  <c r="I89" i="51" s="1"/>
  <c r="D73" i="51"/>
  <c r="D70" i="51"/>
  <c r="D71" i="51"/>
  <c r="D65" i="51"/>
  <c r="D76" i="51"/>
  <c r="J76" i="51" s="1"/>
  <c r="L76" i="51" s="1"/>
  <c r="B37" i="47"/>
  <c r="D63" i="51"/>
  <c r="D67" i="51"/>
  <c r="D74" i="51"/>
  <c r="D75" i="51"/>
  <c r="J75" i="51" s="1"/>
  <c r="L75" i="51" s="1"/>
  <c r="B36" i="47"/>
  <c r="D69" i="51"/>
  <c r="D64" i="51"/>
  <c r="D61" i="51"/>
  <c r="D66" i="51"/>
  <c r="D62" i="51"/>
  <c r="D72" i="51"/>
  <c r="D68" i="51"/>
  <c r="L87" i="51" l="1"/>
  <c r="M87" i="51"/>
  <c r="O87" i="51" s="1"/>
  <c r="N87" i="51"/>
  <c r="J88" i="51"/>
  <c r="C91" i="51"/>
  <c r="D89" i="51"/>
  <c r="G89" i="51" s="1"/>
  <c r="B90" i="51"/>
  <c r="I90" i="51" s="1"/>
  <c r="E36" i="47"/>
  <c r="D36" i="47"/>
  <c r="F36" i="47"/>
  <c r="H36" i="47" s="1"/>
  <c r="E37" i="47"/>
  <c r="F37" i="47"/>
  <c r="H37" i="47" s="1"/>
  <c r="D37" i="47"/>
  <c r="G37" i="47" s="1"/>
  <c r="J57" i="41"/>
  <c r="J56" i="41"/>
  <c r="M88" i="51" l="1"/>
  <c r="L88" i="51"/>
  <c r="N88" i="51" s="1"/>
  <c r="O88" i="51"/>
  <c r="J89" i="51"/>
  <c r="C92" i="51"/>
  <c r="D90" i="51"/>
  <c r="G90" i="51" s="1"/>
  <c r="B91" i="51"/>
  <c r="G36" i="47"/>
  <c r="D91" i="51" l="1"/>
  <c r="I91" i="51"/>
  <c r="M89" i="51"/>
  <c r="L89" i="51"/>
  <c r="N89" i="51" s="1"/>
  <c r="O89" i="51"/>
  <c r="J90" i="51"/>
  <c r="C93" i="51"/>
  <c r="G91" i="51"/>
  <c r="B92" i="51"/>
  <c r="I92" i="51" s="1"/>
  <c r="M90" i="51" l="1"/>
  <c r="L90" i="51"/>
  <c r="J91" i="51"/>
  <c r="N90" i="51"/>
  <c r="O90" i="51"/>
  <c r="C94" i="51"/>
  <c r="D92" i="51"/>
  <c r="G92" i="51" s="1"/>
  <c r="B93" i="51"/>
  <c r="I93" i="51" s="1"/>
  <c r="M91" i="51" l="1"/>
  <c r="O91" i="51" s="1"/>
  <c r="L91" i="51"/>
  <c r="N91" i="51" s="1"/>
  <c r="J92" i="51"/>
  <c r="C95" i="51"/>
  <c r="D93" i="51"/>
  <c r="G93" i="51" s="1"/>
  <c r="B94" i="51"/>
  <c r="I94" i="51" s="1"/>
  <c r="L92" i="51" l="1"/>
  <c r="N92" i="51" s="1"/>
  <c r="F11" i="51" s="1"/>
  <c r="J11" i="51" s="1"/>
  <c r="M92" i="51"/>
  <c r="O92" i="51"/>
  <c r="J93" i="51"/>
  <c r="C96" i="51"/>
  <c r="D94" i="51"/>
  <c r="G94" i="51" s="1"/>
  <c r="B95" i="51"/>
  <c r="I95" i="51" s="1"/>
  <c r="M93" i="51" l="1"/>
  <c r="L93" i="51"/>
  <c r="G11" i="51"/>
  <c r="K11" i="51" s="1"/>
  <c r="N93" i="51"/>
  <c r="O93" i="51"/>
  <c r="J94" i="51"/>
  <c r="C97" i="51"/>
  <c r="D95" i="51"/>
  <c r="G95" i="51" s="1"/>
  <c r="B96" i="51"/>
  <c r="I96" i="51" s="1"/>
  <c r="M94" i="51" l="1"/>
  <c r="L94" i="51"/>
  <c r="G12" i="51"/>
  <c r="K12" i="51" s="1"/>
  <c r="F12" i="51"/>
  <c r="J12" i="51" s="1"/>
  <c r="N94" i="51"/>
  <c r="O94" i="51"/>
  <c r="J95" i="51"/>
  <c r="C98" i="51"/>
  <c r="D96" i="51"/>
  <c r="G96" i="51" s="1"/>
  <c r="B97" i="51"/>
  <c r="I97" i="51" s="1"/>
  <c r="L95" i="51" l="1"/>
  <c r="M95" i="51"/>
  <c r="F13" i="51"/>
  <c r="J13" i="51" s="1"/>
  <c r="G13" i="51"/>
  <c r="K13" i="51" s="1"/>
  <c r="N95" i="51"/>
  <c r="O95" i="51"/>
  <c r="J96" i="51"/>
  <c r="C99" i="51"/>
  <c r="D97" i="51"/>
  <c r="G97" i="51" s="1"/>
  <c r="B98" i="51"/>
  <c r="I98" i="51" s="1"/>
  <c r="M96" i="51" l="1"/>
  <c r="L96" i="51"/>
  <c r="G14" i="51"/>
  <c r="K14" i="51" s="1"/>
  <c r="F14" i="51"/>
  <c r="J14" i="51" s="1"/>
  <c r="N96" i="51"/>
  <c r="O96" i="51"/>
  <c r="J97" i="51"/>
  <c r="C100" i="51"/>
  <c r="D98" i="51"/>
  <c r="G98" i="51" s="1"/>
  <c r="B99" i="51"/>
  <c r="I99" i="51" s="1"/>
  <c r="M97" i="51" l="1"/>
  <c r="L97" i="51"/>
  <c r="F15" i="51"/>
  <c r="J15" i="51" s="1"/>
  <c r="G15" i="51"/>
  <c r="K15" i="51" s="1"/>
  <c r="N97" i="51"/>
  <c r="O97" i="51"/>
  <c r="J98" i="51"/>
  <c r="C101" i="51"/>
  <c r="D99" i="51"/>
  <c r="G99" i="51" s="1"/>
  <c r="B100" i="51"/>
  <c r="I100" i="51" s="1"/>
  <c r="M98" i="51" l="1"/>
  <c r="L98" i="51"/>
  <c r="G16" i="51"/>
  <c r="K16" i="51" s="1"/>
  <c r="F16" i="51"/>
  <c r="J16" i="51" s="1"/>
  <c r="N98" i="51"/>
  <c r="O98" i="51"/>
  <c r="J99" i="51"/>
  <c r="C102" i="51"/>
  <c r="D100" i="51"/>
  <c r="G100" i="51" s="1"/>
  <c r="B101" i="51"/>
  <c r="I101" i="51" s="1"/>
  <c r="M99" i="51" l="1"/>
  <c r="L99" i="51"/>
  <c r="G17" i="51"/>
  <c r="K17" i="51" s="1"/>
  <c r="F17" i="51"/>
  <c r="J17" i="51" s="1"/>
  <c r="J100" i="51"/>
  <c r="N99" i="51"/>
  <c r="O99" i="51"/>
  <c r="C103" i="51"/>
  <c r="D101" i="51"/>
  <c r="G101" i="51" s="1"/>
  <c r="B102" i="51"/>
  <c r="B103" i="51" l="1"/>
  <c r="I103" i="51" s="1"/>
  <c r="I102" i="51"/>
  <c r="M100" i="51"/>
  <c r="O100" i="51" s="1"/>
  <c r="G19" i="51" s="1"/>
  <c r="K19" i="51" s="1"/>
  <c r="L100" i="51"/>
  <c r="F18" i="51"/>
  <c r="J18" i="51" s="1"/>
  <c r="G18" i="51"/>
  <c r="K18" i="51" s="1"/>
  <c r="N100" i="51"/>
  <c r="J101" i="51"/>
  <c r="C104" i="51"/>
  <c r="D102" i="51"/>
  <c r="G102" i="51" s="1"/>
  <c r="M101" i="51" l="1"/>
  <c r="L101" i="51"/>
  <c r="F19" i="51"/>
  <c r="J19" i="51" s="1"/>
  <c r="N101" i="51"/>
  <c r="O101" i="51"/>
  <c r="J102" i="51"/>
  <c r="C105" i="51"/>
  <c r="D103" i="51"/>
  <c r="G103" i="51" s="1"/>
  <c r="B104" i="51"/>
  <c r="I104" i="51" s="1"/>
  <c r="L102" i="51" l="1"/>
  <c r="M102" i="51"/>
  <c r="G20" i="51"/>
  <c r="K20" i="51" s="1"/>
  <c r="F20" i="51"/>
  <c r="J20" i="51" s="1"/>
  <c r="J103" i="51"/>
  <c r="N102" i="51"/>
  <c r="O102" i="51"/>
  <c r="C106" i="51"/>
  <c r="D104" i="51"/>
  <c r="G104" i="51" s="1"/>
  <c r="B105" i="51"/>
  <c r="D105" i="51" l="1"/>
  <c r="I105" i="51"/>
  <c r="M103" i="51"/>
  <c r="L103" i="51"/>
  <c r="N103" i="51" s="1"/>
  <c r="F22" i="51" s="1"/>
  <c r="J22" i="51" s="1"/>
  <c r="F21" i="51"/>
  <c r="J21" i="51" s="1"/>
  <c r="G21" i="51"/>
  <c r="K21" i="51" s="1"/>
  <c r="O103" i="51"/>
  <c r="J104" i="51"/>
  <c r="C107" i="51"/>
  <c r="G105" i="51"/>
  <c r="B106" i="51"/>
  <c r="I106" i="51" s="1"/>
  <c r="L104" i="51" l="1"/>
  <c r="M104" i="51"/>
  <c r="G22" i="51"/>
  <c r="K22" i="51" s="1"/>
  <c r="N104" i="51"/>
  <c r="O104" i="51"/>
  <c r="J105" i="51"/>
  <c r="C108" i="51"/>
  <c r="D106" i="51"/>
  <c r="B107" i="51"/>
  <c r="I107" i="51" s="1"/>
  <c r="L105" i="51" l="1"/>
  <c r="M105" i="51"/>
  <c r="G23" i="51"/>
  <c r="K23" i="51" s="1"/>
  <c r="F23" i="51"/>
  <c r="J23" i="51" s="1"/>
  <c r="G106" i="51"/>
  <c r="J106" i="51" s="1"/>
  <c r="N105" i="51"/>
  <c r="O105" i="51"/>
  <c r="C109" i="51"/>
  <c r="D107" i="51"/>
  <c r="G107" i="51" s="1"/>
  <c r="B108" i="51"/>
  <c r="I108" i="51" s="1"/>
  <c r="L106" i="51" l="1"/>
  <c r="M106" i="51"/>
  <c r="F24" i="51"/>
  <c r="J24" i="51" s="1"/>
  <c r="G24" i="51"/>
  <c r="K24" i="51" s="1"/>
  <c r="N106" i="51"/>
  <c r="O106" i="51"/>
  <c r="J107" i="51"/>
  <c r="C110" i="51"/>
  <c r="D108" i="51"/>
  <c r="G108" i="51" s="1"/>
  <c r="B109" i="51"/>
  <c r="I109" i="51" s="1"/>
  <c r="L107" i="51" l="1"/>
  <c r="M107" i="51"/>
  <c r="G25" i="51"/>
  <c r="K25" i="51" s="1"/>
  <c r="F25" i="51"/>
  <c r="J25" i="51" s="1"/>
  <c r="N107" i="51"/>
  <c r="O107" i="51"/>
  <c r="J108" i="51"/>
  <c r="C111" i="51"/>
  <c r="D109" i="51"/>
  <c r="G109" i="51" s="1"/>
  <c r="B110" i="51"/>
  <c r="I110" i="51" s="1"/>
  <c r="L108" i="51" l="1"/>
  <c r="M108" i="51"/>
  <c r="G26" i="51"/>
  <c r="K26" i="51" s="1"/>
  <c r="F26" i="51"/>
  <c r="J26" i="51" s="1"/>
  <c r="J109" i="51"/>
  <c r="N108" i="51"/>
  <c r="O108" i="51"/>
  <c r="C112" i="51"/>
  <c r="D110" i="51"/>
  <c r="G110" i="51" s="1"/>
  <c r="B111" i="51"/>
  <c r="I111" i="51" s="1"/>
  <c r="M109" i="51" l="1"/>
  <c r="L109" i="51"/>
  <c r="N109" i="51" s="1"/>
  <c r="F28" i="51" s="1"/>
  <c r="J28" i="51" s="1"/>
  <c r="O109" i="51"/>
  <c r="F27" i="51"/>
  <c r="J27" i="51" s="1"/>
  <c r="G27" i="51"/>
  <c r="K27" i="51" s="1"/>
  <c r="G28" i="51"/>
  <c r="K28" i="51" s="1"/>
  <c r="J110" i="51"/>
  <c r="C113" i="51"/>
  <c r="D111" i="51"/>
  <c r="G111" i="51" s="1"/>
  <c r="B112" i="51"/>
  <c r="I112" i="51" s="1"/>
  <c r="L110" i="51" l="1"/>
  <c r="M110" i="51"/>
  <c r="N110" i="51"/>
  <c r="O110" i="51"/>
  <c r="J111" i="51"/>
  <c r="C114" i="51"/>
  <c r="D112" i="51"/>
  <c r="G112" i="51" s="1"/>
  <c r="B113" i="51"/>
  <c r="I113" i="51" s="1"/>
  <c r="L111" i="51" l="1"/>
  <c r="M111" i="51"/>
  <c r="G29" i="51"/>
  <c r="K29" i="51" s="1"/>
  <c r="F29" i="51"/>
  <c r="J29" i="51" s="1"/>
  <c r="N111" i="51"/>
  <c r="O111" i="51"/>
  <c r="J112" i="51"/>
  <c r="C115" i="51"/>
  <c r="D113" i="51"/>
  <c r="G113" i="51" s="1"/>
  <c r="B114" i="51"/>
  <c r="I114" i="51" s="1"/>
  <c r="L112" i="51" l="1"/>
  <c r="M112" i="51"/>
  <c r="G30" i="51"/>
  <c r="K30" i="51" s="1"/>
  <c r="F30" i="51"/>
  <c r="J30" i="51" s="1"/>
  <c r="O112" i="51"/>
  <c r="N112" i="51"/>
  <c r="J113" i="51"/>
  <c r="C116" i="51"/>
  <c r="D114" i="51"/>
  <c r="G114" i="51" s="1"/>
  <c r="B115" i="51"/>
  <c r="I115" i="51" s="1"/>
  <c r="L113" i="51" l="1"/>
  <c r="M113" i="51"/>
  <c r="F31" i="51"/>
  <c r="J31" i="51" s="1"/>
  <c r="G31" i="51"/>
  <c r="K31" i="51" s="1"/>
  <c r="N113" i="51"/>
  <c r="O113" i="51"/>
  <c r="J114" i="51"/>
  <c r="C117" i="51"/>
  <c r="D115" i="51"/>
  <c r="B116" i="51"/>
  <c r="I116" i="51" s="1"/>
  <c r="L114" i="51" l="1"/>
  <c r="M114" i="51"/>
  <c r="G32" i="51"/>
  <c r="K32" i="51" s="1"/>
  <c r="F32" i="51"/>
  <c r="J32" i="51" s="1"/>
  <c r="G115" i="51"/>
  <c r="J115" i="51" s="1"/>
  <c r="N114" i="51"/>
  <c r="O114" i="51"/>
  <c r="C118" i="51"/>
  <c r="D116" i="51"/>
  <c r="G116" i="51" s="1"/>
  <c r="B117" i="51"/>
  <c r="B118" i="51" l="1"/>
  <c r="I118" i="51" s="1"/>
  <c r="I117" i="51"/>
  <c r="L115" i="51"/>
  <c r="M115" i="51"/>
  <c r="G33" i="51"/>
  <c r="K33" i="51" s="1"/>
  <c r="F33" i="51"/>
  <c r="J33" i="51" s="1"/>
  <c r="N115" i="51"/>
  <c r="O115" i="51"/>
  <c r="C119" i="51"/>
  <c r="J116" i="51"/>
  <c r="D117" i="51"/>
  <c r="G117" i="51" s="1"/>
  <c r="L116" i="51" l="1"/>
  <c r="M116" i="51"/>
  <c r="G34" i="51"/>
  <c r="K34" i="51" s="1"/>
  <c r="F34" i="51"/>
  <c r="J34" i="51" s="1"/>
  <c r="J117" i="51"/>
  <c r="N116" i="51"/>
  <c r="O116" i="51"/>
  <c r="C120" i="51"/>
  <c r="D118" i="51"/>
  <c r="B119" i="51"/>
  <c r="I119" i="51" s="1"/>
  <c r="H81" i="21"/>
  <c r="L117" i="51" l="1"/>
  <c r="N117" i="51" s="1"/>
  <c r="F36" i="51" s="1"/>
  <c r="J36" i="51" s="1"/>
  <c r="M117" i="51"/>
  <c r="G35" i="51"/>
  <c r="K35" i="51" s="1"/>
  <c r="F35" i="51"/>
  <c r="J35" i="51" s="1"/>
  <c r="O117" i="51"/>
  <c r="G118" i="51"/>
  <c r="J118" i="51" s="1"/>
  <c r="C121" i="51"/>
  <c r="D119" i="51"/>
  <c r="B120" i="51"/>
  <c r="I120" i="51" s="1"/>
  <c r="C22" i="49"/>
  <c r="L118" i="51" l="1"/>
  <c r="M118" i="51"/>
  <c r="G36" i="51"/>
  <c r="K36" i="51" s="1"/>
  <c r="O118" i="51"/>
  <c r="N118" i="51"/>
  <c r="G119" i="51"/>
  <c r="J119" i="51" s="1"/>
  <c r="D120" i="51"/>
  <c r="G120" i="51" s="1"/>
  <c r="B121" i="51"/>
  <c r="I121" i="51" s="1"/>
  <c r="J120" i="51" l="1"/>
  <c r="L119" i="51"/>
  <c r="M119" i="51"/>
  <c r="F37" i="51"/>
  <c r="J37" i="51" s="1"/>
  <c r="G37" i="51"/>
  <c r="K37" i="51" s="1"/>
  <c r="N119" i="51"/>
  <c r="O119" i="51"/>
  <c r="D121" i="51"/>
  <c r="H89" i="21"/>
  <c r="H87" i="21"/>
  <c r="H85" i="21"/>
  <c r="H83" i="21"/>
  <c r="J121" i="51" l="1"/>
  <c r="M120" i="51"/>
  <c r="L120" i="51"/>
  <c r="G38" i="51"/>
  <c r="K38" i="51" s="1"/>
  <c r="Q38" i="51" s="1"/>
  <c r="F38" i="51"/>
  <c r="J38" i="51" s="1"/>
  <c r="P38" i="51" s="1"/>
  <c r="G121" i="51"/>
  <c r="N120" i="51"/>
  <c r="O120" i="51"/>
  <c r="C31" i="49"/>
  <c r="C29" i="49"/>
  <c r="C28" i="49"/>
  <c r="C27" i="49"/>
  <c r="C24" i="49"/>
  <c r="C38" i="49"/>
  <c r="C36" i="49"/>
  <c r="C35" i="49"/>
  <c r="C34" i="49"/>
  <c r="C10" i="49"/>
  <c r="C8" i="49"/>
  <c r="C43" i="49"/>
  <c r="C13" i="49"/>
  <c r="C17" i="49"/>
  <c r="C14" i="49"/>
  <c r="C15" i="49"/>
  <c r="B6" i="49"/>
  <c r="B7" i="49"/>
  <c r="B8" i="49"/>
  <c r="B9" i="49"/>
  <c r="B10" i="49"/>
  <c r="B11" i="49"/>
  <c r="B12" i="49"/>
  <c r="B13" i="49"/>
  <c r="D13" i="49" s="1"/>
  <c r="B14" i="49"/>
  <c r="D14" i="49" s="1"/>
  <c r="B15" i="49"/>
  <c r="D15" i="49" s="1"/>
  <c r="B16" i="49"/>
  <c r="D16" i="49" s="1"/>
  <c r="B17" i="49"/>
  <c r="D17" i="49" s="1"/>
  <c r="B18" i="49"/>
  <c r="D18" i="49" s="1"/>
  <c r="B19" i="49"/>
  <c r="D19" i="49" s="1"/>
  <c r="B20" i="49"/>
  <c r="D20" i="49" s="1"/>
  <c r="B21" i="49"/>
  <c r="B22" i="49"/>
  <c r="D22" i="49" s="1"/>
  <c r="B23" i="49"/>
  <c r="D23" i="49" s="1"/>
  <c r="B24" i="49"/>
  <c r="D24" i="49" s="1"/>
  <c r="B25" i="49"/>
  <c r="D25" i="49" s="1"/>
  <c r="B26" i="49"/>
  <c r="D26" i="49" s="1"/>
  <c r="B27" i="49"/>
  <c r="D27" i="49" s="1"/>
  <c r="B28" i="49"/>
  <c r="D28" i="49" s="1"/>
  <c r="B29" i="49"/>
  <c r="D29" i="49" s="1"/>
  <c r="B30" i="49"/>
  <c r="D30" i="49" s="1"/>
  <c r="B31" i="49"/>
  <c r="D31" i="49" s="1"/>
  <c r="B32" i="49"/>
  <c r="D32" i="49" s="1"/>
  <c r="B33" i="49"/>
  <c r="D33" i="49" s="1"/>
  <c r="B34" i="49"/>
  <c r="D34" i="49" s="1"/>
  <c r="B35" i="49"/>
  <c r="D35" i="49" s="1"/>
  <c r="B36" i="49"/>
  <c r="D36" i="49" s="1"/>
  <c r="B37" i="49"/>
  <c r="D37" i="49" s="1"/>
  <c r="B38" i="49"/>
  <c r="D38" i="49" s="1"/>
  <c r="B42" i="49"/>
  <c r="D42" i="49" s="1"/>
  <c r="A6" i="49"/>
  <c r="A7" i="49" s="1"/>
  <c r="A8" i="49" s="1"/>
  <c r="A9" i="49" s="1"/>
  <c r="A10" i="49" s="1"/>
  <c r="A11" i="49" s="1"/>
  <c r="A12" i="49" s="1"/>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M121" i="51" l="1"/>
  <c r="L121" i="51"/>
  <c r="R38" i="51"/>
  <c r="I55" i="41" s="1"/>
  <c r="G39" i="51"/>
  <c r="K39" i="51" s="1"/>
  <c r="Q39" i="51" s="1"/>
  <c r="F39" i="51"/>
  <c r="J39" i="51" s="1"/>
  <c r="P39" i="51" s="1"/>
  <c r="O121" i="51"/>
  <c r="N121" i="51"/>
  <c r="A39" i="49"/>
  <c r="A40" i="49" s="1"/>
  <c r="A41" i="49" s="1"/>
  <c r="A42" i="49" s="1"/>
  <c r="D43" i="49"/>
  <c r="D21" i="49"/>
  <c r="R39" i="51" l="1"/>
  <c r="I56" i="41" s="1"/>
  <c r="F40" i="51"/>
  <c r="J40" i="51" s="1"/>
  <c r="P40" i="51" s="1"/>
  <c r="G40" i="51"/>
  <c r="K40" i="51" s="1"/>
  <c r="Q40" i="51" s="1"/>
  <c r="C24" i="41"/>
  <c r="C25" i="41"/>
  <c r="R40" i="51" l="1"/>
  <c r="I57" i="41" s="1"/>
  <c r="C22" i="41"/>
  <c r="C23" i="41"/>
  <c r="F5" i="5" l="1"/>
  <c r="F6" i="5" s="1"/>
  <c r="F7" i="5" s="1"/>
  <c r="F8" i="5" s="1"/>
  <c r="F9" i="5" s="1"/>
  <c r="F10" i="5" s="1"/>
  <c r="F11" i="5" s="1"/>
  <c r="F12" i="5" s="1"/>
  <c r="F13" i="5" s="1"/>
  <c r="F14" i="5" s="1"/>
  <c r="F15" i="5" s="1"/>
  <c r="F16" i="5" s="1"/>
  <c r="F17" i="5" s="1"/>
  <c r="F18" i="5" s="1"/>
  <c r="F19" i="5" s="1"/>
  <c r="F20" i="5" s="1"/>
  <c r="F21" i="5" s="1"/>
  <c r="A4" i="5" l="1"/>
  <c r="A5" i="5" l="1"/>
  <c r="A6" i="5" l="1"/>
  <c r="D5" i="5"/>
  <c r="A7" i="5" l="1"/>
  <c r="D6" i="5"/>
  <c r="B3" i="12"/>
  <c r="A8" i="5" l="1"/>
  <c r="D7" i="5"/>
  <c r="P23" i="41"/>
  <c r="P24" i="41" s="1"/>
  <c r="P25" i="41" s="1"/>
  <c r="P26" i="41" s="1"/>
  <c r="P27" i="41" s="1"/>
  <c r="P28" i="41" s="1"/>
  <c r="P29" i="41" s="1"/>
  <c r="P30" i="41" s="1"/>
  <c r="P31" i="41" s="1"/>
  <c r="P32" i="41" s="1"/>
  <c r="G23" i="41"/>
  <c r="G24" i="41" s="1"/>
  <c r="G25" i="41" s="1"/>
  <c r="G26" i="41" s="1"/>
  <c r="G27" i="41" s="1"/>
  <c r="G28" i="41" s="1"/>
  <c r="G29" i="41" s="1"/>
  <c r="G30" i="41" s="1"/>
  <c r="G31" i="41" s="1"/>
  <c r="G32" i="41" s="1"/>
  <c r="A23" i="41"/>
  <c r="A24" i="41" s="1"/>
  <c r="A25" i="41" s="1"/>
  <c r="A26" i="41" s="1"/>
  <c r="A27" i="41" s="1"/>
  <c r="A28" i="41" s="1"/>
  <c r="A29" i="41" s="1"/>
  <c r="A30" i="41" s="1"/>
  <c r="A31" i="41" s="1"/>
  <c r="A32" i="41" s="1"/>
  <c r="A9" i="5" l="1"/>
  <c r="D8" i="5"/>
  <c r="G33" i="41"/>
  <c r="G34" i="41" s="1"/>
  <c r="G35" i="41" s="1"/>
  <c r="G36" i="41" s="1"/>
  <c r="G37" i="41" s="1"/>
  <c r="G38" i="41" s="1"/>
  <c r="G39" i="41" s="1"/>
  <c r="G40" i="41" s="1"/>
  <c r="G41" i="41" s="1"/>
  <c r="G42" i="41" s="1"/>
  <c r="G43" i="41" s="1"/>
  <c r="G44" i="41" s="1"/>
  <c r="G45" i="41" s="1"/>
  <c r="G46" i="41" s="1"/>
  <c r="G47" i="41" s="1"/>
  <c r="G48" i="41" s="1"/>
  <c r="G49" i="41" s="1"/>
  <c r="G50" i="41" s="1"/>
  <c r="G51" i="41" s="1"/>
  <c r="P33" i="41"/>
  <c r="P34" i="41" s="1"/>
  <c r="P35" i="41" s="1"/>
  <c r="P36" i="41" s="1"/>
  <c r="P37" i="41" s="1"/>
  <c r="P38" i="41" s="1"/>
  <c r="P39" i="41" s="1"/>
  <c r="P40" i="41" s="1"/>
  <c r="P41" i="41" s="1"/>
  <c r="P42" i="41" s="1"/>
  <c r="P43" i="41" s="1"/>
  <c r="P44" i="41" s="1"/>
  <c r="P45" i="41" s="1"/>
  <c r="P46" i="41" s="1"/>
  <c r="P47" i="41" s="1"/>
  <c r="P48" i="41" s="1"/>
  <c r="P49" i="41" s="1"/>
  <c r="P50" i="41" s="1"/>
  <c r="P51" i="41" s="1"/>
  <c r="A33" i="41"/>
  <c r="A34" i="41" s="1"/>
  <c r="A35" i="41" s="1"/>
  <c r="A36" i="41" s="1"/>
  <c r="A37" i="41" s="1"/>
  <c r="A38" i="41" s="1"/>
  <c r="A39" i="41" s="1"/>
  <c r="A40" i="41" s="1"/>
  <c r="A41" i="41" s="1"/>
  <c r="A42" i="41" s="1"/>
  <c r="A43" i="41" s="1"/>
  <c r="A44" i="41" s="1"/>
  <c r="A45" i="41" s="1"/>
  <c r="A46" i="41" s="1"/>
  <c r="A47" i="41" s="1"/>
  <c r="A48" i="41" s="1"/>
  <c r="A49" i="41" s="1"/>
  <c r="A50" i="41" s="1"/>
  <c r="A51" i="41" s="1"/>
  <c r="A11" i="21"/>
  <c r="A12" i="21" s="1"/>
  <c r="A13" i="21" s="1"/>
  <c r="A14" i="21" s="1"/>
  <c r="A15" i="21" s="1"/>
  <c r="A16" i="21" s="1"/>
  <c r="A17" i="21" s="1"/>
  <c r="A18" i="21" s="1"/>
  <c r="A19" i="21" s="1"/>
  <c r="A20" i="21" s="1"/>
  <c r="A21" i="21" s="1"/>
  <c r="A22" i="21" s="1"/>
  <c r="A23" i="21" s="1"/>
  <c r="A24" i="21" s="1"/>
  <c r="A25" i="21" s="1"/>
  <c r="A26" i="21" s="1"/>
  <c r="A27" i="21" s="1"/>
  <c r="A28" i="21" s="1"/>
  <c r="A29" i="21" s="1"/>
  <c r="A10" i="5" l="1"/>
  <c r="D9" i="5"/>
  <c r="P52" i="41"/>
  <c r="P53" i="41" s="1"/>
  <c r="P54" i="41" s="1"/>
  <c r="P55" i="41" s="1"/>
  <c r="P56" i="41" s="1"/>
  <c r="P57" i="41" s="1"/>
  <c r="G52" i="41"/>
  <c r="G53" i="41" s="1"/>
  <c r="G54" i="41" s="1"/>
  <c r="G55" i="41" s="1"/>
  <c r="G56" i="41" s="1"/>
  <c r="G57" i="41" s="1"/>
  <c r="A52" i="41"/>
  <c r="A53" i="41" s="1"/>
  <c r="A54" i="41" s="1"/>
  <c r="A55" i="41" s="1"/>
  <c r="A56" i="41" s="1"/>
  <c r="A57" i="41" s="1"/>
  <c r="A11" i="5" l="1"/>
  <c r="D10" i="5"/>
  <c r="A12" i="5" l="1"/>
  <c r="D11" i="5"/>
  <c r="A13" i="5" l="1"/>
  <c r="D12" i="5"/>
  <c r="A30" i="21"/>
  <c r="A14" i="5" l="1"/>
  <c r="D13" i="5"/>
  <c r="A31" i="21"/>
  <c r="A15" i="5" l="1"/>
  <c r="D14" i="5"/>
  <c r="A32" i="21"/>
  <c r="A16" i="5" l="1"/>
  <c r="D15" i="5"/>
  <c r="A33" i="21"/>
  <c r="A17" i="5" l="1"/>
  <c r="D16" i="5"/>
  <c r="A34" i="21"/>
  <c r="A18" i="5" l="1"/>
  <c r="D17" i="5"/>
  <c r="A35" i="21"/>
  <c r="A19" i="5" l="1"/>
  <c r="D18" i="5"/>
  <c r="A36" i="21"/>
  <c r="A37" i="21" s="1"/>
  <c r="A38" i="21" s="1"/>
  <c r="A39" i="21" s="1"/>
  <c r="A20" i="5" l="1"/>
  <c r="D19" i="5"/>
  <c r="M46" i="21"/>
  <c r="A47" i="21"/>
  <c r="A21" i="5" l="1"/>
  <c r="D20" i="5"/>
  <c r="M47" i="21"/>
  <c r="A48" i="21"/>
  <c r="A22" i="5" l="1"/>
  <c r="D21" i="5"/>
  <c r="M48" i="21"/>
  <c r="A49" i="21"/>
  <c r="A23" i="5" l="1"/>
  <c r="D22" i="5"/>
  <c r="M49" i="21"/>
  <c r="A50" i="21"/>
  <c r="A24" i="5" l="1"/>
  <c r="D23" i="5"/>
  <c r="M50" i="21"/>
  <c r="A51" i="21"/>
  <c r="D24" i="5" l="1"/>
  <c r="A25" i="5"/>
  <c r="A52" i="21"/>
  <c r="A53" i="21" s="1"/>
  <c r="M51" i="21"/>
  <c r="E16" i="27"/>
  <c r="E17" i="27" s="1"/>
  <c r="E18" i="27" s="1"/>
  <c r="E19" i="27" s="1"/>
  <c r="E20" i="27" s="1"/>
  <c r="E21" i="27" s="1"/>
  <c r="E22" i="27" s="1"/>
  <c r="E23" i="27" s="1"/>
  <c r="E24" i="27" s="1"/>
  <c r="E25" i="27" s="1"/>
  <c r="E26" i="27" s="1"/>
  <c r="E27" i="27" s="1"/>
  <c r="E28" i="27" s="1"/>
  <c r="E29" i="27" s="1"/>
  <c r="D25" i="5" l="1"/>
  <c r="A26" i="5"/>
  <c r="M52" i="21"/>
  <c r="E30" i="27"/>
  <c r="E31" i="27" s="1"/>
  <c r="E32" i="27" s="1"/>
  <c r="E33" i="27" s="1"/>
  <c r="E34" i="27" s="1"/>
  <c r="E35" i="27" s="1"/>
  <c r="E36" i="27" s="1"/>
  <c r="E37" i="27" s="1"/>
  <c r="E38" i="27" s="1"/>
  <c r="E39" i="27" s="1"/>
  <c r="E40" i="27" s="1"/>
  <c r="E41" i="27" s="1"/>
  <c r="E42" i="27" s="1"/>
  <c r="E43" i="27" s="1"/>
  <c r="E44" i="27" s="1"/>
  <c r="E45" i="27" s="1"/>
  <c r="E46" i="27" s="1"/>
  <c r="E47" i="27" s="1"/>
  <c r="E48" i="27" s="1"/>
  <c r="E49" i="27" s="1"/>
  <c r="E50" i="27" s="1"/>
  <c r="E51" i="27" s="1"/>
  <c r="A54" i="21"/>
  <c r="M53" i="21"/>
  <c r="D26" i="5" l="1"/>
  <c r="A27" i="5"/>
  <c r="A55" i="21"/>
  <c r="M54" i="21"/>
  <c r="D27" i="5" l="1"/>
  <c r="A28" i="5"/>
  <c r="A56" i="21"/>
  <c r="M55" i="21"/>
  <c r="D28" i="5" l="1"/>
  <c r="A29" i="5"/>
  <c r="A57" i="21"/>
  <c r="M56" i="21"/>
  <c r="D29" i="5" l="1"/>
  <c r="A30" i="5"/>
  <c r="A58" i="21"/>
  <c r="M57" i="21"/>
  <c r="A31" i="5" l="1"/>
  <c r="D30" i="5"/>
  <c r="A59" i="21"/>
  <c r="M58" i="21"/>
  <c r="G91" i="21"/>
  <c r="F91" i="21"/>
  <c r="E91" i="21"/>
  <c r="D91" i="21"/>
  <c r="C91" i="21"/>
  <c r="A32" i="5" l="1"/>
  <c r="D31" i="5"/>
  <c r="H91" i="21"/>
  <c r="B122" i="21" s="1"/>
  <c r="C46" i="21" s="1"/>
  <c r="A60" i="21"/>
  <c r="M59" i="21"/>
  <c r="D46" i="21" l="1"/>
  <c r="E46" i="21"/>
  <c r="D32" i="5"/>
  <c r="A33" i="5"/>
  <c r="P75" i="21"/>
  <c r="P74" i="21"/>
  <c r="C72" i="21"/>
  <c r="C73" i="21"/>
  <c r="C71" i="21"/>
  <c r="I81" i="21"/>
  <c r="I89" i="21"/>
  <c r="C50" i="21"/>
  <c r="A61" i="21"/>
  <c r="M60" i="21"/>
  <c r="I91" i="21"/>
  <c r="T75" i="21" l="1"/>
  <c r="S75" i="21"/>
  <c r="U75" i="21"/>
  <c r="W75" i="21"/>
  <c r="V75" i="21"/>
  <c r="S74" i="21"/>
  <c r="T74" i="21"/>
  <c r="U74" i="21"/>
  <c r="V74" i="21"/>
  <c r="W74" i="21"/>
  <c r="D33" i="5"/>
  <c r="A34" i="5"/>
  <c r="J73" i="21"/>
  <c r="F73" i="21"/>
  <c r="D50" i="21"/>
  <c r="J50" i="21"/>
  <c r="F50" i="21"/>
  <c r="J71" i="21"/>
  <c r="F71" i="21"/>
  <c r="F72" i="21"/>
  <c r="J72" i="21"/>
  <c r="D73" i="21"/>
  <c r="E73" i="21"/>
  <c r="D72" i="21"/>
  <c r="E72" i="21"/>
  <c r="E71" i="21"/>
  <c r="D71" i="21"/>
  <c r="C58" i="21"/>
  <c r="C48" i="21"/>
  <c r="G48" i="21" s="1"/>
  <c r="C51" i="21"/>
  <c r="C49" i="21"/>
  <c r="C61" i="21"/>
  <c r="C55" i="21"/>
  <c r="C60" i="21"/>
  <c r="C57" i="21"/>
  <c r="C52" i="21"/>
  <c r="C54" i="21"/>
  <c r="C59" i="21"/>
  <c r="H59" i="21" s="1"/>
  <c r="C56" i="21"/>
  <c r="C53" i="21"/>
  <c r="A62" i="21"/>
  <c r="M61" i="21"/>
  <c r="C47" i="21"/>
  <c r="I56" i="21" l="1"/>
  <c r="J56" i="21"/>
  <c r="D34" i="5"/>
  <c r="A35" i="5"/>
  <c r="D49" i="21"/>
  <c r="J49" i="21"/>
  <c r="F49" i="21"/>
  <c r="D61" i="21"/>
  <c r="F61" i="21"/>
  <c r="J61" i="21"/>
  <c r="D57" i="21"/>
  <c r="J57" i="21"/>
  <c r="F57" i="21"/>
  <c r="D47" i="21"/>
  <c r="F47" i="21"/>
  <c r="J47" i="21"/>
  <c r="F46" i="21"/>
  <c r="J46" i="21"/>
  <c r="D58" i="21"/>
  <c r="F58" i="21"/>
  <c r="J58" i="21"/>
  <c r="D53" i="21"/>
  <c r="F53" i="21"/>
  <c r="J53" i="21"/>
  <c r="D56" i="21"/>
  <c r="F56" i="21"/>
  <c r="D55" i="21"/>
  <c r="J55" i="21"/>
  <c r="F55" i="21"/>
  <c r="D59" i="21"/>
  <c r="F59" i="21"/>
  <c r="J59" i="21"/>
  <c r="D60" i="21"/>
  <c r="F60" i="21"/>
  <c r="J60" i="21"/>
  <c r="D51" i="21"/>
  <c r="F51" i="21"/>
  <c r="J51" i="21"/>
  <c r="D48" i="21"/>
  <c r="F48" i="21"/>
  <c r="J48" i="21"/>
  <c r="D54" i="21"/>
  <c r="F54" i="21"/>
  <c r="J54" i="21"/>
  <c r="D52" i="21"/>
  <c r="J52" i="21"/>
  <c r="F52" i="21"/>
  <c r="C62" i="21"/>
  <c r="M62" i="21"/>
  <c r="A63" i="21"/>
  <c r="E52" i="27"/>
  <c r="A36" i="5" l="1"/>
  <c r="D35" i="5"/>
  <c r="D62" i="21"/>
  <c r="J62" i="21"/>
  <c r="F62" i="21"/>
  <c r="C63" i="21"/>
  <c r="M63" i="21"/>
  <c r="A64" i="21"/>
  <c r="I85" i="21"/>
  <c r="H62" i="21" s="1"/>
  <c r="I83" i="21"/>
  <c r="I87" i="21"/>
  <c r="G62" i="21" s="1"/>
  <c r="A37" i="5" l="1"/>
  <c r="D36" i="5"/>
  <c r="D63" i="21"/>
  <c r="F63" i="21"/>
  <c r="G63" i="21"/>
  <c r="J63" i="21"/>
  <c r="H63" i="21"/>
  <c r="I63" i="21"/>
  <c r="G50" i="21"/>
  <c r="G72" i="21"/>
  <c r="G73" i="21"/>
  <c r="G71" i="21"/>
  <c r="G55" i="21"/>
  <c r="G51" i="21"/>
  <c r="G53" i="21"/>
  <c r="G60" i="21"/>
  <c r="G59" i="21"/>
  <c r="G57" i="21"/>
  <c r="G52" i="21"/>
  <c r="G58" i="21"/>
  <c r="G49" i="21"/>
  <c r="G46" i="21"/>
  <c r="G47" i="21"/>
  <c r="G54" i="21"/>
  <c r="G56" i="21"/>
  <c r="G61" i="21"/>
  <c r="I71" i="21"/>
  <c r="I50" i="21"/>
  <c r="I73" i="21"/>
  <c r="I72" i="21"/>
  <c r="I53" i="21"/>
  <c r="I58" i="21"/>
  <c r="I59" i="21"/>
  <c r="I57" i="21"/>
  <c r="I48" i="21"/>
  <c r="I49" i="21"/>
  <c r="I60" i="21"/>
  <c r="I51" i="21"/>
  <c r="I55" i="21"/>
  <c r="I46" i="21"/>
  <c r="I52" i="21"/>
  <c r="I54" i="21"/>
  <c r="I61" i="21"/>
  <c r="I47" i="21"/>
  <c r="H73" i="21"/>
  <c r="H50" i="21"/>
  <c r="H71" i="21"/>
  <c r="H72" i="21"/>
  <c r="H49" i="21"/>
  <c r="H60" i="21"/>
  <c r="H58" i="21"/>
  <c r="H51" i="21"/>
  <c r="H55" i="21"/>
  <c r="H53" i="21"/>
  <c r="H52" i="21"/>
  <c r="H46" i="21"/>
  <c r="H48" i="21"/>
  <c r="H47" i="21"/>
  <c r="H57" i="21"/>
  <c r="H54" i="21"/>
  <c r="H56" i="21"/>
  <c r="H61" i="21"/>
  <c r="I62" i="21"/>
  <c r="C64" i="21"/>
  <c r="E59" i="21"/>
  <c r="E62" i="21"/>
  <c r="E53" i="21"/>
  <c r="E55" i="21"/>
  <c r="E56" i="21"/>
  <c r="E61" i="21"/>
  <c r="E63" i="21"/>
  <c r="E57" i="21"/>
  <c r="E54" i="21"/>
  <c r="E58" i="21"/>
  <c r="E60" i="21"/>
  <c r="E52" i="21"/>
  <c r="A65" i="21"/>
  <c r="M64" i="21"/>
  <c r="E51" i="21"/>
  <c r="E47" i="21"/>
  <c r="E48" i="21"/>
  <c r="E49" i="21"/>
  <c r="E50" i="21"/>
  <c r="K71" i="21" l="1"/>
  <c r="B35" i="21" s="1"/>
  <c r="K46" i="21"/>
  <c r="K55" i="21"/>
  <c r="K73" i="21"/>
  <c r="B37" i="21" s="1"/>
  <c r="A38" i="5"/>
  <c r="D37" i="5"/>
  <c r="J64" i="21"/>
  <c r="G64" i="21"/>
  <c r="F64" i="21"/>
  <c r="H64" i="21"/>
  <c r="I64" i="21"/>
  <c r="K72" i="21"/>
  <c r="B36" i="21" s="1"/>
  <c r="D64" i="21"/>
  <c r="E64" i="21"/>
  <c r="C65" i="21"/>
  <c r="K54" i="21"/>
  <c r="B18" i="21" s="1"/>
  <c r="K63" i="21"/>
  <c r="B27" i="21" s="1"/>
  <c r="K62" i="21"/>
  <c r="B26" i="21" s="1"/>
  <c r="B19" i="21"/>
  <c r="K58" i="21"/>
  <c r="B22" i="21" s="1"/>
  <c r="K59" i="21"/>
  <c r="B23" i="21" s="1"/>
  <c r="K61" i="21"/>
  <c r="B25" i="21" s="1"/>
  <c r="K56" i="21"/>
  <c r="B20" i="21" s="1"/>
  <c r="K60" i="21"/>
  <c r="B24" i="21" s="1"/>
  <c r="K57" i="21"/>
  <c r="B21" i="21" s="1"/>
  <c r="K52" i="21"/>
  <c r="B16" i="21" s="1"/>
  <c r="K53" i="21"/>
  <c r="B17" i="21" s="1"/>
  <c r="A66" i="21"/>
  <c r="M65" i="21"/>
  <c r="K51" i="21"/>
  <c r="B15" i="21" s="1"/>
  <c r="K48" i="21"/>
  <c r="B12" i="21" s="1"/>
  <c r="K50" i="21"/>
  <c r="B14" i="21" s="1"/>
  <c r="K47" i="21"/>
  <c r="B11" i="21" s="1"/>
  <c r="K49" i="21"/>
  <c r="B13" i="21" s="1"/>
  <c r="B4" i="5"/>
  <c r="B5" i="5" s="1"/>
  <c r="B6" i="5" s="1"/>
  <c r="B7" i="5" s="1"/>
  <c r="B8" i="5" s="1"/>
  <c r="B9" i="5" s="1"/>
  <c r="B10" i="5" s="1"/>
  <c r="B11" i="5" s="1"/>
  <c r="B12" i="5" s="1"/>
  <c r="B13" i="5" s="1"/>
  <c r="B14" i="5" s="1"/>
  <c r="B15" i="5" s="1"/>
  <c r="B16" i="5" s="1"/>
  <c r="B17" i="5" s="1"/>
  <c r="B18" i="5" s="1"/>
  <c r="B19" i="5" s="1"/>
  <c r="B20" i="5" s="1"/>
  <c r="B21" i="5" s="1"/>
  <c r="B22" i="5" s="1"/>
  <c r="B23" i="5" s="1"/>
  <c r="B24" i="5" s="1"/>
  <c r="C43" i="5"/>
  <c r="B10" i="21" l="1"/>
  <c r="A39" i="5"/>
  <c r="D38" i="5"/>
  <c r="F65" i="21"/>
  <c r="G65" i="21"/>
  <c r="H65" i="21"/>
  <c r="I65" i="21"/>
  <c r="J65" i="21"/>
  <c r="C36" i="5"/>
  <c r="C37" i="5"/>
  <c r="C38" i="5"/>
  <c r="C39" i="5"/>
  <c r="C25" i="5"/>
  <c r="C26" i="5"/>
  <c r="C27" i="5"/>
  <c r="C28" i="5"/>
  <c r="C29" i="5"/>
  <c r="C32" i="5"/>
  <c r="C33" i="5"/>
  <c r="C34" i="5"/>
  <c r="C35" i="5"/>
  <c r="D65" i="21"/>
  <c r="E65" i="21"/>
  <c r="C66" i="21"/>
  <c r="A67" i="21"/>
  <c r="M66" i="21"/>
  <c r="B25" i="5"/>
  <c r="B26" i="5" s="1"/>
  <c r="B27" i="5" s="1"/>
  <c r="B28" i="5" s="1"/>
  <c r="B29" i="5" s="1"/>
  <c r="B30" i="5" s="1"/>
  <c r="B31" i="5" s="1"/>
  <c r="B32" i="5" s="1"/>
  <c r="B33" i="5" s="1"/>
  <c r="B34" i="5" s="1"/>
  <c r="B35" i="5" s="1"/>
  <c r="B36" i="5" s="1"/>
  <c r="B37" i="5" s="1"/>
  <c r="B38" i="5" s="1"/>
  <c r="B39" i="5" s="1"/>
  <c r="B40" i="5" s="1"/>
  <c r="B41" i="5" s="1"/>
  <c r="B42" i="5" s="1"/>
  <c r="C13" i="5"/>
  <c r="C12" i="5"/>
  <c r="C18" i="5"/>
  <c r="C21" i="5"/>
  <c r="C22" i="5"/>
  <c r="C5" i="5"/>
  <c r="C31" i="5"/>
  <c r="C30" i="5"/>
  <c r="C24" i="5"/>
  <c r="C7" i="5"/>
  <c r="C17" i="5"/>
  <c r="C15" i="5"/>
  <c r="C6" i="5"/>
  <c r="C9" i="5"/>
  <c r="C20" i="5"/>
  <c r="C11" i="5"/>
  <c r="C23" i="5"/>
  <c r="C14" i="5"/>
  <c r="C19" i="5"/>
  <c r="C10" i="5"/>
  <c r="C8" i="5"/>
  <c r="C16" i="5"/>
  <c r="A40" i="5" l="1"/>
  <c r="D39" i="5"/>
  <c r="J36" i="47" s="1"/>
  <c r="H66" i="21"/>
  <c r="J66" i="21"/>
  <c r="F66" i="21"/>
  <c r="G66" i="21"/>
  <c r="I66" i="21"/>
  <c r="M75" i="51"/>
  <c r="S39" i="51"/>
  <c r="S38" i="51"/>
  <c r="K64" i="21"/>
  <c r="E66" i="21"/>
  <c r="D66" i="21"/>
  <c r="C67" i="21"/>
  <c r="M67" i="21"/>
  <c r="A68" i="21"/>
  <c r="B28" i="21" l="1"/>
  <c r="A41" i="5"/>
  <c r="D40" i="5"/>
  <c r="C40" i="5"/>
  <c r="G67" i="21"/>
  <c r="H67" i="21"/>
  <c r="I67" i="21"/>
  <c r="J67" i="21"/>
  <c r="F67" i="21"/>
  <c r="D67" i="21"/>
  <c r="E67" i="21"/>
  <c r="K65" i="21"/>
  <c r="B29" i="21" s="1"/>
  <c r="C68" i="21"/>
  <c r="A69" i="21"/>
  <c r="M68" i="21"/>
  <c r="Q24" i="41"/>
  <c r="Q23" i="41"/>
  <c r="Q26" i="41"/>
  <c r="Q25" i="41"/>
  <c r="Q27" i="41"/>
  <c r="R27" i="41" l="1"/>
  <c r="B27" i="41" s="1"/>
  <c r="R24" i="41"/>
  <c r="B24" i="41" s="1"/>
  <c r="D24" i="41" s="1"/>
  <c r="R26" i="41"/>
  <c r="B26" i="41" s="1"/>
  <c r="R23" i="41"/>
  <c r="B23" i="41" s="1"/>
  <c r="D23" i="41" s="1"/>
  <c r="E23" i="41" s="1"/>
  <c r="R25" i="41"/>
  <c r="B25" i="41" s="1"/>
  <c r="D25" i="41" s="1"/>
  <c r="M76" i="51"/>
  <c r="S40" i="51"/>
  <c r="A42" i="5"/>
  <c r="D41" i="5"/>
  <c r="C41" i="5"/>
  <c r="F68" i="21"/>
  <c r="I68" i="21"/>
  <c r="G68" i="21"/>
  <c r="H68" i="21"/>
  <c r="J68" i="21"/>
  <c r="K66" i="21"/>
  <c r="B30" i="21" s="1"/>
  <c r="D68" i="21"/>
  <c r="E68" i="21"/>
  <c r="C69" i="21"/>
  <c r="A70" i="21"/>
  <c r="A71" i="21" s="1"/>
  <c r="M69" i="21"/>
  <c r="E24" i="41" l="1"/>
  <c r="E25" i="41"/>
  <c r="D42" i="5"/>
  <c r="C42" i="5"/>
  <c r="I69" i="21"/>
  <c r="J69" i="21"/>
  <c r="F69" i="21"/>
  <c r="G69" i="21"/>
  <c r="H69" i="21"/>
  <c r="M71" i="21"/>
  <c r="A72" i="21"/>
  <c r="K67" i="21"/>
  <c r="B31" i="21" s="1"/>
  <c r="E69" i="21"/>
  <c r="D69" i="21"/>
  <c r="C70" i="21"/>
  <c r="M70" i="21"/>
  <c r="F70" i="21" l="1"/>
  <c r="G70" i="21"/>
  <c r="H70" i="21"/>
  <c r="I70" i="21"/>
  <c r="J70" i="21"/>
  <c r="A73" i="21"/>
  <c r="M73" i="21" s="1"/>
  <c r="M72" i="21"/>
  <c r="K68" i="21"/>
  <c r="B32" i="21" s="1"/>
  <c r="E70" i="21"/>
  <c r="D70" i="21"/>
  <c r="A74" i="21" l="1"/>
  <c r="A75" i="21" s="1"/>
  <c r="K69" i="21"/>
  <c r="B33" i="21" s="1"/>
  <c r="C74" i="21"/>
  <c r="H74" i="21" l="1"/>
  <c r="I74" i="21"/>
  <c r="J74" i="21"/>
  <c r="G74" i="21"/>
  <c r="F74" i="21"/>
  <c r="M74" i="21"/>
  <c r="K70" i="21"/>
  <c r="B34" i="21" s="1"/>
  <c r="D74" i="21"/>
  <c r="E74" i="21"/>
  <c r="M75" i="21"/>
  <c r="C75" i="21"/>
  <c r="F75" i="21" l="1"/>
  <c r="G75" i="21"/>
  <c r="J75" i="21"/>
  <c r="H75" i="21"/>
  <c r="I75" i="21"/>
  <c r="D75" i="21"/>
  <c r="E75" i="21"/>
  <c r="K74" i="21" l="1"/>
  <c r="B38" i="21" s="1"/>
  <c r="K75" i="21" l="1"/>
  <c r="B39" i="21" l="1"/>
  <c r="B40" i="21" s="1"/>
  <c r="K76" i="21"/>
  <c r="Q75" i="21"/>
  <c r="R75" i="21"/>
  <c r="X75" i="21" l="1"/>
  <c r="C39" i="21" s="1"/>
  <c r="D39" i="21" s="1"/>
  <c r="L57" i="41" s="1"/>
  <c r="M57" i="41" l="1"/>
  <c r="N57" i="41" s="1"/>
  <c r="C57" i="41" s="1"/>
  <c r="E39" i="21"/>
  <c r="O62" i="21"/>
  <c r="O65" i="21"/>
  <c r="O61" i="21"/>
  <c r="P213" i="51" l="1"/>
  <c r="G213" i="51"/>
  <c r="P211" i="51"/>
  <c r="P203" i="51"/>
  <c r="P202" i="51"/>
  <c r="P208" i="51"/>
  <c r="P206" i="51"/>
  <c r="P210" i="51"/>
  <c r="P212" i="51"/>
  <c r="O60" i="21"/>
  <c r="P201" i="51"/>
  <c r="O63" i="21"/>
  <c r="P204" i="51"/>
  <c r="O64" i="21"/>
  <c r="P205" i="51"/>
  <c r="O66" i="21"/>
  <c r="P207" i="51"/>
  <c r="P209" i="51"/>
  <c r="P214" i="51"/>
  <c r="G73" i="51" l="1"/>
  <c r="M37" i="51"/>
  <c r="O59" i="21"/>
  <c r="P200" i="51"/>
  <c r="P187" i="51"/>
  <c r="O46" i="21"/>
  <c r="P190" i="51"/>
  <c r="O49" i="21"/>
  <c r="O57" i="21"/>
  <c r="P198" i="51"/>
  <c r="O50" i="21"/>
  <c r="P191" i="51"/>
  <c r="O54" i="21"/>
  <c r="P195" i="51"/>
  <c r="O53" i="21"/>
  <c r="P194" i="51"/>
  <c r="P188" i="51"/>
  <c r="O47" i="21"/>
  <c r="O51" i="21"/>
  <c r="P192" i="51"/>
  <c r="O55" i="21"/>
  <c r="P196" i="51"/>
  <c r="O56" i="21"/>
  <c r="P197" i="51"/>
  <c r="O52" i="21"/>
  <c r="P193" i="51"/>
  <c r="O48" i="21"/>
  <c r="P189" i="51"/>
  <c r="O58" i="21"/>
  <c r="P199" i="51"/>
  <c r="N48" i="21"/>
  <c r="Q187" i="51"/>
  <c r="T187" i="51" s="1"/>
  <c r="U187" i="51" s="1"/>
  <c r="N59" i="21"/>
  <c r="J206" i="51"/>
  <c r="N65" i="21"/>
  <c r="J197" i="51"/>
  <c r="N56" i="21"/>
  <c r="N50" i="21"/>
  <c r="N52" i="21"/>
  <c r="J192" i="51"/>
  <c r="N62" i="21"/>
  <c r="J188" i="51"/>
  <c r="G195" i="51"/>
  <c r="Q205" i="51"/>
  <c r="N64" i="21"/>
  <c r="N49" i="21"/>
  <c r="G211" i="51"/>
  <c r="G199" i="51"/>
  <c r="N58" i="21"/>
  <c r="J213" i="51"/>
  <c r="Q194" i="51"/>
  <c r="G210" i="51"/>
  <c r="G207" i="51"/>
  <c r="J204" i="51"/>
  <c r="N57" i="21"/>
  <c r="G202" i="51"/>
  <c r="N61" i="21"/>
  <c r="P46" i="21" l="1"/>
  <c r="S46" i="21" s="1"/>
  <c r="G55" i="51"/>
  <c r="M19" i="51"/>
  <c r="G62" i="51"/>
  <c r="M26" i="51"/>
  <c r="G70" i="51"/>
  <c r="M34" i="51"/>
  <c r="G71" i="51"/>
  <c r="M35" i="51"/>
  <c r="G67" i="51"/>
  <c r="M31" i="51"/>
  <c r="G59" i="51"/>
  <c r="M23" i="51"/>
  <c r="Q211" i="51"/>
  <c r="T211" i="51" s="1"/>
  <c r="Q202" i="51"/>
  <c r="P61" i="21" s="1"/>
  <c r="N63" i="21"/>
  <c r="J208" i="51"/>
  <c r="Q207" i="51"/>
  <c r="P66" i="21" s="1"/>
  <c r="N66" i="21"/>
  <c r="G192" i="51"/>
  <c r="G197" i="51"/>
  <c r="J190" i="51"/>
  <c r="N47" i="21"/>
  <c r="G204" i="51"/>
  <c r="Q192" i="51"/>
  <c r="P51" i="21" s="1"/>
  <c r="G194" i="51"/>
  <c r="G209" i="51"/>
  <c r="G193" i="51"/>
  <c r="Q74" i="21"/>
  <c r="R74" i="21"/>
  <c r="P64" i="21"/>
  <c r="G203" i="51"/>
  <c r="Q203" i="51"/>
  <c r="J203" i="51"/>
  <c r="Q201" i="51"/>
  <c r="J201" i="51"/>
  <c r="H199" i="51"/>
  <c r="J202" i="51"/>
  <c r="H202" i="51"/>
  <c r="N53" i="21"/>
  <c r="N51" i="21"/>
  <c r="H210" i="51"/>
  <c r="Q189" i="51"/>
  <c r="J189" i="51"/>
  <c r="G189" i="51"/>
  <c r="Q196" i="51"/>
  <c r="G196" i="51"/>
  <c r="J209" i="51"/>
  <c r="Q209" i="51"/>
  <c r="J198" i="51"/>
  <c r="G198" i="51"/>
  <c r="P53" i="21"/>
  <c r="J211" i="51"/>
  <c r="H211" i="51"/>
  <c r="Q214" i="51"/>
  <c r="P73" i="21" s="1"/>
  <c r="Q208" i="51"/>
  <c r="G200" i="51"/>
  <c r="J200" i="51"/>
  <c r="Q204" i="51"/>
  <c r="G212" i="51"/>
  <c r="J196" i="51"/>
  <c r="Q199" i="51"/>
  <c r="J199" i="51"/>
  <c r="J212" i="51"/>
  <c r="Q212" i="51"/>
  <c r="P71" i="21" s="1"/>
  <c r="Q210" i="51"/>
  <c r="Q198" i="51"/>
  <c r="J205" i="51"/>
  <c r="G205" i="51"/>
  <c r="Q195" i="51"/>
  <c r="H195" i="51"/>
  <c r="J207" i="51"/>
  <c r="H207" i="51"/>
  <c r="Q213" i="51"/>
  <c r="P72" i="21" s="1"/>
  <c r="H213" i="51"/>
  <c r="Q190" i="51"/>
  <c r="G190" i="51"/>
  <c r="Q188" i="51"/>
  <c r="G188" i="51"/>
  <c r="J193" i="51"/>
  <c r="Q193" i="51"/>
  <c r="G208" i="51"/>
  <c r="G206" i="51"/>
  <c r="G201" i="51"/>
  <c r="Q200" i="51"/>
  <c r="Q197" i="51"/>
  <c r="T207" i="51"/>
  <c r="Q206" i="51"/>
  <c r="Q191" i="51"/>
  <c r="J191" i="51"/>
  <c r="G191" i="51"/>
  <c r="N54" i="21"/>
  <c r="N55" i="21"/>
  <c r="N60" i="21"/>
  <c r="J195" i="51"/>
  <c r="J210" i="51"/>
  <c r="J194" i="51"/>
  <c r="T46" i="21" l="1"/>
  <c r="Q46" i="21"/>
  <c r="R46" i="21"/>
  <c r="V46" i="21"/>
  <c r="U46" i="21"/>
  <c r="W46" i="21"/>
  <c r="S53" i="21"/>
  <c r="T53" i="21"/>
  <c r="U53" i="21"/>
  <c r="W53" i="21"/>
  <c r="V53" i="21"/>
  <c r="T64" i="21"/>
  <c r="U64" i="21"/>
  <c r="V64" i="21"/>
  <c r="W64" i="21"/>
  <c r="S64" i="21"/>
  <c r="S72" i="21"/>
  <c r="T72" i="21"/>
  <c r="U72" i="21"/>
  <c r="V72" i="21"/>
  <c r="W72" i="21"/>
  <c r="V66" i="21"/>
  <c r="W66" i="21"/>
  <c r="S66" i="21"/>
  <c r="T66" i="21"/>
  <c r="U66" i="21"/>
  <c r="U71" i="21"/>
  <c r="V71" i="21"/>
  <c r="W71" i="21"/>
  <c r="T71" i="21"/>
  <c r="S71" i="21"/>
  <c r="W61" i="21"/>
  <c r="S61" i="21"/>
  <c r="T61" i="21"/>
  <c r="U61" i="21"/>
  <c r="V61" i="21"/>
  <c r="W73" i="21"/>
  <c r="S73" i="21"/>
  <c r="T73" i="21"/>
  <c r="U73" i="21"/>
  <c r="V73" i="21"/>
  <c r="T51" i="21"/>
  <c r="S51" i="21"/>
  <c r="U51" i="21"/>
  <c r="V51" i="21"/>
  <c r="W51" i="21"/>
  <c r="G61" i="51"/>
  <c r="M25" i="51"/>
  <c r="G53" i="51"/>
  <c r="M17" i="51"/>
  <c r="G66" i="51"/>
  <c r="M30" i="51"/>
  <c r="I71" i="51"/>
  <c r="K71" i="51" s="1"/>
  <c r="C32" i="47"/>
  <c r="T202" i="51"/>
  <c r="U202" i="51" s="1"/>
  <c r="G63" i="51"/>
  <c r="M27" i="51"/>
  <c r="G47" i="51"/>
  <c r="M11" i="51"/>
  <c r="F55" i="51"/>
  <c r="L19" i="51"/>
  <c r="H200" i="51"/>
  <c r="G60" i="51"/>
  <c r="M24" i="51"/>
  <c r="T205" i="51"/>
  <c r="G65" i="51"/>
  <c r="M29" i="51"/>
  <c r="F62" i="51"/>
  <c r="L26" i="51"/>
  <c r="M197" i="51"/>
  <c r="O21" i="51" s="1"/>
  <c r="Q21" i="51" s="1"/>
  <c r="G57" i="51"/>
  <c r="M21" i="51"/>
  <c r="H208" i="51"/>
  <c r="G68" i="51"/>
  <c r="M32" i="51"/>
  <c r="F71" i="51"/>
  <c r="L35" i="51"/>
  <c r="G49" i="51"/>
  <c r="M13" i="51"/>
  <c r="F59" i="51"/>
  <c r="L23" i="51"/>
  <c r="H197" i="51"/>
  <c r="G72" i="51"/>
  <c r="M36" i="51"/>
  <c r="F67" i="51"/>
  <c r="L31" i="51"/>
  <c r="M188" i="51"/>
  <c r="O12" i="51" s="1"/>
  <c r="Q12" i="51" s="1"/>
  <c r="G48" i="51"/>
  <c r="M12" i="51"/>
  <c r="G51" i="51"/>
  <c r="M15" i="51"/>
  <c r="G50" i="51"/>
  <c r="M14" i="51"/>
  <c r="G56" i="51"/>
  <c r="M20" i="51"/>
  <c r="H209" i="51"/>
  <c r="G69" i="51"/>
  <c r="M33" i="51"/>
  <c r="H192" i="51"/>
  <c r="G52" i="51"/>
  <c r="M16" i="51"/>
  <c r="F73" i="51"/>
  <c r="L37" i="51"/>
  <c r="G54" i="51"/>
  <c r="M18" i="51"/>
  <c r="I67" i="51"/>
  <c r="K67" i="51" s="1"/>
  <c r="C28" i="47"/>
  <c r="H198" i="51"/>
  <c r="G58" i="51"/>
  <c r="M22" i="51"/>
  <c r="F70" i="51"/>
  <c r="L34" i="51"/>
  <c r="G64" i="51"/>
  <c r="M28" i="51"/>
  <c r="M190" i="51"/>
  <c r="O14" i="51" s="1"/>
  <c r="Q14" i="51" s="1"/>
  <c r="T194" i="51"/>
  <c r="U194" i="51" s="1"/>
  <c r="M204" i="51"/>
  <c r="O28" i="51" s="1"/>
  <c r="Q28" i="51" s="1"/>
  <c r="H204" i="51"/>
  <c r="H194" i="51"/>
  <c r="M192" i="51"/>
  <c r="O16" i="51" s="1"/>
  <c r="Q16" i="51" s="1"/>
  <c r="P70" i="21"/>
  <c r="T192" i="51"/>
  <c r="O11" i="51"/>
  <c r="Q11" i="51" s="1"/>
  <c r="N188" i="51"/>
  <c r="N12" i="51" s="1"/>
  <c r="P12" i="51" s="1"/>
  <c r="H193" i="51"/>
  <c r="P56" i="21"/>
  <c r="T197" i="51"/>
  <c r="R61" i="21"/>
  <c r="Q61" i="21"/>
  <c r="P59" i="21"/>
  <c r="T200" i="51"/>
  <c r="T190" i="51"/>
  <c r="P49" i="21"/>
  <c r="U49" i="21" s="1"/>
  <c r="P67" i="21"/>
  <c r="T208" i="51"/>
  <c r="R64" i="21"/>
  <c r="Q64" i="21"/>
  <c r="H191" i="51"/>
  <c r="T195" i="51"/>
  <c r="P54" i="21"/>
  <c r="V54" i="21" s="1"/>
  <c r="M213" i="51"/>
  <c r="O37" i="51" s="1"/>
  <c r="Q37" i="51" s="1"/>
  <c r="H201" i="51"/>
  <c r="H190" i="51"/>
  <c r="T210" i="51"/>
  <c r="P69" i="21"/>
  <c r="H196" i="51"/>
  <c r="M203" i="51"/>
  <c r="O27" i="51" s="1"/>
  <c r="Q27" i="51" s="1"/>
  <c r="M195" i="51"/>
  <c r="O19" i="51" s="1"/>
  <c r="Q19" i="51" s="1"/>
  <c r="T188" i="51"/>
  <c r="P47" i="21"/>
  <c r="P58" i="21"/>
  <c r="W58" i="21" s="1"/>
  <c r="T199" i="51"/>
  <c r="P68" i="21"/>
  <c r="T209" i="51"/>
  <c r="M202" i="51"/>
  <c r="O26" i="51" s="1"/>
  <c r="Q26" i="51" s="1"/>
  <c r="M191" i="51"/>
  <c r="O15" i="51" s="1"/>
  <c r="Q15" i="51" s="1"/>
  <c r="R53" i="21"/>
  <c r="Q53" i="21"/>
  <c r="P50" i="21"/>
  <c r="T191" i="51"/>
  <c r="M196" i="51"/>
  <c r="O20" i="51" s="1"/>
  <c r="Q20" i="51" s="1"/>
  <c r="M193" i="51"/>
  <c r="O17" i="51" s="1"/>
  <c r="Q17" i="51" s="1"/>
  <c r="M205" i="51"/>
  <c r="O29" i="51" s="1"/>
  <c r="Q29" i="51" s="1"/>
  <c r="M212" i="51"/>
  <c r="O36" i="51" s="1"/>
  <c r="Q36" i="51" s="1"/>
  <c r="T214" i="51"/>
  <c r="M198" i="51"/>
  <c r="O22" i="51" s="1"/>
  <c r="Q22" i="51" s="1"/>
  <c r="H189" i="51"/>
  <c r="P55" i="21"/>
  <c r="T196" i="51"/>
  <c r="R66" i="21"/>
  <c r="Q66" i="21"/>
  <c r="M208" i="51"/>
  <c r="O32" i="51" s="1"/>
  <c r="Q32" i="51" s="1"/>
  <c r="T198" i="51"/>
  <c r="P57" i="21"/>
  <c r="T189" i="51"/>
  <c r="P48" i="21"/>
  <c r="M201" i="51"/>
  <c r="O25" i="51" s="1"/>
  <c r="Q25" i="51" s="1"/>
  <c r="H203" i="51"/>
  <c r="H212" i="51"/>
  <c r="M207" i="51"/>
  <c r="O31" i="51" s="1"/>
  <c r="Q31" i="51" s="1"/>
  <c r="M211" i="51"/>
  <c r="O35" i="51" s="1"/>
  <c r="Q35" i="51" s="1"/>
  <c r="M209" i="51"/>
  <c r="O33" i="51" s="1"/>
  <c r="Q33" i="51" s="1"/>
  <c r="R51" i="21"/>
  <c r="Q51" i="21"/>
  <c r="P52" i="21"/>
  <c r="T193" i="51"/>
  <c r="T212" i="51"/>
  <c r="M189" i="51"/>
  <c r="O13" i="51" s="1"/>
  <c r="Q13" i="51" s="1"/>
  <c r="H205" i="51"/>
  <c r="T203" i="51"/>
  <c r="P62" i="21"/>
  <c r="M194" i="51"/>
  <c r="O18" i="51" s="1"/>
  <c r="Q18" i="51" s="1"/>
  <c r="H206" i="51"/>
  <c r="T213" i="51"/>
  <c r="P63" i="21"/>
  <c r="T204" i="51"/>
  <c r="M210" i="51"/>
  <c r="O34" i="51" s="1"/>
  <c r="Q34" i="51" s="1"/>
  <c r="T206" i="51"/>
  <c r="P65" i="21"/>
  <c r="H188" i="51"/>
  <c r="M199" i="51"/>
  <c r="O23" i="51" s="1"/>
  <c r="Q23" i="51" s="1"/>
  <c r="M200" i="51"/>
  <c r="O24" i="51" s="1"/>
  <c r="Q24" i="51" s="1"/>
  <c r="U211" i="51"/>
  <c r="P60" i="21"/>
  <c r="T201" i="51"/>
  <c r="M206" i="51"/>
  <c r="O30" i="51" s="1"/>
  <c r="Q30" i="51" s="1"/>
  <c r="U207" i="51"/>
  <c r="N197" i="51" l="1"/>
  <c r="N21" i="51" s="1"/>
  <c r="P21" i="51" s="1"/>
  <c r="W54" i="21"/>
  <c r="U54" i="21"/>
  <c r="T54" i="21"/>
  <c r="S54" i="21"/>
  <c r="U59" i="21"/>
  <c r="V59" i="21"/>
  <c r="W59" i="21"/>
  <c r="S59" i="21"/>
  <c r="T59" i="21"/>
  <c r="S56" i="21"/>
  <c r="T56" i="21"/>
  <c r="U56" i="21"/>
  <c r="V56" i="21"/>
  <c r="W56" i="21"/>
  <c r="S50" i="21"/>
  <c r="T50" i="21"/>
  <c r="U50" i="21"/>
  <c r="V50" i="21"/>
  <c r="W50" i="21"/>
  <c r="T52" i="21"/>
  <c r="U52" i="21"/>
  <c r="V52" i="21"/>
  <c r="W52" i="21"/>
  <c r="S52" i="21"/>
  <c r="S69" i="21"/>
  <c r="T69" i="21"/>
  <c r="U69" i="21"/>
  <c r="V69" i="21"/>
  <c r="W69" i="21"/>
  <c r="S55" i="21"/>
  <c r="T55" i="21"/>
  <c r="U55" i="21"/>
  <c r="V55" i="21"/>
  <c r="W55" i="21"/>
  <c r="S67" i="21"/>
  <c r="T67" i="21"/>
  <c r="U67" i="21"/>
  <c r="V67" i="21"/>
  <c r="W67" i="21"/>
  <c r="S48" i="21"/>
  <c r="T48" i="21"/>
  <c r="U48" i="21"/>
  <c r="V48" i="21"/>
  <c r="W48" i="21"/>
  <c r="S60" i="21"/>
  <c r="T60" i="21"/>
  <c r="U60" i="21"/>
  <c r="V60" i="21"/>
  <c r="W60" i="21"/>
  <c r="S62" i="21"/>
  <c r="T62" i="21"/>
  <c r="U62" i="21"/>
  <c r="V62" i="21"/>
  <c r="W62" i="21"/>
  <c r="W49" i="21"/>
  <c r="S49" i="21"/>
  <c r="T49" i="21"/>
  <c r="V49" i="21"/>
  <c r="S58" i="21"/>
  <c r="V58" i="21"/>
  <c r="T58" i="21"/>
  <c r="U58" i="21"/>
  <c r="S57" i="21"/>
  <c r="T57" i="21"/>
  <c r="U57" i="21"/>
  <c r="V57" i="21"/>
  <c r="W57" i="21"/>
  <c r="Q70" i="21"/>
  <c r="S70" i="21"/>
  <c r="U70" i="21"/>
  <c r="T70" i="21"/>
  <c r="V70" i="21"/>
  <c r="W70" i="21"/>
  <c r="S65" i="21"/>
  <c r="T65" i="21"/>
  <c r="V65" i="21"/>
  <c r="U65" i="21"/>
  <c r="W65" i="21"/>
  <c r="S47" i="21"/>
  <c r="T47" i="21"/>
  <c r="U47" i="21"/>
  <c r="V47" i="21"/>
  <c r="W47" i="21"/>
  <c r="U63" i="21"/>
  <c r="S63" i="21"/>
  <c r="T63" i="21"/>
  <c r="W63" i="21"/>
  <c r="V63" i="21"/>
  <c r="S68" i="21"/>
  <c r="T68" i="21"/>
  <c r="U68" i="21"/>
  <c r="V68" i="21"/>
  <c r="W68" i="21"/>
  <c r="N190" i="51"/>
  <c r="N14" i="51" s="1"/>
  <c r="P14" i="51" s="1"/>
  <c r="R14" i="51" s="1"/>
  <c r="I31" i="41" s="1"/>
  <c r="H67" i="51"/>
  <c r="J67" i="51" s="1"/>
  <c r="L67" i="51" s="1"/>
  <c r="B28" i="47"/>
  <c r="F58" i="51"/>
  <c r="L22" i="51"/>
  <c r="F48" i="51"/>
  <c r="L12" i="51"/>
  <c r="I68" i="51"/>
  <c r="K68" i="51" s="1"/>
  <c r="C29" i="47"/>
  <c r="U197" i="51"/>
  <c r="I57" i="51"/>
  <c r="K57" i="51" s="1"/>
  <c r="C18" i="47"/>
  <c r="U192" i="51"/>
  <c r="I52" i="51"/>
  <c r="K52" i="51" s="1"/>
  <c r="C13" i="47"/>
  <c r="F52" i="51"/>
  <c r="L16" i="51"/>
  <c r="U201" i="51"/>
  <c r="I61" i="51"/>
  <c r="K61" i="51" s="1"/>
  <c r="C22" i="47"/>
  <c r="I56" i="51"/>
  <c r="K56" i="51" s="1"/>
  <c r="C17" i="47"/>
  <c r="I55" i="51"/>
  <c r="K55" i="51" s="1"/>
  <c r="C16" i="47"/>
  <c r="F57" i="51"/>
  <c r="L21" i="51"/>
  <c r="U212" i="51"/>
  <c r="I72" i="51"/>
  <c r="K72" i="51" s="1"/>
  <c r="C33" i="47"/>
  <c r="U193" i="51"/>
  <c r="I53" i="51"/>
  <c r="K53" i="51" s="1"/>
  <c r="C14" i="47"/>
  <c r="U188" i="51"/>
  <c r="I48" i="51"/>
  <c r="K48" i="51" s="1"/>
  <c r="C9" i="47"/>
  <c r="F66" i="51"/>
  <c r="L30" i="51"/>
  <c r="F63" i="51"/>
  <c r="L27" i="51"/>
  <c r="F56" i="51"/>
  <c r="L20" i="51"/>
  <c r="F51" i="51"/>
  <c r="L15" i="51"/>
  <c r="F68" i="51"/>
  <c r="L32" i="51"/>
  <c r="F47" i="51"/>
  <c r="U203" i="51"/>
  <c r="I63" i="51"/>
  <c r="K63" i="51" s="1"/>
  <c r="C24" i="47"/>
  <c r="U189" i="51"/>
  <c r="I49" i="51"/>
  <c r="K49" i="51" s="1"/>
  <c r="C10" i="47"/>
  <c r="U190" i="51"/>
  <c r="I50" i="51"/>
  <c r="K50" i="51" s="1"/>
  <c r="C11" i="47"/>
  <c r="I47" i="51"/>
  <c r="K47" i="51" s="1"/>
  <c r="C8" i="47"/>
  <c r="L33" i="51"/>
  <c r="F69" i="51"/>
  <c r="H71" i="51"/>
  <c r="J71" i="51" s="1"/>
  <c r="L71" i="51" s="1"/>
  <c r="B32" i="47"/>
  <c r="F65" i="51"/>
  <c r="L29" i="51"/>
  <c r="N204" i="51"/>
  <c r="N28" i="51" s="1"/>
  <c r="P28" i="51" s="1"/>
  <c r="R28" i="51" s="1"/>
  <c r="I51" i="51"/>
  <c r="K51" i="51" s="1"/>
  <c r="C12" i="47"/>
  <c r="I59" i="51"/>
  <c r="K59" i="51" s="1"/>
  <c r="C20" i="47"/>
  <c r="U210" i="51"/>
  <c r="I70" i="51"/>
  <c r="K70" i="51" s="1"/>
  <c r="C31" i="47"/>
  <c r="I60" i="51"/>
  <c r="K60" i="51" s="1"/>
  <c r="C21" i="47"/>
  <c r="L17" i="51"/>
  <c r="F53" i="51"/>
  <c r="F54" i="51"/>
  <c r="L18" i="51"/>
  <c r="L25" i="51"/>
  <c r="F61" i="51"/>
  <c r="H62" i="51"/>
  <c r="J62" i="51" s="1"/>
  <c r="B23" i="47"/>
  <c r="I73" i="51"/>
  <c r="K73" i="51" s="1"/>
  <c r="C34" i="47"/>
  <c r="F72" i="51"/>
  <c r="L36" i="51"/>
  <c r="F49" i="51"/>
  <c r="L13" i="51"/>
  <c r="H54" i="51"/>
  <c r="J54" i="51" s="1"/>
  <c r="B15" i="47"/>
  <c r="I54" i="51"/>
  <c r="K54" i="51" s="1"/>
  <c r="C15" i="47"/>
  <c r="I74" i="51"/>
  <c r="K74" i="51" s="1"/>
  <c r="C35" i="47"/>
  <c r="I69" i="51"/>
  <c r="K69" i="51" s="1"/>
  <c r="C30" i="47"/>
  <c r="U205" i="51"/>
  <c r="I65" i="51"/>
  <c r="K65" i="51" s="1"/>
  <c r="C26" i="47"/>
  <c r="U206" i="51"/>
  <c r="I66" i="51"/>
  <c r="K66" i="51" s="1"/>
  <c r="C27" i="47"/>
  <c r="U204" i="51"/>
  <c r="I64" i="51"/>
  <c r="K64" i="51" s="1"/>
  <c r="C25" i="47"/>
  <c r="U198" i="51"/>
  <c r="I58" i="51"/>
  <c r="K58" i="51" s="1"/>
  <c r="C19" i="47"/>
  <c r="F50" i="51"/>
  <c r="L14" i="51"/>
  <c r="F64" i="51"/>
  <c r="L28" i="51"/>
  <c r="F60" i="51"/>
  <c r="L24" i="51"/>
  <c r="I62" i="51"/>
  <c r="K62" i="51" s="1"/>
  <c r="C23" i="47"/>
  <c r="R70" i="21"/>
  <c r="R21" i="51"/>
  <c r="I38" i="41" s="1"/>
  <c r="X74" i="21"/>
  <c r="C38" i="21" s="1"/>
  <c r="D38" i="21" s="1"/>
  <c r="L56" i="41" s="1"/>
  <c r="N198" i="51"/>
  <c r="N196" i="51"/>
  <c r="R12" i="51"/>
  <c r="I29" i="41" s="1"/>
  <c r="N210" i="51"/>
  <c r="N192" i="51"/>
  <c r="N16" i="51" s="1"/>
  <c r="P16" i="51" s="1"/>
  <c r="N199" i="51"/>
  <c r="R68" i="21"/>
  <c r="Q68" i="21"/>
  <c r="N195" i="51"/>
  <c r="U195" i="51"/>
  <c r="R63" i="21"/>
  <c r="Q63" i="21"/>
  <c r="N194" i="51"/>
  <c r="N212" i="51"/>
  <c r="R69" i="21"/>
  <c r="Q69" i="21"/>
  <c r="R56" i="21"/>
  <c r="Q56" i="21"/>
  <c r="R50" i="21"/>
  <c r="Q50" i="21"/>
  <c r="R67" i="21"/>
  <c r="Q67" i="21"/>
  <c r="R59" i="21"/>
  <c r="Q59" i="21"/>
  <c r="R72" i="21"/>
  <c r="Q72" i="21"/>
  <c r="R71" i="21"/>
  <c r="Q71" i="21"/>
  <c r="N201" i="51"/>
  <c r="R55" i="21"/>
  <c r="Q55" i="21"/>
  <c r="N205" i="51"/>
  <c r="U191" i="51"/>
  <c r="N191" i="51"/>
  <c r="U199" i="51"/>
  <c r="N203" i="51"/>
  <c r="U208" i="51"/>
  <c r="U200" i="51"/>
  <c r="N189" i="51"/>
  <c r="Q62" i="21"/>
  <c r="R62" i="21"/>
  <c r="R58" i="21"/>
  <c r="Q58" i="21"/>
  <c r="N206" i="51"/>
  <c r="N30" i="51" s="1"/>
  <c r="P30" i="51" s="1"/>
  <c r="U213" i="51"/>
  <c r="R48" i="21"/>
  <c r="Q48" i="21"/>
  <c r="U196" i="51"/>
  <c r="R73" i="21"/>
  <c r="Q73" i="21"/>
  <c r="R47" i="21"/>
  <c r="Q47" i="21"/>
  <c r="R65" i="21"/>
  <c r="Q65" i="21"/>
  <c r="R57" i="21"/>
  <c r="Q57" i="21"/>
  <c r="R60" i="21"/>
  <c r="Q60" i="21"/>
  <c r="N200" i="51"/>
  <c r="N209" i="51"/>
  <c r="N211" i="51"/>
  <c r="U214" i="51"/>
  <c r="N193" i="51"/>
  <c r="N202" i="51"/>
  <c r="N213" i="51"/>
  <c r="N37" i="51" s="1"/>
  <c r="P37" i="51" s="1"/>
  <c r="R52" i="21"/>
  <c r="Q52" i="21"/>
  <c r="N207" i="51"/>
  <c r="N208" i="51"/>
  <c r="N32" i="51" s="1"/>
  <c r="P32" i="51" s="1"/>
  <c r="U209" i="51"/>
  <c r="R54" i="21"/>
  <c r="Q54" i="21"/>
  <c r="R49" i="21"/>
  <c r="Q49" i="21"/>
  <c r="D8" i="47" l="1"/>
  <c r="F8" i="47"/>
  <c r="H8" i="47" s="1"/>
  <c r="E8" i="47"/>
  <c r="X47" i="21"/>
  <c r="M56" i="41"/>
  <c r="N56" i="41" s="1"/>
  <c r="D23" i="47"/>
  <c r="E23" i="47"/>
  <c r="F23" i="47"/>
  <c r="H23" i="47" s="1"/>
  <c r="F32" i="47"/>
  <c r="H32" i="47" s="1"/>
  <c r="D32" i="47"/>
  <c r="E32" i="47"/>
  <c r="E28" i="47"/>
  <c r="D28" i="47"/>
  <c r="F28" i="47"/>
  <c r="H28" i="47" s="1"/>
  <c r="D15" i="47"/>
  <c r="E15" i="47"/>
  <c r="F15" i="47"/>
  <c r="H15" i="47" s="1"/>
  <c r="I28" i="41"/>
  <c r="H69" i="51"/>
  <c r="J69" i="51" s="1"/>
  <c r="L69" i="51" s="1"/>
  <c r="B30" i="47"/>
  <c r="N35" i="51"/>
  <c r="P35" i="51" s="1"/>
  <c r="R35" i="51" s="1"/>
  <c r="H56" i="51"/>
  <c r="J56" i="51" s="1"/>
  <c r="L56" i="51" s="1"/>
  <c r="B17" i="47"/>
  <c r="N29" i="51"/>
  <c r="P29" i="51" s="1"/>
  <c r="R29" i="51" s="1"/>
  <c r="N19" i="51"/>
  <c r="P19" i="51" s="1"/>
  <c r="R19" i="51" s="1"/>
  <c r="N34" i="51"/>
  <c r="P34" i="51" s="1"/>
  <c r="R34" i="51" s="1"/>
  <c r="H70" i="51"/>
  <c r="J70" i="51" s="1"/>
  <c r="L70" i="51" s="1"/>
  <c r="B31" i="47"/>
  <c r="H50" i="51"/>
  <c r="J50" i="51" s="1"/>
  <c r="L50" i="51" s="1"/>
  <c r="B11" i="47"/>
  <c r="H53" i="51"/>
  <c r="J53" i="51" s="1"/>
  <c r="L53" i="51" s="1"/>
  <c r="B14" i="47"/>
  <c r="H51" i="51"/>
  <c r="J51" i="51" s="1"/>
  <c r="L51" i="51" s="1"/>
  <c r="B12" i="47"/>
  <c r="H64" i="51"/>
  <c r="J64" i="51" s="1"/>
  <c r="L64" i="51" s="1"/>
  <c r="B25" i="47"/>
  <c r="N33" i="51"/>
  <c r="P33" i="51" s="1"/>
  <c r="R33" i="51" s="1"/>
  <c r="N13" i="51"/>
  <c r="P13" i="51" s="1"/>
  <c r="R13" i="51" s="1"/>
  <c r="J52" i="41"/>
  <c r="M71" i="51"/>
  <c r="H74" i="51"/>
  <c r="J74" i="51" s="1"/>
  <c r="L74" i="51" s="1"/>
  <c r="B35" i="47"/>
  <c r="H63" i="51"/>
  <c r="J63" i="51" s="1"/>
  <c r="L63" i="51" s="1"/>
  <c r="B24" i="47"/>
  <c r="N31" i="51"/>
  <c r="P31" i="51" s="1"/>
  <c r="R31" i="51" s="1"/>
  <c r="H60" i="51"/>
  <c r="J60" i="51" s="1"/>
  <c r="L60" i="51" s="1"/>
  <c r="B21" i="47"/>
  <c r="H66" i="51"/>
  <c r="J66" i="51" s="1"/>
  <c r="L66" i="51" s="1"/>
  <c r="B27" i="47"/>
  <c r="S28" i="51"/>
  <c r="I45" i="41"/>
  <c r="H72" i="51"/>
  <c r="J72" i="51" s="1"/>
  <c r="L72" i="51" s="1"/>
  <c r="B33" i="47"/>
  <c r="N26" i="51"/>
  <c r="P26" i="51" s="1"/>
  <c r="R26" i="51" s="1"/>
  <c r="N27" i="51"/>
  <c r="P27" i="51" s="1"/>
  <c r="R27" i="51" s="1"/>
  <c r="H58" i="51"/>
  <c r="J58" i="51" s="1"/>
  <c r="L58" i="51" s="1"/>
  <c r="B19" i="47"/>
  <c r="N15" i="51"/>
  <c r="P15" i="51" s="1"/>
  <c r="R15" i="51" s="1"/>
  <c r="N18" i="51"/>
  <c r="P18" i="51" s="1"/>
  <c r="R18" i="51" s="1"/>
  <c r="H47" i="51"/>
  <c r="H55" i="51"/>
  <c r="J55" i="51" s="1"/>
  <c r="L55" i="51" s="1"/>
  <c r="B16" i="47"/>
  <c r="N24" i="51"/>
  <c r="P24" i="51" s="1"/>
  <c r="R24" i="51" s="1"/>
  <c r="N20" i="51"/>
  <c r="P20" i="51" s="1"/>
  <c r="R20" i="51" s="1"/>
  <c r="H52" i="51"/>
  <c r="J52" i="51" s="1"/>
  <c r="L52" i="51" s="1"/>
  <c r="B13" i="47"/>
  <c r="H73" i="51"/>
  <c r="J73" i="51" s="1"/>
  <c r="L73" i="51" s="1"/>
  <c r="B34" i="47"/>
  <c r="H68" i="51"/>
  <c r="J68" i="51" s="1"/>
  <c r="L68" i="51" s="1"/>
  <c r="B29" i="47"/>
  <c r="N25" i="51"/>
  <c r="P25" i="51" s="1"/>
  <c r="R25" i="51" s="1"/>
  <c r="N22" i="51"/>
  <c r="P22" i="51" s="1"/>
  <c r="R22" i="51" s="1"/>
  <c r="H49" i="51"/>
  <c r="J49" i="51" s="1"/>
  <c r="L49" i="51" s="1"/>
  <c r="B10" i="47"/>
  <c r="N17" i="51"/>
  <c r="P17" i="51" s="1"/>
  <c r="R17" i="51" s="1"/>
  <c r="H59" i="51"/>
  <c r="J59" i="51" s="1"/>
  <c r="L59" i="51" s="1"/>
  <c r="B20" i="47"/>
  <c r="N36" i="51"/>
  <c r="P36" i="51" s="1"/>
  <c r="R36" i="51" s="1"/>
  <c r="N23" i="51"/>
  <c r="P23" i="51" s="1"/>
  <c r="R23" i="51" s="1"/>
  <c r="H65" i="51"/>
  <c r="J65" i="51" s="1"/>
  <c r="L65" i="51" s="1"/>
  <c r="B26" i="47"/>
  <c r="L54" i="51"/>
  <c r="L62" i="51"/>
  <c r="H48" i="51"/>
  <c r="J48" i="51" s="1"/>
  <c r="L48" i="51" s="1"/>
  <c r="B9" i="47"/>
  <c r="H61" i="51"/>
  <c r="J61" i="51" s="1"/>
  <c r="L61" i="51" s="1"/>
  <c r="B22" i="47"/>
  <c r="H57" i="51"/>
  <c r="J57" i="51" s="1"/>
  <c r="L57" i="51" s="1"/>
  <c r="B18" i="47"/>
  <c r="J48" i="41"/>
  <c r="M67" i="51"/>
  <c r="E38" i="21"/>
  <c r="S21" i="51"/>
  <c r="X51" i="21"/>
  <c r="C15" i="21" s="1"/>
  <c r="D15" i="21" s="1"/>
  <c r="L33" i="41" s="1"/>
  <c r="X66" i="21"/>
  <c r="C30" i="21" s="1"/>
  <c r="D30" i="21" s="1"/>
  <c r="R16" i="51"/>
  <c r="I33" i="41" s="1"/>
  <c r="R32" i="51"/>
  <c r="I49" i="41" s="1"/>
  <c r="X61" i="21"/>
  <c r="C25" i="21" s="1"/>
  <c r="D25" i="21" s="1"/>
  <c r="X64" i="21"/>
  <c r="C28" i="21" s="1"/>
  <c r="D28" i="21" s="1"/>
  <c r="S12" i="51"/>
  <c r="X70" i="21"/>
  <c r="C34" i="21" s="1"/>
  <c r="D34" i="21" s="1"/>
  <c r="L52" i="41" s="1"/>
  <c r="X53" i="21"/>
  <c r="C17" i="21" s="1"/>
  <c r="D17" i="21" s="1"/>
  <c r="L35" i="41" s="1"/>
  <c r="X46" i="21"/>
  <c r="R30" i="51"/>
  <c r="I47" i="41" s="1"/>
  <c r="R37" i="51"/>
  <c r="I54" i="41" s="1"/>
  <c r="S14" i="51"/>
  <c r="G8" i="47" l="1"/>
  <c r="E3" i="51"/>
  <c r="C10" i="21"/>
  <c r="D10" i="21" s="1"/>
  <c r="G15" i="47"/>
  <c r="G28" i="47"/>
  <c r="J28" i="47" s="1"/>
  <c r="J15" i="47"/>
  <c r="G23" i="47"/>
  <c r="J23" i="47" s="1"/>
  <c r="G32" i="47"/>
  <c r="J32" i="47" s="1"/>
  <c r="E25" i="47"/>
  <c r="F25" i="47"/>
  <c r="H25" i="47" s="1"/>
  <c r="D25" i="47"/>
  <c r="F12" i="47"/>
  <c r="H12" i="47" s="1"/>
  <c r="E12" i="47"/>
  <c r="D12" i="47"/>
  <c r="E14" i="47"/>
  <c r="D14" i="47"/>
  <c r="F14" i="47"/>
  <c r="H14" i="47" s="1"/>
  <c r="D29" i="47"/>
  <c r="F29" i="47"/>
  <c r="H29" i="47" s="1"/>
  <c r="E29" i="47"/>
  <c r="D26" i="47"/>
  <c r="F26" i="47"/>
  <c r="H26" i="47" s="1"/>
  <c r="E26" i="47"/>
  <c r="F30" i="47"/>
  <c r="H30" i="47" s="1"/>
  <c r="D30" i="47"/>
  <c r="E30" i="47"/>
  <c r="E13" i="47"/>
  <c r="F13" i="47"/>
  <c r="H13" i="47" s="1"/>
  <c r="D13" i="47"/>
  <c r="G13" i="47" s="1"/>
  <c r="D35" i="47"/>
  <c r="E35" i="47"/>
  <c r="F35" i="47"/>
  <c r="H35" i="47" s="1"/>
  <c r="D11" i="47"/>
  <c r="F11" i="47"/>
  <c r="H11" i="47" s="1"/>
  <c r="E11" i="47"/>
  <c r="D20" i="47"/>
  <c r="E20" i="47"/>
  <c r="F20" i="47"/>
  <c r="H20" i="47" s="1"/>
  <c r="E33" i="47"/>
  <c r="F33" i="47"/>
  <c r="H33" i="47" s="1"/>
  <c r="D33" i="47"/>
  <c r="E9" i="47"/>
  <c r="F9" i="47"/>
  <c r="H9" i="47" s="1"/>
  <c r="D9" i="47"/>
  <c r="G9" i="47" s="1"/>
  <c r="E21" i="47"/>
  <c r="F21" i="47"/>
  <c r="H21" i="47" s="1"/>
  <c r="D21" i="47"/>
  <c r="E19" i="47"/>
  <c r="F19" i="47"/>
  <c r="H19" i="47" s="1"/>
  <c r="D19" i="47"/>
  <c r="F24" i="47"/>
  <c r="H24" i="47" s="1"/>
  <c r="D24" i="47"/>
  <c r="E24" i="47"/>
  <c r="E31" i="47"/>
  <c r="F31" i="47"/>
  <c r="H31" i="47" s="1"/>
  <c r="D31" i="47"/>
  <c r="G31" i="47" s="1"/>
  <c r="F27" i="47"/>
  <c r="H27" i="47" s="1"/>
  <c r="E27" i="47"/>
  <c r="D27" i="47"/>
  <c r="D34" i="47"/>
  <c r="E34" i="47"/>
  <c r="F34" i="47"/>
  <c r="H34" i="47" s="1"/>
  <c r="D18" i="47"/>
  <c r="E18" i="47"/>
  <c r="F18" i="47"/>
  <c r="H18" i="47" s="1"/>
  <c r="E22" i="47"/>
  <c r="D22" i="47"/>
  <c r="F22" i="47"/>
  <c r="H22" i="47" s="1"/>
  <c r="D17" i="47"/>
  <c r="F17" i="47"/>
  <c r="H17" i="47" s="1"/>
  <c r="E17" i="47"/>
  <c r="D10" i="47"/>
  <c r="E10" i="47"/>
  <c r="F10" i="47"/>
  <c r="H10" i="47" s="1"/>
  <c r="E16" i="47"/>
  <c r="D16" i="47"/>
  <c r="F16" i="47"/>
  <c r="H16" i="47" s="1"/>
  <c r="I53" i="41"/>
  <c r="S36" i="51"/>
  <c r="I42" i="41"/>
  <c r="S25" i="51"/>
  <c r="I39" i="41"/>
  <c r="S22" i="51"/>
  <c r="I41" i="41"/>
  <c r="S24" i="51"/>
  <c r="I34" i="41"/>
  <c r="S17" i="51"/>
  <c r="I43" i="41"/>
  <c r="S26" i="51"/>
  <c r="I44" i="41"/>
  <c r="S27" i="51"/>
  <c r="I32" i="41"/>
  <c r="S15" i="51"/>
  <c r="S32" i="51"/>
  <c r="I36" i="41"/>
  <c r="S19" i="51"/>
  <c r="I40" i="41"/>
  <c r="S23" i="51"/>
  <c r="I48" i="41"/>
  <c r="S31" i="51"/>
  <c r="I46" i="41"/>
  <c r="S29" i="51"/>
  <c r="I50" i="41"/>
  <c r="S33" i="51"/>
  <c r="I35" i="41"/>
  <c r="S18" i="51"/>
  <c r="S35" i="51"/>
  <c r="I52" i="41"/>
  <c r="I30" i="41"/>
  <c r="S13" i="51"/>
  <c r="S34" i="51"/>
  <c r="I51" i="41"/>
  <c r="J42" i="41"/>
  <c r="M61" i="51"/>
  <c r="J54" i="41"/>
  <c r="M73" i="51"/>
  <c r="J39" i="41"/>
  <c r="M58" i="51"/>
  <c r="J51" i="41"/>
  <c r="M70" i="51"/>
  <c r="M56" i="51"/>
  <c r="J37" i="41"/>
  <c r="E15" i="21"/>
  <c r="J36" i="41"/>
  <c r="M55" i="51"/>
  <c r="J34" i="41"/>
  <c r="M53" i="51"/>
  <c r="M48" i="51"/>
  <c r="J29" i="41"/>
  <c r="J33" i="41"/>
  <c r="M52" i="51"/>
  <c r="J44" i="41"/>
  <c r="M63" i="51"/>
  <c r="J31" i="41"/>
  <c r="M50" i="51"/>
  <c r="J43" i="41"/>
  <c r="M62" i="51"/>
  <c r="J30" i="41"/>
  <c r="M49" i="51"/>
  <c r="J35" i="41"/>
  <c r="M54" i="51"/>
  <c r="J40" i="41"/>
  <c r="M59" i="51"/>
  <c r="S20" i="51"/>
  <c r="I37" i="41"/>
  <c r="J47" i="41"/>
  <c r="M66" i="51"/>
  <c r="J55" i="41"/>
  <c r="M74" i="51"/>
  <c r="M64" i="51"/>
  <c r="J45" i="41"/>
  <c r="J50" i="41"/>
  <c r="M69" i="51"/>
  <c r="M72" i="51"/>
  <c r="J53" i="41"/>
  <c r="J38" i="41"/>
  <c r="M57" i="51"/>
  <c r="J46" i="41"/>
  <c r="M65" i="51"/>
  <c r="J49" i="41"/>
  <c r="M68" i="51"/>
  <c r="J28" i="41"/>
  <c r="J41" i="41"/>
  <c r="M60" i="51"/>
  <c r="J32" i="41"/>
  <c r="M51" i="51"/>
  <c r="E28" i="21"/>
  <c r="L46" i="41"/>
  <c r="E25" i="21"/>
  <c r="L43" i="41"/>
  <c r="E30" i="21"/>
  <c r="L48" i="41"/>
  <c r="S30" i="51"/>
  <c r="C3" i="51"/>
  <c r="S16" i="51"/>
  <c r="X54" i="21"/>
  <c r="C18" i="21" s="1"/>
  <c r="D18" i="21" s="1"/>
  <c r="L36" i="41" s="1"/>
  <c r="E34" i="21"/>
  <c r="C11" i="21"/>
  <c r="D11" i="21" s="1"/>
  <c r="X72" i="21"/>
  <c r="C36" i="21" s="1"/>
  <c r="D36" i="21" s="1"/>
  <c r="L54" i="41" s="1"/>
  <c r="X56" i="21"/>
  <c r="C20" i="21" s="1"/>
  <c r="D20" i="21" s="1"/>
  <c r="X67" i="21"/>
  <c r="C31" i="21" s="1"/>
  <c r="D31" i="21" s="1"/>
  <c r="L49" i="41" s="1"/>
  <c r="X49" i="21"/>
  <c r="C13" i="21" s="1"/>
  <c r="D13" i="21" s="1"/>
  <c r="L31" i="41" s="1"/>
  <c r="X58" i="21"/>
  <c r="C22" i="21" s="1"/>
  <c r="D22" i="21" s="1"/>
  <c r="L40" i="41" s="1"/>
  <c r="X48" i="21"/>
  <c r="C12" i="21" s="1"/>
  <c r="D12" i="21" s="1"/>
  <c r="L30" i="41" s="1"/>
  <c r="X63" i="21"/>
  <c r="C27" i="21" s="1"/>
  <c r="D27" i="21" s="1"/>
  <c r="X59" i="21"/>
  <c r="C23" i="21" s="1"/>
  <c r="D23" i="21" s="1"/>
  <c r="X71" i="21"/>
  <c r="C35" i="21" s="1"/>
  <c r="D35" i="21" s="1"/>
  <c r="L53" i="41" s="1"/>
  <c r="X60" i="21"/>
  <c r="C24" i="21" s="1"/>
  <c r="D24" i="21" s="1"/>
  <c r="X68" i="21"/>
  <c r="C32" i="21" s="1"/>
  <c r="D32" i="21" s="1"/>
  <c r="X57" i="21"/>
  <c r="C21" i="21" s="1"/>
  <c r="D21" i="21" s="1"/>
  <c r="X55" i="21"/>
  <c r="C19" i="21" s="1"/>
  <c r="D19" i="21" s="1"/>
  <c r="X62" i="21"/>
  <c r="C26" i="21" s="1"/>
  <c r="D26" i="21" s="1"/>
  <c r="L44" i="41" s="1"/>
  <c r="X50" i="21"/>
  <c r="C14" i="21" s="1"/>
  <c r="D14" i="21" s="1"/>
  <c r="L32" i="41" s="1"/>
  <c r="X52" i="21"/>
  <c r="C16" i="21" s="1"/>
  <c r="D16" i="21" s="1"/>
  <c r="L34" i="41" s="1"/>
  <c r="E17" i="21"/>
  <c r="X69" i="21"/>
  <c r="C33" i="21" s="1"/>
  <c r="D33" i="21" s="1"/>
  <c r="X65" i="21"/>
  <c r="C29" i="21" s="1"/>
  <c r="D29" i="21" s="1"/>
  <c r="L47" i="41" s="1"/>
  <c r="X73" i="21"/>
  <c r="C37" i="21" s="1"/>
  <c r="D37" i="21" s="1"/>
  <c r="L55" i="41" s="1"/>
  <c r="S37" i="51"/>
  <c r="G22" i="47" l="1"/>
  <c r="E4" i="51"/>
  <c r="I58" i="41"/>
  <c r="J58" i="41"/>
  <c r="C40" i="21"/>
  <c r="G21" i="47"/>
  <c r="J21" i="47" s="1"/>
  <c r="G25" i="47"/>
  <c r="J25" i="47" s="1"/>
  <c r="G12" i="47"/>
  <c r="J12" i="47" s="1"/>
  <c r="G10" i="47"/>
  <c r="J10" i="47" s="1"/>
  <c r="G34" i="47"/>
  <c r="J34" i="47" s="1"/>
  <c r="G20" i="47"/>
  <c r="J20" i="47" s="1"/>
  <c r="J31" i="47"/>
  <c r="J22" i="47"/>
  <c r="G16" i="47"/>
  <c r="J16" i="47" s="1"/>
  <c r="G14" i="47"/>
  <c r="J14" i="47" s="1"/>
  <c r="G33" i="47"/>
  <c r="J33" i="47" s="1"/>
  <c r="J13" i="47"/>
  <c r="J9" i="47"/>
  <c r="G35" i="47"/>
  <c r="J35" i="47" s="1"/>
  <c r="G24" i="47"/>
  <c r="J24" i="47" s="1"/>
  <c r="G18" i="47"/>
  <c r="J18" i="47" s="1"/>
  <c r="G19" i="47"/>
  <c r="J19" i="47" s="1"/>
  <c r="G30" i="47"/>
  <c r="J30" i="47" s="1"/>
  <c r="G27" i="47"/>
  <c r="J27" i="47" s="1"/>
  <c r="G17" i="47"/>
  <c r="J17" i="47" s="1"/>
  <c r="G11" i="47"/>
  <c r="J11" i="47" s="1"/>
  <c r="G26" i="47"/>
  <c r="J26" i="47" s="1"/>
  <c r="G29" i="47"/>
  <c r="J29" i="47" s="1"/>
  <c r="M43" i="41"/>
  <c r="M48" i="41"/>
  <c r="M35" i="41"/>
  <c r="M52" i="41"/>
  <c r="E20" i="21"/>
  <c r="L38" i="41"/>
  <c r="E23" i="21"/>
  <c r="L41" i="41"/>
  <c r="E11" i="21"/>
  <c r="L29" i="41"/>
  <c r="E27" i="21"/>
  <c r="L45" i="41"/>
  <c r="E33" i="21"/>
  <c r="L51" i="41"/>
  <c r="E19" i="21"/>
  <c r="L37" i="41"/>
  <c r="E21" i="21"/>
  <c r="L39" i="41"/>
  <c r="E24" i="21"/>
  <c r="L42" i="41"/>
  <c r="E32" i="21"/>
  <c r="L50" i="41"/>
  <c r="E37" i="21"/>
  <c r="E35" i="21"/>
  <c r="C4" i="51"/>
  <c r="E14" i="21"/>
  <c r="E18" i="21"/>
  <c r="E22" i="21"/>
  <c r="E13" i="21"/>
  <c r="E16" i="21"/>
  <c r="E12" i="21"/>
  <c r="E36" i="21"/>
  <c r="E29" i="21"/>
  <c r="E26" i="21"/>
  <c r="E31" i="21"/>
  <c r="X76" i="21"/>
  <c r="L28" i="41" l="1"/>
  <c r="L58" i="41" s="1"/>
  <c r="E10" i="21"/>
  <c r="E40" i="21" s="1"/>
  <c r="C3" i="21" s="1"/>
  <c r="M32" i="41"/>
  <c r="N32" i="41" s="1"/>
  <c r="C32" i="41" s="1"/>
  <c r="C3" i="47"/>
  <c r="N52" i="41"/>
  <c r="C52" i="41" s="1"/>
  <c r="N43" i="41"/>
  <c r="C43" i="41" s="1"/>
  <c r="N35" i="41"/>
  <c r="C35" i="41" s="1"/>
  <c r="N48" i="41"/>
  <c r="C48" i="41" s="1"/>
  <c r="M38" i="41"/>
  <c r="N38" i="41" s="1"/>
  <c r="C38" i="41" s="1"/>
  <c r="D40" i="21"/>
  <c r="C2" i="21" s="1"/>
  <c r="G38" i="47"/>
  <c r="K58" i="41" l="1"/>
  <c r="M51" i="41"/>
  <c r="N51" i="41" s="1"/>
  <c r="C51" i="41" s="1"/>
  <c r="M31" i="41"/>
  <c r="N31" i="41" s="1"/>
  <c r="C31" i="41" s="1"/>
  <c r="M37" i="41"/>
  <c r="N37" i="41" s="1"/>
  <c r="C37" i="41" s="1"/>
  <c r="M53" i="41"/>
  <c r="N53" i="41" s="1"/>
  <c r="C53" i="41" s="1"/>
  <c r="M42" i="41"/>
  <c r="N42" i="41" s="1"/>
  <c r="C42" i="41" s="1"/>
  <c r="M55" i="41"/>
  <c r="N55" i="41" s="1"/>
  <c r="C55" i="41" s="1"/>
  <c r="M28" i="41"/>
  <c r="M29" i="41"/>
  <c r="N29" i="41" s="1"/>
  <c r="C29" i="41" s="1"/>
  <c r="M41" i="41"/>
  <c r="N41" i="41" s="1"/>
  <c r="C41" i="41" s="1"/>
  <c r="M46" i="41"/>
  <c r="N46" i="41" s="1"/>
  <c r="C46" i="41" s="1"/>
  <c r="M49" i="41"/>
  <c r="N49" i="41" s="1"/>
  <c r="C49" i="41" s="1"/>
  <c r="M45" i="41"/>
  <c r="N45" i="41" s="1"/>
  <c r="C45" i="41" s="1"/>
  <c r="M44" i="41"/>
  <c r="N44" i="41" s="1"/>
  <c r="C44" i="41" s="1"/>
  <c r="M34" i="41"/>
  <c r="N34" i="41" s="1"/>
  <c r="C34" i="41" s="1"/>
  <c r="M47" i="41"/>
  <c r="N47" i="41" s="1"/>
  <c r="C47" i="41" s="1"/>
  <c r="M40" i="41"/>
  <c r="N40" i="41" s="1"/>
  <c r="C40" i="41" s="1"/>
  <c r="M54" i="41"/>
  <c r="N54" i="41" s="1"/>
  <c r="C54" i="41" s="1"/>
  <c r="M33" i="41"/>
  <c r="N33" i="41" s="1"/>
  <c r="C33" i="41" s="1"/>
  <c r="M30" i="41"/>
  <c r="N30" i="41" s="1"/>
  <c r="C30" i="41" s="1"/>
  <c r="M39" i="41"/>
  <c r="N39" i="41" s="1"/>
  <c r="C39" i="41" s="1"/>
  <c r="M36" i="41"/>
  <c r="N36" i="41" s="1"/>
  <c r="C36" i="41" s="1"/>
  <c r="M50" i="41"/>
  <c r="N50" i="41" s="1"/>
  <c r="C50" i="41" s="1"/>
  <c r="C27" i="41"/>
  <c r="D27" i="41" s="1"/>
  <c r="C56" i="41"/>
  <c r="N28" i="41" l="1"/>
  <c r="M58" i="41"/>
  <c r="F3" i="12" s="1"/>
  <c r="C26" i="41"/>
  <c r="C28" i="41" l="1"/>
  <c r="C58" i="41" s="1"/>
  <c r="N58" i="41"/>
  <c r="D26" i="41"/>
  <c r="E26" i="41" s="1"/>
  <c r="E27" i="41" s="1"/>
  <c r="G3" i="12" l="1"/>
  <c r="H5" i="27"/>
  <c r="H6" i="27"/>
  <c r="H8" i="27"/>
  <c r="H9" i="27"/>
  <c r="H10" i="27"/>
  <c r="H11" i="27"/>
  <c r="H12" i="27"/>
  <c r="H13" i="27"/>
  <c r="H14" i="27"/>
  <c r="G42" i="27" s="1"/>
  <c r="H15" i="27"/>
  <c r="H16" i="27"/>
  <c r="H17" i="27"/>
  <c r="Q22" i="41"/>
  <c r="R22" i="41"/>
  <c r="B22" i="41" s="1"/>
  <c r="D22" i="41" s="1"/>
  <c r="H42" i="27" l="1"/>
  <c r="Q47" i="41"/>
  <c r="R47" i="41" s="1"/>
  <c r="B47" i="41" s="1"/>
  <c r="D47" i="41" s="1"/>
  <c r="G29" i="27"/>
  <c r="G36" i="27"/>
  <c r="G44" i="27"/>
  <c r="G31" i="27"/>
  <c r="G30" i="27"/>
  <c r="G27" i="27"/>
  <c r="G23" i="27"/>
  <c r="G41" i="27"/>
  <c r="G46" i="27"/>
  <c r="G43" i="27"/>
  <c r="F19" i="27"/>
  <c r="G33" i="27"/>
  <c r="G38" i="27"/>
  <c r="G47" i="27"/>
  <c r="G25" i="27"/>
  <c r="G32" i="27"/>
  <c r="F22" i="27"/>
  <c r="G40" i="27"/>
  <c r="G37" i="27"/>
  <c r="G49" i="27"/>
  <c r="G28" i="27"/>
  <c r="F20" i="27"/>
  <c r="G34" i="27"/>
  <c r="G48" i="27"/>
  <c r="G52" i="27"/>
  <c r="G51" i="27"/>
  <c r="G50" i="27"/>
  <c r="G39" i="27"/>
  <c r="G26" i="27"/>
  <c r="G24" i="27"/>
  <c r="G35" i="27"/>
  <c r="G45" i="27"/>
  <c r="F21" i="27"/>
  <c r="F53" i="27" l="1"/>
  <c r="H47" i="27"/>
  <c r="Q52" i="41"/>
  <c r="R52" i="41" s="1"/>
  <c r="B52" i="41" s="1"/>
  <c r="D52" i="41" s="1"/>
  <c r="Q30" i="41"/>
  <c r="R30" i="41" s="1"/>
  <c r="B30" i="41" s="1"/>
  <c r="D30" i="41" s="1"/>
  <c r="H25" i="27"/>
  <c r="H51" i="27"/>
  <c r="Q56" i="41"/>
  <c r="R56" i="41" s="1"/>
  <c r="B56" i="41" s="1"/>
  <c r="D56" i="41" s="1"/>
  <c r="H48" i="27"/>
  <c r="Q53" i="41"/>
  <c r="R53" i="41" s="1"/>
  <c r="B53" i="41" s="1"/>
  <c r="D53" i="41" s="1"/>
  <c r="H32" i="27"/>
  <c r="Q37" i="41"/>
  <c r="R37" i="41" s="1"/>
  <c r="B37" i="41" s="1"/>
  <c r="D37" i="41" s="1"/>
  <c r="Q36" i="41"/>
  <c r="R36" i="41" s="1"/>
  <c r="B36" i="41" s="1"/>
  <c r="D36" i="41" s="1"/>
  <c r="H31" i="27"/>
  <c r="H38" i="27"/>
  <c r="Q43" i="41"/>
  <c r="R43" i="41" s="1"/>
  <c r="B43" i="41" s="1"/>
  <c r="D43" i="41" s="1"/>
  <c r="Q33" i="41"/>
  <c r="R33" i="41" s="1"/>
  <c r="B33" i="41" s="1"/>
  <c r="D33" i="41" s="1"/>
  <c r="H28" i="27"/>
  <c r="H39" i="27"/>
  <c r="Q44" i="41"/>
  <c r="R44" i="41" s="1"/>
  <c r="B44" i="41" s="1"/>
  <c r="D44" i="41" s="1"/>
  <c r="H50" i="27"/>
  <c r="Q55" i="41"/>
  <c r="R55" i="41" s="1"/>
  <c r="B55" i="41" s="1"/>
  <c r="D55" i="41" s="1"/>
  <c r="Q49" i="41"/>
  <c r="R49" i="41" s="1"/>
  <c r="B49" i="41" s="1"/>
  <c r="D49" i="41" s="1"/>
  <c r="H44" i="27"/>
  <c r="Q34" i="41"/>
  <c r="R34" i="41" s="1"/>
  <c r="B34" i="41" s="1"/>
  <c r="D34" i="41" s="1"/>
  <c r="H29" i="27"/>
  <c r="H41" i="27"/>
  <c r="Q46" i="41"/>
  <c r="R46" i="41" s="1"/>
  <c r="B46" i="41" s="1"/>
  <c r="D46" i="41" s="1"/>
  <c r="H52" i="27"/>
  <c r="Q57" i="41"/>
  <c r="Q38" i="41"/>
  <c r="R38" i="41" s="1"/>
  <c r="B38" i="41" s="1"/>
  <c r="D38" i="41" s="1"/>
  <c r="H33" i="27"/>
  <c r="Q39" i="41"/>
  <c r="R39" i="41" s="1"/>
  <c r="B39" i="41" s="1"/>
  <c r="D39" i="41" s="1"/>
  <c r="H34" i="27"/>
  <c r="Q48" i="41"/>
  <c r="R48" i="41" s="1"/>
  <c r="B48" i="41" s="1"/>
  <c r="D48" i="41" s="1"/>
  <c r="H43" i="27"/>
  <c r="H49" i="27"/>
  <c r="Q54" i="41"/>
  <c r="R54" i="41" s="1"/>
  <c r="B54" i="41" s="1"/>
  <c r="D54" i="41" s="1"/>
  <c r="H24" i="27"/>
  <c r="Q29" i="41"/>
  <c r="R29" i="41" s="1"/>
  <c r="B29" i="41" s="1"/>
  <c r="D29" i="41" s="1"/>
  <c r="Q28" i="41"/>
  <c r="R28" i="41" s="1"/>
  <c r="G53" i="27"/>
  <c r="H23" i="27"/>
  <c r="Q45" i="41"/>
  <c r="R45" i="41" s="1"/>
  <c r="B45" i="41" s="1"/>
  <c r="D45" i="41" s="1"/>
  <c r="H40" i="27"/>
  <c r="H27" i="27"/>
  <c r="Q32" i="41"/>
  <c r="R32" i="41" s="1"/>
  <c r="B32" i="41" s="1"/>
  <c r="D32" i="41" s="1"/>
  <c r="H36" i="27"/>
  <c r="Q41" i="41"/>
  <c r="R41" i="41" s="1"/>
  <c r="B41" i="41" s="1"/>
  <c r="D41" i="41" s="1"/>
  <c r="H45" i="27"/>
  <c r="Q50" i="41"/>
  <c r="R50" i="41" s="1"/>
  <c r="B50" i="41" s="1"/>
  <c r="D50" i="41" s="1"/>
  <c r="H46" i="27"/>
  <c r="Q51" i="41"/>
  <c r="R51" i="41" s="1"/>
  <c r="B51" i="41" s="1"/>
  <c r="D51" i="41" s="1"/>
  <c r="H35" i="27"/>
  <c r="Q40" i="41"/>
  <c r="R40" i="41" s="1"/>
  <c r="B40" i="41" s="1"/>
  <c r="D40" i="41" s="1"/>
  <c r="Q42" i="41"/>
  <c r="R42" i="41" s="1"/>
  <c r="B42" i="41" s="1"/>
  <c r="D42" i="41" s="1"/>
  <c r="H37" i="27"/>
  <c r="Q31" i="41"/>
  <c r="R31" i="41" s="1"/>
  <c r="B31" i="41" s="1"/>
  <c r="D31" i="41" s="1"/>
  <c r="H26" i="27"/>
  <c r="Q35" i="41"/>
  <c r="R35" i="41" s="1"/>
  <c r="B35" i="41" s="1"/>
  <c r="D35" i="41" s="1"/>
  <c r="H30" i="27"/>
  <c r="H53" i="27" l="1"/>
  <c r="R57" i="41"/>
  <c r="B57" i="41" s="1"/>
  <c r="D57" i="41" s="1"/>
  <c r="B28" i="41"/>
  <c r="R58" i="41" l="1"/>
  <c r="B58" i="41"/>
  <c r="E3" i="12"/>
  <c r="D28" i="41"/>
  <c r="C5" i="41" s="1"/>
  <c r="C6" i="41" l="1"/>
  <c r="C4" i="41"/>
  <c r="H3" i="12" s="1"/>
  <c r="D58" i="41"/>
  <c r="E28" i="41"/>
  <c r="E29" i="41" s="1"/>
  <c r="E30" i="41" s="1"/>
  <c r="E31" i="41" s="1"/>
  <c r="E32" i="41" s="1"/>
  <c r="E33" i="41" s="1"/>
  <c r="E34" i="41" s="1"/>
  <c r="E35" i="41" s="1"/>
  <c r="E36" i="41" s="1"/>
  <c r="E37" i="41" s="1"/>
  <c r="E38" i="41" s="1"/>
  <c r="E39" i="41" l="1"/>
  <c r="E40" i="41" s="1"/>
  <c r="E41" i="41" s="1"/>
  <c r="E42" i="41" s="1"/>
  <c r="E43" i="41" s="1"/>
  <c r="E44" i="41" s="1"/>
  <c r="E45" i="41" s="1"/>
  <c r="E46" i="41" s="1"/>
  <c r="E47" i="41" s="1"/>
  <c r="E48" i="41" s="1"/>
  <c r="E49" i="41" s="1"/>
  <c r="E50" i="41" s="1"/>
  <c r="E51" i="41" s="1"/>
  <c r="E52" i="41" s="1"/>
  <c r="E53" i="41" s="1"/>
  <c r="E54" i="41" s="1"/>
  <c r="E55" i="41" s="1"/>
  <c r="E56" i="41" s="1"/>
  <c r="E57" i="41" s="1"/>
</calcChain>
</file>

<file path=xl/sharedStrings.xml><?xml version="1.0" encoding="utf-8"?>
<sst xmlns="http://schemas.openxmlformats.org/spreadsheetml/2006/main" count="475" uniqueCount="307">
  <si>
    <t>Total</t>
  </si>
  <si>
    <t>Year</t>
  </si>
  <si>
    <t>Capital Costs</t>
  </si>
  <si>
    <t>Economic Competitiveness</t>
  </si>
  <si>
    <t>Safety</t>
  </si>
  <si>
    <t>Total Net Benefit</t>
  </si>
  <si>
    <t>Net Present Value (NPV)</t>
  </si>
  <si>
    <t>Discount Rate</t>
  </si>
  <si>
    <t>Fatality</t>
  </si>
  <si>
    <t>Benefit-Cost Ratio</t>
  </si>
  <si>
    <t>Non-Incapacitating Injury</t>
  </si>
  <si>
    <t>Possible Injury</t>
  </si>
  <si>
    <t>Property Damage</t>
  </si>
  <si>
    <t>Collisions</t>
  </si>
  <si>
    <t>Persons</t>
  </si>
  <si>
    <t>Collision by Severity</t>
  </si>
  <si>
    <t>Value of Reduced Fatalities and Injuries</t>
  </si>
  <si>
    <t>KABCO Level</t>
  </si>
  <si>
    <t>Monetized Value</t>
  </si>
  <si>
    <t>O - No Injury</t>
  </si>
  <si>
    <t>C - Possible Injury</t>
  </si>
  <si>
    <t>B - Non-incapacitating</t>
  </si>
  <si>
    <t>A - Incapacitating</t>
  </si>
  <si>
    <t>K - Killed</t>
  </si>
  <si>
    <t>U - Injured (Severity Unknown)</t>
  </si>
  <si>
    <t># of Accidents Reported (Unknown if Injured)</t>
  </si>
  <si>
    <t>Property Damage Only Crashes</t>
  </si>
  <si>
    <t>Per Vehicle</t>
  </si>
  <si>
    <t>No Build</t>
  </si>
  <si>
    <t>No Build Scenario</t>
  </si>
  <si>
    <t>Total (5 Years)</t>
  </si>
  <si>
    <t>Total Cost</t>
  </si>
  <si>
    <t>Average Vehicle Occupancy</t>
  </si>
  <si>
    <t>Vehicle Type</t>
  </si>
  <si>
    <t>Passenger Vehicles</t>
  </si>
  <si>
    <t>Trucks</t>
  </si>
  <si>
    <t>Occupancy</t>
  </si>
  <si>
    <t>Build Scenario</t>
  </si>
  <si>
    <t>Potential Cost Savings</t>
  </si>
  <si>
    <t>Vehicle/Crash</t>
  </si>
  <si>
    <t>Collision Rate per Average Daily Traffic</t>
  </si>
  <si>
    <t>Build</t>
  </si>
  <si>
    <t>Est. # of Collisions</t>
  </si>
  <si>
    <t>Est. # of Vehicles</t>
  </si>
  <si>
    <t>PDO (Vehicle)</t>
  </si>
  <si>
    <t>Pos. Injury</t>
  </si>
  <si>
    <t>Non-Incap. Injury</t>
  </si>
  <si>
    <t>Damage Costs for Pollutant Emissions</t>
  </si>
  <si>
    <t>Carbon Dioxide</t>
  </si>
  <si>
    <t>Nitrogen Oxides</t>
  </si>
  <si>
    <t>Project Cost</t>
  </si>
  <si>
    <t>Percent Project Cost Paid</t>
  </si>
  <si>
    <t>Project</t>
  </si>
  <si>
    <t>Total Net Benefit (NPV)</t>
  </si>
  <si>
    <t>All Crashes within project extents</t>
  </si>
  <si>
    <t>Total Benefits</t>
  </si>
  <si>
    <t>Travel Time Savings</t>
  </si>
  <si>
    <t>Direct User Benefits</t>
  </si>
  <si>
    <t>Net Present Value</t>
  </si>
  <si>
    <t>Internal Rate of Return</t>
  </si>
  <si>
    <t>Benefit/Cost Ratio</t>
  </si>
  <si>
    <t>Analysis Year</t>
  </si>
  <si>
    <t>Crash Savings</t>
  </si>
  <si>
    <t>Operation and Maintenance Costs</t>
  </si>
  <si>
    <t>7% Discount</t>
  </si>
  <si>
    <t>Total Costs</t>
  </si>
  <si>
    <t>Net Direct Benefits</t>
  </si>
  <si>
    <t>Environmental</t>
  </si>
  <si>
    <t>Reduced Pollutants</t>
  </si>
  <si>
    <t>Net Direct Benefits - 7% Discount</t>
  </si>
  <si>
    <t>Project Life (Years)</t>
  </si>
  <si>
    <t>Project Costs (NPV)</t>
  </si>
  <si>
    <t>ADT</t>
  </si>
  <si>
    <t>Project Cost (NPV)</t>
  </si>
  <si>
    <t>Incapacitating Injury</t>
  </si>
  <si>
    <t>Incap. Injury</t>
  </si>
  <si>
    <t>Savings</t>
  </si>
  <si>
    <t>Cumulative</t>
  </si>
  <si>
    <t>Truck</t>
  </si>
  <si>
    <t>No-Build</t>
  </si>
  <si>
    <t>Reduction in VHT</t>
  </si>
  <si>
    <t>VHT Benefit</t>
  </si>
  <si>
    <t>Reduction in VMT</t>
  </si>
  <si>
    <t>Scenario</t>
  </si>
  <si>
    <t>Total Reduced Damage of Pollutant Emissions</t>
  </si>
  <si>
    <t>Environmental Cost Savings - Summary</t>
  </si>
  <si>
    <t>Economic Competitiveness - Summary</t>
  </si>
  <si>
    <t>Safety Crash Savings - Summary</t>
  </si>
  <si>
    <t>Operational Savings</t>
  </si>
  <si>
    <t>VHT Benefit (NPV)</t>
  </si>
  <si>
    <t>VMT Benefit</t>
  </si>
  <si>
    <t>VMT Benefit (NPV)</t>
  </si>
  <si>
    <t>Benefit</t>
  </si>
  <si>
    <t>Benefit (NPV)</t>
  </si>
  <si>
    <t>Potential Cost Savings (NPV)</t>
  </si>
  <si>
    <t>Growth Rate and 2019 ADT Calculation</t>
  </si>
  <si>
    <t>Growth Rates &amp; Truck Data</t>
  </si>
  <si>
    <t>Existing ADT of each roadway segment (2019)</t>
  </si>
  <si>
    <t>Source: ODOT</t>
  </si>
  <si>
    <t>Train Data</t>
  </si>
  <si>
    <t>Train Frequency</t>
  </si>
  <si>
    <t>30.5K Gallon General Purpose Tank Car</t>
  </si>
  <si>
    <t>Feet per Hour</t>
  </si>
  <si>
    <t>Feet per Minute</t>
  </si>
  <si>
    <t>Weighted Average</t>
  </si>
  <si>
    <t xml:space="preserve">Segment </t>
  </si>
  <si>
    <t>Segment</t>
  </si>
  <si>
    <t>1405/US 81 S of Chickasha to Hwy 19</t>
  </si>
  <si>
    <t>1405/US 81 S of Chickasha to I-44 Interchange</t>
  </si>
  <si>
    <t>Two-Axle AADT</t>
  </si>
  <si>
    <t>Hwy 19 to Country Club Road</t>
  </si>
  <si>
    <t>I-44 Interchange to Country Club Road Interchange</t>
  </si>
  <si>
    <t>Truck AADT</t>
  </si>
  <si>
    <t>Country Club Road Interchange to Grand Ave Interchange</t>
  </si>
  <si>
    <t>Total AADT</t>
  </si>
  <si>
    <t>Grand Ave Interchange to Iowa Ave Interchange</t>
  </si>
  <si>
    <t>Segment Distance (Miles)</t>
  </si>
  <si>
    <t>Iowa Ave Interchange to US 62/81 Interchange</t>
  </si>
  <si>
    <t>Segment Miles/Total Miles</t>
  </si>
  <si>
    <t>US 62/81 Interchange to northern extent of project</t>
  </si>
  <si>
    <t>Segment AADT</t>
  </si>
  <si>
    <t>Oversize Load Delay</t>
  </si>
  <si>
    <t>Arrivals/Hour</t>
  </si>
  <si>
    <t>Departures/Hour</t>
  </si>
  <si>
    <t>Blockage (hours)</t>
  </si>
  <si>
    <t>Queue</t>
  </si>
  <si>
    <t>Clearance (hours)</t>
  </si>
  <si>
    <t>Delay (Hours)</t>
  </si>
  <si>
    <t>Car</t>
  </si>
  <si>
    <t>Car (v)</t>
  </si>
  <si>
    <t>Truck (v)</t>
  </si>
  <si>
    <t>Car (d)</t>
  </si>
  <si>
    <t>Truck (d)</t>
  </si>
  <si>
    <t>Car (t1)</t>
  </si>
  <si>
    <t>Truck (t1)</t>
  </si>
  <si>
    <t>Car (Qm1)</t>
  </si>
  <si>
    <t>Truck (Qm1)</t>
  </si>
  <si>
    <t>Car (t2)</t>
  </si>
  <si>
    <t>Truck (t2)</t>
  </si>
  <si>
    <t>Notes:</t>
  </si>
  <si>
    <t>Train Delay Day Time</t>
  </si>
  <si>
    <t>Trains</t>
  </si>
  <si>
    <t>Day</t>
  </si>
  <si>
    <t>Night</t>
  </si>
  <si>
    <t>Total Reduced Damage of Pollutant Emissions (NPV)</t>
  </si>
  <si>
    <t>CAGR - 2017-2040</t>
  </si>
  <si>
    <t>Truck % - Build</t>
  </si>
  <si>
    <t>Truck % - Build Existing</t>
  </si>
  <si>
    <t>Truck % - No Build</t>
  </si>
  <si>
    <t>Annual Delay (Hours)</t>
  </si>
  <si>
    <t>Number of Trains/Day</t>
  </si>
  <si>
    <t>6 hours</t>
  </si>
  <si>
    <t>Train Speed (Day)</t>
  </si>
  <si>
    <t>Train Speed (Night)</t>
  </si>
  <si>
    <t>Est. Length of Train (Ft)</t>
  </si>
  <si>
    <t>Est. Length of Train (Mi.)</t>
  </si>
  <si>
    <t>*Assumed 100 cars based upon Table 4.1 in https://expresslanes.codot.gov/programs/transitandrail/resource-materials-new/AARStudy.pdf</t>
  </si>
  <si>
    <t>**https://www.uprr.com/newsinfo/releases/community/2012/1008_up_ok.shtml</t>
  </si>
  <si>
    <t xml:space="preserve">***https://www.gbrx.com/manufacturing/north-america-rail/tank-cars/305k-tank-ethanol-general-purpose/
Assume length of 60.5' </t>
  </si>
  <si>
    <t>Assumed Train Length (Cars)*</t>
  </si>
  <si>
    <t>Assumed Train Car Type**</t>
  </si>
  <si>
    <t>Est. Length of Train Car (Ft.)</t>
  </si>
  <si>
    <t>Train Gate Data - Day</t>
  </si>
  <si>
    <t>Speed (MPH)</t>
  </si>
  <si>
    <t>Gate Down Time (Min.)</t>
  </si>
  <si>
    <t>Buffer**** (Min.)</t>
  </si>
  <si>
    <t>Total Down Time (Min.)</t>
  </si>
  <si>
    <t>Train Gate Data - Night</t>
  </si>
  <si>
    <t>****http://www.seattle.gov/transportation/docs/121105PR-CoalTrainTrafficImpactStudy.pdf 
Page 13 and
http://www.caltrain.com/assets/_engineering/engineering-standards-2/criteria/CHAPTER7.pdf Page 7-19</t>
  </si>
  <si>
    <t>Super Oversize Load Delay</t>
  </si>
  <si>
    <t>Est. Super Oversize Loads at Intersection/Day (Excluding Weekends)</t>
  </si>
  <si>
    <t>Est. Super Oversize Loads at Intersection/Year</t>
  </si>
  <si>
    <t>Corridor Information</t>
  </si>
  <si>
    <t>Corridor Length (Mi.)</t>
  </si>
  <si>
    <t>Speed Limit (MPH)</t>
  </si>
  <si>
    <t>Travel Time (Hr.)</t>
  </si>
  <si>
    <t>Super Load Delay (Hours)</t>
  </si>
  <si>
    <t>Total Delay (Hours)</t>
  </si>
  <si>
    <t>Environmental Protection Cost Savings</t>
  </si>
  <si>
    <t>VMT Savings</t>
  </si>
  <si>
    <t>Particulate Matter (2.5)</t>
  </si>
  <si>
    <t>Pollution Emission by Mode (g/Mile)</t>
  </si>
  <si>
    <t>Mode</t>
  </si>
  <si>
    <t>Nox</t>
  </si>
  <si>
    <t>PM2.5</t>
  </si>
  <si>
    <t>CO2e</t>
  </si>
  <si>
    <t>Automobile</t>
  </si>
  <si>
    <t>Trucks - Diesel</t>
  </si>
  <si>
    <t>EPA - Average In-Use Emissions from Heavy Duty Trucks - Table 1</t>
  </si>
  <si>
    <t>Bus - Diesel</t>
  </si>
  <si>
    <t>Bus - CNG</t>
  </si>
  <si>
    <t>Bus - Electric</t>
  </si>
  <si>
    <t>Source: Emissions rates obtained from FTA New and Small Starts Evaluation and Rating Process Final Policy Guidance (June 2016). Carbon dioxide equivalent (CO2e) includes carbon dioxide in addition to other common greenhouse gases standardized in units with social cost equivalent to carbon dioxide alone.</t>
  </si>
  <si>
    <t>Source: https://www.epa.gov/sites/production/files/2015-12/documents/emission-factors_nov_2015.pdf, Table 9</t>
  </si>
  <si>
    <t>Inflation Adjustment</t>
  </si>
  <si>
    <t>Base Year</t>
  </si>
  <si>
    <t>Multiplier</t>
  </si>
  <si>
    <t>Growth 2019-2040</t>
  </si>
  <si>
    <t>Source: ODOT; Google Maps</t>
  </si>
  <si>
    <t>Source: USDOT Crossing Inventory Form</t>
  </si>
  <si>
    <t>Build - Existing</t>
  </si>
  <si>
    <t>Train Delay (Hours)</t>
  </si>
  <si>
    <t>Source: ODOT, Google Maps</t>
  </si>
  <si>
    <t>Segment (2019) - Existing</t>
  </si>
  <si>
    <t>Residual Value (2054$)</t>
  </si>
  <si>
    <t>Capital and Operating Cost Calculations</t>
  </si>
  <si>
    <t>30 Year Costs</t>
  </si>
  <si>
    <t>30 Year O&amp;M Costs</t>
  </si>
  <si>
    <t>Existing O&amp;M</t>
  </si>
  <si>
    <t>Future O&amp;M</t>
  </si>
  <si>
    <t>Strategy</t>
  </si>
  <si>
    <t>Lane Miles</t>
  </si>
  <si>
    <t>Frequency (Years)</t>
  </si>
  <si>
    <t>Pavement Preservation - JCP for Control 2606</t>
  </si>
  <si>
    <t>Pavement Preservation - JCP for Control 2608</t>
  </si>
  <si>
    <t>Pavement Preservation - AC for Control 2608</t>
  </si>
  <si>
    <t>General Maintenance</t>
  </si>
  <si>
    <t>Reconstruction Year</t>
  </si>
  <si>
    <t>Pavement Preservation - JCP for Control 2602</t>
  </si>
  <si>
    <t>O&amp;M Strategy - Existing</t>
  </si>
  <si>
    <t>Frequency After (Years)</t>
  </si>
  <si>
    <t>Rehab Every X Years</t>
  </si>
  <si>
    <t>O&amp;M Strategy - Proposed</t>
  </si>
  <si>
    <t>Pavement Preservation - Roadway</t>
  </si>
  <si>
    <t>Pavement Preservation - Bridge Joint Replacement</t>
  </si>
  <si>
    <t>Pavement Preservation - Bridge Silane</t>
  </si>
  <si>
    <t>One time</t>
  </si>
  <si>
    <t>Existing Rehab Project</t>
  </si>
  <si>
    <t>Future Rehab Project</t>
  </si>
  <si>
    <t>Safety Crash Savings</t>
  </si>
  <si>
    <t>Source: http://sp.mdot.ms.gov/Environmental/Projects/Current%20Projects/District%201%20and%202/Tupelo%20Railroad%20Relocation/Feasibility%20Study/Volume%20I%20-%20Report/Report/Section%2007%20-%20At%20Grade%20Traffic%20Delay.pdf</t>
  </si>
  <si>
    <t>Arterial capacity of a single lane for cars is 1800/hour, trucks 900/hour; Cars = Highway Capacity Manual; Trucks = Assumed 50% of car capacity</t>
  </si>
  <si>
    <t>Existing (No Build Rate)</t>
  </si>
  <si>
    <t>Total Crash Rate/100 Million VMT</t>
  </si>
  <si>
    <t>Grady County</t>
  </si>
  <si>
    <t>Source: ODOT 2017 Crash Facts</t>
  </si>
  <si>
    <t>ADT Bypass</t>
  </si>
  <si>
    <t>ADT Existing</t>
  </si>
  <si>
    <t>Source: ODOT Project Area Crash Data 2014-2018</t>
  </si>
  <si>
    <t>Preservation Cost / Lane Mile</t>
  </si>
  <si>
    <t>Rehab Cost / Lane Mile</t>
  </si>
  <si>
    <t>Reconstruction or Rehab Cost / Lane Mile</t>
  </si>
  <si>
    <t>30 Year BENEFITS</t>
  </si>
  <si>
    <t>Maintenance Cost Calculations</t>
  </si>
  <si>
    <t>Source: Truck - Diesel rates obtained from EPA, Emissions Facts, Average In-Use Emissions from Heavy-Duty Trucks, October 2008, Table 1</t>
  </si>
  <si>
    <t>Traffic Volumes</t>
  </si>
  <si>
    <t>No Build ADT</t>
  </si>
  <si>
    <t>Build ADT</t>
  </si>
  <si>
    <t>VHT</t>
  </si>
  <si>
    <t>VMT</t>
  </si>
  <si>
    <t>ADT - Bypass</t>
  </si>
  <si>
    <t>ADT - Existing</t>
  </si>
  <si>
    <t>Truck VHT</t>
  </si>
  <si>
    <t>Build - Bypass</t>
  </si>
  <si>
    <t>Truck VMT</t>
  </si>
  <si>
    <t>Segment (2055) - Build (Existing US 81)</t>
  </si>
  <si>
    <t>Segment (2055) - Build (US 81 Bypass)</t>
  </si>
  <si>
    <t>AADT (Segment 9) Annual</t>
  </si>
  <si>
    <t>Passenger Vehicle VMT</t>
  </si>
  <si>
    <t>Passenger Vehicle VHT</t>
  </si>
  <si>
    <t>AADT (Segment 9) Daily</t>
  </si>
  <si>
    <t>AADT (Segment 7) Daily</t>
  </si>
  <si>
    <t>Country Club Road to I-44</t>
  </si>
  <si>
    <t>I-44 to Alabama Ave</t>
  </si>
  <si>
    <t>Alabama Ave to Idaho Ave</t>
  </si>
  <si>
    <t>Idaho Ave to Choctaw Ave</t>
  </si>
  <si>
    <t>Choctaw Ave/US 81 to 9th St</t>
  </si>
  <si>
    <t>9th St to US 81/US 61 Intersection</t>
  </si>
  <si>
    <t>US 81/US 61 Intersection to North end of project</t>
  </si>
  <si>
    <t>30 Year COSTS</t>
  </si>
  <si>
    <t>Growth 2041-2056</t>
  </si>
  <si>
    <t>CAGR - 2041-2056</t>
  </si>
  <si>
    <t>$/Metric Ton</t>
  </si>
  <si>
    <t>SO2</t>
  </si>
  <si>
    <t>CO2</t>
  </si>
  <si>
    <t>Source: BCA Guildelines 2021</t>
  </si>
  <si>
    <t>Source: Truck Value of Time (DOT Benefit-Cost Analysis (BCA) 2021 Resource Guide)</t>
  </si>
  <si>
    <t>Source: Passenger Vehicle Value of Time (DOT Benefit-Cost Analysis (BCA) 2021 Resource Guide)</t>
  </si>
  <si>
    <t>Source: Per-Mile Truck Operating Cost (DOT Benefit-Cost Analysis (BCA) 2021 Resource Guide)</t>
  </si>
  <si>
    <t>Source: Per-Mile Two-Axle Operating Cost (DOT Benefit-Cost Analysis (BCA) 2021 Resource Guide)</t>
  </si>
  <si>
    <t>Nox &amp; PM 2.5</t>
  </si>
  <si>
    <t>Benefit of Reduced Damage</t>
  </si>
  <si>
    <t>Pollutant Emissions Calculations (metric tons)</t>
  </si>
  <si>
    <t>Severity Per Collision</t>
  </si>
  <si>
    <t>PDO</t>
  </si>
  <si>
    <t>Unit Value ($2019)</t>
  </si>
  <si>
    <t>Source: BCA Guidance 2021</t>
  </si>
  <si>
    <t>Average Vehicles per Crash</t>
  </si>
  <si>
    <t>Total Project Costs (2019$)</t>
  </si>
  <si>
    <t>Table A-7, 2021 BCA Guidance</t>
  </si>
  <si>
    <t>*Previously incurred costs are inflated to 2019$ using the Inflation table in the BCA.</t>
  </si>
  <si>
    <t>Segment 7</t>
  </si>
  <si>
    <t>Total (Qm1)</t>
  </si>
  <si>
    <t>t2</t>
  </si>
  <si>
    <t>Cars which Leave Queue (t2)</t>
  </si>
  <si>
    <t>Daily Delay (Hours)</t>
  </si>
  <si>
    <t>Blockage</t>
  </si>
  <si>
    <t>t1 (hours)</t>
  </si>
  <si>
    <t>Signal Green Time Percent</t>
  </si>
  <si>
    <t>40% of the car queue diverts to an alternate route but experince approximately 12 minutes of delay due to high side street volume and waiting in the queue.</t>
  </si>
  <si>
    <t>2021 BCA SUMMARY - U.S. 81 Realignment</t>
  </si>
  <si>
    <t>Percent signal is green average for US 81</t>
  </si>
  <si>
    <t>Vehicle Miles Traveled</t>
  </si>
  <si>
    <t>Vehicle Hours Traveled</t>
  </si>
  <si>
    <t>Average time for loads to clear intersection/instance, excluding weekends (Min.)</t>
  </si>
  <si>
    <t>Environmental Benefit</t>
  </si>
  <si>
    <t>Environmental Benefit (NPV)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</si>
</sst>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0.0000000000"/>
    <numFmt numFmtId="165" formatCode="_(&quot;$&quot;* #,##0_);_(&quot;$&quot;* \(#,##0\);_(&quot;$&quot;* &quot;-&quot;??_);_(@_)"/>
    <numFmt numFmtId="166" formatCode="0.00000"/>
    <numFmt numFmtId="167" formatCode="0.000"/>
    <numFmt numFmtId="168" formatCode="0.0%"/>
    <numFmt numFmtId="169" formatCode="&quot;$&quot;#,##0"/>
    <numFmt numFmtId="170" formatCode="0.0"/>
    <numFmt numFmtId="171" formatCode="_(* #,##0_);_(* \(#,##0\);_(* &quot;-&quot;??_);_(@_)"/>
    <numFmt numFmtId="172" formatCode="0.00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sz val="10"/>
      <name val="MS Sans Serif"/>
      <family val="2"/>
    </font>
    <font>
      <b/>
      <sz val="18"/>
      <color theme="1"/>
      <name val="Calibri"/>
      <family val="2"/>
      <scheme val="minor"/>
    </font>
    <font>
      <b/>
      <sz val="14"/>
      <color theme="1"/>
      <name val="Calibri"/>
      <family val="2"/>
      <scheme val="minor"/>
    </font>
    <font>
      <sz val="10"/>
      <name val="Arial Narrow"/>
      <family val="2"/>
    </font>
    <font>
      <b/>
      <sz val="10"/>
      <name val="Arial Narrow"/>
      <family val="2"/>
    </font>
    <font>
      <b/>
      <sz val="10"/>
      <color theme="0"/>
      <name val="Arial Narrow"/>
      <family val="2"/>
    </font>
    <font>
      <sz val="10"/>
      <color theme="0"/>
      <name val="Arial Narrow"/>
      <family val="2"/>
    </font>
    <font>
      <sz val="10"/>
      <color rgb="FFFF0000"/>
      <name val="Arial Narrow"/>
      <family val="2"/>
    </font>
    <font>
      <b/>
      <sz val="11"/>
      <color theme="0"/>
      <name val="Arial Narrow"/>
      <family val="2"/>
    </font>
    <font>
      <sz val="12"/>
      <name val="Arial Narrow"/>
      <family val="2"/>
    </font>
    <font>
      <b/>
      <sz val="11"/>
      <name val="Arial Narrow"/>
      <family val="2"/>
    </font>
    <font>
      <sz val="11"/>
      <color theme="1"/>
      <name val="Arial Narrow"/>
      <family val="2"/>
    </font>
    <font>
      <b/>
      <sz val="12"/>
      <name val="Arial Narrow"/>
      <family val="2"/>
    </font>
    <font>
      <sz val="16"/>
      <name val="Arial Narrow"/>
      <family val="2"/>
    </font>
    <font>
      <i/>
      <sz val="10"/>
      <name val="Arial Narrow"/>
      <family val="2"/>
    </font>
    <font>
      <b/>
      <sz val="14"/>
      <name val="Arial Narrow"/>
      <family val="2"/>
    </font>
    <font>
      <b/>
      <sz val="12"/>
      <color theme="0"/>
      <name val="Arial Narrow"/>
      <family val="2"/>
    </font>
    <font>
      <b/>
      <sz val="16"/>
      <name val="Arial Narrow"/>
      <family val="2"/>
    </font>
    <font>
      <u/>
      <sz val="10"/>
      <color theme="10"/>
      <name val="Arial"/>
      <family val="2"/>
    </font>
    <font>
      <u/>
      <sz val="11"/>
      <color theme="10"/>
      <name val="Calibri"/>
      <family val="2"/>
      <scheme val="minor"/>
    </font>
    <font>
      <sz val="8"/>
      <name val="Arial Narrow"/>
      <family val="2"/>
    </font>
    <font>
      <sz val="10"/>
      <color theme="1"/>
      <name val="Arial Narrow"/>
      <family val="2"/>
    </font>
    <font>
      <b/>
      <sz val="10"/>
      <color theme="1"/>
      <name val="Arial Narrow"/>
      <family val="2"/>
    </font>
    <font>
      <sz val="11"/>
      <name val="Arial Narrow"/>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EF5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s>
  <borders count="3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s>
  <cellStyleXfs count="36">
    <xf numFmtId="0" fontId="0" fillId="0" borderId="0"/>
    <xf numFmtId="0" fontId="10" fillId="0" borderId="0" applyNumberFormat="0" applyAlignment="0"/>
    <xf numFmtId="44" fontId="9" fillId="0" borderId="0" applyFont="0" applyFill="0" applyBorder="0" applyAlignment="0" applyProtection="0"/>
    <xf numFmtId="38" fontId="10" fillId="2"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10" fontId="10" fillId="3" borderId="3" applyNumberFormat="0" applyBorder="0" applyAlignment="0" applyProtection="0"/>
    <xf numFmtId="164" fontId="9" fillId="0" borderId="0"/>
    <xf numFmtId="0" fontId="9" fillId="0" borderId="0"/>
    <xf numFmtId="9" fontId="9" fillId="0" borderId="0" applyFont="0" applyFill="0" applyBorder="0" applyAlignment="0" applyProtection="0"/>
    <xf numFmtId="10" fontId="9" fillId="0" borderId="0" applyFont="0" applyFill="0" applyBorder="0" applyAlignment="0" applyProtection="0"/>
    <xf numFmtId="0" fontId="13" fillId="0" borderId="0" applyNumberFormat="0" applyFont="0" applyFill="0" applyBorder="0" applyAlignment="0" applyProtection="0">
      <alignment horizontal="left"/>
    </xf>
    <xf numFmtId="0" fontId="9" fillId="0" borderId="0"/>
    <xf numFmtId="43" fontId="9" fillId="0" borderId="0" applyFont="0" applyFill="0" applyBorder="0" applyAlignment="0" applyProtection="0"/>
    <xf numFmtId="0" fontId="8" fillId="0" borderId="0"/>
    <xf numFmtId="0" fontId="8" fillId="0" borderId="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44" fontId="9" fillId="0" borderId="0" applyFont="0" applyFill="0" applyBorder="0" applyAlignment="0" applyProtection="0"/>
    <xf numFmtId="0" fontId="9" fillId="0" borderId="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1" fillId="0" borderId="0" applyNumberForma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2" fillId="0" borderId="0" applyNumberForma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510">
    <xf numFmtId="0" fontId="0" fillId="0" borderId="0" xfId="0"/>
    <xf numFmtId="0" fontId="16" fillId="0" borderId="0" xfId="0" applyFont="1"/>
    <xf numFmtId="0" fontId="16" fillId="0" borderId="0" xfId="0" applyFont="1" applyAlignment="1"/>
    <xf numFmtId="1" fontId="16" fillId="0" borderId="17" xfId="0" applyNumberFormat="1" applyFont="1" applyFill="1" applyBorder="1" applyAlignment="1">
      <alignment horizontal="center"/>
    </xf>
    <xf numFmtId="1" fontId="16" fillId="0" borderId="17" xfId="0" applyNumberFormat="1" applyFont="1" applyFill="1" applyBorder="1" applyAlignment="1">
      <alignment horizontal="center" vertical="center"/>
    </xf>
    <xf numFmtId="169" fontId="16" fillId="0" borderId="17" xfId="0" applyNumberFormat="1" applyFont="1" applyFill="1" applyBorder="1"/>
    <xf numFmtId="0" fontId="18" fillId="7" borderId="6" xfId="0" applyFont="1" applyFill="1" applyBorder="1" applyAlignment="1">
      <alignment horizontal="center" vertical="center"/>
    </xf>
    <xf numFmtId="0" fontId="18" fillId="7" borderId="6" xfId="0" applyFont="1" applyFill="1" applyBorder="1" applyAlignment="1">
      <alignment horizontal="center" vertical="center" wrapText="1"/>
    </xf>
    <xf numFmtId="0" fontId="21" fillId="7" borderId="6" xfId="8" applyFont="1" applyFill="1" applyBorder="1" applyAlignment="1">
      <alignment horizontal="center" vertical="center"/>
    </xf>
    <xf numFmtId="5" fontId="22" fillId="0" borderId="5" xfId="2" applyNumberFormat="1" applyFont="1" applyFill="1" applyBorder="1" applyAlignment="1">
      <alignment horizontal="center" vertical="center"/>
    </xf>
    <xf numFmtId="2" fontId="22" fillId="0" borderId="5" xfId="8" applyNumberFormat="1" applyFont="1" applyFill="1" applyBorder="1" applyAlignment="1">
      <alignment horizontal="center" vertical="center"/>
    </xf>
    <xf numFmtId="0" fontId="18" fillId="7" borderId="3" xfId="0" applyFont="1" applyFill="1" applyBorder="1" applyAlignment="1">
      <alignment horizontal="center" wrapText="1"/>
    </xf>
    <xf numFmtId="3" fontId="16" fillId="0" borderId="17" xfId="0" applyNumberFormat="1" applyFont="1" applyFill="1" applyBorder="1" applyAlignment="1">
      <alignment horizontal="center"/>
    </xf>
    <xf numFmtId="3" fontId="16" fillId="5" borderId="17" xfId="0" applyNumberFormat="1" applyFont="1" applyFill="1" applyBorder="1" applyAlignment="1">
      <alignment horizontal="center"/>
    </xf>
    <xf numFmtId="0" fontId="16" fillId="0" borderId="13" xfId="0" applyFont="1" applyFill="1" applyBorder="1" applyAlignment="1">
      <alignment horizontal="center"/>
    </xf>
    <xf numFmtId="9" fontId="16" fillId="0" borderId="13" xfId="9" applyFont="1" applyFill="1" applyBorder="1" applyAlignment="1">
      <alignment horizontal="center"/>
    </xf>
    <xf numFmtId="0" fontId="16" fillId="0" borderId="14" xfId="0" applyFont="1" applyFill="1" applyBorder="1" applyAlignment="1">
      <alignment horizontal="center"/>
    </xf>
    <xf numFmtId="9" fontId="16" fillId="0" borderId="14" xfId="9" applyFont="1" applyFill="1" applyBorder="1" applyAlignment="1">
      <alignment horizontal="center"/>
    </xf>
    <xf numFmtId="0" fontId="16" fillId="0" borderId="13" xfId="0" applyFont="1" applyFill="1" applyBorder="1" applyAlignment="1">
      <alignment horizontal="center" vertical="center"/>
    </xf>
    <xf numFmtId="0" fontId="16" fillId="0" borderId="16" xfId="0" applyFont="1" applyFill="1" applyBorder="1" applyAlignment="1">
      <alignment horizontal="center" vertical="center"/>
    </xf>
    <xf numFmtId="0" fontId="18" fillId="7" borderId="5" xfId="0" quotePrefix="1"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3" xfId="0" applyFont="1" applyFill="1" applyBorder="1" applyAlignment="1">
      <alignment horizontal="left"/>
    </xf>
    <xf numFmtId="0" fontId="18" fillId="7" borderId="3" xfId="0" applyFont="1" applyFill="1" applyBorder="1" applyAlignment="1">
      <alignment horizontal="left" vertical="center" wrapText="1"/>
    </xf>
    <xf numFmtId="0" fontId="17" fillId="8" borderId="13" xfId="0" applyFont="1" applyFill="1" applyBorder="1" applyAlignment="1">
      <alignment horizontal="left" vertical="center" wrapText="1"/>
    </xf>
    <xf numFmtId="3" fontId="16" fillId="4" borderId="3" xfId="0" applyNumberFormat="1" applyFont="1" applyFill="1" applyBorder="1" applyAlignment="1">
      <alignment horizontal="right"/>
    </xf>
    <xf numFmtId="10" fontId="16" fillId="5" borderId="3" xfId="9" applyNumberFormat="1" applyFont="1" applyFill="1" applyBorder="1" applyAlignment="1">
      <alignment horizontal="center"/>
    </xf>
    <xf numFmtId="166" fontId="16" fillId="5" borderId="13" xfId="0" applyNumberFormat="1" applyFont="1" applyFill="1" applyBorder="1" applyAlignment="1">
      <alignment horizontal="center" wrapText="1"/>
    </xf>
    <xf numFmtId="2" fontId="16" fillId="4" borderId="3" xfId="0" applyNumberFormat="1"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5" borderId="13" xfId="0" applyFont="1" applyFill="1" applyBorder="1" applyAlignment="1">
      <alignment horizontal="center"/>
    </xf>
    <xf numFmtId="0" fontId="16" fillId="5" borderId="14" xfId="0" applyFont="1" applyFill="1" applyBorder="1" applyAlignment="1">
      <alignment horizontal="center"/>
    </xf>
    <xf numFmtId="0" fontId="16" fillId="5" borderId="13" xfId="0" applyFont="1" applyFill="1" applyBorder="1" applyAlignment="1">
      <alignment horizontal="center" vertical="center"/>
    </xf>
    <xf numFmtId="0" fontId="16" fillId="5" borderId="16" xfId="0" applyFont="1" applyFill="1" applyBorder="1" applyAlignment="1">
      <alignment horizontal="center" vertical="center"/>
    </xf>
    <xf numFmtId="3" fontId="16" fillId="0" borderId="15" xfId="0" applyNumberFormat="1" applyFont="1" applyFill="1" applyBorder="1" applyAlignment="1">
      <alignment horizontal="center"/>
    </xf>
    <xf numFmtId="1" fontId="16" fillId="5" borderId="17" xfId="0" applyNumberFormat="1" applyFont="1" applyFill="1" applyBorder="1" applyAlignment="1">
      <alignment horizontal="center"/>
    </xf>
    <xf numFmtId="169" fontId="16" fillId="5" borderId="17" xfId="0" applyNumberFormat="1" applyFont="1" applyFill="1" applyBorder="1"/>
    <xf numFmtId="1" fontId="16" fillId="5" borderId="17" xfId="0" applyNumberFormat="1" applyFont="1" applyFill="1" applyBorder="1" applyAlignment="1">
      <alignment horizontal="center" vertical="center"/>
    </xf>
    <xf numFmtId="9" fontId="16" fillId="0" borderId="17" xfId="9" applyFont="1" applyFill="1" applyBorder="1" applyAlignment="1">
      <alignment horizontal="center"/>
    </xf>
    <xf numFmtId="9" fontId="16" fillId="0" borderId="15" xfId="9" applyFont="1" applyFill="1" applyBorder="1" applyAlignment="1">
      <alignment horizontal="center"/>
    </xf>
    <xf numFmtId="5" fontId="16" fillId="5" borderId="3" xfId="2" applyNumberFormat="1" applyFont="1" applyFill="1" applyBorder="1" applyAlignment="1">
      <alignment horizontal="right"/>
    </xf>
    <xf numFmtId="5" fontId="16" fillId="4" borderId="3" xfId="2" applyNumberFormat="1" applyFont="1" applyFill="1" applyBorder="1" applyAlignment="1">
      <alignment horizontal="right"/>
    </xf>
    <xf numFmtId="0" fontId="16" fillId="4" borderId="3" xfId="2" applyNumberFormat="1" applyFont="1" applyFill="1" applyBorder="1" applyAlignment="1">
      <alignment horizontal="right"/>
    </xf>
    <xf numFmtId="9" fontId="17" fillId="0" borderId="5" xfId="0" applyNumberFormat="1" applyFont="1" applyFill="1" applyBorder="1" applyAlignment="1">
      <alignment horizontal="center"/>
    </xf>
    <xf numFmtId="0" fontId="16" fillId="0" borderId="15" xfId="0" applyFont="1" applyFill="1" applyBorder="1" applyAlignment="1">
      <alignment horizontal="center"/>
    </xf>
    <xf numFmtId="9" fontId="16" fillId="0" borderId="3" xfId="9" applyFont="1" applyFill="1" applyBorder="1"/>
    <xf numFmtId="169" fontId="16" fillId="4" borderId="3" xfId="2" applyNumberFormat="1" applyFont="1" applyFill="1" applyBorder="1"/>
    <xf numFmtId="169" fontId="17" fillId="5" borderId="5" xfId="0" applyNumberFormat="1" applyFont="1" applyFill="1" applyBorder="1" applyAlignment="1"/>
    <xf numFmtId="169" fontId="16" fillId="4" borderId="13" xfId="2" applyNumberFormat="1" applyFont="1" applyFill="1" applyBorder="1" applyAlignment="1">
      <alignment horizontal="right"/>
    </xf>
    <xf numFmtId="169" fontId="16" fillId="4" borderId="15" xfId="2" applyNumberFormat="1" applyFont="1" applyFill="1" applyBorder="1" applyAlignment="1">
      <alignment horizontal="right"/>
    </xf>
    <xf numFmtId="169" fontId="16" fillId="4" borderId="15" xfId="2" applyNumberFormat="1" applyFont="1" applyFill="1" applyBorder="1" applyAlignment="1">
      <alignment horizontal="right" vertical="center"/>
    </xf>
    <xf numFmtId="169" fontId="16" fillId="4" borderId="14" xfId="2" applyNumberFormat="1" applyFont="1" applyFill="1" applyBorder="1" applyAlignment="1">
      <alignment horizontal="right" vertical="center"/>
    </xf>
    <xf numFmtId="169" fontId="16" fillId="5" borderId="3" xfId="2" applyNumberFormat="1" applyFont="1" applyFill="1" applyBorder="1" applyAlignment="1">
      <alignment horizontal="right" vertical="center"/>
    </xf>
    <xf numFmtId="169" fontId="17" fillId="0" borderId="5" xfId="0" applyNumberFormat="1" applyFont="1" applyFill="1" applyBorder="1"/>
    <xf numFmtId="3" fontId="16" fillId="0" borderId="28" xfId="0" applyNumberFormat="1" applyFont="1" applyFill="1" applyBorder="1" applyAlignment="1">
      <alignment horizontal="center"/>
    </xf>
    <xf numFmtId="3" fontId="16" fillId="5" borderId="28" xfId="0" applyNumberFormat="1" applyFont="1" applyFill="1" applyBorder="1" applyAlignment="1">
      <alignment horizontal="center"/>
    </xf>
    <xf numFmtId="1" fontId="16" fillId="0" borderId="28" xfId="0" applyNumberFormat="1" applyFont="1" applyFill="1" applyBorder="1" applyAlignment="1">
      <alignment horizontal="center"/>
    </xf>
    <xf numFmtId="1" fontId="16" fillId="5" borderId="28" xfId="0" applyNumberFormat="1" applyFont="1" applyFill="1" applyBorder="1" applyAlignment="1">
      <alignment horizontal="center"/>
    </xf>
    <xf numFmtId="169" fontId="16" fillId="5" borderId="28" xfId="0" applyNumberFormat="1" applyFont="1" applyFill="1" applyBorder="1"/>
    <xf numFmtId="169" fontId="16" fillId="0" borderId="28" xfId="0" applyNumberFormat="1" applyFont="1" applyFill="1" applyBorder="1"/>
    <xf numFmtId="9" fontId="16" fillId="0" borderId="28" xfId="9" applyFont="1" applyFill="1" applyBorder="1" applyAlignment="1">
      <alignment horizontal="center"/>
    </xf>
    <xf numFmtId="0" fontId="16" fillId="0" borderId="0" xfId="12" applyFont="1"/>
    <xf numFmtId="0" fontId="18" fillId="7" borderId="6" xfId="12" applyFont="1" applyFill="1" applyBorder="1" applyAlignment="1">
      <alignment horizontal="center" vertical="center" wrapText="1"/>
    </xf>
    <xf numFmtId="0" fontId="17" fillId="9" borderId="17" xfId="12" applyFont="1" applyFill="1" applyBorder="1" applyAlignment="1">
      <alignment horizontal="center"/>
    </xf>
    <xf numFmtId="3" fontId="16" fillId="5" borderId="17" xfId="12" applyNumberFormat="1" applyFont="1" applyFill="1" applyBorder="1" applyAlignment="1">
      <alignment horizontal="center"/>
    </xf>
    <xf numFmtId="0" fontId="17" fillId="9" borderId="15" xfId="12" applyFont="1" applyFill="1" applyBorder="1" applyAlignment="1">
      <alignment horizontal="center"/>
    </xf>
    <xf numFmtId="3" fontId="16" fillId="5" borderId="24" xfId="12" applyNumberFormat="1" applyFont="1" applyFill="1" applyBorder="1" applyAlignment="1">
      <alignment horizontal="center"/>
    </xf>
    <xf numFmtId="0" fontId="17" fillId="9" borderId="28" xfId="12" applyFont="1" applyFill="1" applyBorder="1" applyAlignment="1">
      <alignment horizontal="center"/>
    </xf>
    <xf numFmtId="3" fontId="16" fillId="5" borderId="28" xfId="12" applyNumberFormat="1" applyFont="1" applyFill="1" applyBorder="1" applyAlignment="1">
      <alignment horizontal="center"/>
    </xf>
    <xf numFmtId="0" fontId="16" fillId="0" borderId="17" xfId="0" applyFont="1" applyFill="1" applyBorder="1" applyAlignment="1">
      <alignment horizontal="center"/>
    </xf>
    <xf numFmtId="10" fontId="25" fillId="6" borderId="3" xfId="12" applyNumberFormat="1" applyFont="1" applyFill="1" applyBorder="1" applyAlignment="1">
      <alignment horizontal="center"/>
    </xf>
    <xf numFmtId="6" fontId="25" fillId="6" borderId="3" xfId="12" applyNumberFormat="1" applyFont="1" applyFill="1" applyBorder="1" applyAlignment="1">
      <alignment horizontal="center"/>
    </xf>
    <xf numFmtId="40" fontId="30" fillId="6" borderId="3" xfId="12" applyNumberFormat="1" applyFont="1" applyFill="1" applyBorder="1" applyAlignment="1">
      <alignment horizontal="center"/>
    </xf>
    <xf numFmtId="0" fontId="17" fillId="0" borderId="10" xfId="0" applyFont="1" applyBorder="1" applyAlignment="1">
      <alignment horizontal="right"/>
    </xf>
    <xf numFmtId="0" fontId="18" fillId="7" borderId="6" xfId="0" applyFont="1" applyFill="1" applyBorder="1" applyAlignment="1">
      <alignment horizontal="center" wrapText="1"/>
    </xf>
    <xf numFmtId="0" fontId="17" fillId="9" borderId="14" xfId="12" applyFont="1" applyFill="1" applyBorder="1" applyAlignment="1">
      <alignment horizontal="center"/>
    </xf>
    <xf numFmtId="0" fontId="18" fillId="7" borderId="6" xfId="0" applyFont="1" applyFill="1" applyBorder="1" applyAlignment="1">
      <alignment horizontal="center" vertical="center" wrapText="1"/>
    </xf>
    <xf numFmtId="3" fontId="16" fillId="5" borderId="15" xfId="12" applyNumberFormat="1" applyFont="1" applyFill="1" applyBorder="1" applyAlignment="1">
      <alignment horizontal="center"/>
    </xf>
    <xf numFmtId="3" fontId="16" fillId="5" borderId="14" xfId="12" applyNumberFormat="1" applyFont="1" applyFill="1" applyBorder="1" applyAlignment="1">
      <alignment horizontal="center"/>
    </xf>
    <xf numFmtId="4" fontId="16" fillId="5" borderId="17" xfId="12" applyNumberFormat="1" applyFont="1" applyFill="1" applyBorder="1" applyAlignment="1">
      <alignment horizontal="center"/>
    </xf>
    <xf numFmtId="0" fontId="18" fillId="7" borderId="6" xfId="0" applyFont="1" applyFill="1" applyBorder="1" applyAlignment="1">
      <alignment horizontal="center" vertical="center" wrapText="1"/>
    </xf>
    <xf numFmtId="0" fontId="18" fillId="7" borderId="3" xfId="12" applyFont="1" applyFill="1" applyBorder="1" applyAlignment="1">
      <alignment horizontal="center" vertical="center" wrapText="1"/>
    </xf>
    <xf numFmtId="0" fontId="0" fillId="11" borderId="0" xfId="0" applyFill="1"/>
    <xf numFmtId="0" fontId="17" fillId="9" borderId="15" xfId="0" applyFont="1" applyFill="1" applyBorder="1" applyAlignment="1">
      <alignment horizontal="center"/>
    </xf>
    <xf numFmtId="3" fontId="16" fillId="11" borderId="17" xfId="0" applyNumberFormat="1" applyFont="1" applyFill="1" applyBorder="1" applyAlignment="1">
      <alignment horizontal="center"/>
    </xf>
    <xf numFmtId="0" fontId="17" fillId="9" borderId="13" xfId="0" applyFont="1" applyFill="1" applyBorder="1"/>
    <xf numFmtId="0" fontId="17" fillId="9" borderId="14" xfId="0" applyFont="1" applyFill="1" applyBorder="1"/>
    <xf numFmtId="0" fontId="18" fillId="7" borderId="5" xfId="0" applyFont="1" applyFill="1" applyBorder="1" applyAlignment="1">
      <alignment horizontal="center" wrapText="1"/>
    </xf>
    <xf numFmtId="0" fontId="0" fillId="9" borderId="3" xfId="0" applyFont="1" applyFill="1" applyBorder="1" applyAlignment="1">
      <alignment horizontal="center"/>
    </xf>
    <xf numFmtId="0" fontId="0" fillId="11" borderId="3" xfId="0" applyFont="1" applyFill="1" applyBorder="1" applyAlignment="1">
      <alignment horizontal="center" vertical="center"/>
    </xf>
    <xf numFmtId="0" fontId="31" fillId="11" borderId="0" xfId="27" applyFill="1"/>
    <xf numFmtId="0" fontId="0" fillId="11" borderId="0" xfId="0" applyFont="1" applyFill="1" applyBorder="1" applyAlignment="1">
      <alignment wrapText="1"/>
    </xf>
    <xf numFmtId="0" fontId="0" fillId="11" borderId="0" xfId="0" applyFill="1" applyAlignment="1">
      <alignment vertical="top" wrapText="1"/>
    </xf>
    <xf numFmtId="0" fontId="16" fillId="11" borderId="0" xfId="0" applyFont="1" applyFill="1" applyBorder="1" applyAlignment="1">
      <alignment horizontal="left" wrapText="1"/>
    </xf>
    <xf numFmtId="0" fontId="17" fillId="11" borderId="0" xfId="0" applyFont="1" applyFill="1" applyBorder="1" applyAlignment="1">
      <alignment horizontal="left" wrapText="1"/>
    </xf>
    <xf numFmtId="0" fontId="16" fillId="11" borderId="0" xfId="0" applyFont="1" applyFill="1"/>
    <xf numFmtId="3" fontId="16" fillId="11" borderId="0" xfId="0" applyNumberFormat="1" applyFont="1" applyFill="1"/>
    <xf numFmtId="43" fontId="16" fillId="11" borderId="0" xfId="0" applyNumberFormat="1" applyFont="1" applyFill="1"/>
    <xf numFmtId="0" fontId="17" fillId="11" borderId="0" xfId="0" applyFont="1" applyFill="1" applyBorder="1" applyAlignment="1">
      <alignment horizontal="left"/>
    </xf>
    <xf numFmtId="0" fontId="9" fillId="11" borderId="0" xfId="0" applyFont="1" applyFill="1"/>
    <xf numFmtId="0" fontId="9" fillId="11" borderId="0" xfId="0" applyFont="1" applyFill="1" applyAlignment="1"/>
    <xf numFmtId="0" fontId="0" fillId="11" borderId="0" xfId="0" applyFill="1" applyAlignment="1"/>
    <xf numFmtId="0" fontId="16" fillId="11" borderId="0" xfId="0" applyFont="1" applyFill="1" applyAlignment="1"/>
    <xf numFmtId="0" fontId="16" fillId="11" borderId="0" xfId="0" applyFont="1" applyFill="1" applyBorder="1" applyAlignment="1">
      <alignment horizontal="center" vertical="center"/>
    </xf>
    <xf numFmtId="0" fontId="16" fillId="11" borderId="0" xfId="0" applyFont="1" applyFill="1" applyBorder="1" applyAlignment="1">
      <alignment horizontal="center" vertical="center" wrapText="1"/>
    </xf>
    <xf numFmtId="0" fontId="16" fillId="11" borderId="0" xfId="0" applyFont="1" applyFill="1" applyBorder="1" applyAlignment="1">
      <alignment vertical="center" wrapText="1"/>
    </xf>
    <xf numFmtId="167" fontId="16" fillId="11" borderId="0" xfId="0" applyNumberFormat="1" applyFont="1" applyFill="1" applyBorder="1" applyAlignment="1">
      <alignment horizontal="center" vertical="center"/>
    </xf>
    <xf numFmtId="0" fontId="16" fillId="11" borderId="0" xfId="0" applyFont="1" applyFill="1" applyBorder="1"/>
    <xf numFmtId="0" fontId="16" fillId="11" borderId="0" xfId="0" applyNumberFormat="1" applyFont="1" applyFill="1"/>
    <xf numFmtId="167" fontId="16" fillId="11" borderId="0" xfId="0" applyNumberFormat="1" applyFont="1" applyFill="1"/>
    <xf numFmtId="0" fontId="19" fillId="11" borderId="0" xfId="0" applyFont="1" applyFill="1" applyBorder="1" applyAlignment="1"/>
    <xf numFmtId="0" fontId="19" fillId="11" borderId="0" xfId="0" applyFont="1" applyFill="1" applyBorder="1" applyAlignment="1">
      <alignment horizontal="center" vertical="center"/>
    </xf>
    <xf numFmtId="0" fontId="19" fillId="11" borderId="0" xfId="0" applyFont="1" applyFill="1" applyBorder="1" applyAlignment="1">
      <alignment horizontal="left" vertical="center"/>
    </xf>
    <xf numFmtId="0" fontId="16" fillId="11" borderId="0" xfId="0" applyFont="1" applyFill="1" applyBorder="1" applyAlignment="1">
      <alignment horizontal="right" vertical="center"/>
    </xf>
    <xf numFmtId="0" fontId="16" fillId="11" borderId="0" xfId="0" applyFont="1" applyFill="1" applyBorder="1" applyAlignment="1"/>
    <xf numFmtId="0" fontId="17" fillId="11" borderId="0" xfId="0" applyFont="1" applyFill="1"/>
    <xf numFmtId="0" fontId="0" fillId="11" borderId="0" xfId="0" applyFill="1" applyBorder="1"/>
    <xf numFmtId="0" fontId="11" fillId="11" borderId="0" xfId="0" applyFont="1" applyFill="1" applyBorder="1" applyAlignment="1">
      <alignment horizontal="center"/>
    </xf>
    <xf numFmtId="0" fontId="11" fillId="11" borderId="0" xfId="0" applyFont="1" applyFill="1" applyBorder="1" applyAlignment="1"/>
    <xf numFmtId="0" fontId="18" fillId="11" borderId="0" xfId="0" applyFont="1" applyFill="1" applyBorder="1" applyAlignment="1"/>
    <xf numFmtId="0" fontId="9" fillId="11" borderId="0" xfId="0" applyFont="1" applyFill="1" applyBorder="1" applyAlignment="1"/>
    <xf numFmtId="0" fontId="9" fillId="11" borderId="0" xfId="0" applyFont="1" applyFill="1" applyBorder="1" applyAlignment="1">
      <alignment horizontal="center"/>
    </xf>
    <xf numFmtId="0" fontId="9" fillId="11" borderId="0" xfId="0" quotePrefix="1" applyFont="1" applyFill="1" applyBorder="1" applyAlignment="1">
      <alignment horizontal="center" vertical="center" wrapText="1"/>
    </xf>
    <xf numFmtId="0" fontId="9" fillId="11" borderId="0" xfId="0" applyFont="1" applyFill="1" applyBorder="1" applyAlignment="1">
      <alignment horizontal="center" vertical="center" wrapText="1"/>
    </xf>
    <xf numFmtId="168" fontId="9" fillId="11" borderId="0" xfId="0" applyNumberFormat="1" applyFont="1" applyFill="1" applyBorder="1" applyAlignment="1">
      <alignment horizontal="center" vertical="center" wrapText="1"/>
    </xf>
    <xf numFmtId="10" fontId="9" fillId="11" borderId="0" xfId="0" applyNumberFormat="1" applyFont="1" applyFill="1" applyBorder="1" applyAlignment="1">
      <alignment horizontal="center" vertical="center"/>
    </xf>
    <xf numFmtId="0" fontId="17" fillId="11" borderId="0" xfId="0" applyFont="1" applyFill="1" applyBorder="1" applyAlignment="1"/>
    <xf numFmtId="0" fontId="9" fillId="11" borderId="0" xfId="0" applyFont="1" applyFill="1" applyBorder="1" applyAlignment="1">
      <alignment vertical="center"/>
    </xf>
    <xf numFmtId="0" fontId="0" fillId="11" borderId="0" xfId="0" applyFill="1" applyBorder="1" applyAlignment="1">
      <alignment horizontal="center" vertical="center"/>
    </xf>
    <xf numFmtId="10" fontId="0" fillId="11" borderId="0" xfId="0" applyNumberFormat="1" applyFill="1" applyBorder="1" applyAlignment="1">
      <alignment horizontal="center"/>
    </xf>
    <xf numFmtId="0" fontId="16" fillId="11" borderId="0" xfId="0" applyFont="1" applyFill="1" applyBorder="1" applyAlignment="1">
      <alignment vertical="center"/>
    </xf>
    <xf numFmtId="9" fontId="16" fillId="11" borderId="0" xfId="9" applyFont="1" applyFill="1" applyBorder="1" applyAlignment="1">
      <alignment horizontal="center"/>
    </xf>
    <xf numFmtId="0" fontId="9" fillId="11" borderId="0" xfId="0" applyFont="1" applyFill="1" applyBorder="1"/>
    <xf numFmtId="0" fontId="0" fillId="11" borderId="0" xfId="0" applyFill="1" applyBorder="1" applyAlignment="1">
      <alignment horizontal="right" vertical="center"/>
    </xf>
    <xf numFmtId="0" fontId="16" fillId="11" borderId="0" xfId="0" applyFont="1" applyFill="1" applyBorder="1" applyAlignment="1">
      <alignment horizontal="center"/>
    </xf>
    <xf numFmtId="0" fontId="16" fillId="11" borderId="20" xfId="0" applyFont="1" applyFill="1" applyBorder="1" applyAlignment="1">
      <alignment vertical="center"/>
    </xf>
    <xf numFmtId="0" fontId="16" fillId="11" borderId="0" xfId="0" applyFont="1" applyFill="1" applyAlignment="1">
      <alignment vertical="center"/>
    </xf>
    <xf numFmtId="0" fontId="20" fillId="11" borderId="0" xfId="0" applyFont="1" applyFill="1"/>
    <xf numFmtId="0" fontId="20" fillId="11" borderId="0" xfId="0" applyFont="1" applyFill="1" applyAlignment="1">
      <alignment horizontal="center"/>
    </xf>
    <xf numFmtId="0" fontId="26" fillId="11" borderId="0" xfId="0" applyFont="1" applyFill="1" applyAlignment="1"/>
    <xf numFmtId="0" fontId="23" fillId="11" borderId="0" xfId="0" applyFont="1" applyFill="1" applyBorder="1" applyAlignment="1"/>
    <xf numFmtId="0" fontId="16" fillId="11" borderId="0" xfId="0" quotePrefix="1" applyFont="1" applyFill="1" applyBorder="1" applyAlignment="1">
      <alignment horizontal="center" vertical="center" wrapText="1"/>
    </xf>
    <xf numFmtId="0" fontId="16" fillId="11" borderId="0" xfId="12" applyFont="1" applyFill="1"/>
    <xf numFmtId="44" fontId="16" fillId="11" borderId="3" xfId="2" applyFont="1" applyFill="1" applyBorder="1"/>
    <xf numFmtId="3" fontId="16" fillId="11" borderId="0" xfId="12" applyNumberFormat="1" applyFont="1" applyFill="1" applyBorder="1" applyAlignment="1">
      <alignment horizontal="center"/>
    </xf>
    <xf numFmtId="0" fontId="17" fillId="11" borderId="0" xfId="12" applyFont="1" applyFill="1" applyBorder="1" applyAlignment="1">
      <alignment horizontal="center"/>
    </xf>
    <xf numFmtId="1" fontId="16" fillId="11" borderId="0" xfId="12" applyNumberFormat="1" applyFont="1" applyFill="1"/>
    <xf numFmtId="0" fontId="20" fillId="11" borderId="0" xfId="12" applyFont="1" applyFill="1" applyAlignment="1">
      <alignment horizontal="center"/>
    </xf>
    <xf numFmtId="0" fontId="16" fillId="11" borderId="0" xfId="12" quotePrefix="1" applyFont="1" applyFill="1"/>
    <xf numFmtId="0" fontId="18" fillId="7" borderId="3" xfId="12" applyFont="1" applyFill="1" applyBorder="1" applyAlignment="1">
      <alignment horizontal="center" wrapText="1"/>
    </xf>
    <xf numFmtId="0" fontId="14" fillId="11" borderId="0" xfId="0" applyFont="1" applyFill="1"/>
    <xf numFmtId="14" fontId="15" fillId="11" borderId="0" xfId="0" applyNumberFormat="1" applyFont="1" applyFill="1"/>
    <xf numFmtId="0" fontId="23" fillId="11" borderId="0" xfId="12" applyFont="1" applyFill="1" applyBorder="1" applyAlignment="1"/>
    <xf numFmtId="0" fontId="18" fillId="11" borderId="0" xfId="12" applyFont="1" applyFill="1" applyBorder="1" applyAlignment="1"/>
    <xf numFmtId="0" fontId="24" fillId="11" borderId="0" xfId="24" applyFont="1" applyFill="1"/>
    <xf numFmtId="0" fontId="0" fillId="11" borderId="0" xfId="0" applyFill="1" applyAlignment="1">
      <alignment horizontal="center"/>
    </xf>
    <xf numFmtId="0" fontId="16" fillId="11" borderId="0" xfId="12" applyFont="1" applyFill="1" applyAlignment="1">
      <alignment horizontal="center"/>
    </xf>
    <xf numFmtId="0" fontId="12" fillId="11" borderId="0" xfId="4" applyFill="1" applyBorder="1" applyAlignment="1"/>
    <xf numFmtId="2" fontId="16" fillId="4" borderId="3" xfId="2" applyNumberFormat="1" applyFont="1" applyFill="1" applyBorder="1" applyAlignment="1">
      <alignment horizontal="right" vertical="center"/>
    </xf>
    <xf numFmtId="1" fontId="16" fillId="5" borderId="3" xfId="2" applyNumberFormat="1" applyFont="1" applyFill="1" applyBorder="1" applyAlignment="1">
      <alignment horizontal="right" vertical="center"/>
    </xf>
    <xf numFmtId="1" fontId="16" fillId="10" borderId="3" xfId="2" applyNumberFormat="1" applyFont="1" applyFill="1" applyBorder="1" applyAlignment="1">
      <alignment horizontal="right" vertical="center"/>
    </xf>
    <xf numFmtId="169" fontId="16" fillId="10" borderId="3" xfId="2" applyNumberFormat="1" applyFont="1" applyFill="1" applyBorder="1" applyAlignment="1">
      <alignment horizontal="right" vertical="center"/>
    </xf>
    <xf numFmtId="0" fontId="0" fillId="11" borderId="0" xfId="0" applyFill="1" applyAlignment="1">
      <alignment wrapText="1"/>
    </xf>
    <xf numFmtId="6" fontId="16" fillId="5" borderId="15" xfId="2" applyNumberFormat="1" applyFont="1" applyFill="1" applyBorder="1" applyAlignment="1">
      <alignment horizontal="right"/>
    </xf>
    <xf numFmtId="6" fontId="16" fillId="5" borderId="17" xfId="2" applyNumberFormat="1" applyFont="1" applyFill="1" applyBorder="1" applyAlignment="1">
      <alignment horizontal="right"/>
    </xf>
    <xf numFmtId="6" fontId="16" fillId="5" borderId="28" xfId="2" applyNumberFormat="1" applyFont="1" applyFill="1" applyBorder="1" applyAlignment="1">
      <alignment horizontal="right"/>
    </xf>
    <xf numFmtId="6" fontId="17" fillId="5" borderId="5" xfId="2" applyNumberFormat="1" applyFont="1" applyFill="1" applyBorder="1" applyAlignment="1">
      <alignment horizontal="right"/>
    </xf>
    <xf numFmtId="6" fontId="16" fillId="0" borderId="17" xfId="9" applyNumberFormat="1" applyFont="1" applyFill="1" applyBorder="1" applyAlignment="1"/>
    <xf numFmtId="6" fontId="16" fillId="5" borderId="17" xfId="9" applyNumberFormat="1" applyFont="1" applyFill="1" applyBorder="1" applyAlignment="1"/>
    <xf numFmtId="6" fontId="16" fillId="0" borderId="15" xfId="2" applyNumberFormat="1" applyFont="1" applyFill="1" applyBorder="1" applyAlignment="1"/>
    <xf numFmtId="6" fontId="16" fillId="5" borderId="17" xfId="2" applyNumberFormat="1" applyFont="1" applyFill="1" applyBorder="1" applyAlignment="1"/>
    <xf numFmtId="6" fontId="16" fillId="0" borderId="17" xfId="2" applyNumberFormat="1" applyFont="1" applyFill="1" applyBorder="1" applyAlignment="1"/>
    <xf numFmtId="6" fontId="16" fillId="0" borderId="28" xfId="9" applyNumberFormat="1" applyFont="1" applyFill="1" applyBorder="1" applyAlignment="1"/>
    <xf numFmtId="6" fontId="16" fillId="5" borderId="28" xfId="9" applyNumberFormat="1" applyFont="1" applyFill="1" applyBorder="1" applyAlignment="1"/>
    <xf numFmtId="6" fontId="16" fillId="0" borderId="28" xfId="2" applyNumberFormat="1" applyFont="1" applyFill="1" applyBorder="1" applyAlignment="1"/>
    <xf numFmtId="6" fontId="16" fillId="5" borderId="28" xfId="2" applyNumberFormat="1" applyFont="1" applyFill="1" applyBorder="1" applyAlignment="1"/>
    <xf numFmtId="6" fontId="16" fillId="0" borderId="5" xfId="9" applyNumberFormat="1" applyFont="1" applyFill="1" applyBorder="1" applyAlignment="1">
      <alignment horizontal="right"/>
    </xf>
    <xf numFmtId="6" fontId="16" fillId="5" borderId="5" xfId="9" applyNumberFormat="1" applyFont="1" applyFill="1" applyBorder="1" applyAlignment="1">
      <alignment horizontal="right"/>
    </xf>
    <xf numFmtId="0" fontId="17" fillId="11" borderId="20" xfId="12" applyFont="1" applyFill="1" applyBorder="1" applyAlignment="1">
      <alignment wrapText="1"/>
    </xf>
    <xf numFmtId="0" fontId="17" fillId="11" borderId="25" xfId="12" applyFont="1" applyFill="1" applyBorder="1" applyAlignment="1">
      <alignment wrapText="1"/>
    </xf>
    <xf numFmtId="1" fontId="16" fillId="11" borderId="17" xfId="0" applyNumberFormat="1" applyFont="1" applyFill="1" applyBorder="1" applyAlignment="1">
      <alignment horizontal="center" vertical="center"/>
    </xf>
    <xf numFmtId="169" fontId="16" fillId="11" borderId="17" xfId="0" applyNumberFormat="1" applyFont="1" applyFill="1" applyBorder="1"/>
    <xf numFmtId="169" fontId="16" fillId="11" borderId="28" xfId="0" applyNumberFormat="1" applyFont="1" applyFill="1" applyBorder="1"/>
    <xf numFmtId="169" fontId="17" fillId="11" borderId="5" xfId="0" applyNumberFormat="1" applyFont="1" applyFill="1" applyBorder="1" applyAlignment="1"/>
    <xf numFmtId="1" fontId="16" fillId="11" borderId="17" xfId="0" applyNumberFormat="1" applyFont="1" applyFill="1" applyBorder="1" applyAlignment="1">
      <alignment horizontal="center"/>
    </xf>
    <xf numFmtId="169" fontId="17" fillId="5" borderId="5" xfId="0" applyNumberFormat="1" applyFont="1" applyFill="1" applyBorder="1"/>
    <xf numFmtId="6" fontId="16" fillId="11" borderId="17" xfId="2" applyNumberFormat="1" applyFont="1" applyFill="1" applyBorder="1" applyAlignment="1"/>
    <xf numFmtId="6" fontId="16" fillId="11" borderId="28" xfId="2" applyNumberFormat="1" applyFont="1" applyFill="1" applyBorder="1" applyAlignment="1"/>
    <xf numFmtId="6" fontId="16" fillId="11" borderId="5" xfId="2" applyNumberFormat="1" applyFont="1" applyFill="1" applyBorder="1" applyAlignment="1"/>
    <xf numFmtId="6" fontId="16" fillId="5" borderId="5" xfId="2" applyNumberFormat="1" applyFont="1" applyFill="1" applyBorder="1" applyAlignment="1"/>
    <xf numFmtId="0" fontId="18" fillId="7" borderId="3" xfId="12" applyFont="1" applyFill="1" applyBorder="1" applyAlignment="1">
      <alignment horizontal="center" vertical="center" wrapText="1"/>
    </xf>
    <xf numFmtId="6" fontId="34" fillId="11" borderId="17" xfId="0" applyNumberFormat="1" applyFont="1" applyFill="1" applyBorder="1" applyAlignment="1">
      <alignment horizontal="right"/>
    </xf>
    <xf numFmtId="6" fontId="34" fillId="5" borderId="17" xfId="0" applyNumberFormat="1" applyFont="1" applyFill="1" applyBorder="1" applyAlignment="1">
      <alignment horizontal="right"/>
    </xf>
    <xf numFmtId="6" fontId="34" fillId="5" borderId="16" xfId="0" applyNumberFormat="1" applyFont="1" applyFill="1" applyBorder="1" applyAlignment="1">
      <alignment horizontal="right"/>
    </xf>
    <xf numFmtId="6" fontId="34" fillId="5" borderId="15" xfId="0" applyNumberFormat="1" applyFont="1" applyFill="1" applyBorder="1" applyAlignment="1">
      <alignment horizontal="right"/>
    </xf>
    <xf numFmtId="6" fontId="34" fillId="11" borderId="5" xfId="0" applyNumberFormat="1" applyFont="1" applyFill="1" applyBorder="1" applyAlignment="1">
      <alignment horizontal="right"/>
    </xf>
    <xf numFmtId="6" fontId="34" fillId="5" borderId="5" xfId="0" applyNumberFormat="1" applyFont="1" applyFill="1" applyBorder="1" applyAlignment="1">
      <alignment horizontal="right"/>
    </xf>
    <xf numFmtId="6" fontId="35" fillId="5" borderId="5" xfId="0" applyNumberFormat="1" applyFont="1" applyFill="1" applyBorder="1"/>
    <xf numFmtId="6" fontId="34" fillId="11" borderId="17" xfId="0" applyNumberFormat="1" applyFont="1" applyFill="1" applyBorder="1" applyAlignment="1">
      <alignment horizontal="right" vertical="center" wrapText="1"/>
    </xf>
    <xf numFmtId="6" fontId="34" fillId="5" borderId="17" xfId="0" applyNumberFormat="1" applyFont="1" applyFill="1" applyBorder="1" applyAlignment="1">
      <alignment horizontal="right" vertical="center" wrapText="1"/>
    </xf>
    <xf numFmtId="6" fontId="34" fillId="5" borderId="5" xfId="0" applyNumberFormat="1" applyFont="1" applyFill="1" applyBorder="1" applyAlignment="1"/>
    <xf numFmtId="0" fontId="18" fillId="7" borderId="3" xfId="12" applyFont="1" applyFill="1" applyBorder="1" applyAlignment="1">
      <alignment horizontal="center" vertical="center" wrapText="1"/>
    </xf>
    <xf numFmtId="0" fontId="18" fillId="7" borderId="3" xfId="12" applyFont="1" applyFill="1" applyBorder="1" applyAlignment="1">
      <alignment horizontal="center"/>
    </xf>
    <xf numFmtId="0" fontId="18" fillId="7" borderId="3" xfId="12" applyFont="1" applyFill="1" applyBorder="1" applyAlignment="1">
      <alignment horizontal="center" vertical="center"/>
    </xf>
    <xf numFmtId="0" fontId="18" fillId="7" borderId="7" xfId="12" applyFont="1" applyFill="1" applyBorder="1" applyAlignment="1">
      <alignment horizontal="center" vertical="center" wrapText="1"/>
    </xf>
    <xf numFmtId="10" fontId="16" fillId="5" borderId="3" xfId="12" applyNumberFormat="1" applyFont="1" applyFill="1" applyBorder="1" applyAlignment="1">
      <alignment horizontal="right" vertical="center" wrapText="1"/>
    </xf>
    <xf numFmtId="0" fontId="18" fillId="7" borderId="3" xfId="12" applyFont="1" applyFill="1" applyBorder="1" applyAlignment="1">
      <alignment horizontal="center" vertical="center" wrapText="1"/>
    </xf>
    <xf numFmtId="0" fontId="18" fillId="7" borderId="3" xfId="12" applyFont="1" applyFill="1" applyBorder="1" applyAlignment="1">
      <alignment horizontal="center"/>
    </xf>
    <xf numFmtId="10" fontId="16" fillId="5" borderId="3" xfId="12" applyNumberFormat="1" applyFont="1" applyFill="1" applyBorder="1" applyAlignment="1">
      <alignment horizontal="right" vertical="center" wrapText="1"/>
    </xf>
    <xf numFmtId="2" fontId="16" fillId="5" borderId="3" xfId="12" applyNumberFormat="1" applyFont="1" applyFill="1" applyBorder="1" applyAlignment="1">
      <alignment horizontal="right" vertical="center" wrapText="1"/>
    </xf>
    <xf numFmtId="0" fontId="18" fillId="7" borderId="3" xfId="12" applyFont="1" applyFill="1" applyBorder="1" applyAlignment="1">
      <alignment horizontal="center" vertical="center"/>
    </xf>
    <xf numFmtId="0" fontId="28" fillId="11" borderId="0" xfId="12" applyFont="1" applyFill="1"/>
    <xf numFmtId="0" fontId="18" fillId="7" borderId="6" xfId="12" applyFont="1" applyFill="1" applyBorder="1" applyAlignment="1">
      <alignment horizontal="center" vertical="center"/>
    </xf>
    <xf numFmtId="3" fontId="16" fillId="0" borderId="17" xfId="12" applyNumberFormat="1" applyFont="1" applyBorder="1" applyAlignment="1">
      <alignment horizontal="center"/>
    </xf>
    <xf numFmtId="3" fontId="16" fillId="0" borderId="28" xfId="12" applyNumberFormat="1" applyFont="1" applyBorder="1" applyAlignment="1">
      <alignment horizontal="center"/>
    </xf>
    <xf numFmtId="0" fontId="17" fillId="11" borderId="0" xfId="12" applyFont="1" applyFill="1"/>
    <xf numFmtId="165" fontId="17" fillId="11" borderId="0" xfId="2" applyNumberFormat="1" applyFont="1" applyFill="1"/>
    <xf numFmtId="3" fontId="16" fillId="11" borderId="0" xfId="12" applyNumberFormat="1" applyFont="1" applyFill="1" applyAlignment="1">
      <alignment horizontal="center"/>
    </xf>
    <xf numFmtId="0" fontId="16" fillId="11" borderId="0" xfId="12" applyFont="1" applyFill="1" applyAlignment="1">
      <alignment horizontal="right"/>
    </xf>
    <xf numFmtId="0" fontId="17" fillId="11" borderId="0" xfId="12" applyFont="1" applyFill="1" applyAlignment="1">
      <alignment horizontal="right"/>
    </xf>
    <xf numFmtId="4" fontId="16" fillId="0" borderId="17" xfId="12" applyNumberFormat="1" applyFont="1" applyBorder="1" applyAlignment="1">
      <alignment horizontal="center"/>
    </xf>
    <xf numFmtId="3" fontId="16" fillId="0" borderId="15" xfId="12" applyNumberFormat="1" applyFont="1" applyBorder="1" applyAlignment="1">
      <alignment horizontal="center"/>
    </xf>
    <xf numFmtId="0" fontId="9" fillId="11" borderId="0" xfId="12" applyFill="1"/>
    <xf numFmtId="3" fontId="16" fillId="0" borderId="14" xfId="12" applyNumberFormat="1" applyFont="1" applyBorder="1" applyAlignment="1">
      <alignment horizontal="center"/>
    </xf>
    <xf numFmtId="0" fontId="16" fillId="11" borderId="0" xfId="12" applyFont="1" applyFill="1" applyAlignment="1">
      <alignment horizontal="center" vertical="center"/>
    </xf>
    <xf numFmtId="43" fontId="16" fillId="11" borderId="0" xfId="35" applyFont="1" applyFill="1" applyAlignment="1">
      <alignment vertical="center"/>
    </xf>
    <xf numFmtId="0" fontId="17" fillId="11" borderId="0" xfId="12" applyFont="1" applyFill="1" applyAlignment="1">
      <alignment horizontal="center"/>
    </xf>
    <xf numFmtId="0" fontId="16" fillId="11" borderId="0" xfId="12" applyFont="1" applyFill="1" applyAlignment="1">
      <alignment vertical="center"/>
    </xf>
    <xf numFmtId="0" fontId="17" fillId="11" borderId="0" xfId="12" applyFont="1" applyFill="1" applyAlignment="1">
      <alignment horizontal="center" vertical="center"/>
    </xf>
    <xf numFmtId="9" fontId="16" fillId="11" borderId="0" xfId="12" applyNumberFormat="1" applyFont="1" applyFill="1" applyAlignment="1">
      <alignment horizontal="center" vertical="center"/>
    </xf>
    <xf numFmtId="0" fontId="17" fillId="11" borderId="0" xfId="12" applyFont="1" applyFill="1" applyAlignment="1">
      <alignment horizontal="left" wrapText="1"/>
    </xf>
    <xf numFmtId="0" fontId="17" fillId="11" borderId="0" xfId="12" applyFont="1" applyFill="1" applyAlignment="1">
      <alignment horizontal="center" vertical="center" wrapText="1"/>
    </xf>
    <xf numFmtId="0" fontId="17" fillId="11" borderId="0" xfId="12" applyFont="1" applyFill="1" applyAlignment="1">
      <alignment vertical="center" wrapText="1"/>
    </xf>
    <xf numFmtId="0" fontId="17" fillId="11" borderId="0" xfId="12" applyFont="1" applyFill="1" applyAlignment="1">
      <alignment wrapText="1"/>
    </xf>
    <xf numFmtId="0" fontId="17" fillId="9" borderId="3" xfId="12" applyFont="1" applyFill="1" applyBorder="1"/>
    <xf numFmtId="171" fontId="16" fillId="0" borderId="3" xfId="35" applyNumberFormat="1" applyFont="1" applyBorder="1" applyAlignment="1">
      <alignment horizontal="right" vertical="center" wrapText="1"/>
    </xf>
    <xf numFmtId="171" fontId="16" fillId="5" borderId="3" xfId="35" applyNumberFormat="1" applyFont="1" applyFill="1" applyBorder="1" applyAlignment="1">
      <alignment horizontal="right" vertical="center" wrapText="1"/>
    </xf>
    <xf numFmtId="171" fontId="16" fillId="6" borderId="3" xfId="35" applyNumberFormat="1" applyFont="1" applyFill="1" applyBorder="1" applyAlignment="1">
      <alignment horizontal="right" vertical="center" wrapText="1"/>
    </xf>
    <xf numFmtId="2" fontId="16" fillId="0" borderId="3" xfId="12" applyNumberFormat="1" applyFont="1" applyBorder="1" applyAlignment="1">
      <alignment horizontal="right" vertical="center" wrapText="1"/>
    </xf>
    <xf numFmtId="10" fontId="16" fillId="0" borderId="3" xfId="12" applyNumberFormat="1" applyFont="1" applyBorder="1" applyAlignment="1">
      <alignment horizontal="right" vertical="center" wrapText="1"/>
    </xf>
    <xf numFmtId="10" fontId="17" fillId="6" borderId="3" xfId="12" applyNumberFormat="1" applyFont="1" applyFill="1" applyBorder="1"/>
    <xf numFmtId="2" fontId="17" fillId="9" borderId="3" xfId="12" applyNumberFormat="1" applyFont="1" applyFill="1" applyBorder="1"/>
    <xf numFmtId="1" fontId="17" fillId="6" borderId="3" xfId="12" applyNumberFormat="1" applyFont="1" applyFill="1" applyBorder="1"/>
    <xf numFmtId="2" fontId="17" fillId="6" borderId="3" xfId="12" applyNumberFormat="1" applyFont="1" applyFill="1" applyBorder="1"/>
    <xf numFmtId="170" fontId="17" fillId="6" borderId="3" xfId="12" applyNumberFormat="1" applyFont="1" applyFill="1" applyBorder="1"/>
    <xf numFmtId="0" fontId="17" fillId="11" borderId="0" xfId="12" applyFont="1" applyFill="1" applyAlignment="1">
      <alignment horizontal="left"/>
    </xf>
    <xf numFmtId="0" fontId="16" fillId="0" borderId="3" xfId="12" applyFont="1" applyBorder="1"/>
    <xf numFmtId="0" fontId="17" fillId="0" borderId="3" xfId="12" applyFont="1" applyBorder="1"/>
    <xf numFmtId="2" fontId="17" fillId="7" borderId="3" xfId="12" applyNumberFormat="1" applyFont="1" applyFill="1" applyBorder="1"/>
    <xf numFmtId="0" fontId="27" fillId="11" borderId="0" xfId="12" applyFont="1" applyFill="1"/>
    <xf numFmtId="0" fontId="16" fillId="11" borderId="0" xfId="2" applyNumberFormat="1" applyFont="1" applyFill="1" applyAlignment="1">
      <alignment horizontal="right"/>
    </xf>
    <xf numFmtId="0" fontId="17" fillId="11" borderId="0" xfId="12" applyFont="1" applyFill="1" applyAlignment="1">
      <alignment horizontal="left" vertical="center"/>
    </xf>
    <xf numFmtId="0" fontId="16" fillId="11" borderId="0" xfId="12" applyFont="1" applyFill="1" applyAlignment="1">
      <alignment horizontal="left"/>
    </xf>
    <xf numFmtId="3" fontId="16" fillId="11" borderId="0" xfId="2" applyNumberFormat="1" applyFont="1" applyFill="1" applyAlignment="1">
      <alignment horizontal="center"/>
    </xf>
    <xf numFmtId="0" fontId="18" fillId="7" borderId="3" xfId="12" applyFont="1" applyFill="1" applyBorder="1" applyAlignment="1"/>
    <xf numFmtId="171" fontId="16" fillId="6" borderId="3" xfId="35" applyNumberFormat="1" applyFont="1" applyFill="1" applyBorder="1" applyAlignment="1">
      <alignment vertical="center" wrapText="1"/>
    </xf>
    <xf numFmtId="10" fontId="16" fillId="5" borderId="3" xfId="12" applyNumberFormat="1" applyFont="1" applyFill="1" applyBorder="1" applyAlignment="1">
      <alignment vertical="center" wrapText="1"/>
    </xf>
    <xf numFmtId="171" fontId="16" fillId="5" borderId="3" xfId="35" applyNumberFormat="1" applyFont="1" applyFill="1" applyBorder="1" applyAlignment="1">
      <alignment vertical="center" wrapText="1"/>
    </xf>
    <xf numFmtId="2" fontId="16" fillId="5" borderId="3" xfId="12" applyNumberFormat="1" applyFont="1" applyFill="1" applyBorder="1" applyAlignment="1">
      <alignment vertical="center" wrapText="1"/>
    </xf>
    <xf numFmtId="0" fontId="18" fillId="11" borderId="0" xfId="12" applyFont="1" applyFill="1" applyBorder="1" applyAlignment="1">
      <alignment horizontal="center"/>
    </xf>
    <xf numFmtId="0" fontId="18" fillId="11" borderId="0" xfId="12" applyFont="1" applyFill="1" applyBorder="1" applyAlignment="1">
      <alignment horizontal="center" vertical="center"/>
    </xf>
    <xf numFmtId="169" fontId="36" fillId="11" borderId="0" xfId="12" applyNumberFormat="1" applyFont="1" applyFill="1" applyAlignment="1"/>
    <xf numFmtId="3" fontId="16" fillId="11" borderId="15" xfId="12" applyNumberFormat="1" applyFont="1" applyFill="1" applyBorder="1" applyAlignment="1">
      <alignment horizontal="center"/>
    </xf>
    <xf numFmtId="0" fontId="18" fillId="7" borderId="6" xfId="0" applyFont="1" applyFill="1" applyBorder="1" applyAlignment="1">
      <alignment horizontal="center" vertical="center" wrapText="1"/>
    </xf>
    <xf numFmtId="0" fontId="18" fillId="7" borderId="3" xfId="12" applyFont="1" applyFill="1" applyBorder="1" applyAlignment="1">
      <alignment horizontal="center" vertical="center" wrapText="1"/>
    </xf>
    <xf numFmtId="2" fontId="16" fillId="11" borderId="3" xfId="12" applyNumberFormat="1" applyFont="1" applyFill="1" applyBorder="1" applyAlignment="1">
      <alignment horizontal="right" vertical="center" wrapText="1"/>
    </xf>
    <xf numFmtId="3" fontId="16" fillId="11" borderId="17" xfId="12" applyNumberFormat="1" applyFont="1" applyFill="1" applyBorder="1" applyAlignment="1">
      <alignment horizontal="center"/>
    </xf>
    <xf numFmtId="0" fontId="17" fillId="9" borderId="17" xfId="0" applyFont="1" applyFill="1" applyBorder="1" applyAlignment="1">
      <alignment horizontal="center"/>
    </xf>
    <xf numFmtId="0" fontId="17" fillId="9" borderId="28" xfId="0" applyFont="1" applyFill="1" applyBorder="1" applyAlignment="1">
      <alignment horizontal="center"/>
    </xf>
    <xf numFmtId="0" fontId="17" fillId="9" borderId="5" xfId="0" applyFont="1" applyFill="1" applyBorder="1" applyAlignment="1">
      <alignment horizontal="center"/>
    </xf>
    <xf numFmtId="0" fontId="17" fillId="9" borderId="3" xfId="12" applyFont="1" applyFill="1" applyBorder="1" applyAlignment="1">
      <alignment horizontal="left"/>
    </xf>
    <xf numFmtId="0" fontId="17" fillId="9" borderId="15" xfId="0" applyNumberFormat="1" applyFont="1" applyFill="1" applyBorder="1" applyAlignment="1">
      <alignment horizontal="center"/>
    </xf>
    <xf numFmtId="0" fontId="17" fillId="9" borderId="28" xfId="0" applyNumberFormat="1" applyFont="1" applyFill="1" applyBorder="1" applyAlignment="1">
      <alignment horizontal="center"/>
    </xf>
    <xf numFmtId="0" fontId="17" fillId="9" borderId="16" xfId="0" applyFont="1" applyFill="1" applyBorder="1"/>
    <xf numFmtId="0" fontId="17" fillId="9" borderId="3" xfId="0" applyFont="1" applyFill="1" applyBorder="1" applyAlignment="1">
      <alignment horizontal="left"/>
    </xf>
    <xf numFmtId="0" fontId="17" fillId="9" borderId="13" xfId="0" applyFont="1" applyFill="1" applyBorder="1" applyAlignment="1">
      <alignment horizontal="left"/>
    </xf>
    <xf numFmtId="0" fontId="17" fillId="9" borderId="15" xfId="0" applyFont="1" applyFill="1" applyBorder="1" applyAlignment="1">
      <alignment horizontal="left"/>
    </xf>
    <xf numFmtId="0" fontId="17" fillId="9" borderId="15" xfId="0" applyFont="1" applyFill="1" applyBorder="1" applyAlignment="1">
      <alignment horizontal="left" wrapText="1"/>
    </xf>
    <xf numFmtId="0" fontId="17" fillId="9" borderId="14" xfId="0" applyFont="1" applyFill="1" applyBorder="1" applyAlignment="1">
      <alignment horizontal="left" wrapText="1"/>
    </xf>
    <xf numFmtId="0" fontId="17" fillId="9" borderId="13"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7" fillId="9" borderId="3" xfId="0" applyFont="1" applyFill="1" applyBorder="1" applyAlignment="1">
      <alignment horizontal="center" vertical="center" wrapText="1"/>
    </xf>
    <xf numFmtId="0" fontId="17" fillId="9" borderId="12" xfId="0" applyFont="1" applyFill="1" applyBorder="1" applyAlignment="1"/>
    <xf numFmtId="0" fontId="17" fillId="9" borderId="12" xfId="0" applyFont="1" applyFill="1" applyBorder="1" applyAlignment="1">
      <alignment horizontal="left"/>
    </xf>
    <xf numFmtId="0" fontId="0" fillId="11" borderId="0" xfId="0" applyFont="1" applyFill="1" applyBorder="1"/>
    <xf numFmtId="0" fontId="18" fillId="7" borderId="3" xfId="12" applyFont="1" applyFill="1" applyBorder="1" applyAlignment="1">
      <alignment horizontal="center" vertical="center" wrapText="1"/>
    </xf>
    <xf numFmtId="6" fontId="25" fillId="6" borderId="3" xfId="12" applyNumberFormat="1" applyFont="1" applyFill="1" applyBorder="1" applyAlignment="1">
      <alignment horizontal="center" vertical="center" wrapText="1"/>
    </xf>
    <xf numFmtId="6" fontId="16" fillId="5" borderId="17" xfId="0" applyNumberFormat="1" applyFont="1" applyFill="1" applyBorder="1"/>
    <xf numFmtId="6" fontId="16" fillId="0" borderId="17" xfId="0" applyNumberFormat="1" applyFont="1" applyFill="1" applyBorder="1"/>
    <xf numFmtId="6" fontId="16" fillId="5" borderId="28" xfId="0" applyNumberFormat="1" applyFont="1" applyFill="1" applyBorder="1"/>
    <xf numFmtId="6" fontId="16" fillId="0" borderId="28" xfId="0" applyNumberFormat="1" applyFont="1" applyFill="1" applyBorder="1"/>
    <xf numFmtId="6" fontId="17" fillId="5" borderId="5" xfId="0" applyNumberFormat="1" applyFont="1" applyFill="1" applyBorder="1" applyAlignment="1"/>
    <xf numFmtId="6" fontId="17" fillId="0" borderId="5" xfId="0" applyNumberFormat="1" applyFont="1" applyFill="1" applyBorder="1"/>
    <xf numFmtId="6" fontId="35" fillId="9" borderId="5" xfId="0" applyNumberFormat="1" applyFont="1" applyFill="1" applyBorder="1" applyAlignment="1">
      <alignment horizontal="center"/>
    </xf>
    <xf numFmtId="6" fontId="34" fillId="11" borderId="28" xfId="0" applyNumberFormat="1" applyFont="1" applyFill="1" applyBorder="1" applyAlignment="1">
      <alignment horizontal="right" vertical="center" wrapText="1"/>
    </xf>
    <xf numFmtId="6" fontId="34" fillId="5" borderId="28" xfId="0" applyNumberFormat="1" applyFont="1" applyFill="1" applyBorder="1" applyAlignment="1">
      <alignment horizontal="right" vertical="center" wrapText="1"/>
    </xf>
    <xf numFmtId="6" fontId="34" fillId="11" borderId="28" xfId="0" applyNumberFormat="1" applyFont="1" applyFill="1" applyBorder="1" applyAlignment="1">
      <alignment horizontal="right"/>
    </xf>
    <xf numFmtId="6" fontId="34" fillId="5" borderId="28" xfId="0" applyNumberFormat="1" applyFont="1" applyFill="1" applyBorder="1" applyAlignment="1">
      <alignment horizontal="right"/>
    </xf>
    <xf numFmtId="3" fontId="16" fillId="5" borderId="16" xfId="12" applyNumberFormat="1" applyFont="1" applyFill="1" applyBorder="1" applyAlignment="1">
      <alignment horizontal="center"/>
    </xf>
    <xf numFmtId="4" fontId="16" fillId="0" borderId="15" xfId="12" applyNumberFormat="1" applyFont="1" applyBorder="1" applyAlignment="1">
      <alignment horizontal="center"/>
    </xf>
    <xf numFmtId="4" fontId="16" fillId="5" borderId="15" xfId="12" applyNumberFormat="1" applyFont="1" applyFill="1" applyBorder="1" applyAlignment="1">
      <alignment horizontal="center"/>
    </xf>
    <xf numFmtId="3" fontId="16" fillId="0" borderId="5" xfId="12" applyNumberFormat="1" applyFont="1" applyBorder="1" applyAlignment="1">
      <alignment horizontal="center"/>
    </xf>
    <xf numFmtId="3" fontId="16" fillId="5" borderId="5" xfId="12" applyNumberFormat="1" applyFont="1" applyFill="1" applyBorder="1" applyAlignment="1">
      <alignment horizontal="center"/>
    </xf>
    <xf numFmtId="4" fontId="16" fillId="0" borderId="5" xfId="12" applyNumberFormat="1" applyFont="1" applyBorder="1" applyAlignment="1">
      <alignment horizontal="center"/>
    </xf>
    <xf numFmtId="4" fontId="16" fillId="5" borderId="5" xfId="12" applyNumberFormat="1" applyFont="1" applyFill="1" applyBorder="1" applyAlignment="1">
      <alignment horizontal="center"/>
    </xf>
    <xf numFmtId="0" fontId="30" fillId="11" borderId="0" xfId="12" applyFont="1" applyFill="1" applyBorder="1" applyAlignment="1"/>
    <xf numFmtId="6" fontId="17" fillId="0" borderId="17" xfId="2" applyNumberFormat="1" applyFont="1" applyBorder="1"/>
    <xf numFmtId="6" fontId="17" fillId="5" borderId="15" xfId="2" applyNumberFormat="1" applyFont="1" applyFill="1" applyBorder="1"/>
    <xf numFmtId="6" fontId="17" fillId="0" borderId="28" xfId="2" applyNumberFormat="1" applyFont="1" applyBorder="1"/>
    <xf numFmtId="6" fontId="17" fillId="5" borderId="28" xfId="2" applyNumberFormat="1" applyFont="1" applyFill="1" applyBorder="1"/>
    <xf numFmtId="6" fontId="17" fillId="0" borderId="5" xfId="2" applyNumberFormat="1" applyFont="1" applyBorder="1"/>
    <xf numFmtId="6" fontId="17" fillId="5" borderId="5" xfId="2" applyNumberFormat="1" applyFont="1" applyFill="1" applyBorder="1"/>
    <xf numFmtId="6" fontId="16" fillId="11" borderId="17" xfId="0" applyNumberFormat="1" applyFont="1" applyFill="1" applyBorder="1" applyAlignment="1">
      <alignment horizontal="right"/>
    </xf>
    <xf numFmtId="6" fontId="16" fillId="5" borderId="17" xfId="0" applyNumberFormat="1" applyFont="1" applyFill="1" applyBorder="1" applyAlignment="1">
      <alignment horizontal="right"/>
    </xf>
    <xf numFmtId="6" fontId="0" fillId="11" borderId="0" xfId="0" applyNumberFormat="1" applyFill="1"/>
    <xf numFmtId="0" fontId="18" fillId="7" borderId="7"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5" xfId="0" applyFont="1" applyFill="1" applyBorder="1" applyAlignment="1">
      <alignment horizontal="center"/>
    </xf>
    <xf numFmtId="5" fontId="16" fillId="0" borderId="13" xfId="0" applyNumberFormat="1" applyFont="1" applyBorder="1" applyAlignment="1">
      <alignment horizontal="right"/>
    </xf>
    <xf numFmtId="5" fontId="16" fillId="0" borderId="17" xfId="0" applyNumberFormat="1" applyFont="1" applyBorder="1" applyAlignment="1">
      <alignment horizontal="right"/>
    </xf>
    <xf numFmtId="5" fontId="16" fillId="0" borderId="14" xfId="0" applyNumberFormat="1" applyFont="1" applyBorder="1" applyAlignment="1">
      <alignment horizontal="right"/>
    </xf>
    <xf numFmtId="0" fontId="11" fillId="11" borderId="20" xfId="0" applyFont="1" applyFill="1" applyBorder="1"/>
    <xf numFmtId="0" fontId="11" fillId="11" borderId="0" xfId="0" applyFont="1" applyFill="1"/>
    <xf numFmtId="4" fontId="16" fillId="11" borderId="17" xfId="0" applyNumberFormat="1" applyFont="1" applyFill="1" applyBorder="1" applyAlignment="1">
      <alignment horizontal="center"/>
    </xf>
    <xf numFmtId="4" fontId="16" fillId="5" borderId="17" xfId="0" applyNumberFormat="1" applyFont="1" applyFill="1" applyBorder="1" applyAlignment="1">
      <alignment horizontal="center"/>
    </xf>
    <xf numFmtId="0" fontId="18" fillId="7" borderId="31" xfId="0" applyFont="1" applyFill="1" applyBorder="1" applyAlignment="1">
      <alignment horizontal="center" vertical="center"/>
    </xf>
    <xf numFmtId="0" fontId="18" fillId="7" borderId="32" xfId="0" applyFont="1" applyFill="1" applyBorder="1" applyAlignment="1">
      <alignment horizontal="center" vertical="center"/>
    </xf>
    <xf numFmtId="0" fontId="18" fillId="7" borderId="21" xfId="0" applyFont="1" applyFill="1" applyBorder="1" applyAlignment="1">
      <alignment vertical="center" wrapText="1"/>
    </xf>
    <xf numFmtId="0" fontId="18" fillId="7" borderId="3" xfId="0" applyFont="1" applyFill="1" applyBorder="1"/>
    <xf numFmtId="0" fontId="16" fillId="4" borderId="13" xfId="0" applyFont="1" applyFill="1" applyBorder="1" applyAlignment="1">
      <alignment horizontal="center" vertical="center" wrapText="1"/>
    </xf>
    <xf numFmtId="0" fontId="18" fillId="7" borderId="22" xfId="0" applyFont="1" applyFill="1" applyBorder="1" applyAlignment="1">
      <alignment horizontal="center"/>
    </xf>
    <xf numFmtId="0" fontId="17" fillId="11" borderId="17" xfId="0" applyFont="1" applyFill="1" applyBorder="1" applyAlignment="1">
      <alignment horizontal="center"/>
    </xf>
    <xf numFmtId="172" fontId="17" fillId="11" borderId="17" xfId="0" applyNumberFormat="1" applyFont="1" applyFill="1" applyBorder="1" applyAlignment="1">
      <alignment horizontal="center"/>
    </xf>
    <xf numFmtId="0" fontId="18" fillId="7" borderId="12" xfId="12" applyFont="1" applyFill="1" applyBorder="1" applyAlignment="1">
      <alignment horizontal="center" vertical="center" wrapText="1"/>
    </xf>
    <xf numFmtId="0" fontId="18" fillId="7" borderId="3" xfId="12" applyFont="1" applyFill="1" applyBorder="1" applyAlignment="1">
      <alignment horizontal="center" vertical="center" wrapText="1"/>
    </xf>
    <xf numFmtId="0" fontId="18" fillId="7" borderId="3" xfId="12" applyFont="1" applyFill="1" applyBorder="1" applyAlignment="1">
      <alignment horizontal="center"/>
    </xf>
    <xf numFmtId="0" fontId="18" fillId="7" borderId="6" xfId="0" applyFont="1" applyFill="1" applyBorder="1" applyAlignment="1">
      <alignment horizontal="center" vertical="center" wrapText="1"/>
    </xf>
    <xf numFmtId="4" fontId="16" fillId="0" borderId="14" xfId="12" applyNumberFormat="1" applyFont="1" applyBorder="1" applyAlignment="1">
      <alignment horizontal="center"/>
    </xf>
    <xf numFmtId="4" fontId="16" fillId="5" borderId="14" xfId="12" applyNumberFormat="1" applyFont="1" applyFill="1" applyBorder="1" applyAlignment="1">
      <alignment horizontal="center"/>
    </xf>
    <xf numFmtId="0" fontId="17" fillId="9" borderId="13" xfId="0" applyFont="1" applyFill="1" applyBorder="1" applyAlignment="1">
      <alignment horizontal="center"/>
    </xf>
    <xf numFmtId="0" fontId="17" fillId="9" borderId="14" xfId="0" applyFont="1" applyFill="1" applyBorder="1" applyAlignment="1">
      <alignment horizontal="center"/>
    </xf>
    <xf numFmtId="5" fontId="16" fillId="5" borderId="13" xfId="0" applyNumberFormat="1" applyFont="1" applyFill="1" applyBorder="1" applyAlignment="1">
      <alignment horizontal="right"/>
    </xf>
    <xf numFmtId="5" fontId="16" fillId="5" borderId="17" xfId="0" applyNumberFormat="1" applyFont="1" applyFill="1" applyBorder="1" applyAlignment="1">
      <alignment horizontal="right"/>
    </xf>
    <xf numFmtId="5" fontId="16" fillId="5" borderId="14" xfId="0" applyNumberFormat="1" applyFont="1" applyFill="1" applyBorder="1" applyAlignment="1">
      <alignment horizontal="right"/>
    </xf>
    <xf numFmtId="0" fontId="0" fillId="5" borderId="3" xfId="0" applyFont="1" applyFill="1" applyBorder="1" applyAlignment="1">
      <alignment horizontal="center" vertical="center"/>
    </xf>
    <xf numFmtId="3" fontId="16" fillId="0" borderId="17" xfId="12" applyNumberFormat="1" applyFont="1" applyFill="1" applyBorder="1" applyAlignment="1">
      <alignment horizontal="center"/>
    </xf>
    <xf numFmtId="3" fontId="16" fillId="0" borderId="14" xfId="12" applyNumberFormat="1" applyFont="1" applyFill="1" applyBorder="1" applyAlignment="1">
      <alignment horizontal="center"/>
    </xf>
    <xf numFmtId="6" fontId="11" fillId="5" borderId="5" xfId="0" applyNumberFormat="1" applyFont="1" applyFill="1" applyBorder="1" applyAlignment="1">
      <alignment horizontal="right"/>
    </xf>
    <xf numFmtId="6" fontId="11" fillId="11" borderId="5" xfId="0" applyNumberFormat="1" applyFont="1" applyFill="1" applyBorder="1" applyAlignment="1">
      <alignment horizontal="right"/>
    </xf>
    <xf numFmtId="3" fontId="16" fillId="11" borderId="28" xfId="0" applyNumberFormat="1" applyFont="1" applyFill="1" applyBorder="1" applyAlignment="1">
      <alignment horizontal="center"/>
    </xf>
    <xf numFmtId="4" fontId="16" fillId="11" borderId="28" xfId="0" applyNumberFormat="1" applyFont="1" applyFill="1" applyBorder="1" applyAlignment="1">
      <alignment horizontal="center"/>
    </xf>
    <xf numFmtId="4" fontId="16" fillId="5" borderId="28" xfId="0" applyNumberFormat="1" applyFont="1" applyFill="1" applyBorder="1" applyAlignment="1">
      <alignment horizontal="center"/>
    </xf>
    <xf numFmtId="6" fontId="16" fillId="5" borderId="28" xfId="0" applyNumberFormat="1" applyFont="1" applyFill="1" applyBorder="1" applyAlignment="1">
      <alignment horizontal="right"/>
    </xf>
    <xf numFmtId="6" fontId="16" fillId="11" borderId="28" xfId="0" applyNumberFormat="1" applyFont="1" applyFill="1" applyBorder="1" applyAlignment="1">
      <alignment horizontal="right"/>
    </xf>
    <xf numFmtId="0" fontId="21" fillId="7" borderId="6" xfId="8" applyFont="1" applyFill="1" applyBorder="1" applyAlignment="1">
      <alignment horizontal="center" vertical="center"/>
    </xf>
    <xf numFmtId="0" fontId="25" fillId="9" borderId="10" xfId="8" applyFont="1" applyFill="1" applyBorder="1" applyAlignment="1">
      <alignment horizontal="center" vertical="center" wrapText="1"/>
    </xf>
    <xf numFmtId="0" fontId="25" fillId="9" borderId="18" xfId="8"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8" fillId="7" borderId="30"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9" fillId="7" borderId="12" xfId="0" applyFont="1" applyFill="1" applyBorder="1" applyAlignment="1">
      <alignment horizontal="center" vertical="center"/>
    </xf>
    <xf numFmtId="0" fontId="29" fillId="7" borderId="2" xfId="0" applyFont="1" applyFill="1" applyBorder="1" applyAlignment="1">
      <alignment horizontal="center" vertical="center"/>
    </xf>
    <xf numFmtId="0" fontId="29" fillId="7" borderId="9" xfId="0" applyFont="1" applyFill="1" applyBorder="1" applyAlignment="1">
      <alignment horizontal="center" vertical="center"/>
    </xf>
    <xf numFmtId="0" fontId="30" fillId="9" borderId="3" xfId="0" applyFont="1" applyFill="1" applyBorder="1" applyAlignment="1">
      <alignment horizontal="left"/>
    </xf>
    <xf numFmtId="0" fontId="25" fillId="9" borderId="3" xfId="0" applyFont="1" applyFill="1" applyBorder="1" applyAlignment="1">
      <alignment horizontal="left"/>
    </xf>
    <xf numFmtId="0" fontId="18" fillId="7" borderId="5" xfId="0" applyFont="1" applyFill="1" applyBorder="1" applyAlignment="1">
      <alignment horizontal="center"/>
    </xf>
    <xf numFmtId="0" fontId="18" fillId="7" borderId="6" xfId="0" applyFont="1" applyFill="1" applyBorder="1" applyAlignment="1">
      <alignment horizontal="center"/>
    </xf>
    <xf numFmtId="0" fontId="18" fillId="7" borderId="4" xfId="0" applyFont="1" applyFill="1" applyBorder="1" applyAlignment="1">
      <alignment horizontal="center" wrapText="1"/>
    </xf>
    <xf numFmtId="0" fontId="18" fillId="7" borderId="7" xfId="0" applyFont="1" applyFill="1" applyBorder="1" applyAlignment="1">
      <alignment horizontal="center" wrapText="1"/>
    </xf>
    <xf numFmtId="0" fontId="18" fillId="7" borderId="12"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9" xfId="0" applyFont="1" applyFill="1" applyBorder="1" applyAlignment="1">
      <alignment horizontal="center" vertical="center"/>
    </xf>
    <xf numFmtId="0" fontId="18" fillId="7" borderId="22" xfId="0" applyFont="1" applyFill="1" applyBorder="1" applyAlignment="1">
      <alignment horizontal="center"/>
    </xf>
    <xf numFmtId="0" fontId="18" fillId="7" borderId="23" xfId="0" applyFont="1" applyFill="1" applyBorder="1" applyAlignment="1">
      <alignment horizontal="center"/>
    </xf>
    <xf numFmtId="0" fontId="17" fillId="9" borderId="12" xfId="0" applyFont="1" applyFill="1" applyBorder="1" applyAlignment="1">
      <alignment horizontal="center"/>
    </xf>
    <xf numFmtId="0" fontId="17" fillId="9" borderId="9" xfId="0" applyFont="1" applyFill="1" applyBorder="1" applyAlignment="1">
      <alignment horizontal="center"/>
    </xf>
    <xf numFmtId="0" fontId="17" fillId="0" borderId="12" xfId="0" applyFont="1" applyFill="1" applyBorder="1" applyAlignment="1">
      <alignment horizontal="left"/>
    </xf>
    <xf numFmtId="0" fontId="17" fillId="0" borderId="9" xfId="0" applyFont="1" applyFill="1" applyBorder="1" applyAlignment="1">
      <alignment horizontal="left"/>
    </xf>
    <xf numFmtId="0" fontId="18" fillId="7" borderId="11" xfId="0" applyFont="1" applyFill="1" applyBorder="1" applyAlignment="1">
      <alignment horizontal="center" vertical="center"/>
    </xf>
    <xf numFmtId="0" fontId="18" fillId="7" borderId="26" xfId="0" applyFont="1" applyFill="1" applyBorder="1" applyAlignment="1">
      <alignment horizontal="center" vertical="center"/>
    </xf>
    <xf numFmtId="0" fontId="18" fillId="7" borderId="27" xfId="0" applyFont="1" applyFill="1" applyBorder="1" applyAlignment="1">
      <alignment horizontal="center" vertical="center"/>
    </xf>
    <xf numFmtId="0" fontId="18" fillId="7" borderId="3" xfId="0" applyFont="1" applyFill="1" applyBorder="1" applyAlignment="1">
      <alignment horizontal="right" vertical="center"/>
    </xf>
    <xf numFmtId="0" fontId="18" fillId="7" borderId="12" xfId="0" applyFont="1" applyFill="1" applyBorder="1" applyAlignment="1">
      <alignment horizontal="center"/>
    </xf>
    <xf numFmtId="0" fontId="18" fillId="7" borderId="2" xfId="0" applyFont="1" applyFill="1" applyBorder="1" applyAlignment="1">
      <alignment horizontal="center"/>
    </xf>
    <xf numFmtId="0" fontId="18" fillId="7" borderId="9" xfId="0" applyFont="1" applyFill="1" applyBorder="1" applyAlignment="1">
      <alignment horizontal="center"/>
    </xf>
    <xf numFmtId="0" fontId="18" fillId="7" borderId="12" xfId="12" applyFont="1" applyFill="1" applyBorder="1" applyAlignment="1">
      <alignment horizontal="center"/>
    </xf>
    <xf numFmtId="0" fontId="18" fillId="7" borderId="2" xfId="12" applyFont="1" applyFill="1" applyBorder="1" applyAlignment="1">
      <alignment horizontal="center"/>
    </xf>
    <xf numFmtId="0" fontId="18" fillId="7" borderId="9" xfId="12" applyFont="1" applyFill="1" applyBorder="1" applyAlignment="1">
      <alignment horizontal="center"/>
    </xf>
    <xf numFmtId="0" fontId="33" fillId="0" borderId="12" xfId="12" applyFont="1" applyFill="1" applyBorder="1" applyAlignment="1">
      <alignment horizontal="left" vertical="center"/>
    </xf>
    <xf numFmtId="0" fontId="33" fillId="0" borderId="2" xfId="12" applyFont="1" applyFill="1" applyBorder="1" applyAlignment="1">
      <alignment horizontal="left" vertical="center"/>
    </xf>
    <xf numFmtId="0" fontId="33" fillId="0" borderId="9" xfId="12" applyFont="1" applyFill="1" applyBorder="1" applyAlignment="1">
      <alignment horizontal="left" vertical="center"/>
    </xf>
    <xf numFmtId="0" fontId="16" fillId="0" borderId="12" xfId="0" applyFont="1" applyFill="1" applyBorder="1" applyAlignment="1">
      <alignment horizontal="left"/>
    </xf>
    <xf numFmtId="0" fontId="16" fillId="0" borderId="9" xfId="0" applyFont="1" applyFill="1" applyBorder="1" applyAlignment="1">
      <alignment horizontal="left"/>
    </xf>
    <xf numFmtId="0" fontId="18" fillId="7" borderId="3" xfId="0" applyFont="1" applyFill="1" applyBorder="1" applyAlignment="1">
      <alignment horizontal="center" vertical="center"/>
    </xf>
    <xf numFmtId="0" fontId="18" fillId="7" borderId="12"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6" fillId="0" borderId="3" xfId="0" applyFont="1" applyBorder="1" applyAlignment="1">
      <alignment horizontal="left" wrapText="1"/>
    </xf>
    <xf numFmtId="0" fontId="18" fillId="7"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0" borderId="12" xfId="0" applyFont="1" applyFill="1" applyBorder="1" applyAlignment="1">
      <alignment horizontal="left" wrapText="1"/>
    </xf>
    <xf numFmtId="0" fontId="16" fillId="0" borderId="9" xfId="0" applyFont="1" applyFill="1" applyBorder="1" applyAlignment="1">
      <alignment horizontal="left" wrapText="1"/>
    </xf>
    <xf numFmtId="0" fontId="18" fillId="7" borderId="8" xfId="0" applyFont="1" applyFill="1" applyBorder="1" applyAlignment="1">
      <alignment horizontal="center" vertical="center"/>
    </xf>
    <xf numFmtId="0" fontId="18" fillId="7" borderId="4" xfId="0" applyFont="1" applyFill="1" applyBorder="1" applyAlignment="1">
      <alignment horizontal="center" vertical="center"/>
    </xf>
    <xf numFmtId="0" fontId="18" fillId="7" borderId="7" xfId="0" applyFont="1" applyFill="1" applyBorder="1" applyAlignment="1">
      <alignment horizontal="center" vertical="center"/>
    </xf>
    <xf numFmtId="0" fontId="17" fillId="9" borderId="3" xfId="0" applyFont="1" applyFill="1" applyBorder="1" applyAlignment="1">
      <alignment horizontal="center" vertical="center" wrapText="1"/>
    </xf>
    <xf numFmtId="0" fontId="17" fillId="9" borderId="8" xfId="0" applyFont="1" applyFill="1" applyBorder="1" applyAlignment="1">
      <alignment horizontal="center" vertical="center" wrapText="1"/>
    </xf>
    <xf numFmtId="0" fontId="16" fillId="0" borderId="2" xfId="0" applyFont="1" applyFill="1" applyBorder="1" applyAlignment="1">
      <alignment horizontal="left"/>
    </xf>
    <xf numFmtId="0" fontId="29" fillId="7" borderId="3" xfId="12" applyFont="1" applyFill="1" applyBorder="1" applyAlignment="1">
      <alignment horizontal="center" vertical="center" wrapText="1"/>
    </xf>
    <xf numFmtId="6" fontId="25" fillId="6" borderId="3" xfId="12" applyNumberFormat="1" applyFont="1" applyFill="1" applyBorder="1" applyAlignment="1">
      <alignment horizontal="center" vertical="center" wrapText="1"/>
    </xf>
    <xf numFmtId="0" fontId="25" fillId="9" borderId="3" xfId="12"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6" xfId="0" applyFont="1" applyFill="1" applyBorder="1" applyAlignment="1">
      <alignment horizontal="center" vertical="center"/>
    </xf>
    <xf numFmtId="0" fontId="18" fillId="7" borderId="8"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xf>
    <xf numFmtId="0" fontId="18" fillId="7" borderId="2" xfId="0" applyFont="1" applyFill="1" applyBorder="1" applyAlignment="1">
      <alignment horizontal="center" vertical="center" wrapText="1"/>
    </xf>
    <xf numFmtId="0" fontId="17" fillId="0" borderId="10" xfId="0" applyFont="1" applyBorder="1" applyAlignment="1">
      <alignment horizontal="right"/>
    </xf>
    <xf numFmtId="0" fontId="17" fillId="0" borderId="29" xfId="0" applyFont="1" applyBorder="1" applyAlignment="1">
      <alignment horizontal="right"/>
    </xf>
    <xf numFmtId="0" fontId="17" fillId="0" borderId="18" xfId="0" applyFont="1" applyBorder="1" applyAlignment="1">
      <alignment horizontal="right"/>
    </xf>
    <xf numFmtId="0" fontId="18" fillId="7" borderId="5" xfId="0" applyFont="1" applyFill="1" applyBorder="1" applyAlignment="1">
      <alignment horizontal="center" vertical="center" wrapText="1"/>
    </xf>
    <xf numFmtId="0" fontId="18" fillId="7" borderId="3" xfId="12" applyFont="1" applyFill="1" applyBorder="1" applyAlignment="1">
      <alignment horizontal="center" vertical="center"/>
    </xf>
    <xf numFmtId="0" fontId="18" fillId="7" borderId="12" xfId="12" applyFont="1" applyFill="1" applyBorder="1" applyAlignment="1">
      <alignment horizontal="center" vertical="center" wrapText="1"/>
    </xf>
    <xf numFmtId="0" fontId="18" fillId="7" borderId="2" xfId="12" applyFont="1" applyFill="1" applyBorder="1" applyAlignment="1">
      <alignment horizontal="center" vertical="center" wrapText="1"/>
    </xf>
    <xf numFmtId="0" fontId="18" fillId="7" borderId="9" xfId="12" applyFont="1" applyFill="1" applyBorder="1" applyAlignment="1">
      <alignment horizontal="center" vertical="center" wrapText="1"/>
    </xf>
    <xf numFmtId="2" fontId="17" fillId="9" borderId="12" xfId="12" applyNumberFormat="1" applyFont="1" applyFill="1" applyBorder="1" applyAlignment="1">
      <alignment horizontal="left"/>
    </xf>
    <xf numFmtId="2" fontId="17" fillId="9" borderId="2" xfId="12" applyNumberFormat="1" applyFont="1" applyFill="1" applyBorder="1" applyAlignment="1">
      <alignment horizontal="left"/>
    </xf>
    <xf numFmtId="2" fontId="17" fillId="9" borderId="9" xfId="12" applyNumberFormat="1" applyFont="1" applyFill="1" applyBorder="1" applyAlignment="1">
      <alignment horizontal="left"/>
    </xf>
    <xf numFmtId="0" fontId="17" fillId="7" borderId="3" xfId="12" applyFont="1" applyFill="1" applyBorder="1" applyAlignment="1">
      <alignment horizontal="center" vertical="center" wrapText="1"/>
    </xf>
    <xf numFmtId="171" fontId="16" fillId="0" borderId="3" xfId="35" applyNumberFormat="1" applyFont="1" applyBorder="1" applyAlignment="1">
      <alignment horizontal="center"/>
    </xf>
    <xf numFmtId="0" fontId="18" fillId="7" borderId="22" xfId="12" applyFont="1" applyFill="1" applyBorder="1" applyAlignment="1">
      <alignment horizontal="center"/>
    </xf>
    <xf numFmtId="0" fontId="18" fillId="7" borderId="23" xfId="12" applyFont="1" applyFill="1" applyBorder="1" applyAlignment="1">
      <alignment horizontal="center"/>
    </xf>
    <xf numFmtId="0" fontId="16" fillId="0" borderId="12" xfId="12" applyFont="1" applyBorder="1" applyAlignment="1">
      <alignment horizontal="left" wrapText="1"/>
    </xf>
    <xf numFmtId="0" fontId="16" fillId="0" borderId="2" xfId="12" applyFont="1" applyBorder="1" applyAlignment="1">
      <alignment horizontal="left" wrapText="1"/>
    </xf>
    <xf numFmtId="0" fontId="16" fillId="0" borderId="9" xfId="12" applyFont="1" applyBorder="1" applyAlignment="1">
      <alignment horizontal="left" wrapText="1"/>
    </xf>
    <xf numFmtId="171" fontId="16" fillId="6" borderId="12" xfId="35" applyNumberFormat="1" applyFont="1" applyFill="1" applyBorder="1" applyAlignment="1">
      <alignment horizontal="right" vertical="center" wrapText="1"/>
    </xf>
    <xf numFmtId="171" fontId="16" fillId="6" borderId="9" xfId="35" applyNumberFormat="1" applyFont="1" applyFill="1" applyBorder="1" applyAlignment="1">
      <alignment horizontal="right" vertical="center" wrapText="1"/>
    </xf>
    <xf numFmtId="171" fontId="16" fillId="0" borderId="12" xfId="35" applyNumberFormat="1" applyFont="1" applyBorder="1" applyAlignment="1">
      <alignment horizontal="right" vertical="center" wrapText="1"/>
    </xf>
    <xf numFmtId="171" fontId="16" fillId="0" borderId="9" xfId="35" applyNumberFormat="1" applyFont="1" applyBorder="1" applyAlignment="1">
      <alignment horizontal="right" vertical="center" wrapText="1"/>
    </xf>
    <xf numFmtId="0" fontId="18" fillId="7" borderId="12" xfId="12" applyFont="1" applyFill="1" applyBorder="1" applyAlignment="1">
      <alignment horizontal="right"/>
    </xf>
    <xf numFmtId="0" fontId="18" fillId="7" borderId="9" xfId="12" applyFont="1" applyFill="1" applyBorder="1" applyAlignment="1">
      <alignment horizontal="right"/>
    </xf>
    <xf numFmtId="171" fontId="16" fillId="0" borderId="2" xfId="35" applyNumberFormat="1" applyFont="1" applyBorder="1" applyAlignment="1">
      <alignment horizontal="right" vertical="center" wrapText="1"/>
    </xf>
    <xf numFmtId="0" fontId="18" fillId="7" borderId="2" xfId="12" applyFont="1" applyFill="1" applyBorder="1" applyAlignment="1">
      <alignment horizontal="right"/>
    </xf>
    <xf numFmtId="171" fontId="16" fillId="5" borderId="8" xfId="35" applyNumberFormat="1" applyFont="1" applyFill="1" applyBorder="1" applyAlignment="1">
      <alignment horizontal="center" vertical="center" wrapText="1"/>
    </xf>
    <xf numFmtId="171" fontId="16" fillId="5" borderId="4" xfId="35" applyNumberFormat="1" applyFont="1" applyFill="1" applyBorder="1" applyAlignment="1">
      <alignment horizontal="center" vertical="center" wrapText="1"/>
    </xf>
    <xf numFmtId="171" fontId="16" fillId="5" borderId="5" xfId="35" applyNumberFormat="1" applyFont="1" applyFill="1" applyBorder="1" applyAlignment="1">
      <alignment horizontal="center" vertical="center" wrapText="1"/>
    </xf>
    <xf numFmtId="0" fontId="18" fillId="7" borderId="3" xfId="12" applyFont="1" applyFill="1" applyBorder="1" applyAlignment="1">
      <alignment horizontal="center"/>
    </xf>
    <xf numFmtId="0" fontId="18" fillId="7" borderId="12" xfId="12" applyFont="1" applyFill="1" applyBorder="1" applyAlignment="1">
      <alignment horizontal="center" vertical="center"/>
    </xf>
    <xf numFmtId="0" fontId="18" fillId="7" borderId="2" xfId="12" applyFont="1" applyFill="1" applyBorder="1" applyAlignment="1">
      <alignment horizontal="center" vertical="center"/>
    </xf>
    <xf numFmtId="0" fontId="18" fillId="7" borderId="9" xfId="12" applyFont="1" applyFill="1" applyBorder="1" applyAlignment="1">
      <alignment horizontal="center" vertical="center"/>
    </xf>
    <xf numFmtId="0" fontId="18" fillId="7" borderId="3" xfId="12" applyFont="1" applyFill="1" applyBorder="1" applyAlignment="1">
      <alignment horizontal="center" vertical="center" wrapText="1"/>
    </xf>
    <xf numFmtId="0" fontId="18" fillId="7" borderId="8" xfId="12" applyFont="1" applyFill="1" applyBorder="1" applyAlignment="1">
      <alignment horizontal="center" vertical="center"/>
    </xf>
    <xf numFmtId="0" fontId="18" fillId="7" borderId="5" xfId="12" applyFont="1" applyFill="1" applyBorder="1" applyAlignment="1">
      <alignment horizontal="center" vertical="center"/>
    </xf>
    <xf numFmtId="0" fontId="18" fillId="7" borderId="19" xfId="12" applyFont="1" applyFill="1" applyBorder="1" applyAlignment="1">
      <alignment horizontal="center" vertical="center" wrapText="1"/>
    </xf>
    <xf numFmtId="0" fontId="18" fillId="7" borderId="30" xfId="12" applyFont="1" applyFill="1" applyBorder="1" applyAlignment="1">
      <alignment horizontal="center" vertical="center" wrapText="1"/>
    </xf>
    <xf numFmtId="0" fontId="18" fillId="7" borderId="22" xfId="12" applyFont="1" applyFill="1" applyBorder="1" applyAlignment="1">
      <alignment horizontal="center" vertical="center" wrapText="1"/>
    </xf>
    <xf numFmtId="0" fontId="18" fillId="7" borderId="23" xfId="12" applyFont="1" applyFill="1" applyBorder="1" applyAlignment="1">
      <alignment horizontal="center" vertical="center" wrapText="1"/>
    </xf>
    <xf numFmtId="0" fontId="18" fillId="7" borderId="8" xfId="12" applyFont="1" applyFill="1" applyBorder="1" applyAlignment="1">
      <alignment horizontal="center" vertical="center" wrapText="1"/>
    </xf>
    <xf numFmtId="0" fontId="18" fillId="7" borderId="4" xfId="12" applyFont="1" applyFill="1" applyBorder="1" applyAlignment="1">
      <alignment horizontal="center" vertical="center" wrapText="1"/>
    </xf>
    <xf numFmtId="0" fontId="18" fillId="7" borderId="7" xfId="12" applyFont="1" applyFill="1" applyBorder="1" applyAlignment="1">
      <alignment horizontal="center" vertical="center" wrapText="1"/>
    </xf>
    <xf numFmtId="0" fontId="17" fillId="0" borderId="22" xfId="12" applyFont="1" applyBorder="1" applyAlignment="1">
      <alignment horizontal="right"/>
    </xf>
    <xf numFmtId="0" fontId="17" fillId="0" borderId="21" xfId="12" applyFont="1" applyBorder="1" applyAlignment="1">
      <alignment horizontal="right"/>
    </xf>
    <xf numFmtId="0" fontId="17" fillId="0" borderId="23" xfId="12" applyFont="1" applyBorder="1" applyAlignment="1">
      <alignment horizontal="right"/>
    </xf>
    <xf numFmtId="0" fontId="17" fillId="0" borderId="10" xfId="12" applyFont="1" applyBorder="1" applyAlignment="1">
      <alignment horizontal="right"/>
    </xf>
    <xf numFmtId="0" fontId="17" fillId="0" borderId="29" xfId="12" applyFont="1" applyBorder="1" applyAlignment="1">
      <alignment horizontal="right"/>
    </xf>
    <xf numFmtId="0" fontId="17" fillId="0" borderId="18" xfId="12" applyFont="1" applyBorder="1" applyAlignment="1">
      <alignment horizontal="right"/>
    </xf>
    <xf numFmtId="0" fontId="18" fillId="7" borderId="4" xfId="12" applyFont="1" applyFill="1" applyBorder="1" applyAlignment="1">
      <alignment horizontal="center" vertical="center"/>
    </xf>
    <xf numFmtId="0" fontId="18" fillId="7" borderId="7" xfId="12" applyFont="1" applyFill="1" applyBorder="1" applyAlignment="1">
      <alignment horizontal="center" vertical="center"/>
    </xf>
    <xf numFmtId="0" fontId="29" fillId="7" borderId="12" xfId="12" applyFont="1" applyFill="1" applyBorder="1" applyAlignment="1">
      <alignment horizontal="center" vertical="center" wrapText="1"/>
    </xf>
    <xf numFmtId="0" fontId="29" fillId="7" borderId="2" xfId="12" applyFont="1" applyFill="1" applyBorder="1" applyAlignment="1">
      <alignment horizontal="center" vertical="center" wrapText="1"/>
    </xf>
    <xf numFmtId="0" fontId="29" fillId="7" borderId="9" xfId="12" applyFont="1" applyFill="1" applyBorder="1" applyAlignment="1">
      <alignment horizontal="center" vertical="center" wrapText="1"/>
    </xf>
    <xf numFmtId="6" fontId="25" fillId="6" borderId="12" xfId="12" applyNumberFormat="1" applyFont="1" applyFill="1" applyBorder="1" applyAlignment="1">
      <alignment horizontal="center" vertical="center" wrapText="1"/>
    </xf>
    <xf numFmtId="6" fontId="25" fillId="6" borderId="9" xfId="12" applyNumberFormat="1" applyFont="1" applyFill="1" applyBorder="1" applyAlignment="1">
      <alignment horizontal="center" vertical="center" wrapText="1"/>
    </xf>
    <xf numFmtId="0" fontId="18" fillId="11" borderId="0" xfId="12" applyFont="1" applyFill="1" applyBorder="1" applyAlignment="1">
      <alignment horizontal="center"/>
    </xf>
    <xf numFmtId="10" fontId="16" fillId="0" borderId="12" xfId="12" applyNumberFormat="1" applyFont="1" applyBorder="1" applyAlignment="1">
      <alignment horizontal="right" vertical="center" wrapText="1"/>
    </xf>
    <xf numFmtId="10" fontId="16" fillId="0" borderId="2" xfId="12" applyNumberFormat="1" applyFont="1" applyBorder="1" applyAlignment="1">
      <alignment horizontal="right" vertical="center" wrapText="1"/>
    </xf>
    <xf numFmtId="10" fontId="16" fillId="0" borderId="9" xfId="12" applyNumberFormat="1" applyFont="1" applyBorder="1" applyAlignment="1">
      <alignment horizontal="right" vertical="center" wrapText="1"/>
    </xf>
    <xf numFmtId="2" fontId="16" fillId="0" borderId="12" xfId="12" applyNumberFormat="1" applyFont="1" applyBorder="1" applyAlignment="1">
      <alignment horizontal="right" vertical="center" wrapText="1"/>
    </xf>
    <xf numFmtId="2" fontId="16" fillId="0" borderId="2" xfId="12" applyNumberFormat="1" applyFont="1" applyBorder="1" applyAlignment="1">
      <alignment horizontal="right" vertical="center" wrapText="1"/>
    </xf>
    <xf numFmtId="2" fontId="16" fillId="0" borderId="9" xfId="12" applyNumberFormat="1" applyFont="1" applyBorder="1" applyAlignment="1">
      <alignment horizontal="right" vertical="center" wrapText="1"/>
    </xf>
    <xf numFmtId="171" fontId="16" fillId="6" borderId="2" xfId="35" applyNumberFormat="1" applyFont="1" applyFill="1" applyBorder="1" applyAlignment="1">
      <alignment horizontal="right" vertical="center" wrapText="1"/>
    </xf>
    <xf numFmtId="0" fontId="18" fillId="11" borderId="0" xfId="12" applyFont="1" applyFill="1" applyBorder="1" applyAlignment="1">
      <alignment horizontal="center" vertical="center"/>
    </xf>
    <xf numFmtId="0" fontId="16" fillId="0" borderId="3" xfId="12" applyFont="1" applyBorder="1" applyAlignment="1">
      <alignment horizontal="left" wrapText="1"/>
    </xf>
    <xf numFmtId="0" fontId="16" fillId="0" borderId="12" xfId="12" applyFont="1" applyBorder="1" applyAlignment="1">
      <alignment horizontal="left"/>
    </xf>
    <xf numFmtId="0" fontId="16" fillId="0" borderId="9" xfId="12" applyFont="1" applyBorder="1" applyAlignment="1">
      <alignment horizontal="left"/>
    </xf>
    <xf numFmtId="0" fontId="18" fillId="7" borderId="8" xfId="0" applyFont="1" applyFill="1" applyBorder="1" applyAlignment="1">
      <alignment horizontal="center"/>
    </xf>
    <xf numFmtId="0" fontId="0" fillId="11" borderId="12" xfId="0" applyFont="1" applyFill="1" applyBorder="1" applyAlignment="1">
      <alignment horizontal="center" wrapText="1"/>
    </xf>
    <xf numFmtId="0" fontId="0" fillId="11" borderId="2" xfId="0" applyFont="1" applyFill="1" applyBorder="1" applyAlignment="1">
      <alignment horizontal="center" wrapText="1"/>
    </xf>
    <xf numFmtId="0" fontId="0" fillId="11" borderId="9" xfId="0" applyFont="1" applyFill="1" applyBorder="1" applyAlignment="1">
      <alignment horizontal="center" wrapText="1"/>
    </xf>
    <xf numFmtId="0" fontId="21" fillId="7" borderId="12" xfId="0" applyFont="1" applyFill="1" applyBorder="1" applyAlignment="1">
      <alignment horizontal="center"/>
    </xf>
    <xf numFmtId="0" fontId="21" fillId="7" borderId="2" xfId="0" applyFont="1" applyFill="1" applyBorder="1" applyAlignment="1">
      <alignment horizontal="center"/>
    </xf>
    <xf numFmtId="0" fontId="21" fillId="7" borderId="9" xfId="0" applyFont="1" applyFill="1" applyBorder="1" applyAlignment="1">
      <alignment horizontal="center"/>
    </xf>
    <xf numFmtId="0" fontId="9" fillId="11" borderId="12" xfId="0" applyFont="1" applyFill="1" applyBorder="1" applyAlignment="1">
      <alignment horizontal="center" vertical="top" wrapText="1"/>
    </xf>
    <xf numFmtId="0" fontId="9" fillId="11" borderId="2" xfId="0" applyFont="1" applyFill="1" applyBorder="1" applyAlignment="1">
      <alignment horizontal="center" vertical="top" wrapText="1"/>
    </xf>
    <xf numFmtId="0" fontId="9" fillId="11" borderId="9" xfId="0" applyFont="1" applyFill="1" applyBorder="1" applyAlignment="1">
      <alignment horizontal="center" vertical="top" wrapText="1"/>
    </xf>
    <xf numFmtId="0" fontId="0" fillId="11" borderId="19" xfId="0" applyFill="1" applyBorder="1" applyAlignment="1">
      <alignment horizontal="center" vertical="top" wrapText="1"/>
    </xf>
    <xf numFmtId="0" fontId="0" fillId="11" borderId="25" xfId="0" applyFill="1" applyBorder="1" applyAlignment="1">
      <alignment horizontal="center" vertical="top" wrapText="1"/>
    </xf>
    <xf numFmtId="0" fontId="0" fillId="11" borderId="30" xfId="0" applyFill="1" applyBorder="1" applyAlignment="1">
      <alignment horizontal="center" vertical="top" wrapText="1"/>
    </xf>
    <xf numFmtId="0" fontId="0" fillId="11" borderId="22" xfId="0" applyFill="1" applyBorder="1" applyAlignment="1">
      <alignment horizontal="center" vertical="top" wrapText="1"/>
    </xf>
    <xf numFmtId="0" fontId="0" fillId="11" borderId="21" xfId="0" applyFill="1" applyBorder="1" applyAlignment="1">
      <alignment horizontal="center" vertical="top" wrapText="1"/>
    </xf>
    <xf numFmtId="0" fontId="0" fillId="11" borderId="23" xfId="0" applyFill="1" applyBorder="1" applyAlignment="1">
      <alignment horizontal="center" vertical="top" wrapText="1"/>
    </xf>
    <xf numFmtId="0" fontId="11" fillId="0" borderId="22" xfId="0" applyFont="1" applyBorder="1" applyAlignment="1">
      <alignment horizontal="right"/>
    </xf>
    <xf numFmtId="0" fontId="11" fillId="0" borderId="21" xfId="0" applyFont="1" applyBorder="1" applyAlignment="1">
      <alignment horizontal="right"/>
    </xf>
    <xf numFmtId="0" fontId="11" fillId="0" borderId="23" xfId="0" applyFont="1" applyBorder="1" applyAlignment="1">
      <alignment horizontal="right"/>
    </xf>
    <xf numFmtId="0" fontId="25" fillId="9" borderId="12" xfId="12" applyFont="1" applyFill="1" applyBorder="1" applyAlignment="1">
      <alignment horizontal="center" vertical="center" wrapText="1"/>
    </xf>
    <xf numFmtId="0" fontId="25" fillId="9" borderId="9" xfId="12" applyFont="1" applyFill="1" applyBorder="1" applyAlignment="1">
      <alignment horizontal="center" vertical="center" wrapText="1"/>
    </xf>
  </cellXfs>
  <cellStyles count="36">
    <cellStyle name="active" xfId="1" xr:uid="{00000000-0005-0000-0000-000000000000}"/>
    <cellStyle name="Comma 2" xfId="13" xr:uid="{00000000-0005-0000-0000-000002000000}"/>
    <cellStyle name="Comma 3" xfId="23" xr:uid="{00000000-0005-0000-0000-000003000000}"/>
    <cellStyle name="Comma 4" xfId="26" xr:uid="{70843B5B-5B20-425F-A562-FE6217C273E5}"/>
    <cellStyle name="Comma 4 2" xfId="29" xr:uid="{7F7CD4DC-138E-45B6-BD63-8E20BBB70E88}"/>
    <cellStyle name="Comma 4 3" xfId="34" xr:uid="{865A539E-9617-4A9C-8676-579A16C2A4E3}"/>
    <cellStyle name="Comma 5" xfId="35" xr:uid="{4BC2A7B7-C011-4A6D-9EDD-5D96C4863E16}"/>
    <cellStyle name="Currency" xfId="2" builtinId="4"/>
    <cellStyle name="Currency 2" xfId="30" xr:uid="{1EBC2143-73A8-4208-9DCD-D028241C161F}"/>
    <cellStyle name="Currency 2 2" xfId="20" xr:uid="{00000000-0005-0000-0000-000005000000}"/>
    <cellStyle name="Currency 2 3" xfId="33" xr:uid="{C888180E-8EEF-4125-8A3B-FB0092CDE3C9}"/>
    <cellStyle name="Currency 3" xfId="21" xr:uid="{00000000-0005-0000-0000-000006000000}"/>
    <cellStyle name="Currency 8" xfId="17" xr:uid="{00000000-0005-0000-0000-000007000000}"/>
    <cellStyle name="Grey" xfId="3" xr:uid="{00000000-0005-0000-0000-000008000000}"/>
    <cellStyle name="Header1" xfId="4" xr:uid="{00000000-0005-0000-0000-000009000000}"/>
    <cellStyle name="Header2" xfId="5" xr:uid="{00000000-0005-0000-0000-00000A000000}"/>
    <cellStyle name="Hyperlink" xfId="27" builtinId="8"/>
    <cellStyle name="Hyperlink 2" xfId="31" xr:uid="{A264FA62-74C7-4D6F-A50F-0F3D7D9AD2C0}"/>
    <cellStyle name="Input [yellow]" xfId="6" xr:uid="{00000000-0005-0000-0000-00000C000000}"/>
    <cellStyle name="Normal" xfId="0" builtinId="0"/>
    <cellStyle name="Normal - Style1" xfId="7" xr:uid="{00000000-0005-0000-0000-00000E000000}"/>
    <cellStyle name="Normal 11" xfId="16" xr:uid="{00000000-0005-0000-0000-00000F000000}"/>
    <cellStyle name="Normal 11 2" xfId="24" xr:uid="{00000000-0005-0000-0000-000010000000}"/>
    <cellStyle name="Normal 16" xfId="12" xr:uid="{00000000-0005-0000-0000-000011000000}"/>
    <cellStyle name="Normal 2" xfId="8" xr:uid="{00000000-0005-0000-0000-000012000000}"/>
    <cellStyle name="Normal 2 2" xfId="19" xr:uid="{00000000-0005-0000-0000-000013000000}"/>
    <cellStyle name="Normal 3" xfId="28" xr:uid="{1925518A-B263-4CFD-BB5E-0709EEAC8044}"/>
    <cellStyle name="Normal 3 2" xfId="32" xr:uid="{AA2B0321-D12C-419B-9E75-E60F81B6AD7A}"/>
    <cellStyle name="Normal 4" xfId="14" xr:uid="{00000000-0005-0000-0000-000014000000}"/>
    <cellStyle name="Normal 4 2" xfId="15" xr:uid="{00000000-0005-0000-0000-000015000000}"/>
    <cellStyle name="Normal 4 2 2" xfId="25" xr:uid="{BCC2316D-3890-4BC2-81F5-EA24DB0F5E68}"/>
    <cellStyle name="Normal 4 3" xfId="18" xr:uid="{00000000-0005-0000-0000-000016000000}"/>
    <cellStyle name="Normal 5" xfId="22" xr:uid="{00000000-0005-0000-0000-000017000000}"/>
    <cellStyle name="Percent" xfId="9" builtinId="5"/>
    <cellStyle name="Percent [2]" xfId="10" xr:uid="{00000000-0005-0000-0000-000019000000}"/>
    <cellStyle name="PSChar" xfId="11" xr:uid="{00000000-0005-0000-0000-00001A000000}"/>
  </cellStyles>
  <dxfs count="0"/>
  <tableStyles count="0" defaultTableStyle="TableStyleMedium9" defaultPivotStyle="PivotStyleLight16"/>
  <colors>
    <mruColors>
      <color rgb="FFFEF5E4"/>
      <color rgb="FFFDB924"/>
      <color rgb="FFFFFFCC"/>
      <color rgb="FF029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303</xdr:row>
      <xdr:rowOff>21768</xdr:rowOff>
    </xdr:from>
    <xdr:to>
      <xdr:col>7</xdr:col>
      <xdr:colOff>708096</xdr:colOff>
      <xdr:row>332</xdr:row>
      <xdr:rowOff>332</xdr:rowOff>
    </xdr:to>
    <xdr:pic>
      <xdr:nvPicPr>
        <xdr:cNvPr id="2" name="Picture 1">
          <a:extLst>
            <a:ext uri="{FF2B5EF4-FFF2-40B4-BE49-F238E27FC236}">
              <a16:creationId xmlns:a16="http://schemas.microsoft.com/office/drawing/2014/main" id="{B55A657A-8BD6-44AC-BCFB-39E98E62CB7B}"/>
            </a:ext>
          </a:extLst>
        </xdr:cNvPr>
        <xdr:cNvPicPr>
          <a:picLocks noChangeAspect="1"/>
        </xdr:cNvPicPr>
      </xdr:nvPicPr>
      <xdr:blipFill>
        <a:blip xmlns:r="http://schemas.openxmlformats.org/officeDocument/2006/relationships" r:embed="rId1"/>
        <a:stretch>
          <a:fillRect/>
        </a:stretch>
      </xdr:blipFill>
      <xdr:spPr>
        <a:xfrm>
          <a:off x="0" y="52020648"/>
          <a:ext cx="6670746" cy="5027487"/>
        </a:xfrm>
        <a:prstGeom prst="rect">
          <a:avLst/>
        </a:prstGeom>
      </xdr:spPr>
    </xdr:pic>
    <xdr:clientData/>
  </xdr:twoCellAnchor>
  <xdr:twoCellAnchor editAs="oneCell">
    <xdr:from>
      <xdr:col>8</xdr:col>
      <xdr:colOff>21769</xdr:colOff>
      <xdr:row>303</xdr:row>
      <xdr:rowOff>21768</xdr:rowOff>
    </xdr:from>
    <xdr:to>
      <xdr:col>14</xdr:col>
      <xdr:colOff>254466</xdr:colOff>
      <xdr:row>310</xdr:row>
      <xdr:rowOff>81482</xdr:rowOff>
    </xdr:to>
    <xdr:pic>
      <xdr:nvPicPr>
        <xdr:cNvPr id="3" name="Picture 2">
          <a:extLst>
            <a:ext uri="{FF2B5EF4-FFF2-40B4-BE49-F238E27FC236}">
              <a16:creationId xmlns:a16="http://schemas.microsoft.com/office/drawing/2014/main" id="{8290A893-DCFD-4C25-B679-0F9B1EF1A48E}"/>
            </a:ext>
          </a:extLst>
        </xdr:cNvPr>
        <xdr:cNvPicPr>
          <a:picLocks noChangeAspect="1"/>
        </xdr:cNvPicPr>
      </xdr:nvPicPr>
      <xdr:blipFill>
        <a:blip xmlns:r="http://schemas.openxmlformats.org/officeDocument/2006/relationships" r:embed="rId2"/>
        <a:stretch>
          <a:fillRect/>
        </a:stretch>
      </xdr:blipFill>
      <xdr:spPr>
        <a:xfrm>
          <a:off x="8441869" y="52020648"/>
          <a:ext cx="6322452" cy="1271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204107</xdr:colOff>
      <xdr:row>85</xdr:row>
      <xdr:rowOff>108856</xdr:rowOff>
    </xdr:from>
    <xdr:to>
      <xdr:col>7</xdr:col>
      <xdr:colOff>449176</xdr:colOff>
      <xdr:row>95</xdr:row>
      <xdr:rowOff>19050</xdr:rowOff>
    </xdr:to>
    <xdr:pic>
      <xdr:nvPicPr>
        <xdr:cNvPr id="2" name="Picture 1">
          <a:extLst>
            <a:ext uri="{FF2B5EF4-FFF2-40B4-BE49-F238E27FC236}">
              <a16:creationId xmlns:a16="http://schemas.microsoft.com/office/drawing/2014/main" id="{EAFA030A-2471-4372-BA98-E2D00F80CDDB}"/>
            </a:ext>
          </a:extLst>
        </xdr:cNvPr>
        <xdr:cNvPicPr>
          <a:picLocks noChangeAspect="1"/>
        </xdr:cNvPicPr>
      </xdr:nvPicPr>
      <xdr:blipFill>
        <a:blip xmlns:r="http://schemas.openxmlformats.org/officeDocument/2006/relationships" r:embed="rId1"/>
        <a:stretch>
          <a:fillRect/>
        </a:stretch>
      </xdr:blipFill>
      <xdr:spPr>
        <a:xfrm>
          <a:off x="6711587" y="9946276"/>
          <a:ext cx="3610931" cy="20753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Wyoming%20TIGER\CBA%20Working%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EMCKEN~1\LOCALS~1\Temp\notesE97E9E\Template%20of%20Benefits%20%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TWFP01\Data\Project\FTW_TPTO\061018034\xls\Service%20Area%20D\2007_8_11_FTW_RIF_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trix"/>
      <sheetName val="START Summary"/>
      <sheetName val="START Narrative"/>
      <sheetName val="START Distance Benefit"/>
      <sheetName val="START Costs"/>
      <sheetName val="START VMT Table"/>
      <sheetName val="START Assumptions"/>
      <sheetName val="START Inside Storage Benefit"/>
      <sheetName val="START Mobility Benefit"/>
      <sheetName val="START Safety Benefit"/>
      <sheetName val="START Cost of Extra Idling"/>
      <sheetName val="START Road Cost Benefit"/>
      <sheetName val="START Parking Benefit"/>
      <sheetName val="START Remaining Capital Value"/>
      <sheetName val="START Global Benefit"/>
      <sheetName val="START Energy Cost"/>
      <sheetName val="START CNG Benefits"/>
      <sheetName val="START Value of CO2 rdctn"/>
    </sheetNames>
    <sheetDataSet>
      <sheetData sheetId="0"/>
      <sheetData sheetId="1"/>
      <sheetData sheetId="2"/>
      <sheetData sheetId="3"/>
      <sheetData sheetId="4">
        <row r="5">
          <cell r="I5">
            <v>35873401.852506503</v>
          </cell>
          <cell r="L5">
            <v>-11950617.593879221</v>
          </cell>
        </row>
      </sheetData>
      <sheetData sheetId="5"/>
      <sheetData sheetId="6">
        <row r="31">
          <cell r="B31">
            <v>2013</v>
          </cell>
        </row>
        <row r="32">
          <cell r="B32">
            <v>2015</v>
          </cell>
        </row>
        <row r="33">
          <cell r="B33">
            <v>50</v>
          </cell>
        </row>
        <row r="35">
          <cell r="B35">
            <v>7.0000000000000007E-2</v>
          </cell>
        </row>
        <row r="37">
          <cell r="B37">
            <v>0.26</v>
          </cell>
        </row>
        <row r="39">
          <cell r="B39">
            <v>0.02</v>
          </cell>
        </row>
      </sheetData>
      <sheetData sheetId="7"/>
      <sheetData sheetId="8"/>
      <sheetData sheetId="9"/>
      <sheetData sheetId="10"/>
      <sheetData sheetId="11"/>
      <sheetData sheetId="12"/>
      <sheetData sheetId="13"/>
      <sheetData sheetId="14"/>
      <sheetData sheetId="15">
        <row r="8">
          <cell r="I8">
            <v>101752.39</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nnel Capacity"/>
      <sheetName val="Notes"/>
    </sheetNames>
    <sheetDataSet>
      <sheetData sheetId="0">
        <row r="2">
          <cell r="C2">
            <v>8000</v>
          </cell>
        </row>
        <row r="3">
          <cell r="C3">
            <v>0.57999999999999996</v>
          </cell>
        </row>
        <row r="4">
          <cell r="C4">
            <v>0</v>
          </cell>
        </row>
        <row r="5">
          <cell r="C5">
            <v>63</v>
          </cell>
        </row>
        <row r="6">
          <cell r="C6">
            <v>36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NEW ROAD"/>
      <sheetName val="CCI"/>
      <sheetName val="PayItems"/>
      <sheetName val="Basswood (4)"/>
      <sheetName val="Basswood (5)"/>
      <sheetName val="Basswood (6)"/>
      <sheetName val="Basswood (7)"/>
      <sheetName val="Summerfields"/>
      <sheetName val="NTP (2)"/>
      <sheetName val="NTP (3)"/>
      <sheetName val="NTP (4)"/>
      <sheetName val="Shiver"/>
      <sheetName val="Heritage Trace (5)"/>
      <sheetName val="Heritage Trace (6)"/>
      <sheetName val="Heritage Trace (7)"/>
      <sheetName val="Golden Triangle (2)"/>
      <sheetName val="Golden Triangle (3)"/>
      <sheetName val="Golden Triangle (4)"/>
      <sheetName val="Keller Hicks (2)"/>
      <sheetName val="Keller Hicks (3)"/>
      <sheetName val="Keller Hicks (4)"/>
      <sheetName val="Timberland (1)"/>
      <sheetName val="Timberland (2)"/>
      <sheetName val="Timberland (3)"/>
      <sheetName val="N. Riverside (1)"/>
      <sheetName val="N. Riverside (2)"/>
      <sheetName val="N. Riverside (3)"/>
      <sheetName val="N. Riverside (4)"/>
      <sheetName val="N. Riverside (5)"/>
      <sheetName val="N. Riverside (6)"/>
      <sheetName val="N. Riverside (7)"/>
      <sheetName val="N. Beach (3)"/>
      <sheetName val="N. Beach (4)"/>
      <sheetName val="N. Beach (5)"/>
      <sheetName val="N. Beach (6)"/>
      <sheetName val="N. Beach (7)"/>
      <sheetName val="N. Beach (8)"/>
      <sheetName val="N. Beach (9)"/>
      <sheetName val="N. Beach (10)"/>
      <sheetName val="Park Vista (2)"/>
      <sheetName val="Park Vista (3)"/>
      <sheetName val="Park Vista (4)"/>
      <sheetName val="Park Vista (5)"/>
      <sheetName val="Summary"/>
      <sheetName val="CIP"/>
      <sheetName val="CIP-cost"/>
      <sheetName val="SupD"/>
      <sheetName val="E-D"/>
      <sheetName val="MaxFee"/>
      <sheetName val="PieCharts"/>
      <sheetName val="LUVMET"/>
      <sheetName val="LUVMET (2)"/>
      <sheetName val="10-Yr"/>
    </sheetNames>
    <sheetDataSet>
      <sheetData sheetId="0"/>
      <sheetData sheetId="1">
        <row r="2">
          <cell r="A2" t="str">
            <v>Median</v>
          </cell>
        </row>
        <row r="3">
          <cell r="A3" t="str">
            <v>NEW</v>
          </cell>
        </row>
        <row r="4">
          <cell r="A4" t="str">
            <v>EXISTING</v>
          </cell>
        </row>
      </sheetData>
      <sheetData sheetId="2">
        <row r="6">
          <cell r="B6">
            <v>155.07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nepis.epa.gov/Exe/tiff2png.cgi/P100EVY9.PNG?-r+75+-g+7+D%3A%5CZYFILES%5CINDEX%20DATA%5C06THRU10%5CTIFF%5C00001432%5CP100EVY9.TI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Z51"/>
  <sheetViews>
    <sheetView zoomScaleNormal="100" workbookViewId="0">
      <selection activeCell="D3" sqref="D3"/>
    </sheetView>
  </sheetViews>
  <sheetFormatPr defaultRowHeight="12.75" x14ac:dyDescent="0.2"/>
  <cols>
    <col min="2" max="2" width="10.28515625" customWidth="1"/>
    <col min="3" max="3" width="11.28515625" bestFit="1" customWidth="1"/>
    <col min="4" max="4" width="18.85546875" customWidth="1"/>
    <col min="5" max="5" width="21" customWidth="1"/>
    <col min="6" max="6" width="22.42578125" customWidth="1"/>
    <col min="7" max="7" width="25" bestFit="1" customWidth="1"/>
    <col min="8" max="8" width="20.140625" bestFit="1" customWidth="1"/>
  </cols>
  <sheetData>
    <row r="1" spans="1:26" x14ac:dyDescent="0.2">
      <c r="A1" s="82"/>
      <c r="B1" s="82"/>
      <c r="C1" s="82"/>
      <c r="D1" s="82"/>
      <c r="E1" s="82"/>
      <c r="F1" s="82"/>
      <c r="G1" s="82"/>
      <c r="H1" s="82"/>
      <c r="I1" s="82"/>
      <c r="J1" s="82"/>
      <c r="K1" s="82"/>
      <c r="L1" s="82"/>
      <c r="M1" s="82"/>
      <c r="N1" s="82"/>
      <c r="O1" s="82"/>
      <c r="P1" s="82"/>
      <c r="Q1" s="82"/>
      <c r="R1" s="82"/>
      <c r="S1" s="82"/>
      <c r="T1" s="82"/>
      <c r="U1" s="82"/>
      <c r="V1" s="82"/>
      <c r="W1" s="82"/>
      <c r="X1" s="82"/>
      <c r="Y1" s="82"/>
      <c r="Z1" s="82"/>
    </row>
    <row r="2" spans="1:26" ht="32.25" customHeight="1" thickBot="1" x14ac:dyDescent="0.25">
      <c r="A2" s="82"/>
      <c r="B2" s="356" t="s">
        <v>52</v>
      </c>
      <c r="C2" s="356"/>
      <c r="D2" s="8" t="s">
        <v>2</v>
      </c>
      <c r="E2" s="8" t="s">
        <v>71</v>
      </c>
      <c r="F2" s="8" t="s">
        <v>5</v>
      </c>
      <c r="G2" s="8" t="s">
        <v>53</v>
      </c>
      <c r="H2" s="8" t="s">
        <v>9</v>
      </c>
      <c r="I2" s="82"/>
      <c r="J2" s="82"/>
      <c r="K2" s="82"/>
      <c r="L2" s="82"/>
      <c r="M2" s="82"/>
      <c r="N2" s="82"/>
      <c r="O2" s="82"/>
      <c r="P2" s="82"/>
      <c r="Q2" s="82"/>
      <c r="R2" s="82"/>
      <c r="S2" s="82"/>
      <c r="T2" s="82"/>
      <c r="U2" s="82"/>
      <c r="V2" s="82"/>
      <c r="W2" s="82"/>
      <c r="X2" s="82"/>
      <c r="Y2" s="82"/>
      <c r="Z2" s="82"/>
    </row>
    <row r="3" spans="1:26" ht="62.25" customHeight="1" thickTop="1" x14ac:dyDescent="0.2">
      <c r="A3" s="82"/>
      <c r="B3" s="357" t="str">
        <f>'Summary Table'!A1</f>
        <v>2021 BCA SUMMARY - U.S. 81 Realignment</v>
      </c>
      <c r="C3" s="358"/>
      <c r="D3" s="9">
        <f>Costs!C3</f>
        <v>308631437</v>
      </c>
      <c r="E3" s="9">
        <f>'Summary Table'!R58</f>
        <v>225567181.33938763</v>
      </c>
      <c r="F3" s="9">
        <f>'Summary Table'!M58</f>
        <v>3237615645.5243158</v>
      </c>
      <c r="G3" s="9">
        <f>'Summary Table'!N58</f>
        <v>369288247.04651082</v>
      </c>
      <c r="H3" s="10">
        <f>'Summary Table'!C4</f>
        <v>1.6371541500573212</v>
      </c>
      <c r="I3" s="82"/>
      <c r="J3" s="82"/>
      <c r="K3" s="82"/>
      <c r="L3" s="82"/>
      <c r="M3" s="82"/>
      <c r="N3" s="82"/>
      <c r="O3" s="82"/>
      <c r="P3" s="82"/>
      <c r="Q3" s="82"/>
      <c r="R3" s="82"/>
      <c r="S3" s="82"/>
      <c r="T3" s="82"/>
      <c r="U3" s="82"/>
      <c r="V3" s="82"/>
      <c r="W3" s="82"/>
      <c r="X3" s="82"/>
      <c r="Y3" s="82"/>
      <c r="Z3" s="82"/>
    </row>
    <row r="4" spans="1:26" x14ac:dyDescent="0.2">
      <c r="A4" s="82"/>
      <c r="B4" s="82"/>
      <c r="C4" s="82"/>
      <c r="D4" s="82"/>
      <c r="E4" s="82"/>
      <c r="F4" s="82"/>
      <c r="G4" s="82"/>
      <c r="H4" s="82"/>
      <c r="I4" s="82"/>
      <c r="J4" s="82"/>
      <c r="K4" s="82"/>
      <c r="L4" s="82"/>
      <c r="M4" s="82"/>
      <c r="N4" s="82"/>
      <c r="O4" s="82"/>
      <c r="P4" s="82"/>
      <c r="Q4" s="82"/>
      <c r="R4" s="82"/>
      <c r="S4" s="82"/>
      <c r="T4" s="82"/>
      <c r="U4" s="82"/>
      <c r="V4" s="82"/>
      <c r="W4" s="82"/>
      <c r="X4" s="82"/>
      <c r="Y4" s="82"/>
      <c r="Z4" s="82"/>
    </row>
    <row r="5" spans="1:26" x14ac:dyDescent="0.2">
      <c r="A5" s="82"/>
      <c r="B5" s="82"/>
      <c r="C5" s="82"/>
      <c r="D5" s="82"/>
      <c r="E5" s="82"/>
      <c r="F5" s="82"/>
      <c r="G5" s="82"/>
      <c r="H5" s="82"/>
      <c r="I5" s="82"/>
      <c r="J5" s="82"/>
      <c r="K5" s="82"/>
      <c r="L5" s="82"/>
      <c r="M5" s="82"/>
      <c r="N5" s="82"/>
      <c r="O5" s="82"/>
      <c r="P5" s="82"/>
      <c r="Q5" s="82"/>
      <c r="R5" s="82"/>
      <c r="S5" s="82"/>
      <c r="T5" s="82"/>
      <c r="U5" s="82"/>
      <c r="V5" s="82"/>
      <c r="W5" s="82"/>
      <c r="X5" s="82"/>
      <c r="Y5" s="82"/>
      <c r="Z5" s="82"/>
    </row>
    <row r="6" spans="1:26" x14ac:dyDescent="0.2">
      <c r="A6" s="82"/>
      <c r="B6" s="82"/>
      <c r="C6" s="82"/>
      <c r="D6" s="82"/>
      <c r="E6" s="82"/>
      <c r="F6" s="82"/>
      <c r="G6" s="82"/>
      <c r="H6" s="116"/>
      <c r="I6" s="116"/>
      <c r="J6" s="116"/>
      <c r="K6" s="116"/>
      <c r="L6" s="82"/>
      <c r="M6" s="82"/>
      <c r="N6" s="82"/>
      <c r="O6" s="82"/>
      <c r="P6" s="82"/>
      <c r="Q6" s="82"/>
      <c r="R6" s="82"/>
      <c r="S6" s="82"/>
      <c r="T6" s="82"/>
      <c r="U6" s="82"/>
      <c r="V6" s="82"/>
      <c r="W6" s="82"/>
      <c r="X6" s="82"/>
      <c r="Y6" s="82"/>
      <c r="Z6" s="82"/>
    </row>
    <row r="7" spans="1:26" ht="15.75" x14ac:dyDescent="0.25">
      <c r="A7" s="82"/>
      <c r="B7" s="82"/>
      <c r="C7" s="82"/>
      <c r="D7" s="82"/>
      <c r="E7" s="82"/>
      <c r="F7" s="82"/>
      <c r="G7" s="82"/>
      <c r="H7" s="116"/>
      <c r="I7" s="157"/>
      <c r="J7" s="157"/>
      <c r="K7" s="116"/>
      <c r="L7" s="82"/>
      <c r="M7" s="82"/>
      <c r="N7" s="82"/>
      <c r="O7" s="82"/>
      <c r="P7" s="82"/>
      <c r="Q7" s="82"/>
      <c r="R7" s="82"/>
      <c r="S7" s="82"/>
      <c r="T7" s="82"/>
      <c r="U7" s="82"/>
      <c r="V7" s="82"/>
      <c r="W7" s="82"/>
      <c r="X7" s="82"/>
      <c r="Y7" s="82"/>
      <c r="Z7" s="82"/>
    </row>
    <row r="8" spans="1:26" ht="15.75" x14ac:dyDescent="0.25">
      <c r="A8" s="82"/>
      <c r="B8" s="82"/>
      <c r="C8" s="82"/>
      <c r="D8" s="82"/>
      <c r="E8" s="82"/>
      <c r="F8" s="82"/>
      <c r="G8" s="82"/>
      <c r="H8" s="116"/>
      <c r="I8" s="157"/>
      <c r="J8" s="157"/>
      <c r="K8" s="116"/>
      <c r="L8" s="82"/>
      <c r="M8" s="82"/>
      <c r="N8" s="82"/>
      <c r="O8" s="82"/>
      <c r="P8" s="82"/>
      <c r="Q8" s="82"/>
      <c r="R8" s="82"/>
      <c r="S8" s="82"/>
      <c r="T8" s="82"/>
      <c r="U8" s="82"/>
      <c r="V8" s="82"/>
      <c r="W8" s="82"/>
      <c r="X8" s="82"/>
      <c r="Y8" s="82"/>
      <c r="Z8" s="82"/>
    </row>
    <row r="9" spans="1:26" x14ac:dyDescent="0.2">
      <c r="A9" s="82"/>
      <c r="B9" s="82"/>
      <c r="C9" s="82"/>
      <c r="D9" s="82"/>
      <c r="E9" s="82"/>
      <c r="F9" s="82"/>
      <c r="G9" s="82"/>
      <c r="H9" s="116"/>
      <c r="I9" s="116"/>
      <c r="J9" s="116"/>
      <c r="K9" s="116"/>
      <c r="L9" s="82"/>
      <c r="M9" s="82"/>
      <c r="N9" s="82"/>
      <c r="O9" s="82"/>
      <c r="P9" s="82"/>
      <c r="Q9" s="82"/>
      <c r="R9" s="82"/>
      <c r="S9" s="82"/>
      <c r="T9" s="82"/>
      <c r="U9" s="82"/>
      <c r="V9" s="82"/>
      <c r="W9" s="82"/>
      <c r="X9" s="82"/>
      <c r="Y9" s="82"/>
      <c r="Z9" s="82"/>
    </row>
    <row r="10" spans="1:26" x14ac:dyDescent="0.2">
      <c r="A10" s="82"/>
      <c r="B10" s="82"/>
      <c r="C10" s="82"/>
      <c r="D10" s="82"/>
      <c r="E10" s="82"/>
      <c r="F10" s="82"/>
      <c r="G10" s="82"/>
      <c r="H10" s="116"/>
      <c r="I10" s="116"/>
      <c r="J10" s="116"/>
      <c r="K10" s="116"/>
      <c r="L10" s="82"/>
      <c r="M10" s="82"/>
      <c r="N10" s="82"/>
      <c r="O10" s="82"/>
      <c r="P10" s="82"/>
      <c r="Q10" s="82"/>
      <c r="R10" s="82"/>
      <c r="S10" s="82"/>
      <c r="T10" s="82"/>
      <c r="U10" s="82"/>
      <c r="V10" s="82"/>
      <c r="W10" s="82"/>
      <c r="X10" s="82"/>
      <c r="Y10" s="82"/>
      <c r="Z10" s="82"/>
    </row>
    <row r="11" spans="1:26" x14ac:dyDescent="0.2">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row>
    <row r="12" spans="1:26" x14ac:dyDescent="0.2">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row>
    <row r="13" spans="1:26" x14ac:dyDescent="0.2">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row>
    <row r="14" spans="1:26" x14ac:dyDescent="0.2">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26" x14ac:dyDescent="0.2">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row>
    <row r="16" spans="1:26" x14ac:dyDescent="0.2">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spans="1:26" x14ac:dyDescent="0.2">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row>
    <row r="18" spans="1:26" x14ac:dyDescent="0.2">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x14ac:dyDescent="0.2">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row>
    <row r="20" spans="1:26" x14ac:dyDescent="0.2">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row>
    <row r="21" spans="1:26" x14ac:dyDescent="0.2">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row>
    <row r="22" spans="1:26" x14ac:dyDescent="0.2">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row>
    <row r="23" spans="1:26" x14ac:dyDescent="0.2">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row>
    <row r="24" spans="1:26"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row>
    <row r="25" spans="1:26" x14ac:dyDescent="0.2">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row>
    <row r="26" spans="1:26" x14ac:dyDescent="0.2">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row>
    <row r="27" spans="1:26" x14ac:dyDescent="0.2">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row>
    <row r="28" spans="1:26" x14ac:dyDescent="0.2">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row>
    <row r="29" spans="1:26" x14ac:dyDescent="0.2">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row>
    <row r="30" spans="1:26" x14ac:dyDescent="0.2">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x14ac:dyDescent="0.2">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x14ac:dyDescent="0.2">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row>
    <row r="33" spans="1:26" x14ac:dyDescent="0.2">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row>
    <row r="34" spans="1:26" x14ac:dyDescent="0.2">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row>
    <row r="35" spans="1:26" x14ac:dyDescent="0.2">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row>
    <row r="36" spans="1:26" x14ac:dyDescent="0.2">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row>
    <row r="37" spans="1:26" x14ac:dyDescent="0.2">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row>
    <row r="38" spans="1:26" x14ac:dyDescent="0.2">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row>
    <row r="39" spans="1:26" x14ac:dyDescent="0.2">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row>
    <row r="40" spans="1:26" x14ac:dyDescent="0.2">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row>
    <row r="41" spans="1:26" x14ac:dyDescent="0.2">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row>
    <row r="42" spans="1:26" x14ac:dyDescent="0.2">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row>
    <row r="43" spans="1:26" x14ac:dyDescent="0.2">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6" x14ac:dyDescent="0.2">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row>
    <row r="45" spans="1:26" x14ac:dyDescent="0.2">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x14ac:dyDescent="0.2">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x14ac:dyDescent="0.2">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6" x14ac:dyDescent="0.2">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row>
    <row r="50" spans="1:26" x14ac:dyDescent="0.2">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spans="1:26" x14ac:dyDescent="0.2">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sheetData>
  <mergeCells count="2">
    <mergeCell ref="B2:C2"/>
    <mergeCell ref="B3:C3"/>
  </mergeCells>
  <pageMargins left="0.7" right="0.7" top="0.75" bottom="0.75" header="0.3" footer="0.3"/>
  <pageSetup scale="96"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81F9-3E96-449E-A527-903E83E687E2}">
  <sheetPr>
    <tabColor theme="6"/>
    <pageSetUpPr fitToPage="1"/>
  </sheetPr>
  <dimension ref="A1:EU500"/>
  <sheetViews>
    <sheetView tabSelected="1" topLeftCell="A11" zoomScale="70" zoomScaleNormal="70" workbookViewId="0">
      <selection activeCell="D64" sqref="D64"/>
    </sheetView>
  </sheetViews>
  <sheetFormatPr defaultRowHeight="12.75" x14ac:dyDescent="0.2"/>
  <cols>
    <col min="1" max="1" width="13.85546875" customWidth="1"/>
    <col min="2" max="2" width="16.7109375" customWidth="1"/>
    <col min="3" max="3" width="15.7109375" customWidth="1"/>
    <col min="4" max="4" width="16.140625" bestFit="1" customWidth="1"/>
    <col min="5" max="5" width="14.7109375" customWidth="1"/>
    <col min="6" max="6" width="10.7109375" customWidth="1"/>
    <col min="7" max="7" width="12.42578125" bestFit="1" customWidth="1"/>
    <col min="8" max="8" width="19.7109375" customWidth="1"/>
    <col min="9" max="9" width="18.7109375" customWidth="1"/>
    <col min="10" max="10" width="17" customWidth="1"/>
    <col min="11" max="11" width="17.42578125" customWidth="1"/>
    <col min="12" max="12" width="14.42578125" bestFit="1" customWidth="1"/>
    <col min="13" max="13" width="15.5703125" customWidth="1"/>
    <col min="14" max="14" width="13.42578125" customWidth="1"/>
    <col min="15" max="15" width="12.85546875" customWidth="1"/>
    <col min="16" max="16" width="12.5703125" customWidth="1"/>
    <col min="17" max="17" width="17.42578125" customWidth="1"/>
    <col min="18" max="18" width="14.7109375" customWidth="1"/>
    <col min="19" max="19" width="12.85546875" bestFit="1" customWidth="1"/>
    <col min="20" max="26" width="10.7109375" customWidth="1"/>
    <col min="27" max="151" width="8.85546875" style="82"/>
  </cols>
  <sheetData>
    <row r="1" spans="1:26" ht="23.25" x14ac:dyDescent="0.35">
      <c r="A1" s="150" t="s">
        <v>300</v>
      </c>
      <c r="B1" s="82"/>
      <c r="C1" s="82"/>
      <c r="D1" s="82"/>
      <c r="E1" s="82"/>
      <c r="F1" s="82"/>
      <c r="G1" s="82"/>
      <c r="H1" s="82"/>
      <c r="I1" s="82"/>
      <c r="J1" s="82"/>
      <c r="K1" s="82"/>
      <c r="L1" s="82"/>
      <c r="M1" s="82"/>
      <c r="N1" s="82"/>
      <c r="O1" s="82"/>
      <c r="P1" s="82"/>
      <c r="Q1" s="82"/>
      <c r="R1" s="82"/>
      <c r="S1" s="82"/>
      <c r="T1" s="82"/>
      <c r="U1" s="82"/>
      <c r="V1" s="82"/>
      <c r="W1" s="82"/>
      <c r="X1" s="82"/>
      <c r="Y1" s="82"/>
      <c r="Z1" s="82"/>
    </row>
    <row r="2" spans="1:26" ht="18.75" x14ac:dyDescent="0.3">
      <c r="A2" s="151"/>
      <c r="B2" s="82"/>
      <c r="C2" s="82"/>
      <c r="D2" s="82"/>
      <c r="E2" s="82"/>
      <c r="F2" s="82"/>
      <c r="G2" s="82"/>
      <c r="H2" s="82"/>
      <c r="I2" s="82"/>
      <c r="J2" s="82"/>
      <c r="K2" s="82"/>
      <c r="L2" s="82"/>
      <c r="M2" s="82"/>
      <c r="N2" s="82"/>
      <c r="O2" s="82"/>
      <c r="P2" s="82"/>
      <c r="Q2" s="82"/>
      <c r="R2" s="82"/>
      <c r="S2" s="82"/>
      <c r="T2" s="82"/>
      <c r="U2" s="82"/>
      <c r="V2" s="82"/>
      <c r="W2" s="82"/>
      <c r="X2" s="82"/>
      <c r="Y2" s="82"/>
      <c r="Z2" s="82"/>
    </row>
    <row r="3" spans="1:26" ht="18" customHeight="1" x14ac:dyDescent="0.2">
      <c r="A3" s="365" t="s">
        <v>57</v>
      </c>
      <c r="B3" s="366"/>
      <c r="C3" s="367"/>
      <c r="D3" s="82"/>
      <c r="E3" s="82"/>
      <c r="F3" s="82"/>
      <c r="G3" s="82"/>
      <c r="H3" s="82"/>
      <c r="I3" s="82"/>
      <c r="J3" s="82"/>
      <c r="K3" s="82"/>
      <c r="L3" s="82"/>
      <c r="M3" s="82"/>
      <c r="N3" s="82"/>
      <c r="O3" s="82"/>
      <c r="P3" s="82"/>
      <c r="Q3" s="82"/>
      <c r="R3" s="82"/>
      <c r="S3" s="82"/>
      <c r="T3" s="82"/>
      <c r="U3" s="82"/>
      <c r="V3" s="82"/>
      <c r="W3" s="82"/>
      <c r="X3" s="82"/>
      <c r="Y3" s="82"/>
      <c r="Z3" s="82"/>
    </row>
    <row r="4" spans="1:26" ht="19.899999999999999" customHeight="1" x14ac:dyDescent="0.3">
      <c r="A4" s="368" t="s">
        <v>60</v>
      </c>
      <c r="B4" s="368"/>
      <c r="C4" s="72">
        <f>N58/R58</f>
        <v>1.6371541500573212</v>
      </c>
      <c r="D4" s="95"/>
      <c r="E4" s="82"/>
      <c r="F4" s="82"/>
      <c r="G4" s="82"/>
      <c r="H4" s="82"/>
      <c r="I4" s="82"/>
      <c r="J4" s="82"/>
      <c r="K4" s="82"/>
      <c r="L4" s="82"/>
      <c r="M4" s="82"/>
      <c r="N4" s="82"/>
      <c r="O4" s="82"/>
      <c r="P4" s="82"/>
      <c r="Q4" s="82"/>
      <c r="R4" s="82"/>
      <c r="S4" s="82"/>
      <c r="T4" s="82"/>
      <c r="U4" s="82"/>
      <c r="V4" s="82"/>
      <c r="W4" s="82"/>
      <c r="X4" s="82"/>
      <c r="Y4" s="82"/>
      <c r="Z4" s="82"/>
    </row>
    <row r="5" spans="1:26" ht="18" customHeight="1" x14ac:dyDescent="0.25">
      <c r="A5" s="369" t="s">
        <v>59</v>
      </c>
      <c r="B5" s="369"/>
      <c r="C5" s="70">
        <f>IRR(D12:D57)</f>
        <v>1.8330744485149486E-2</v>
      </c>
      <c r="D5" s="95"/>
      <c r="E5" s="82"/>
      <c r="F5" s="82"/>
      <c r="G5" s="82"/>
      <c r="H5" s="82"/>
      <c r="I5" s="82"/>
      <c r="J5" s="82"/>
      <c r="K5" s="82"/>
      <c r="L5" s="82"/>
      <c r="M5" s="82"/>
      <c r="N5" s="82"/>
      <c r="O5" s="82"/>
      <c r="P5" s="82"/>
      <c r="Q5" s="82"/>
      <c r="R5" s="82"/>
      <c r="S5" s="82"/>
      <c r="T5" s="82"/>
      <c r="U5" s="82"/>
      <c r="V5" s="82"/>
      <c r="W5" s="82"/>
      <c r="X5" s="82"/>
      <c r="Y5" s="82"/>
      <c r="Z5" s="82"/>
    </row>
    <row r="6" spans="1:26" ht="18" customHeight="1" x14ac:dyDescent="0.25">
      <c r="A6" s="369" t="s">
        <v>58</v>
      </c>
      <c r="B6" s="369"/>
      <c r="C6" s="71">
        <f>N58-R58</f>
        <v>143721065.70712319</v>
      </c>
      <c r="D6" s="95"/>
      <c r="E6" s="82"/>
      <c r="F6" s="82"/>
      <c r="G6" s="82"/>
      <c r="H6" s="82"/>
      <c r="I6" s="82"/>
      <c r="J6" s="82"/>
      <c r="K6" s="82"/>
      <c r="L6" s="82"/>
      <c r="M6" s="82"/>
      <c r="N6" s="82"/>
      <c r="O6" s="82"/>
      <c r="P6" s="82"/>
      <c r="Q6" s="82"/>
      <c r="R6" s="82"/>
      <c r="S6" s="82"/>
      <c r="T6" s="82"/>
      <c r="U6" s="82"/>
      <c r="V6" s="82"/>
      <c r="W6" s="82"/>
      <c r="X6" s="82"/>
      <c r="Y6" s="82"/>
      <c r="Z6" s="82"/>
    </row>
    <row r="7" spans="1:26" ht="18" customHeight="1" x14ac:dyDescent="0.25">
      <c r="A7" s="369" t="s">
        <v>7</v>
      </c>
      <c r="B7" s="369"/>
      <c r="C7" s="70">
        <v>7.0000000000000007E-2</v>
      </c>
      <c r="D7" s="95"/>
      <c r="E7" s="82"/>
      <c r="F7" s="82"/>
      <c r="G7" s="82"/>
      <c r="H7" s="82"/>
      <c r="I7" s="82"/>
      <c r="J7" s="82"/>
      <c r="K7" s="82"/>
      <c r="L7" s="82"/>
      <c r="M7" s="82"/>
      <c r="N7" s="82"/>
      <c r="O7" s="82"/>
      <c r="P7" s="82"/>
      <c r="Q7" s="82"/>
      <c r="R7" s="82"/>
      <c r="S7" s="82"/>
      <c r="T7" s="82"/>
      <c r="U7" s="82"/>
      <c r="V7" s="82"/>
      <c r="W7" s="82"/>
      <c r="X7" s="82"/>
      <c r="Y7" s="82"/>
      <c r="Z7" s="82"/>
    </row>
    <row r="8" spans="1:26" x14ac:dyDescent="0.2">
      <c r="A8" s="82"/>
      <c r="B8" s="82"/>
      <c r="C8" s="82"/>
      <c r="D8" s="82"/>
      <c r="E8" s="82"/>
      <c r="F8" s="82"/>
      <c r="G8" s="82"/>
      <c r="H8" s="82"/>
      <c r="I8" s="82"/>
      <c r="J8" s="82"/>
      <c r="K8" s="82"/>
      <c r="L8" s="82"/>
      <c r="M8" s="82"/>
      <c r="N8" s="82"/>
      <c r="O8" s="82"/>
      <c r="P8" s="82"/>
      <c r="Q8" s="82"/>
      <c r="R8" s="82"/>
      <c r="S8" s="82"/>
      <c r="T8" s="82"/>
      <c r="U8" s="82"/>
      <c r="V8" s="82"/>
      <c r="W8" s="82"/>
      <c r="X8" s="82"/>
      <c r="Y8" s="82"/>
      <c r="Z8" s="82"/>
    </row>
    <row r="9" spans="1:26" ht="14.45" customHeight="1" x14ac:dyDescent="0.2">
      <c r="A9" s="359" t="s">
        <v>69</v>
      </c>
      <c r="B9" s="360"/>
      <c r="C9" s="360"/>
      <c r="D9" s="360"/>
      <c r="E9" s="361"/>
      <c r="F9" s="82"/>
      <c r="G9" s="374" t="s">
        <v>242</v>
      </c>
      <c r="H9" s="375"/>
      <c r="I9" s="375"/>
      <c r="J9" s="375"/>
      <c r="K9" s="375"/>
      <c r="L9" s="375"/>
      <c r="M9" s="375"/>
      <c r="N9" s="376"/>
      <c r="O9" s="82"/>
      <c r="P9" s="359" t="s">
        <v>269</v>
      </c>
      <c r="Q9" s="360"/>
      <c r="R9" s="361"/>
      <c r="S9" s="82"/>
      <c r="T9" s="82"/>
      <c r="U9" s="82"/>
      <c r="V9" s="82"/>
      <c r="W9" s="82"/>
      <c r="X9" s="82"/>
      <c r="Y9" s="82"/>
      <c r="Z9" s="82"/>
    </row>
    <row r="10" spans="1:26" ht="14.45" customHeight="1" x14ac:dyDescent="0.2">
      <c r="A10" s="362"/>
      <c r="B10" s="363"/>
      <c r="C10" s="363"/>
      <c r="D10" s="363"/>
      <c r="E10" s="364"/>
      <c r="F10" s="82"/>
      <c r="G10" s="372" t="s">
        <v>61</v>
      </c>
      <c r="H10" s="329"/>
      <c r="I10" s="377" t="s">
        <v>3</v>
      </c>
      <c r="J10" s="378"/>
      <c r="K10" s="332" t="s">
        <v>67</v>
      </c>
      <c r="L10" s="319" t="s">
        <v>4</v>
      </c>
      <c r="M10" s="370" t="s">
        <v>0</v>
      </c>
      <c r="N10" s="370" t="s">
        <v>64</v>
      </c>
      <c r="O10" s="82"/>
      <c r="P10" s="362"/>
      <c r="Q10" s="363"/>
      <c r="R10" s="364"/>
      <c r="S10" s="82"/>
      <c r="T10" s="82"/>
      <c r="U10" s="82"/>
      <c r="V10" s="82"/>
      <c r="W10" s="82"/>
      <c r="X10" s="82"/>
      <c r="Y10" s="82"/>
      <c r="Z10" s="82"/>
    </row>
    <row r="11" spans="1:26" ht="48.75" customHeight="1" thickBot="1" x14ac:dyDescent="0.25">
      <c r="A11" s="74" t="s">
        <v>61</v>
      </c>
      <c r="B11" s="74" t="s">
        <v>65</v>
      </c>
      <c r="C11" s="74" t="s">
        <v>55</v>
      </c>
      <c r="D11" s="74" t="s">
        <v>66</v>
      </c>
      <c r="E11" s="74" t="s">
        <v>77</v>
      </c>
      <c r="F11" s="82"/>
      <c r="G11" s="373"/>
      <c r="H11" s="74" t="s">
        <v>63</v>
      </c>
      <c r="I11" s="74" t="s">
        <v>56</v>
      </c>
      <c r="J11" s="74" t="s">
        <v>88</v>
      </c>
      <c r="K11" s="74" t="s">
        <v>68</v>
      </c>
      <c r="L11" s="74" t="s">
        <v>62</v>
      </c>
      <c r="M11" s="371"/>
      <c r="N11" s="371"/>
      <c r="O11" s="82"/>
      <c r="P11" s="74" t="s">
        <v>61</v>
      </c>
      <c r="Q11" s="74" t="s">
        <v>2</v>
      </c>
      <c r="R11" s="74" t="s">
        <v>64</v>
      </c>
      <c r="S11" s="82"/>
      <c r="T11" s="82"/>
      <c r="U11" s="82"/>
      <c r="V11" s="82"/>
      <c r="W11" s="82"/>
      <c r="X11" s="82"/>
      <c r="Y11" s="82"/>
      <c r="Z11" s="82"/>
    </row>
    <row r="12" spans="1:26" ht="13.9" customHeight="1" thickTop="1" x14ac:dyDescent="0.2">
      <c r="A12" s="267">
        <v>2011</v>
      </c>
      <c r="B12" s="191">
        <f>R12</f>
        <v>3503548.4094000002</v>
      </c>
      <c r="C12" s="192">
        <f>N12</f>
        <v>0</v>
      </c>
      <c r="D12" s="191">
        <f>C12-B12</f>
        <v>-3503548.4094000002</v>
      </c>
      <c r="E12" s="193">
        <f t="shared" ref="E12" si="0">D12</f>
        <v>-3503548.4094000002</v>
      </c>
      <c r="F12" s="82"/>
      <c r="G12" s="267">
        <v>2011</v>
      </c>
      <c r="H12" s="199"/>
      <c r="I12" s="186"/>
      <c r="J12" s="170"/>
      <c r="K12" s="186"/>
      <c r="L12" s="170"/>
      <c r="M12" s="186"/>
      <c r="N12" s="170"/>
      <c r="O12" s="82"/>
      <c r="P12" s="267">
        <v>2011</v>
      </c>
      <c r="Q12" s="198">
        <f>Costs!G7</f>
        <v>3062007</v>
      </c>
      <c r="R12" s="199">
        <f>Costs!H7</f>
        <v>3503548.4094000002</v>
      </c>
      <c r="S12" s="82"/>
      <c r="T12" s="82"/>
      <c r="U12" s="82"/>
      <c r="V12" s="82"/>
      <c r="W12" s="82"/>
      <c r="X12" s="82"/>
      <c r="Y12" s="82"/>
      <c r="Z12" s="82"/>
    </row>
    <row r="13" spans="1:26" ht="13.9" customHeight="1" x14ac:dyDescent="0.2">
      <c r="A13" s="267">
        <v>2012</v>
      </c>
      <c r="B13" s="191">
        <f t="shared" ref="B13:B21" si="1">R13</f>
        <v>0</v>
      </c>
      <c r="C13" s="192">
        <f t="shared" ref="C13:C21" si="2">N13</f>
        <v>0</v>
      </c>
      <c r="D13" s="191">
        <f t="shared" ref="D13:D21" si="3">C13-B13</f>
        <v>0</v>
      </c>
      <c r="E13" s="193">
        <f>D13+E12</f>
        <v>-3503548.4094000002</v>
      </c>
      <c r="F13" s="82"/>
      <c r="G13" s="267">
        <v>2012</v>
      </c>
      <c r="H13" s="199"/>
      <c r="I13" s="186"/>
      <c r="J13" s="170"/>
      <c r="K13" s="186"/>
      <c r="L13" s="170"/>
      <c r="M13" s="186"/>
      <c r="N13" s="170"/>
      <c r="O13" s="82"/>
      <c r="P13" s="267">
        <v>2012</v>
      </c>
      <c r="Q13" s="198">
        <f>Costs!G8</f>
        <v>0</v>
      </c>
      <c r="R13" s="199">
        <f>Costs!H8</f>
        <v>0</v>
      </c>
      <c r="S13" s="82"/>
      <c r="T13" s="82"/>
      <c r="U13" s="82"/>
      <c r="V13" s="82"/>
      <c r="W13" s="82"/>
      <c r="X13" s="82"/>
      <c r="Y13" s="82"/>
      <c r="Z13" s="82"/>
    </row>
    <row r="14" spans="1:26" ht="13.9" customHeight="1" x14ac:dyDescent="0.2">
      <c r="A14" s="267">
        <v>2013</v>
      </c>
      <c r="B14" s="191">
        <f t="shared" si="1"/>
        <v>0</v>
      </c>
      <c r="C14" s="192">
        <f t="shared" si="2"/>
        <v>0</v>
      </c>
      <c r="D14" s="191">
        <f t="shared" si="3"/>
        <v>0</v>
      </c>
      <c r="E14" s="193">
        <f t="shared" ref="E14:E29" si="4">D14+E13</f>
        <v>-3503548.4094000002</v>
      </c>
      <c r="F14" s="82"/>
      <c r="G14" s="267">
        <v>2013</v>
      </c>
      <c r="H14" s="199"/>
      <c r="I14" s="186"/>
      <c r="J14" s="170"/>
      <c r="K14" s="186"/>
      <c r="L14" s="170"/>
      <c r="M14" s="186"/>
      <c r="N14" s="170"/>
      <c r="O14" s="82"/>
      <c r="P14" s="267">
        <v>2013</v>
      </c>
      <c r="Q14" s="198">
        <f>Costs!G9</f>
        <v>0</v>
      </c>
      <c r="R14" s="199">
        <f>Costs!H9</f>
        <v>0</v>
      </c>
      <c r="S14" s="82"/>
      <c r="T14" s="82"/>
      <c r="U14" s="82"/>
      <c r="V14" s="82"/>
      <c r="W14" s="82"/>
      <c r="X14" s="82"/>
      <c r="Y14" s="82"/>
      <c r="Z14" s="82"/>
    </row>
    <row r="15" spans="1:26" ht="13.9" customHeight="1" x14ac:dyDescent="0.2">
      <c r="A15" s="267">
        <v>2014</v>
      </c>
      <c r="B15" s="191">
        <f t="shared" si="1"/>
        <v>0</v>
      </c>
      <c r="C15" s="192">
        <f t="shared" si="2"/>
        <v>0</v>
      </c>
      <c r="D15" s="191">
        <f t="shared" si="3"/>
        <v>0</v>
      </c>
      <c r="E15" s="193">
        <f t="shared" si="4"/>
        <v>-3503548.4094000002</v>
      </c>
      <c r="F15" s="82"/>
      <c r="G15" s="267">
        <v>2014</v>
      </c>
      <c r="H15" s="199"/>
      <c r="I15" s="186"/>
      <c r="J15" s="170"/>
      <c r="K15" s="186"/>
      <c r="L15" s="170"/>
      <c r="M15" s="186"/>
      <c r="N15" s="170"/>
      <c r="O15" s="82"/>
      <c r="P15" s="267">
        <v>2014</v>
      </c>
      <c r="Q15" s="198">
        <f>Costs!G10</f>
        <v>0</v>
      </c>
      <c r="R15" s="199">
        <f>Costs!H10</f>
        <v>0</v>
      </c>
      <c r="S15" s="82"/>
      <c r="T15" s="82"/>
      <c r="U15" s="82"/>
      <c r="V15" s="82"/>
      <c r="W15" s="82"/>
      <c r="X15" s="82"/>
      <c r="Y15" s="82"/>
      <c r="Z15" s="82"/>
    </row>
    <row r="16" spans="1:26" ht="13.9" customHeight="1" x14ac:dyDescent="0.2">
      <c r="A16" s="267">
        <f t="shared" ref="A16:A17" si="5">A15+1</f>
        <v>2015</v>
      </c>
      <c r="B16" s="191">
        <f t="shared" si="1"/>
        <v>0</v>
      </c>
      <c r="C16" s="192">
        <f t="shared" si="2"/>
        <v>0</v>
      </c>
      <c r="D16" s="191">
        <f t="shared" si="3"/>
        <v>0</v>
      </c>
      <c r="E16" s="193">
        <f t="shared" si="4"/>
        <v>-3503548.4094000002</v>
      </c>
      <c r="F16" s="82"/>
      <c r="G16" s="267">
        <f t="shared" ref="G16:G17" si="6">G15+1</f>
        <v>2015</v>
      </c>
      <c r="H16" s="199"/>
      <c r="I16" s="186"/>
      <c r="J16" s="170"/>
      <c r="K16" s="186"/>
      <c r="L16" s="170"/>
      <c r="M16" s="186"/>
      <c r="N16" s="170"/>
      <c r="O16" s="82"/>
      <c r="P16" s="267">
        <f t="shared" ref="P16:P17" si="7">P15+1</f>
        <v>2015</v>
      </c>
      <c r="Q16" s="198">
        <f>Costs!G11</f>
        <v>0</v>
      </c>
      <c r="R16" s="199">
        <f>Costs!H11</f>
        <v>0</v>
      </c>
      <c r="S16" s="82"/>
      <c r="T16" s="82"/>
      <c r="U16" s="82"/>
      <c r="V16" s="82"/>
      <c r="W16" s="82"/>
      <c r="X16" s="82"/>
      <c r="Y16" s="82"/>
      <c r="Z16" s="82"/>
    </row>
    <row r="17" spans="1:26" ht="13.9" customHeight="1" x14ac:dyDescent="0.2">
      <c r="A17" s="267">
        <f t="shared" si="5"/>
        <v>2016</v>
      </c>
      <c r="B17" s="191">
        <f t="shared" si="1"/>
        <v>3510429.02</v>
      </c>
      <c r="C17" s="192">
        <f t="shared" si="2"/>
        <v>0</v>
      </c>
      <c r="D17" s="191">
        <f t="shared" si="3"/>
        <v>-3510429.02</v>
      </c>
      <c r="E17" s="193">
        <f t="shared" si="4"/>
        <v>-7013977.4294000007</v>
      </c>
      <c r="F17" s="82"/>
      <c r="G17" s="267">
        <f t="shared" si="6"/>
        <v>2016</v>
      </c>
      <c r="H17" s="199"/>
      <c r="I17" s="186"/>
      <c r="J17" s="170"/>
      <c r="K17" s="186"/>
      <c r="L17" s="170"/>
      <c r="M17" s="186"/>
      <c r="N17" s="170"/>
      <c r="O17" s="82"/>
      <c r="P17" s="267">
        <f t="shared" si="7"/>
        <v>2016</v>
      </c>
      <c r="Q17" s="198">
        <f>Costs!G12</f>
        <v>3305800</v>
      </c>
      <c r="R17" s="199">
        <f>Costs!H12</f>
        <v>3510429.02</v>
      </c>
      <c r="S17" s="82"/>
      <c r="T17" s="82"/>
      <c r="U17" s="82"/>
      <c r="V17" s="82"/>
      <c r="W17" s="82"/>
      <c r="X17" s="82"/>
      <c r="Y17" s="82"/>
      <c r="Z17" s="82"/>
    </row>
    <row r="18" spans="1:26" ht="13.9" customHeight="1" x14ac:dyDescent="0.2">
      <c r="A18" s="267">
        <v>2017</v>
      </c>
      <c r="B18" s="191">
        <f t="shared" si="1"/>
        <v>0</v>
      </c>
      <c r="C18" s="192">
        <f t="shared" si="2"/>
        <v>0</v>
      </c>
      <c r="D18" s="191">
        <f t="shared" si="3"/>
        <v>0</v>
      </c>
      <c r="E18" s="193">
        <f t="shared" si="4"/>
        <v>-7013977.4294000007</v>
      </c>
      <c r="F18" s="82"/>
      <c r="G18" s="267">
        <v>2017</v>
      </c>
      <c r="H18" s="199"/>
      <c r="I18" s="186"/>
      <c r="J18" s="170"/>
      <c r="K18" s="186"/>
      <c r="L18" s="170"/>
      <c r="M18" s="186"/>
      <c r="N18" s="170"/>
      <c r="O18" s="82"/>
      <c r="P18" s="267">
        <v>2017</v>
      </c>
      <c r="Q18" s="198">
        <f>Costs!G13</f>
        <v>0</v>
      </c>
      <c r="R18" s="199">
        <f>Costs!H13</f>
        <v>0</v>
      </c>
      <c r="S18" s="82"/>
      <c r="T18" s="82"/>
      <c r="U18" s="82"/>
      <c r="V18" s="82"/>
      <c r="W18" s="82"/>
      <c r="X18" s="82"/>
      <c r="Y18" s="82"/>
      <c r="Z18" s="82"/>
    </row>
    <row r="19" spans="1:26" ht="13.9" customHeight="1" x14ac:dyDescent="0.2">
      <c r="A19" s="267">
        <v>2018</v>
      </c>
      <c r="B19" s="191">
        <f t="shared" si="1"/>
        <v>18111317.5854</v>
      </c>
      <c r="C19" s="192">
        <f t="shared" si="2"/>
        <v>0</v>
      </c>
      <c r="D19" s="191">
        <f t="shared" si="3"/>
        <v>-18111317.5854</v>
      </c>
      <c r="E19" s="193">
        <f t="shared" si="4"/>
        <v>-25125295.014800001</v>
      </c>
      <c r="F19" s="82"/>
      <c r="G19" s="267">
        <v>2018</v>
      </c>
      <c r="H19" s="199"/>
      <c r="I19" s="186"/>
      <c r="J19" s="170"/>
      <c r="K19" s="186"/>
      <c r="L19" s="170"/>
      <c r="M19" s="186"/>
      <c r="N19" s="170"/>
      <c r="O19" s="82"/>
      <c r="P19" s="267">
        <v>2018</v>
      </c>
      <c r="Q19" s="198">
        <f>Costs!G14</f>
        <v>17792826</v>
      </c>
      <c r="R19" s="199">
        <f>Costs!H14</f>
        <v>18111317.5854</v>
      </c>
      <c r="S19" s="82"/>
      <c r="T19" s="82"/>
      <c r="U19" s="82"/>
      <c r="V19" s="82"/>
      <c r="W19" s="82"/>
      <c r="X19" s="82"/>
      <c r="Y19" s="82"/>
      <c r="Z19" s="82"/>
    </row>
    <row r="20" spans="1:26" ht="13.9" customHeight="1" x14ac:dyDescent="0.2">
      <c r="A20" s="267">
        <v>2019</v>
      </c>
      <c r="B20" s="191">
        <f t="shared" si="1"/>
        <v>23729318</v>
      </c>
      <c r="C20" s="192">
        <f t="shared" si="2"/>
        <v>0</v>
      </c>
      <c r="D20" s="191">
        <f t="shared" si="3"/>
        <v>-23729318</v>
      </c>
      <c r="E20" s="193">
        <f t="shared" si="4"/>
        <v>-48854613.014799997</v>
      </c>
      <c r="F20" s="82"/>
      <c r="G20" s="267">
        <v>2019</v>
      </c>
      <c r="H20" s="199"/>
      <c r="I20" s="186"/>
      <c r="J20" s="170"/>
      <c r="K20" s="186"/>
      <c r="L20" s="170"/>
      <c r="M20" s="186"/>
      <c r="N20" s="170"/>
      <c r="O20" s="82"/>
      <c r="P20" s="267">
        <v>2019</v>
      </c>
      <c r="Q20" s="198">
        <f>Costs!G15</f>
        <v>23729318</v>
      </c>
      <c r="R20" s="199">
        <f>Q20*NPV!C3</f>
        <v>23729318</v>
      </c>
      <c r="S20" s="82"/>
      <c r="T20" s="82"/>
      <c r="U20" s="82"/>
      <c r="V20" s="82"/>
      <c r="W20" s="82"/>
      <c r="X20" s="82"/>
      <c r="Y20" s="82"/>
      <c r="Z20" s="82"/>
    </row>
    <row r="21" spans="1:26" ht="13.9" customHeight="1" x14ac:dyDescent="0.2">
      <c r="A21" s="267">
        <v>2020</v>
      </c>
      <c r="B21" s="191">
        <f t="shared" si="1"/>
        <v>692977.57009345794</v>
      </c>
      <c r="C21" s="192">
        <f t="shared" si="2"/>
        <v>0</v>
      </c>
      <c r="D21" s="191">
        <f t="shared" si="3"/>
        <v>-692977.57009345794</v>
      </c>
      <c r="E21" s="193">
        <f t="shared" si="4"/>
        <v>-49547590.584893458</v>
      </c>
      <c r="F21" s="82"/>
      <c r="G21" s="267">
        <v>2020</v>
      </c>
      <c r="H21" s="199"/>
      <c r="I21" s="186"/>
      <c r="J21" s="170"/>
      <c r="K21" s="186"/>
      <c r="L21" s="170"/>
      <c r="M21" s="186"/>
      <c r="N21" s="170"/>
      <c r="O21" s="82"/>
      <c r="P21" s="267">
        <v>2020</v>
      </c>
      <c r="Q21" s="198">
        <f>Costs!G16</f>
        <v>741486</v>
      </c>
      <c r="R21" s="199">
        <f>Q21*NPV!C4</f>
        <v>692977.57009345794</v>
      </c>
      <c r="S21" s="82"/>
      <c r="T21" s="82"/>
      <c r="U21" s="82"/>
      <c r="V21" s="82"/>
      <c r="W21" s="82"/>
      <c r="X21" s="82"/>
      <c r="Y21" s="82"/>
      <c r="Z21" s="82"/>
    </row>
    <row r="22" spans="1:26" x14ac:dyDescent="0.2">
      <c r="A22" s="267">
        <v>2021</v>
      </c>
      <c r="B22" s="191">
        <f t="shared" ref="B22:B57" si="8">R22</f>
        <v>0</v>
      </c>
      <c r="C22" s="192">
        <f t="shared" ref="C22:C57" si="9">N22</f>
        <v>0</v>
      </c>
      <c r="D22" s="191">
        <f t="shared" ref="D22:D57" si="10">C22-B22</f>
        <v>0</v>
      </c>
      <c r="E22" s="193">
        <f t="shared" si="4"/>
        <v>-49547590.584893458</v>
      </c>
      <c r="F22" s="82"/>
      <c r="G22" s="267">
        <v>2021</v>
      </c>
      <c r="H22" s="199"/>
      <c r="I22" s="186"/>
      <c r="J22" s="170"/>
      <c r="K22" s="186"/>
      <c r="L22" s="170"/>
      <c r="M22" s="186"/>
      <c r="N22" s="170"/>
      <c r="O22" s="82"/>
      <c r="P22" s="267">
        <v>2021</v>
      </c>
      <c r="Q22" s="198">
        <f>Costs!G17</f>
        <v>0</v>
      </c>
      <c r="R22" s="199">
        <f>Q22*NPV!C5</f>
        <v>0</v>
      </c>
      <c r="S22" s="82"/>
      <c r="T22" s="82"/>
      <c r="U22" s="82"/>
      <c r="V22" s="82"/>
      <c r="W22" s="82"/>
      <c r="X22" s="82"/>
      <c r="Y22" s="82"/>
      <c r="Z22" s="82"/>
    </row>
    <row r="23" spans="1:26" x14ac:dyDescent="0.2">
      <c r="A23" s="267">
        <f t="shared" ref="A23:A57" si="11">A22+1</f>
        <v>2022</v>
      </c>
      <c r="B23" s="191">
        <f t="shared" si="8"/>
        <v>27989400.442745775</v>
      </c>
      <c r="C23" s="192">
        <f t="shared" si="9"/>
        <v>0</v>
      </c>
      <c r="D23" s="191">
        <f t="shared" si="10"/>
        <v>-27989400.442745775</v>
      </c>
      <c r="E23" s="193">
        <f t="shared" si="4"/>
        <v>-77536991.02763924</v>
      </c>
      <c r="F23" s="82"/>
      <c r="G23" s="267">
        <f t="shared" ref="G23:G57" si="12">G22+1</f>
        <v>2022</v>
      </c>
      <c r="H23" s="199"/>
      <c r="I23" s="186"/>
      <c r="J23" s="170"/>
      <c r="K23" s="186"/>
      <c r="L23" s="170"/>
      <c r="M23" s="186"/>
      <c r="N23" s="170"/>
      <c r="O23" s="82"/>
      <c r="P23" s="267">
        <f t="shared" ref="P23:P57" si="13">P22+1</f>
        <v>2022</v>
      </c>
      <c r="Q23" s="198">
        <f>Costs!G18</f>
        <v>34288219.086582616</v>
      </c>
      <c r="R23" s="199">
        <f>Q23*NPV!C6</f>
        <v>27989400.442745775</v>
      </c>
      <c r="S23" s="82"/>
      <c r="T23" s="82"/>
      <c r="U23" s="82"/>
      <c r="V23" s="82"/>
      <c r="W23" s="82"/>
      <c r="X23" s="82"/>
      <c r="Y23" s="82"/>
      <c r="Z23" s="82"/>
    </row>
    <row r="24" spans="1:26" x14ac:dyDescent="0.2">
      <c r="A24" s="267">
        <f t="shared" si="11"/>
        <v>2023</v>
      </c>
      <c r="B24" s="191">
        <f t="shared" si="8"/>
        <v>46818338.37848977</v>
      </c>
      <c r="C24" s="192">
        <f t="shared" si="9"/>
        <v>0</v>
      </c>
      <c r="D24" s="191">
        <f t="shared" si="10"/>
        <v>-46818338.37848977</v>
      </c>
      <c r="E24" s="193">
        <f t="shared" si="4"/>
        <v>-124355329.406129</v>
      </c>
      <c r="F24" s="82"/>
      <c r="G24" s="267">
        <f t="shared" si="12"/>
        <v>2023</v>
      </c>
      <c r="H24" s="199"/>
      <c r="I24" s="186"/>
      <c r="J24" s="170"/>
      <c r="K24" s="186"/>
      <c r="L24" s="170"/>
      <c r="M24" s="186"/>
      <c r="N24" s="170"/>
      <c r="O24" s="82"/>
      <c r="P24" s="267">
        <f t="shared" si="13"/>
        <v>2023</v>
      </c>
      <c r="Q24" s="198">
        <f>Costs!G19</f>
        <v>61369291.141354263</v>
      </c>
      <c r="R24" s="199">
        <f>Q24*NPV!C7</f>
        <v>46818338.37848977</v>
      </c>
      <c r="S24" s="82"/>
      <c r="T24" s="82"/>
      <c r="U24" s="82"/>
      <c r="V24" s="82"/>
      <c r="W24" s="82"/>
      <c r="X24" s="82"/>
      <c r="Y24" s="82"/>
      <c r="Z24" s="82"/>
    </row>
    <row r="25" spans="1:26" x14ac:dyDescent="0.2">
      <c r="A25" s="267">
        <f t="shared" si="11"/>
        <v>2024</v>
      </c>
      <c r="B25" s="191">
        <f t="shared" si="8"/>
        <v>52802171.774252236</v>
      </c>
      <c r="C25" s="192">
        <f t="shared" si="9"/>
        <v>0</v>
      </c>
      <c r="D25" s="191">
        <f t="shared" si="10"/>
        <v>-52802171.774252236</v>
      </c>
      <c r="E25" s="193">
        <f t="shared" si="4"/>
        <v>-177157501.18038124</v>
      </c>
      <c r="F25" s="82"/>
      <c r="G25" s="267">
        <f t="shared" si="12"/>
        <v>2024</v>
      </c>
      <c r="H25" s="199"/>
      <c r="I25" s="186"/>
      <c r="J25" s="170"/>
      <c r="K25" s="186"/>
      <c r="L25" s="170"/>
      <c r="M25" s="186"/>
      <c r="N25" s="170"/>
      <c r="O25" s="82"/>
      <c r="P25" s="267">
        <f t="shared" si="13"/>
        <v>2024</v>
      </c>
      <c r="Q25" s="198">
        <f>Costs!G20</f>
        <v>74057777.406696171</v>
      </c>
      <c r="R25" s="199">
        <f>Q25*NPV!C8</f>
        <v>52802171.774252236</v>
      </c>
      <c r="S25" s="82"/>
      <c r="T25" s="82"/>
      <c r="U25" s="82"/>
      <c r="V25" s="82"/>
      <c r="W25" s="82"/>
      <c r="X25" s="82"/>
      <c r="Y25" s="82"/>
      <c r="Z25" s="82"/>
    </row>
    <row r="26" spans="1:26" x14ac:dyDescent="0.2">
      <c r="A26" s="267">
        <f t="shared" si="11"/>
        <v>2025</v>
      </c>
      <c r="B26" s="191">
        <f t="shared" si="8"/>
        <v>34918847.236887023</v>
      </c>
      <c r="C26" s="192">
        <f t="shared" si="9"/>
        <v>0</v>
      </c>
      <c r="D26" s="191">
        <f t="shared" si="10"/>
        <v>-34918847.236887023</v>
      </c>
      <c r="E26" s="193">
        <f t="shared" si="4"/>
        <v>-212076348.41726828</v>
      </c>
      <c r="F26" s="82"/>
      <c r="G26" s="267">
        <f t="shared" si="12"/>
        <v>2025</v>
      </c>
      <c r="H26" s="199"/>
      <c r="I26" s="186"/>
      <c r="J26" s="170"/>
      <c r="K26" s="186"/>
      <c r="L26" s="170"/>
      <c r="M26" s="186"/>
      <c r="N26" s="170"/>
      <c r="O26" s="82"/>
      <c r="P26" s="267">
        <f t="shared" si="13"/>
        <v>2025</v>
      </c>
      <c r="Q26" s="198">
        <f>Costs!G21</f>
        <v>52403773.89997495</v>
      </c>
      <c r="R26" s="199">
        <f>Q26*NPV!C9</f>
        <v>34918847.236887023</v>
      </c>
      <c r="S26" s="82"/>
      <c r="T26" s="82"/>
      <c r="U26" s="82"/>
      <c r="V26" s="82"/>
      <c r="W26" s="82"/>
      <c r="X26" s="82"/>
      <c r="Y26" s="82"/>
      <c r="Z26" s="82"/>
    </row>
    <row r="27" spans="1:26" x14ac:dyDescent="0.2">
      <c r="A27" s="267">
        <f t="shared" si="11"/>
        <v>2026</v>
      </c>
      <c r="B27" s="191">
        <f t="shared" si="8"/>
        <v>23590344.651668947</v>
      </c>
      <c r="C27" s="192">
        <f t="shared" si="9"/>
        <v>0</v>
      </c>
      <c r="D27" s="191">
        <f t="shared" si="10"/>
        <v>-23590344.651668947</v>
      </c>
      <c r="E27" s="193">
        <f t="shared" si="4"/>
        <v>-235666693.06893721</v>
      </c>
      <c r="F27" s="82"/>
      <c r="G27" s="267">
        <f t="shared" si="12"/>
        <v>2026</v>
      </c>
      <c r="H27" s="199"/>
      <c r="I27" s="186"/>
      <c r="J27" s="170"/>
      <c r="K27" s="186"/>
      <c r="L27" s="170"/>
      <c r="M27" s="186"/>
      <c r="N27" s="170"/>
      <c r="O27" s="82"/>
      <c r="P27" s="267">
        <f t="shared" si="13"/>
        <v>2026</v>
      </c>
      <c r="Q27" s="198">
        <f>Costs!G22</f>
        <v>37880938.465392001</v>
      </c>
      <c r="R27" s="199">
        <f>Q27*NPV!C10</f>
        <v>23590344.651668947</v>
      </c>
      <c r="S27" s="82"/>
      <c r="T27" s="82"/>
      <c r="U27" s="82"/>
      <c r="V27" s="82"/>
      <c r="W27" s="82"/>
      <c r="X27" s="82"/>
      <c r="Y27" s="82"/>
      <c r="Z27" s="82"/>
    </row>
    <row r="28" spans="1:26" x14ac:dyDescent="0.2">
      <c r="A28" s="267">
        <f t="shared" si="11"/>
        <v>2027</v>
      </c>
      <c r="B28" s="191">
        <f t="shared" si="8"/>
        <v>0</v>
      </c>
      <c r="C28" s="192">
        <f t="shared" si="9"/>
        <v>5118245.6432255208</v>
      </c>
      <c r="D28" s="191">
        <f t="shared" si="10"/>
        <v>5118245.6432255208</v>
      </c>
      <c r="E28" s="193">
        <f t="shared" si="4"/>
        <v>-230548447.42571169</v>
      </c>
      <c r="F28" s="82"/>
      <c r="G28" s="267">
        <f t="shared" si="12"/>
        <v>2027</v>
      </c>
      <c r="H28" s="199">
        <f>Maintenance!F13</f>
        <v>986223</v>
      </c>
      <c r="I28" s="186">
        <f>'Travel Time'!R11</f>
        <v>8528722.828032732</v>
      </c>
      <c r="J28" s="170">
        <f>'Travel Time'!L47</f>
        <v>-1603190.8988577044</v>
      </c>
      <c r="K28" s="186">
        <f>'Environmental Protection'!I8</f>
        <v>-416156</v>
      </c>
      <c r="L28" s="170">
        <f>Safety!D10</f>
        <v>1298500</v>
      </c>
      <c r="M28" s="186">
        <f>SUM(H28:L28)</f>
        <v>8794098.9291750267</v>
      </c>
      <c r="N28" s="170">
        <f>M28*NPV!C11</f>
        <v>5118245.6432255208</v>
      </c>
      <c r="O28" s="82"/>
      <c r="P28" s="267">
        <f t="shared" si="13"/>
        <v>2027</v>
      </c>
      <c r="Q28" s="198">
        <f>Costs!G23</f>
        <v>0</v>
      </c>
      <c r="R28" s="199">
        <f>Q28*NPV!C11</f>
        <v>0</v>
      </c>
      <c r="S28" s="82"/>
      <c r="T28" s="82"/>
      <c r="U28" s="82"/>
      <c r="V28" s="82"/>
      <c r="W28" s="82"/>
      <c r="X28" s="82"/>
      <c r="Y28" s="82"/>
      <c r="Z28" s="82"/>
    </row>
    <row r="29" spans="1:26" x14ac:dyDescent="0.2">
      <c r="A29" s="267">
        <f t="shared" si="11"/>
        <v>2028</v>
      </c>
      <c r="B29" s="191">
        <f t="shared" si="8"/>
        <v>0</v>
      </c>
      <c r="C29" s="192">
        <f t="shared" si="9"/>
        <v>5681034.0117925359</v>
      </c>
      <c r="D29" s="191">
        <f t="shared" si="10"/>
        <v>5681034.0117925359</v>
      </c>
      <c r="E29" s="193">
        <f t="shared" si="4"/>
        <v>-224867413.41391915</v>
      </c>
      <c r="F29" s="82"/>
      <c r="G29" s="267">
        <f t="shared" si="12"/>
        <v>2028</v>
      </c>
      <c r="H29" s="199">
        <f>Maintenance!F14</f>
        <v>2379903</v>
      </c>
      <c r="I29" s="186">
        <f>'Travel Time'!R12</f>
        <v>8964429.9282142483</v>
      </c>
      <c r="J29" s="170">
        <f>'Travel Time'!L48</f>
        <v>-1628035.6131620316</v>
      </c>
      <c r="K29" s="186">
        <f>'Environmental Protection'!I9</f>
        <v>-428448</v>
      </c>
      <c r="L29" s="170">
        <f>Safety!D11</f>
        <v>1156500</v>
      </c>
      <c r="M29" s="186">
        <f t="shared" ref="M29:M57" si="14">SUM(H29:L29)</f>
        <v>10444349.315052217</v>
      </c>
      <c r="N29" s="170">
        <f>M29*NPV!C12</f>
        <v>5681034.0117925359</v>
      </c>
      <c r="O29" s="82"/>
      <c r="P29" s="267">
        <f t="shared" si="13"/>
        <v>2028</v>
      </c>
      <c r="Q29" s="198">
        <f>Costs!G24</f>
        <v>0</v>
      </c>
      <c r="R29" s="199">
        <f>Q29*NPV!C12</f>
        <v>0</v>
      </c>
      <c r="S29" s="82"/>
      <c r="T29" s="82"/>
      <c r="U29" s="82"/>
      <c r="V29" s="82"/>
      <c r="W29" s="82"/>
      <c r="X29" s="82"/>
      <c r="Y29" s="82"/>
      <c r="Z29" s="82"/>
    </row>
    <row r="30" spans="1:26" x14ac:dyDescent="0.2">
      <c r="A30" s="267">
        <f t="shared" si="11"/>
        <v>2029</v>
      </c>
      <c r="B30" s="191">
        <f t="shared" si="8"/>
        <v>0</v>
      </c>
      <c r="C30" s="192">
        <f t="shared" si="9"/>
        <v>5129966.6566231996</v>
      </c>
      <c r="D30" s="191">
        <f t="shared" si="10"/>
        <v>5129966.6566231996</v>
      </c>
      <c r="E30" s="194">
        <f>D30+E29</f>
        <v>-219737446.75729597</v>
      </c>
      <c r="F30" s="82"/>
      <c r="G30" s="267">
        <f t="shared" si="12"/>
        <v>2029</v>
      </c>
      <c r="H30" s="199">
        <f>Maintenance!F15</f>
        <v>1577303</v>
      </c>
      <c r="I30" s="186">
        <f>'Travel Time'!R13</f>
        <v>9443939.678178262</v>
      </c>
      <c r="J30" s="170">
        <f>'Travel Time'!L49</f>
        <v>-1654010.8067517197</v>
      </c>
      <c r="K30" s="186">
        <f>'Environmental Protection'!I10</f>
        <v>-441311</v>
      </c>
      <c r="L30" s="170">
        <f>Safety!D12</f>
        <v>1165500</v>
      </c>
      <c r="M30" s="186">
        <f t="shared" si="14"/>
        <v>10091420.871426541</v>
      </c>
      <c r="N30" s="170">
        <f>M30*NPV!C13</f>
        <v>5129966.6566231996</v>
      </c>
      <c r="O30" s="82"/>
      <c r="P30" s="267">
        <f t="shared" si="13"/>
        <v>2029</v>
      </c>
      <c r="Q30" s="198">
        <f>Costs!G25</f>
        <v>0</v>
      </c>
      <c r="R30" s="199">
        <f>Q30*NPV!C13</f>
        <v>0</v>
      </c>
      <c r="S30" s="82"/>
      <c r="T30" s="82"/>
      <c r="U30" s="82"/>
      <c r="V30" s="82"/>
      <c r="W30" s="82"/>
      <c r="X30" s="82"/>
      <c r="Y30" s="82"/>
      <c r="Z30" s="82"/>
    </row>
    <row r="31" spans="1:26" x14ac:dyDescent="0.2">
      <c r="A31" s="267">
        <f t="shared" si="11"/>
        <v>2030</v>
      </c>
      <c r="B31" s="191">
        <f t="shared" si="8"/>
        <v>0</v>
      </c>
      <c r="C31" s="192">
        <f t="shared" si="9"/>
        <v>4209336.0557460571</v>
      </c>
      <c r="D31" s="191">
        <f t="shared" si="10"/>
        <v>4209336.0557460571</v>
      </c>
      <c r="E31" s="194">
        <f t="shared" ref="E31:E51" si="15">D31+E30</f>
        <v>-215528110.70154992</v>
      </c>
      <c r="F31" s="82"/>
      <c r="G31" s="267">
        <f t="shared" si="12"/>
        <v>2030</v>
      </c>
      <c r="H31" s="199">
        <f>Maintenance!F16</f>
        <v>-177497</v>
      </c>
      <c r="I31" s="186">
        <f>'Travel Time'!R14</f>
        <v>10010202.202573905</v>
      </c>
      <c r="J31" s="170">
        <f>'Travel Time'!L50</f>
        <v>-1681539.9877507279</v>
      </c>
      <c r="K31" s="186">
        <f>'Environmental Protection'!I11</f>
        <v>-455836</v>
      </c>
      <c r="L31" s="170">
        <f>Safety!D13</f>
        <v>1164700</v>
      </c>
      <c r="M31" s="186">
        <f t="shared" si="14"/>
        <v>8860029.2148231771</v>
      </c>
      <c r="N31" s="170">
        <f>M31*NPV!C14</f>
        <v>4209336.0557460571</v>
      </c>
      <c r="O31" s="82"/>
      <c r="P31" s="267">
        <f t="shared" si="13"/>
        <v>2030</v>
      </c>
      <c r="Q31" s="198">
        <f>Costs!G26</f>
        <v>0</v>
      </c>
      <c r="R31" s="199">
        <f>Q31*NPV!C14</f>
        <v>0</v>
      </c>
      <c r="S31" s="82"/>
      <c r="T31" s="82"/>
      <c r="U31" s="82"/>
      <c r="V31" s="82"/>
      <c r="W31" s="82"/>
      <c r="X31" s="82"/>
      <c r="Y31" s="82"/>
      <c r="Z31" s="82"/>
    </row>
    <row r="32" spans="1:26" x14ac:dyDescent="0.2">
      <c r="A32" s="267">
        <f t="shared" si="11"/>
        <v>2031</v>
      </c>
      <c r="B32" s="191">
        <f t="shared" si="8"/>
        <v>0</v>
      </c>
      <c r="C32" s="192">
        <f t="shared" si="9"/>
        <v>4490531.8793701753</v>
      </c>
      <c r="D32" s="191">
        <f t="shared" si="10"/>
        <v>4490531.8793701753</v>
      </c>
      <c r="E32" s="194">
        <f t="shared" si="15"/>
        <v>-211037578.82217973</v>
      </c>
      <c r="F32" s="82"/>
      <c r="G32" s="267">
        <f t="shared" si="12"/>
        <v>2031</v>
      </c>
      <c r="H32" s="199">
        <f>Maintenance!F17</f>
        <v>292903</v>
      </c>
      <c r="I32" s="186">
        <f>'Travel Time'!R15</f>
        <v>10601212.166079018</v>
      </c>
      <c r="J32" s="170">
        <f>'Travel Time'!L51</f>
        <v>-1707532.0374010715</v>
      </c>
      <c r="K32" s="186">
        <f>'Environmental Protection'!I12</f>
        <v>-464945</v>
      </c>
      <c r="L32" s="170">
        <f>Safety!D14</f>
        <v>1391900</v>
      </c>
      <c r="M32" s="186">
        <f t="shared" si="14"/>
        <v>10113538.128677947</v>
      </c>
      <c r="N32" s="170">
        <f>M32*NPV!C15</f>
        <v>4490531.8793701753</v>
      </c>
      <c r="O32" s="82"/>
      <c r="P32" s="267">
        <f t="shared" si="13"/>
        <v>2031</v>
      </c>
      <c r="Q32" s="198">
        <f>Costs!G27</f>
        <v>0</v>
      </c>
      <c r="R32" s="199">
        <f>Q32*NPV!C15</f>
        <v>0</v>
      </c>
      <c r="S32" s="82"/>
      <c r="T32" s="82"/>
      <c r="U32" s="82"/>
      <c r="V32" s="82"/>
      <c r="W32" s="82"/>
      <c r="X32" s="82"/>
      <c r="Y32" s="82"/>
      <c r="Z32" s="82"/>
    </row>
    <row r="33" spans="1:26" x14ac:dyDescent="0.2">
      <c r="A33" s="267">
        <f t="shared" si="11"/>
        <v>2032</v>
      </c>
      <c r="B33" s="191">
        <f t="shared" si="8"/>
        <v>0</v>
      </c>
      <c r="C33" s="192">
        <f t="shared" si="9"/>
        <v>4016291.9505567225</v>
      </c>
      <c r="D33" s="191">
        <f t="shared" si="10"/>
        <v>4016291.9505567225</v>
      </c>
      <c r="E33" s="194">
        <f t="shared" ref="E33:E43" si="16">D33+E32</f>
        <v>-207021286.87162301</v>
      </c>
      <c r="F33" s="82"/>
      <c r="G33" s="267">
        <f t="shared" si="12"/>
        <v>2032</v>
      </c>
      <c r="H33" s="199">
        <f>Maintenance!F18</f>
        <v>-177497</v>
      </c>
      <c r="I33" s="186">
        <f>'Travel Time'!R16</f>
        <v>11263147.271361738</v>
      </c>
      <c r="J33" s="170">
        <f>'Travel Time'!L52</f>
        <v>-1734487.1950169846</v>
      </c>
      <c r="K33" s="186">
        <f>'Environmental Protection'!I13</f>
        <v>-475122</v>
      </c>
      <c r="L33" s="170">
        <f>Safety!D15</f>
        <v>802600</v>
      </c>
      <c r="M33" s="186">
        <f t="shared" si="14"/>
        <v>9678641.0763447545</v>
      </c>
      <c r="N33" s="170">
        <f>M33*NPV!C16</f>
        <v>4016291.9505567225</v>
      </c>
      <c r="O33" s="82"/>
      <c r="P33" s="267">
        <f t="shared" si="13"/>
        <v>2032</v>
      </c>
      <c r="Q33" s="198">
        <f>Costs!G28</f>
        <v>0</v>
      </c>
      <c r="R33" s="199">
        <f>Q33*NPV!C16</f>
        <v>0</v>
      </c>
      <c r="S33" s="82"/>
      <c r="T33" s="82"/>
      <c r="U33" s="82"/>
      <c r="V33" s="82"/>
      <c r="W33" s="82"/>
      <c r="X33" s="82"/>
      <c r="Y33" s="82"/>
      <c r="Z33" s="82"/>
    </row>
    <row r="34" spans="1:26" x14ac:dyDescent="0.2">
      <c r="A34" s="267">
        <f t="shared" si="11"/>
        <v>2033</v>
      </c>
      <c r="B34" s="191">
        <f t="shared" si="8"/>
        <v>0</v>
      </c>
      <c r="C34" s="192">
        <f t="shared" si="9"/>
        <v>2235745.4157824996</v>
      </c>
      <c r="D34" s="191">
        <f t="shared" si="10"/>
        <v>2235745.4157824996</v>
      </c>
      <c r="E34" s="194">
        <f t="shared" si="16"/>
        <v>-204785541.4558405</v>
      </c>
      <c r="F34" s="82"/>
      <c r="G34" s="267">
        <f t="shared" si="12"/>
        <v>2033</v>
      </c>
      <c r="H34" s="199">
        <f>Maintenance!F19</f>
        <v>-4863897</v>
      </c>
      <c r="I34" s="186">
        <f>'Travel Time'!R17</f>
        <v>12009981.011741772</v>
      </c>
      <c r="J34" s="170">
        <f>'Travel Time'!L53</f>
        <v>-1762897.1059907121</v>
      </c>
      <c r="K34" s="186">
        <f>'Environmental Protection'!I14</f>
        <v>-485141</v>
      </c>
      <c r="L34" s="170">
        <f>Safety!D16</f>
        <v>866900</v>
      </c>
      <c r="M34" s="186">
        <f t="shared" si="14"/>
        <v>5764945.9057510607</v>
      </c>
      <c r="N34" s="170">
        <f>M34*NPV!C17</f>
        <v>2235745.4157824996</v>
      </c>
      <c r="O34" s="82"/>
      <c r="P34" s="267">
        <f t="shared" si="13"/>
        <v>2033</v>
      </c>
      <c r="Q34" s="198">
        <f>Costs!G29</f>
        <v>0</v>
      </c>
      <c r="R34" s="199">
        <f>Q34*NPV!C17</f>
        <v>0</v>
      </c>
      <c r="S34" s="82"/>
      <c r="T34" s="82"/>
      <c r="U34" s="82"/>
      <c r="V34" s="82"/>
      <c r="W34" s="82"/>
      <c r="X34" s="82"/>
      <c r="Y34" s="82"/>
      <c r="Z34" s="82"/>
    </row>
    <row r="35" spans="1:26" x14ac:dyDescent="0.2">
      <c r="A35" s="267">
        <f t="shared" si="11"/>
        <v>2034</v>
      </c>
      <c r="B35" s="191">
        <f t="shared" si="8"/>
        <v>0</v>
      </c>
      <c r="C35" s="192">
        <f t="shared" si="9"/>
        <v>5093186.1417761408</v>
      </c>
      <c r="D35" s="191">
        <f t="shared" si="10"/>
        <v>5093186.1417761408</v>
      </c>
      <c r="E35" s="194">
        <f t="shared" si="16"/>
        <v>-199692355.31406435</v>
      </c>
      <c r="F35" s="82"/>
      <c r="G35" s="267">
        <f t="shared" si="12"/>
        <v>2034</v>
      </c>
      <c r="H35" s="199">
        <f>Maintenance!F20</f>
        <v>2676623</v>
      </c>
      <c r="I35" s="186">
        <f>'Travel Time'!R18</f>
        <v>12859640.800936509</v>
      </c>
      <c r="J35" s="170">
        <f>'Travel Time'!L54</f>
        <v>-1792280.5930418926</v>
      </c>
      <c r="K35" s="186">
        <f>'Environmental Protection'!I15</f>
        <v>-498022</v>
      </c>
      <c r="L35" s="170">
        <f>Safety!D17</f>
        <v>806300</v>
      </c>
      <c r="M35" s="186">
        <f t="shared" si="14"/>
        <v>14052261.207894616</v>
      </c>
      <c r="N35" s="170">
        <f>M35*NPV!C18</f>
        <v>5093186.1417761408</v>
      </c>
      <c r="O35" s="82"/>
      <c r="P35" s="267">
        <f t="shared" si="13"/>
        <v>2034</v>
      </c>
      <c r="Q35" s="198">
        <f>Costs!G30</f>
        <v>0</v>
      </c>
      <c r="R35" s="199">
        <f>Q35*NPV!C18</f>
        <v>0</v>
      </c>
      <c r="S35" s="82"/>
      <c r="T35" s="82"/>
      <c r="U35" s="82"/>
      <c r="V35" s="82"/>
      <c r="W35" s="82"/>
      <c r="X35" s="82"/>
      <c r="Y35" s="82"/>
      <c r="Z35" s="82"/>
    </row>
    <row r="36" spans="1:26" x14ac:dyDescent="0.2">
      <c r="A36" s="267">
        <f t="shared" si="11"/>
        <v>2035</v>
      </c>
      <c r="B36" s="191">
        <f t="shared" si="8"/>
        <v>0</v>
      </c>
      <c r="C36" s="192">
        <f t="shared" si="9"/>
        <v>6520961.3551561022</v>
      </c>
      <c r="D36" s="191">
        <f t="shared" si="10"/>
        <v>6520961.3551561022</v>
      </c>
      <c r="E36" s="194">
        <f t="shared" si="16"/>
        <v>-193171393.95890826</v>
      </c>
      <c r="F36" s="82"/>
      <c r="G36" s="267">
        <f t="shared" si="12"/>
        <v>2035</v>
      </c>
      <c r="H36" s="199">
        <f>Maintenance!F21</f>
        <v>6996683</v>
      </c>
      <c r="I36" s="186">
        <f>'Travel Time'!R19</f>
        <v>13835522.011328265</v>
      </c>
      <c r="J36" s="170">
        <f>'Travel Time'!L55</f>
        <v>-1818832.2928404645</v>
      </c>
      <c r="K36" s="186">
        <f>'Environmental Protection'!I16</f>
        <v>-508227</v>
      </c>
      <c r="L36" s="170">
        <f>Safety!D18</f>
        <v>745800</v>
      </c>
      <c r="M36" s="186">
        <f t="shared" si="14"/>
        <v>19250945.718487799</v>
      </c>
      <c r="N36" s="170">
        <f>M36*NPV!C19</f>
        <v>6520961.3551561022</v>
      </c>
      <c r="O36" s="82"/>
      <c r="P36" s="267">
        <f t="shared" si="13"/>
        <v>2035</v>
      </c>
      <c r="Q36" s="198">
        <f>Costs!G31</f>
        <v>0</v>
      </c>
      <c r="R36" s="199">
        <f>Q36*NPV!C19</f>
        <v>0</v>
      </c>
      <c r="S36" s="82"/>
      <c r="T36" s="82"/>
      <c r="U36" s="82"/>
      <c r="V36" s="82"/>
      <c r="W36" s="82"/>
      <c r="X36" s="82"/>
      <c r="Y36" s="82"/>
      <c r="Z36" s="82"/>
    </row>
    <row r="37" spans="1:26" x14ac:dyDescent="0.2">
      <c r="A37" s="267">
        <f t="shared" si="11"/>
        <v>2036</v>
      </c>
      <c r="B37" s="191">
        <f t="shared" si="8"/>
        <v>0</v>
      </c>
      <c r="C37" s="192">
        <f t="shared" si="9"/>
        <v>5677060.1682147225</v>
      </c>
      <c r="D37" s="191">
        <f t="shared" si="10"/>
        <v>5677060.1682147225</v>
      </c>
      <c r="E37" s="194">
        <f t="shared" si="16"/>
        <v>-187494333.79069355</v>
      </c>
      <c r="F37" s="82"/>
      <c r="G37" s="267">
        <f t="shared" si="12"/>
        <v>2036</v>
      </c>
      <c r="H37" s="199">
        <f>Maintenance!F22</f>
        <v>4513263</v>
      </c>
      <c r="I37" s="186">
        <f>'Travel Time'!R20</f>
        <v>14968698.249400875</v>
      </c>
      <c r="J37" s="170">
        <f>'Travel Time'!L56</f>
        <v>-1846415.2364807697</v>
      </c>
      <c r="K37" s="186">
        <f>'Environmental Protection'!I17</f>
        <v>-518062</v>
      </c>
      <c r="L37" s="170">
        <f>Safety!D19</f>
        <v>815300</v>
      </c>
      <c r="M37" s="186">
        <f t="shared" si="14"/>
        <v>17932784.012920108</v>
      </c>
      <c r="N37" s="170">
        <f>M37*NPV!C20</f>
        <v>5677060.1682147225</v>
      </c>
      <c r="O37" s="82"/>
      <c r="P37" s="267">
        <f t="shared" si="13"/>
        <v>2036</v>
      </c>
      <c r="Q37" s="198">
        <f>Costs!G32</f>
        <v>0</v>
      </c>
      <c r="R37" s="199">
        <f>Q37*NPV!C20</f>
        <v>0</v>
      </c>
      <c r="S37" s="82"/>
      <c r="T37" s="82"/>
      <c r="U37" s="82"/>
      <c r="V37" s="82"/>
      <c r="W37" s="82"/>
      <c r="X37" s="82"/>
      <c r="Y37" s="82"/>
      <c r="Z37" s="82"/>
    </row>
    <row r="38" spans="1:26" x14ac:dyDescent="0.2">
      <c r="A38" s="267">
        <f t="shared" si="11"/>
        <v>2037</v>
      </c>
      <c r="B38" s="191">
        <f t="shared" si="8"/>
        <v>0</v>
      </c>
      <c r="C38" s="192">
        <f t="shared" si="9"/>
        <v>4298417.1776583297</v>
      </c>
      <c r="D38" s="191">
        <f t="shared" si="10"/>
        <v>4298417.1776583297</v>
      </c>
      <c r="E38" s="194">
        <f t="shared" si="16"/>
        <v>-183195916.61303523</v>
      </c>
      <c r="F38" s="82"/>
      <c r="G38" s="267">
        <f t="shared" si="12"/>
        <v>2037</v>
      </c>
      <c r="H38" s="199">
        <f>Maintenance!F23</f>
        <v>-177497</v>
      </c>
      <c r="I38" s="186">
        <f>'Travel Time'!R21</f>
        <v>16301404.321393386</v>
      </c>
      <c r="J38" s="170">
        <f>'Travel Time'!L57</f>
        <v>-1877639.368062844</v>
      </c>
      <c r="K38" s="186">
        <f>'Environmental Protection'!I18</f>
        <v>-529509</v>
      </c>
      <c r="L38" s="170">
        <f>Safety!D20</f>
        <v>811600</v>
      </c>
      <c r="M38" s="186">
        <f t="shared" si="14"/>
        <v>14528358.953330541</v>
      </c>
      <c r="N38" s="170">
        <f>M38*NPV!C21</f>
        <v>4298417.1776583297</v>
      </c>
      <c r="O38" s="82"/>
      <c r="P38" s="267">
        <f t="shared" si="13"/>
        <v>2037</v>
      </c>
      <c r="Q38" s="198">
        <f>Costs!G33</f>
        <v>0</v>
      </c>
      <c r="R38" s="199">
        <f>Q38*NPV!C21</f>
        <v>0</v>
      </c>
      <c r="S38" s="82"/>
      <c r="T38" s="82"/>
      <c r="U38" s="82"/>
      <c r="V38" s="82"/>
      <c r="W38" s="82"/>
      <c r="X38" s="82"/>
      <c r="Y38" s="82"/>
      <c r="Z38" s="82"/>
    </row>
    <row r="39" spans="1:26" x14ac:dyDescent="0.2">
      <c r="A39" s="267">
        <f t="shared" si="11"/>
        <v>2038</v>
      </c>
      <c r="B39" s="191">
        <f t="shared" si="8"/>
        <v>0</v>
      </c>
      <c r="C39" s="192">
        <f t="shared" si="9"/>
        <v>4869402.0270779254</v>
      </c>
      <c r="D39" s="191">
        <f t="shared" si="10"/>
        <v>4869402.0270779254</v>
      </c>
      <c r="E39" s="194">
        <f>D39+E38</f>
        <v>-178326514.58595732</v>
      </c>
      <c r="F39" s="82"/>
      <c r="G39" s="267">
        <f t="shared" si="12"/>
        <v>2038</v>
      </c>
      <c r="H39" s="199">
        <f>Maintenance!F24</f>
        <v>763303</v>
      </c>
      <c r="I39" s="186">
        <f>'Travel Time'!R22</f>
        <v>17892548.20352393</v>
      </c>
      <c r="J39" s="170">
        <f>'Travel Time'!L58</f>
        <v>-1908866.6934471494</v>
      </c>
      <c r="K39" s="186">
        <f>'Environmental Protection'!I19</f>
        <v>-541258</v>
      </c>
      <c r="L39" s="170">
        <f>Safety!D21</f>
        <v>1404600</v>
      </c>
      <c r="M39" s="186">
        <f t="shared" si="14"/>
        <v>17610326.51007678</v>
      </c>
      <c r="N39" s="170">
        <f>M39*NPV!C22</f>
        <v>4869402.0270779254</v>
      </c>
      <c r="O39" s="82"/>
      <c r="P39" s="267">
        <f t="shared" si="13"/>
        <v>2038</v>
      </c>
      <c r="Q39" s="198">
        <f>Costs!G34</f>
        <v>0</v>
      </c>
      <c r="R39" s="199">
        <f>Q39*NPV!C22</f>
        <v>0</v>
      </c>
      <c r="S39" s="82"/>
      <c r="T39" s="82"/>
      <c r="U39" s="82"/>
      <c r="V39" s="82"/>
      <c r="W39" s="82"/>
      <c r="X39" s="82"/>
      <c r="Y39" s="82"/>
      <c r="Z39" s="82"/>
    </row>
    <row r="40" spans="1:26" x14ac:dyDescent="0.2">
      <c r="A40" s="267">
        <f t="shared" si="11"/>
        <v>2039</v>
      </c>
      <c r="B40" s="191">
        <f t="shared" si="8"/>
        <v>0</v>
      </c>
      <c r="C40" s="192">
        <f t="shared" si="9"/>
        <v>4800118.0918680718</v>
      </c>
      <c r="D40" s="191">
        <f t="shared" si="10"/>
        <v>4800118.0918680718</v>
      </c>
      <c r="E40" s="194">
        <f t="shared" si="16"/>
        <v>-173526396.49408925</v>
      </c>
      <c r="F40" s="82"/>
      <c r="G40" s="267">
        <f t="shared" si="12"/>
        <v>2039</v>
      </c>
      <c r="H40" s="199">
        <f>Maintenance!F25</f>
        <v>-177497</v>
      </c>
      <c r="I40" s="186">
        <f>'Travel Time'!R23</f>
        <v>19826794.96416872</v>
      </c>
      <c r="J40" s="170">
        <f>'Travel Time'!L59</f>
        <v>-1939417.5659680348</v>
      </c>
      <c r="K40" s="186">
        <f>'Environmental Protection'!I20</f>
        <v>-552238</v>
      </c>
      <c r="L40" s="170">
        <f>Safety!D22</f>
        <v>1417300</v>
      </c>
      <c r="M40" s="186">
        <f t="shared" si="14"/>
        <v>18574942.398200683</v>
      </c>
      <c r="N40" s="170">
        <f>M40*NPV!C23</f>
        <v>4800118.0918680718</v>
      </c>
      <c r="O40" s="82"/>
      <c r="P40" s="267">
        <f t="shared" si="13"/>
        <v>2039</v>
      </c>
      <c r="Q40" s="198">
        <f>Costs!G35</f>
        <v>0</v>
      </c>
      <c r="R40" s="199">
        <f>Q40*NPV!C23</f>
        <v>0</v>
      </c>
      <c r="S40" s="82"/>
      <c r="T40" s="82"/>
      <c r="U40" s="82"/>
      <c r="V40" s="82"/>
      <c r="W40" s="82"/>
      <c r="X40" s="82"/>
      <c r="Y40" s="82"/>
      <c r="Z40" s="82"/>
    </row>
    <row r="41" spans="1:26" x14ac:dyDescent="0.2">
      <c r="A41" s="267">
        <f t="shared" si="11"/>
        <v>2040</v>
      </c>
      <c r="B41" s="191">
        <f t="shared" si="8"/>
        <v>0</v>
      </c>
      <c r="C41" s="192">
        <f t="shared" si="9"/>
        <v>3904898.8265384706</v>
      </c>
      <c r="D41" s="191">
        <f t="shared" si="10"/>
        <v>3904898.8265384706</v>
      </c>
      <c r="E41" s="194">
        <f t="shared" si="16"/>
        <v>-169621497.66755077</v>
      </c>
      <c r="F41" s="82"/>
      <c r="G41" s="267">
        <f t="shared" si="12"/>
        <v>2040</v>
      </c>
      <c r="H41" s="199">
        <f>Maintenance!F26</f>
        <v>-4863897</v>
      </c>
      <c r="I41" s="186">
        <f>'Travel Time'!R24</f>
        <v>22290566.791145779</v>
      </c>
      <c r="J41" s="170">
        <f>'Travel Time'!L60</f>
        <v>-1969971.6323447926</v>
      </c>
      <c r="K41" s="186">
        <f>'Environmental Protection'!I21</f>
        <v>-563521</v>
      </c>
      <c r="L41" s="170">
        <f>Safety!D23</f>
        <v>1275300</v>
      </c>
      <c r="M41" s="186">
        <f t="shared" si="14"/>
        <v>16168477.158800986</v>
      </c>
      <c r="N41" s="170">
        <f>M41*NPV!C24</f>
        <v>3904898.8265384706</v>
      </c>
      <c r="O41" s="82"/>
      <c r="P41" s="267">
        <f t="shared" si="13"/>
        <v>2040</v>
      </c>
      <c r="Q41" s="198">
        <f>Costs!G36</f>
        <v>0</v>
      </c>
      <c r="R41" s="199">
        <f>Q41*NPV!C24</f>
        <v>0</v>
      </c>
      <c r="S41" s="82"/>
      <c r="T41" s="82"/>
      <c r="U41" s="82"/>
      <c r="V41" s="82"/>
      <c r="W41" s="82"/>
      <c r="X41" s="82"/>
      <c r="Y41" s="82"/>
      <c r="Z41" s="82"/>
    </row>
    <row r="42" spans="1:26" x14ac:dyDescent="0.2">
      <c r="A42" s="267">
        <f t="shared" si="11"/>
        <v>2041</v>
      </c>
      <c r="B42" s="191">
        <f t="shared" si="8"/>
        <v>0</v>
      </c>
      <c r="C42" s="192">
        <f t="shared" si="9"/>
        <v>5333508.816218392</v>
      </c>
      <c r="D42" s="191">
        <f t="shared" si="10"/>
        <v>5333508.816218392</v>
      </c>
      <c r="E42" s="194">
        <f t="shared" si="16"/>
        <v>-164287988.85133237</v>
      </c>
      <c r="F42" s="82"/>
      <c r="G42" s="267">
        <f t="shared" si="12"/>
        <v>2041</v>
      </c>
      <c r="H42" s="199">
        <f>Maintenance!F27</f>
        <v>1185303</v>
      </c>
      <c r="I42" s="186">
        <f>'Travel Time'!R25</f>
        <v>23924709.221918188</v>
      </c>
      <c r="J42" s="170">
        <f>'Travel Time'!L61</f>
        <v>-2198183.4763697479</v>
      </c>
      <c r="K42" s="186">
        <f>'Environmental Protection'!I22</f>
        <v>-623342</v>
      </c>
      <c r="L42" s="170">
        <f>Safety!D24</f>
        <v>1341100</v>
      </c>
      <c r="M42" s="186">
        <f t="shared" si="14"/>
        <v>23629586.745548442</v>
      </c>
      <c r="N42" s="170">
        <f>M42*NPV!C25</f>
        <v>5333508.816218392</v>
      </c>
      <c r="O42" s="82"/>
      <c r="P42" s="267">
        <f t="shared" si="13"/>
        <v>2041</v>
      </c>
      <c r="Q42" s="198">
        <f>Costs!G37</f>
        <v>0</v>
      </c>
      <c r="R42" s="199">
        <f>Q42*NPV!C25</f>
        <v>0</v>
      </c>
      <c r="S42" s="82"/>
      <c r="T42" s="82"/>
      <c r="U42" s="82"/>
      <c r="V42" s="82"/>
      <c r="W42" s="82"/>
      <c r="X42" s="82"/>
      <c r="Y42" s="82"/>
      <c r="Z42" s="82"/>
    </row>
    <row r="43" spans="1:26" x14ac:dyDescent="0.2">
      <c r="A43" s="267">
        <f t="shared" si="11"/>
        <v>2042</v>
      </c>
      <c r="B43" s="191">
        <f t="shared" si="8"/>
        <v>0</v>
      </c>
      <c r="C43" s="192">
        <f t="shared" si="9"/>
        <v>5645900.8772855485</v>
      </c>
      <c r="D43" s="191">
        <f t="shared" si="10"/>
        <v>5645900.8772855485</v>
      </c>
      <c r="E43" s="194">
        <f t="shared" si="16"/>
        <v>-158642087.97404683</v>
      </c>
      <c r="F43" s="82"/>
      <c r="G43" s="267">
        <f t="shared" si="12"/>
        <v>2042</v>
      </c>
      <c r="H43" s="199">
        <f>Maintenance!F28</f>
        <v>2379903</v>
      </c>
      <c r="I43" s="186">
        <f>'Travel Time'!R26</f>
        <v>25820170.959400803</v>
      </c>
      <c r="J43" s="170">
        <f>'Travel Time'!L62</f>
        <v>-2217702.2472180333</v>
      </c>
      <c r="K43" s="186">
        <f>'Environmental Protection'!I23</f>
        <v>-635110</v>
      </c>
      <c r="L43" s="170">
        <f>Safety!D25</f>
        <v>1417300</v>
      </c>
      <c r="M43" s="186">
        <f t="shared" si="14"/>
        <v>26764561.712182768</v>
      </c>
      <c r="N43" s="170">
        <f>M43*NPV!C26</f>
        <v>5645900.8772855485</v>
      </c>
      <c r="O43" s="82"/>
      <c r="P43" s="267">
        <f t="shared" si="13"/>
        <v>2042</v>
      </c>
      <c r="Q43" s="198">
        <f>Costs!G38</f>
        <v>0</v>
      </c>
      <c r="R43" s="199">
        <f>Q43*NPV!C26</f>
        <v>0</v>
      </c>
      <c r="S43" s="82"/>
      <c r="T43" s="82"/>
      <c r="U43" s="82"/>
      <c r="V43" s="82"/>
      <c r="W43" s="82"/>
      <c r="X43" s="82"/>
      <c r="Y43" s="82"/>
      <c r="Z43" s="82"/>
    </row>
    <row r="44" spans="1:26" x14ac:dyDescent="0.2">
      <c r="A44" s="267">
        <f t="shared" si="11"/>
        <v>2043</v>
      </c>
      <c r="B44" s="191">
        <f t="shared" si="8"/>
        <v>0</v>
      </c>
      <c r="C44" s="192">
        <f t="shared" si="9"/>
        <v>5550385.3944810098</v>
      </c>
      <c r="D44" s="191">
        <f t="shared" si="10"/>
        <v>5550385.3944810098</v>
      </c>
      <c r="E44" s="194">
        <f t="shared" si="15"/>
        <v>-153091702.57956582</v>
      </c>
      <c r="F44" s="82"/>
      <c r="G44" s="267">
        <f t="shared" si="12"/>
        <v>2043</v>
      </c>
      <c r="H44" s="199">
        <f>Maintenance!F29</f>
        <v>1577303</v>
      </c>
      <c r="I44" s="186">
        <f>'Travel Time'!R27</f>
        <v>28044879.759660926</v>
      </c>
      <c r="J44" s="170">
        <f>'Travel Time'!L63</f>
        <v>-2240749.3061398072</v>
      </c>
      <c r="K44" s="186">
        <f>'Environmental Protection'!I24</f>
        <v>-645142</v>
      </c>
      <c r="L44" s="170">
        <f>Safety!D26</f>
        <v>1417300</v>
      </c>
      <c r="M44" s="186">
        <f t="shared" si="14"/>
        <v>28153591.453521118</v>
      </c>
      <c r="N44" s="170">
        <f>M44*NPV!C27</f>
        <v>5550385.3944810098</v>
      </c>
      <c r="O44" s="82"/>
      <c r="P44" s="267">
        <f t="shared" si="13"/>
        <v>2043</v>
      </c>
      <c r="Q44" s="198">
        <f>Costs!G39</f>
        <v>0</v>
      </c>
      <c r="R44" s="199">
        <f>Q44*NPV!C27</f>
        <v>0</v>
      </c>
      <c r="S44" s="82"/>
      <c r="T44" s="82"/>
      <c r="U44" s="82"/>
      <c r="V44" s="82"/>
      <c r="W44" s="82"/>
      <c r="X44" s="82"/>
      <c r="Y44" s="82"/>
      <c r="Z44" s="82"/>
    </row>
    <row r="45" spans="1:26" x14ac:dyDescent="0.2">
      <c r="A45" s="267">
        <f t="shared" si="11"/>
        <v>2044</v>
      </c>
      <c r="B45" s="191">
        <f t="shared" si="8"/>
        <v>0</v>
      </c>
      <c r="C45" s="192">
        <f t="shared" si="9"/>
        <v>5333786.6473663859</v>
      </c>
      <c r="D45" s="191">
        <f t="shared" si="10"/>
        <v>5333786.6473663859</v>
      </c>
      <c r="E45" s="194">
        <f t="shared" si="15"/>
        <v>-147757915.93219945</v>
      </c>
      <c r="F45" s="82"/>
      <c r="G45" s="267">
        <f t="shared" si="12"/>
        <v>2044</v>
      </c>
      <c r="H45" s="199">
        <f>Maintenance!F30</f>
        <v>-177497</v>
      </c>
      <c r="I45" s="186">
        <f>'Travel Time'!R28</f>
        <v>30693562.592373244</v>
      </c>
      <c r="J45" s="170">
        <f>'Travel Time'!L64</f>
        <v>-2258887.8470052751</v>
      </c>
      <c r="K45" s="186">
        <f>'Environmental Protection'!I25</f>
        <v>-653210</v>
      </c>
      <c r="L45" s="170">
        <f>Safety!D27</f>
        <v>1344800</v>
      </c>
      <c r="M45" s="186">
        <f t="shared" si="14"/>
        <v>28948767.74536797</v>
      </c>
      <c r="N45" s="170">
        <f>M45*NPV!C28</f>
        <v>5333786.6473663859</v>
      </c>
      <c r="O45" s="82"/>
      <c r="P45" s="267">
        <f t="shared" si="13"/>
        <v>2044</v>
      </c>
      <c r="Q45" s="198">
        <f>Costs!G40</f>
        <v>0</v>
      </c>
      <c r="R45" s="199">
        <f>Q45*NPV!C28</f>
        <v>0</v>
      </c>
      <c r="S45" s="82"/>
      <c r="T45" s="82"/>
      <c r="U45" s="82"/>
      <c r="V45" s="82"/>
      <c r="W45" s="82"/>
      <c r="X45" s="82"/>
      <c r="Y45" s="82"/>
      <c r="Z45" s="82"/>
    </row>
    <row r="46" spans="1:26" x14ac:dyDescent="0.2">
      <c r="A46" s="267">
        <f t="shared" si="11"/>
        <v>2045</v>
      </c>
      <c r="B46" s="191">
        <f t="shared" si="8"/>
        <v>0</v>
      </c>
      <c r="C46" s="192">
        <f t="shared" si="9"/>
        <v>5626271.6154333167</v>
      </c>
      <c r="D46" s="191">
        <f t="shared" si="10"/>
        <v>5626271.6154333167</v>
      </c>
      <c r="E46" s="194">
        <f t="shared" si="15"/>
        <v>-142131644.31676614</v>
      </c>
      <c r="F46" s="82"/>
      <c r="G46" s="267">
        <f t="shared" si="12"/>
        <v>2045</v>
      </c>
      <c r="H46" s="199">
        <f>Maintenance!F31</f>
        <v>292903</v>
      </c>
      <c r="I46" s="186">
        <f>'Travel Time'!R29</f>
        <v>33901106.017453238</v>
      </c>
      <c r="J46" s="170">
        <f>'Travel Time'!L65</f>
        <v>-2279537.0951075312</v>
      </c>
      <c r="K46" s="186">
        <f>'Environmental Protection'!I26</f>
        <v>-662527</v>
      </c>
      <c r="L46" s="170">
        <f>Safety!D28</f>
        <v>1421800</v>
      </c>
      <c r="M46" s="186">
        <f t="shared" si="14"/>
        <v>32673744.922345705</v>
      </c>
      <c r="N46" s="170">
        <f>M46*NPV!C29</f>
        <v>5626271.6154333167</v>
      </c>
      <c r="O46" s="82"/>
      <c r="P46" s="267">
        <f t="shared" si="13"/>
        <v>2045</v>
      </c>
      <c r="Q46" s="198">
        <f>Costs!G41</f>
        <v>0</v>
      </c>
      <c r="R46" s="199">
        <f>Q46*NPV!C29</f>
        <v>0</v>
      </c>
      <c r="S46" s="82"/>
      <c r="T46" s="82"/>
      <c r="U46" s="82"/>
      <c r="V46" s="82"/>
      <c r="W46" s="82"/>
      <c r="X46" s="82"/>
      <c r="Y46" s="82"/>
      <c r="Z46" s="82"/>
    </row>
    <row r="47" spans="1:26" x14ac:dyDescent="0.2">
      <c r="A47" s="267">
        <f t="shared" si="11"/>
        <v>2046</v>
      </c>
      <c r="B47" s="191">
        <f t="shared" si="8"/>
        <v>0</v>
      </c>
      <c r="C47" s="192">
        <f t="shared" si="9"/>
        <v>5816473.2654746147</v>
      </c>
      <c r="D47" s="191">
        <f t="shared" si="10"/>
        <v>5816473.2654746147</v>
      </c>
      <c r="E47" s="194">
        <f t="shared" si="15"/>
        <v>-136315171.05129153</v>
      </c>
      <c r="F47" s="82"/>
      <c r="G47" s="267">
        <f t="shared" si="12"/>
        <v>2046</v>
      </c>
      <c r="H47" s="199">
        <f>Maintenance!F32</f>
        <v>-177497</v>
      </c>
      <c r="I47" s="186">
        <f>'Travel Time'!R30</f>
        <v>37866476.36147026</v>
      </c>
      <c r="J47" s="170">
        <f>'Travel Time'!L66</f>
        <v>-2300780.4182576346</v>
      </c>
      <c r="K47" s="186">
        <f>'Environmental Protection'!I27</f>
        <v>-671704</v>
      </c>
      <c r="L47" s="170">
        <f>Safety!D29</f>
        <v>1426300</v>
      </c>
      <c r="M47" s="186">
        <f t="shared" si="14"/>
        <v>36142794.943212628</v>
      </c>
      <c r="N47" s="170">
        <f>M47*NPV!C30</f>
        <v>5816473.2654746147</v>
      </c>
      <c r="O47" s="82"/>
      <c r="P47" s="267">
        <f t="shared" si="13"/>
        <v>2046</v>
      </c>
      <c r="Q47" s="198">
        <f>Costs!G42</f>
        <v>0</v>
      </c>
      <c r="R47" s="199">
        <f>Q47*NPV!C30</f>
        <v>0</v>
      </c>
      <c r="S47" s="82"/>
      <c r="T47" s="82"/>
      <c r="U47" s="82"/>
      <c r="V47" s="82"/>
      <c r="W47" s="82"/>
      <c r="X47" s="82"/>
      <c r="Y47" s="82"/>
      <c r="Z47" s="82"/>
    </row>
    <row r="48" spans="1:26" x14ac:dyDescent="0.2">
      <c r="A48" s="267">
        <f t="shared" si="11"/>
        <v>2047</v>
      </c>
      <c r="B48" s="191">
        <f t="shared" si="8"/>
        <v>0</v>
      </c>
      <c r="C48" s="192">
        <f t="shared" si="9"/>
        <v>5369368.2734544873</v>
      </c>
      <c r="D48" s="191">
        <f t="shared" si="10"/>
        <v>5369368.2734544873</v>
      </c>
      <c r="E48" s="194">
        <f t="shared" si="15"/>
        <v>-130945802.77783704</v>
      </c>
      <c r="F48" s="82"/>
      <c r="G48" s="267">
        <f t="shared" si="12"/>
        <v>2047</v>
      </c>
      <c r="H48" s="199">
        <f>Maintenance!F33</f>
        <v>-5624097</v>
      </c>
      <c r="I48" s="186">
        <f>'Travel Time'!R31</f>
        <v>42895823.490499526</v>
      </c>
      <c r="J48" s="170">
        <f>'Travel Time'!L67</f>
        <v>-2321176.7248313935</v>
      </c>
      <c r="K48" s="186">
        <f>'Environmental Protection'!I28</f>
        <v>-680488</v>
      </c>
      <c r="L48" s="170">
        <f>Safety!D30</f>
        <v>1430000</v>
      </c>
      <c r="M48" s="186">
        <f t="shared" si="14"/>
        <v>35700061.765668131</v>
      </c>
      <c r="N48" s="170">
        <f>M48*NPV!C31</f>
        <v>5369368.2734544873</v>
      </c>
      <c r="O48" s="82"/>
      <c r="P48" s="267">
        <f t="shared" si="13"/>
        <v>2047</v>
      </c>
      <c r="Q48" s="198">
        <f>Costs!G43</f>
        <v>0</v>
      </c>
      <c r="R48" s="199">
        <f>Q48*NPV!C31</f>
        <v>0</v>
      </c>
      <c r="S48" s="82"/>
      <c r="T48" s="82"/>
      <c r="U48" s="82"/>
      <c r="V48" s="82"/>
      <c r="W48" s="82"/>
      <c r="X48" s="82"/>
      <c r="Y48" s="82"/>
      <c r="Z48" s="82"/>
    </row>
    <row r="49" spans="1:26" x14ac:dyDescent="0.2">
      <c r="A49" s="267">
        <f t="shared" si="11"/>
        <v>2048</v>
      </c>
      <c r="B49" s="191">
        <f t="shared" si="8"/>
        <v>0</v>
      </c>
      <c r="C49" s="192">
        <f t="shared" si="9"/>
        <v>6896664.1091876449</v>
      </c>
      <c r="D49" s="191">
        <f t="shared" si="10"/>
        <v>6896664.1091876449</v>
      </c>
      <c r="E49" s="194">
        <f t="shared" si="15"/>
        <v>-124049138.66864939</v>
      </c>
      <c r="F49" s="82"/>
      <c r="G49" s="267">
        <f t="shared" si="12"/>
        <v>2048</v>
      </c>
      <c r="H49" s="199">
        <f>Maintenance!F34</f>
        <v>1185303</v>
      </c>
      <c r="I49" s="186">
        <f>'Travel Time'!R32</f>
        <v>49485910.100866005</v>
      </c>
      <c r="J49" s="170">
        <f>'Travel Time'!L68</f>
        <v>-2342689.8459969475</v>
      </c>
      <c r="K49" s="186">
        <f>'Environmental Protection'!I29</f>
        <v>-690182</v>
      </c>
      <c r="L49" s="170">
        <f>Safety!D31</f>
        <v>1426300</v>
      </c>
      <c r="M49" s="186">
        <f t="shared" si="14"/>
        <v>49064641.254869059</v>
      </c>
      <c r="N49" s="170">
        <f>M49*NPV!C32</f>
        <v>6896664.1091876449</v>
      </c>
      <c r="O49" s="82"/>
      <c r="P49" s="267">
        <f t="shared" si="13"/>
        <v>2048</v>
      </c>
      <c r="Q49" s="198">
        <f>Costs!G44</f>
        <v>0</v>
      </c>
      <c r="R49" s="199">
        <f>Q49*NPV!C32</f>
        <v>0</v>
      </c>
      <c r="S49" s="82"/>
      <c r="T49" s="82"/>
      <c r="U49" s="82"/>
      <c r="V49" s="82"/>
      <c r="W49" s="82"/>
      <c r="X49" s="82"/>
      <c r="Y49" s="82"/>
      <c r="Z49" s="82"/>
    </row>
    <row r="50" spans="1:26" x14ac:dyDescent="0.2">
      <c r="A50" s="267">
        <f t="shared" si="11"/>
        <v>2049</v>
      </c>
      <c r="B50" s="191">
        <f t="shared" si="8"/>
        <v>0</v>
      </c>
      <c r="C50" s="192">
        <f t="shared" si="9"/>
        <v>7782641.8800162058</v>
      </c>
      <c r="D50" s="191">
        <f t="shared" si="10"/>
        <v>7782641.8800162058</v>
      </c>
      <c r="E50" s="194">
        <f t="shared" si="15"/>
        <v>-116266496.78863318</v>
      </c>
      <c r="F50" s="82"/>
      <c r="G50" s="267">
        <f t="shared" si="12"/>
        <v>2049</v>
      </c>
      <c r="H50" s="199">
        <f>Maintenance!F35</f>
        <v>2379903</v>
      </c>
      <c r="I50" s="186">
        <f>'Travel Time'!R33</f>
        <v>58499818.749889553</v>
      </c>
      <c r="J50" s="170">
        <f>'Travel Time'!L69</f>
        <v>-2363512.8535034899</v>
      </c>
      <c r="K50" s="186">
        <f>'Environmental Protection'!I30</f>
        <v>-702754</v>
      </c>
      <c r="L50" s="170">
        <f>Safety!D32</f>
        <v>1430000</v>
      </c>
      <c r="M50" s="186">
        <f t="shared" si="14"/>
        <v>59243454.896386065</v>
      </c>
      <c r="N50" s="170">
        <f>M50*NPV!C33</f>
        <v>7782641.8800162058</v>
      </c>
      <c r="O50" s="82"/>
      <c r="P50" s="267">
        <f t="shared" si="13"/>
        <v>2049</v>
      </c>
      <c r="Q50" s="198">
        <f>Costs!G45</f>
        <v>0</v>
      </c>
      <c r="R50" s="199">
        <f>Q50*NPV!C33</f>
        <v>0</v>
      </c>
      <c r="S50" s="82"/>
      <c r="T50" s="82"/>
      <c r="U50" s="82"/>
      <c r="V50" s="82"/>
      <c r="W50" s="82"/>
      <c r="X50" s="82"/>
      <c r="Y50" s="82"/>
      <c r="Z50" s="82"/>
    </row>
    <row r="51" spans="1:26" x14ac:dyDescent="0.2">
      <c r="A51" s="267">
        <f t="shared" si="11"/>
        <v>2050</v>
      </c>
      <c r="B51" s="191">
        <f t="shared" si="8"/>
        <v>0</v>
      </c>
      <c r="C51" s="192">
        <f t="shared" si="9"/>
        <v>8788520.717937855</v>
      </c>
      <c r="D51" s="191">
        <f t="shared" si="10"/>
        <v>8788520.717937855</v>
      </c>
      <c r="E51" s="194">
        <f t="shared" si="15"/>
        <v>-107477976.07069533</v>
      </c>
      <c r="F51" s="82"/>
      <c r="G51" s="267">
        <f t="shared" si="12"/>
        <v>2050</v>
      </c>
      <c r="H51" s="199">
        <f>Maintenance!F36</f>
        <v>1577303</v>
      </c>
      <c r="I51" s="186">
        <f>'Travel Time'!R34</f>
        <v>71666908.278674215</v>
      </c>
      <c r="J51" s="170">
        <f>'Travel Time'!L70</f>
        <v>-2383488.8453256809</v>
      </c>
      <c r="K51" s="186">
        <f>'Environmental Protection'!I31</f>
        <v>-711729</v>
      </c>
      <c r="L51" s="170">
        <f>Safety!D33</f>
        <v>1434500</v>
      </c>
      <c r="M51" s="186">
        <f t="shared" si="14"/>
        <v>71583493.433348536</v>
      </c>
      <c r="N51" s="170">
        <f>M51*NPV!C34</f>
        <v>8788520.717937855</v>
      </c>
      <c r="O51" s="82"/>
      <c r="P51" s="267">
        <f t="shared" si="13"/>
        <v>2050</v>
      </c>
      <c r="Q51" s="198">
        <f>Costs!G46</f>
        <v>0</v>
      </c>
      <c r="R51" s="199">
        <f>Q51*NPV!C34</f>
        <v>0</v>
      </c>
      <c r="S51" s="82"/>
      <c r="T51" s="82"/>
      <c r="U51" s="82"/>
      <c r="V51" s="82"/>
      <c r="W51" s="82"/>
      <c r="X51" s="82"/>
      <c r="Y51" s="82"/>
      <c r="Z51" s="82"/>
    </row>
    <row r="52" spans="1:26" x14ac:dyDescent="0.2">
      <c r="A52" s="267">
        <f t="shared" si="11"/>
        <v>2051</v>
      </c>
      <c r="B52" s="191">
        <f t="shared" si="8"/>
        <v>0</v>
      </c>
      <c r="C52" s="192">
        <f t="shared" si="9"/>
        <v>10393520.703381339</v>
      </c>
      <c r="D52" s="191">
        <f t="shared" si="10"/>
        <v>10393520.703381339</v>
      </c>
      <c r="E52" s="194">
        <f t="shared" ref="E52:E57" si="17">D52+E51</f>
        <v>-97084455.367313981</v>
      </c>
      <c r="F52" s="82"/>
      <c r="G52" s="267">
        <f t="shared" si="12"/>
        <v>2051</v>
      </c>
      <c r="H52" s="199">
        <f>Maintenance!F37</f>
        <v>-177497</v>
      </c>
      <c r="I52" s="186">
        <f>'Travel Time'!R35</f>
        <v>92379045.130257308</v>
      </c>
      <c r="J52" s="170">
        <f>'Travel Time'!L71</f>
        <v>-2404581.6520966315</v>
      </c>
      <c r="K52" s="186">
        <f>'Environmental Protection'!I32</f>
        <v>-721619</v>
      </c>
      <c r="L52" s="170">
        <f>Safety!D34</f>
        <v>1507000</v>
      </c>
      <c r="M52" s="186">
        <f t="shared" si="14"/>
        <v>90582347.478160679</v>
      </c>
      <c r="N52" s="170">
        <f>M52*NPV!C35</f>
        <v>10393520.703381339</v>
      </c>
      <c r="O52" s="82"/>
      <c r="P52" s="267">
        <f t="shared" si="13"/>
        <v>2051</v>
      </c>
      <c r="Q52" s="198">
        <f>Costs!G47</f>
        <v>0</v>
      </c>
      <c r="R52" s="199">
        <f>Q52*NPV!C35</f>
        <v>0</v>
      </c>
      <c r="S52" s="82"/>
      <c r="T52" s="82"/>
      <c r="U52" s="82"/>
      <c r="V52" s="82"/>
      <c r="W52" s="82"/>
      <c r="X52" s="82"/>
      <c r="Y52" s="82"/>
      <c r="Z52" s="82"/>
    </row>
    <row r="53" spans="1:26" x14ac:dyDescent="0.2">
      <c r="A53" s="267">
        <f t="shared" si="11"/>
        <v>2052</v>
      </c>
      <c r="B53" s="191">
        <f t="shared" si="8"/>
        <v>0</v>
      </c>
      <c r="C53" s="192">
        <f t="shared" si="9"/>
        <v>13805270.823229991</v>
      </c>
      <c r="D53" s="191">
        <f t="shared" si="10"/>
        <v>13805270.823229991</v>
      </c>
      <c r="E53" s="194">
        <f t="shared" si="17"/>
        <v>-83279184.544083983</v>
      </c>
      <c r="F53" s="82"/>
      <c r="G53" s="267">
        <f t="shared" si="12"/>
        <v>2052</v>
      </c>
      <c r="H53" s="199">
        <f>Maintenance!F38</f>
        <v>292903</v>
      </c>
      <c r="I53" s="186">
        <f>'Travel Time'!R36</f>
        <v>130162639.25009651</v>
      </c>
      <c r="J53" s="170">
        <f>'Travel Time'!L72</f>
        <v>-2427662.4243484242</v>
      </c>
      <c r="K53" s="186">
        <f>'Environmental Protection'!I33</f>
        <v>-731739</v>
      </c>
      <c r="L53" s="170">
        <f>Safety!D35</f>
        <v>1442700</v>
      </c>
      <c r="M53" s="186">
        <f t="shared" si="14"/>
        <v>128738840.82574809</v>
      </c>
      <c r="N53" s="170">
        <f>M53*NPV!C36</f>
        <v>13805270.823229991</v>
      </c>
      <c r="O53" s="82"/>
      <c r="P53" s="267">
        <f t="shared" si="13"/>
        <v>2052</v>
      </c>
      <c r="Q53" s="198">
        <f>Costs!G48</f>
        <v>0</v>
      </c>
      <c r="R53" s="199">
        <f>Q53*NPV!C36</f>
        <v>0</v>
      </c>
      <c r="S53" s="82"/>
      <c r="T53" s="82"/>
      <c r="U53" s="82"/>
      <c r="V53" s="82"/>
      <c r="W53" s="82"/>
      <c r="X53" s="82"/>
      <c r="Y53" s="82"/>
      <c r="Z53" s="82"/>
    </row>
    <row r="54" spans="1:26" x14ac:dyDescent="0.2">
      <c r="A54" s="267">
        <f t="shared" si="11"/>
        <v>2053</v>
      </c>
      <c r="B54" s="191">
        <f t="shared" si="8"/>
        <v>0</v>
      </c>
      <c r="C54" s="192">
        <f t="shared" si="9"/>
        <v>21900758.202309813</v>
      </c>
      <c r="D54" s="191">
        <f t="shared" si="10"/>
        <v>21900758.202309813</v>
      </c>
      <c r="E54" s="194">
        <f t="shared" si="17"/>
        <v>-61378426.341774166</v>
      </c>
      <c r="F54" s="82"/>
      <c r="G54" s="267">
        <f t="shared" si="12"/>
        <v>2053</v>
      </c>
      <c r="H54" s="199">
        <f>Maintenance!F39</f>
        <v>-177497</v>
      </c>
      <c r="I54" s="186">
        <f>'Travel Time'!R37</f>
        <v>220971641.9914169</v>
      </c>
      <c r="J54" s="170">
        <f>'Travel Time'!L73</f>
        <v>-2447218.1018649805</v>
      </c>
      <c r="K54" s="186">
        <f>'Environmental Protection'!I34</f>
        <v>-740875</v>
      </c>
      <c r="L54" s="170">
        <f>Safety!D36</f>
        <v>922200</v>
      </c>
      <c r="M54" s="186">
        <f t="shared" si="14"/>
        <v>218528251.88955191</v>
      </c>
      <c r="N54" s="170">
        <f>M54*NPV!C37</f>
        <v>21900758.202309813</v>
      </c>
      <c r="O54" s="82"/>
      <c r="P54" s="267">
        <f t="shared" si="13"/>
        <v>2053</v>
      </c>
      <c r="Q54" s="198">
        <f>Costs!G49</f>
        <v>0</v>
      </c>
      <c r="R54" s="199">
        <f>Q54*NPV!C37</f>
        <v>0</v>
      </c>
      <c r="S54" s="82"/>
      <c r="T54" s="82"/>
      <c r="U54" s="82"/>
      <c r="V54" s="82"/>
      <c r="W54" s="82"/>
      <c r="X54" s="82"/>
      <c r="Y54" s="82"/>
      <c r="Z54" s="82"/>
    </row>
    <row r="55" spans="1:26" x14ac:dyDescent="0.2">
      <c r="A55" s="267">
        <f t="shared" si="11"/>
        <v>2054</v>
      </c>
      <c r="B55" s="191">
        <f t="shared" si="8"/>
        <v>0</v>
      </c>
      <c r="C55" s="192">
        <f t="shared" si="9"/>
        <v>68163127.952933624</v>
      </c>
      <c r="D55" s="191">
        <f t="shared" si="10"/>
        <v>68163127.952933624</v>
      </c>
      <c r="E55" s="194">
        <f t="shared" si="17"/>
        <v>6784701.6111594588</v>
      </c>
      <c r="F55" s="82"/>
      <c r="G55" s="267">
        <f t="shared" si="12"/>
        <v>2054</v>
      </c>
      <c r="H55" s="199">
        <f>Maintenance!F40</f>
        <v>-9550297</v>
      </c>
      <c r="I55" s="186">
        <f>'Travel Time'!R38</f>
        <v>739605387.69622695</v>
      </c>
      <c r="J55" s="170">
        <f>'Travel Time'!L74</f>
        <v>-2471852.860462972</v>
      </c>
      <c r="K55" s="186">
        <f>'Environmental Protection'!I35</f>
        <v>-751748</v>
      </c>
      <c r="L55" s="170">
        <f>Safety!D37</f>
        <v>917700</v>
      </c>
      <c r="M55" s="186">
        <f t="shared" si="14"/>
        <v>727749189.83576393</v>
      </c>
      <c r="N55" s="170">
        <f>M55*NPV!C38</f>
        <v>68163127.952933624</v>
      </c>
      <c r="O55" s="82"/>
      <c r="P55" s="267">
        <f t="shared" si="13"/>
        <v>2054</v>
      </c>
      <c r="Q55" s="198">
        <f>Costs!G50</f>
        <v>0</v>
      </c>
      <c r="R55" s="199">
        <f>Q55*NPV!C38</f>
        <v>0</v>
      </c>
      <c r="S55" s="82"/>
      <c r="T55" s="82"/>
      <c r="U55" s="82"/>
      <c r="V55" s="82"/>
      <c r="W55" s="82"/>
      <c r="X55" s="82"/>
      <c r="Y55" s="82"/>
      <c r="Z55" s="82"/>
    </row>
    <row r="56" spans="1:26" x14ac:dyDescent="0.2">
      <c r="A56" s="267">
        <f t="shared" si="11"/>
        <v>2055</v>
      </c>
      <c r="B56" s="191">
        <f t="shared" si="8"/>
        <v>0</v>
      </c>
      <c r="C56" s="192">
        <f t="shared" si="9"/>
        <v>65223985.03615275</v>
      </c>
      <c r="D56" s="191">
        <f t="shared" si="10"/>
        <v>65223985.03615275</v>
      </c>
      <c r="E56" s="194">
        <f t="shared" si="17"/>
        <v>72008686.647312209</v>
      </c>
      <c r="F56" s="82"/>
      <c r="G56" s="267">
        <f t="shared" si="12"/>
        <v>2055</v>
      </c>
      <c r="H56" s="199">
        <f>Maintenance!F41</f>
        <v>1185303</v>
      </c>
      <c r="I56" s="186">
        <f>'Travel Time'!R39</f>
        <v>746262294.71233022</v>
      </c>
      <c r="J56" s="170">
        <f>'Travel Time'!L75</f>
        <v>-2493110.3532199883</v>
      </c>
      <c r="K56" s="186">
        <f>'Environmental Protection'!I36</f>
        <v>-761653</v>
      </c>
      <c r="L56" s="170">
        <f>Safety!D38</f>
        <v>922200</v>
      </c>
      <c r="M56" s="186">
        <f t="shared" si="14"/>
        <v>745115034.35911024</v>
      </c>
      <c r="N56" s="170">
        <f>M56*NPV!C39</f>
        <v>65223985.03615275</v>
      </c>
      <c r="O56" s="82"/>
      <c r="P56" s="267">
        <f t="shared" si="13"/>
        <v>2055</v>
      </c>
      <c r="Q56" s="198">
        <f>Costs!G51</f>
        <v>0</v>
      </c>
      <c r="R56" s="199">
        <f>Q56*NPV!C39</f>
        <v>0</v>
      </c>
      <c r="S56" s="82"/>
      <c r="T56" s="82"/>
      <c r="U56" s="82"/>
      <c r="V56" s="82"/>
      <c r="W56" s="82"/>
      <c r="X56" s="82"/>
      <c r="Y56" s="82"/>
      <c r="Z56" s="82"/>
    </row>
    <row r="57" spans="1:26" ht="13.5" thickBot="1" x14ac:dyDescent="0.25">
      <c r="A57" s="268">
        <f t="shared" si="11"/>
        <v>2056</v>
      </c>
      <c r="B57" s="296">
        <f t="shared" si="8"/>
        <v>-10099511.729549589</v>
      </c>
      <c r="C57" s="297">
        <f t="shared" si="9"/>
        <v>61612867.33026132</v>
      </c>
      <c r="D57" s="296">
        <f t="shared" si="10"/>
        <v>71712379.059810907</v>
      </c>
      <c r="E57" s="297">
        <f t="shared" si="17"/>
        <v>143721065.7071231</v>
      </c>
      <c r="F57" s="82"/>
      <c r="G57" s="268">
        <f t="shared" si="12"/>
        <v>2056</v>
      </c>
      <c r="H57" s="295">
        <f>Maintenance!F42</f>
        <v>2379903</v>
      </c>
      <c r="I57" s="187">
        <f>'Travel Time'!R40</f>
        <v>752979117.43788469</v>
      </c>
      <c r="J57" s="175">
        <f>'Travel Time'!L76</f>
        <v>-2517443.575316079</v>
      </c>
      <c r="K57" s="187">
        <f>'Environmental Protection'!I37</f>
        <v>-772814</v>
      </c>
      <c r="L57" s="175">
        <f>Safety!D39</f>
        <v>1063400</v>
      </c>
      <c r="M57" s="187">
        <f t="shared" si="14"/>
        <v>753132162.86256862</v>
      </c>
      <c r="N57" s="175">
        <f>M57*NPV!C40</f>
        <v>61612867.33026132</v>
      </c>
      <c r="O57" s="82"/>
      <c r="P57" s="268">
        <f t="shared" si="13"/>
        <v>2056</v>
      </c>
      <c r="Q57" s="294">
        <f>Costs!G52</f>
        <v>-123452574.80000001</v>
      </c>
      <c r="R57" s="295">
        <f>Q57*NPV!C40</f>
        <v>-10099511.729549589</v>
      </c>
      <c r="S57" s="82"/>
      <c r="T57" s="82"/>
      <c r="U57" s="82"/>
      <c r="V57" s="82"/>
      <c r="W57" s="82"/>
      <c r="X57" s="82"/>
      <c r="Y57" s="82"/>
      <c r="Z57" s="82"/>
    </row>
    <row r="58" spans="1:26" ht="13.5" thickTop="1" x14ac:dyDescent="0.2">
      <c r="A58" s="293" t="s">
        <v>0</v>
      </c>
      <c r="B58" s="195">
        <f>SUM(B12:B57)</f>
        <v>225567181.33938763</v>
      </c>
      <c r="C58" s="196">
        <f>SUM(C12:C57)</f>
        <v>369288247.04651082</v>
      </c>
      <c r="D58" s="195">
        <f>SUM(D12:D57)</f>
        <v>143721065.7071231</v>
      </c>
      <c r="E58" s="196"/>
      <c r="F58" s="82"/>
      <c r="G58" s="293" t="s">
        <v>0</v>
      </c>
      <c r="H58" s="189">
        <f t="shared" ref="H58:N58" si="18">SUM(H12:H57)</f>
        <v>8300070</v>
      </c>
      <c r="I58" s="188">
        <f t="shared" si="18"/>
        <v>3273956302.1784983</v>
      </c>
      <c r="J58" s="189">
        <f t="shared" si="18"/>
        <v>-62593694.654181503</v>
      </c>
      <c r="K58" s="188">
        <f t="shared" si="18"/>
        <v>-18034432</v>
      </c>
      <c r="L58" s="189">
        <f t="shared" si="18"/>
        <v>35987400</v>
      </c>
      <c r="M58" s="188">
        <f t="shared" si="18"/>
        <v>3237615645.5243158</v>
      </c>
      <c r="N58" s="189">
        <f t="shared" si="18"/>
        <v>369288247.04651082</v>
      </c>
      <c r="O58" s="82"/>
      <c r="P58" s="95"/>
      <c r="Q58" s="197" t="s">
        <v>31</v>
      </c>
      <c r="R58" s="200">
        <f>SUM(R12:R57)</f>
        <v>225567181.33938763</v>
      </c>
      <c r="S58" s="82"/>
      <c r="T58" s="82"/>
      <c r="U58" s="82"/>
      <c r="V58" s="82"/>
      <c r="W58" s="82"/>
      <c r="X58" s="82"/>
      <c r="Y58" s="82"/>
      <c r="Z58" s="82"/>
    </row>
    <row r="59" spans="1:26" x14ac:dyDescent="0.2">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x14ac:dyDescent="0.2">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x14ac:dyDescent="0.2">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x14ac:dyDescent="0.2">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x14ac:dyDescent="0.2">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row>
    <row r="65" spans="1:26" x14ac:dyDescent="0.2">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row>
    <row r="66" spans="1:26" x14ac:dyDescent="0.2">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spans="1:26" x14ac:dyDescent="0.2">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row>
    <row r="68" spans="1:26" x14ac:dyDescent="0.2">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row>
    <row r="69" spans="1:26" x14ac:dyDescent="0.2">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row>
    <row r="70" spans="1:26" x14ac:dyDescent="0.2">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row>
    <row r="71" spans="1:26" x14ac:dyDescent="0.2">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spans="1:26" x14ac:dyDescent="0.2">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x14ac:dyDescent="0.2">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1:26" x14ac:dyDescent="0.2">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spans="1:26" x14ac:dyDescent="0.2">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spans="1:26" x14ac:dyDescent="0.2">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spans="1:26"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spans="1:26" x14ac:dyDescent="0.2">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row>
    <row r="79" spans="1:26" x14ac:dyDescent="0.2">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row>
    <row r="80" spans="1:26" x14ac:dyDescent="0.2">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row>
    <row r="81" spans="1:26" x14ac:dyDescent="0.2">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row>
    <row r="82" spans="1:26" x14ac:dyDescent="0.2">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row>
    <row r="83" spans="1:26" x14ac:dyDescent="0.2">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row>
    <row r="84" spans="1:26" x14ac:dyDescent="0.2">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row>
    <row r="85" spans="1:26" x14ac:dyDescent="0.2">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row>
    <row r="86" spans="1:26" x14ac:dyDescent="0.2">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row>
    <row r="87" spans="1:26" x14ac:dyDescent="0.2">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row>
    <row r="88" spans="1:26" x14ac:dyDescent="0.2">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row>
    <row r="89" spans="1:26" x14ac:dyDescent="0.2">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row>
    <row r="90" spans="1:26" x14ac:dyDescent="0.2">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row>
    <row r="91" spans="1:26" x14ac:dyDescent="0.2">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row>
    <row r="92" spans="1:26" x14ac:dyDescent="0.2">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row>
    <row r="93" spans="1:26" x14ac:dyDescent="0.2">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row>
    <row r="94" spans="1:26" x14ac:dyDescent="0.2">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spans="1:26" x14ac:dyDescent="0.2">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row>
    <row r="96" spans="1:26" x14ac:dyDescent="0.2">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row>
    <row r="97" spans="1:26" x14ac:dyDescent="0.2">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row>
    <row r="98" spans="1:26" x14ac:dyDescent="0.2">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spans="1:26" x14ac:dyDescent="0.2">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row>
    <row r="100" spans="1:26" x14ac:dyDescent="0.2">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spans="1:26" x14ac:dyDescent="0.2">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row>
    <row r="102" spans="1:26" x14ac:dyDescent="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row>
    <row r="103" spans="1:26" x14ac:dyDescent="0.2">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row>
    <row r="104" spans="1:26" x14ac:dyDescent="0.2">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row>
    <row r="105" spans="1:26" x14ac:dyDescent="0.2">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row>
    <row r="106" spans="1:26" x14ac:dyDescent="0.2">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row>
    <row r="107" spans="1:26" x14ac:dyDescent="0.2">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spans="1:26" x14ac:dyDescent="0.2">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spans="1:26" x14ac:dyDescent="0.2">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row>
    <row r="110" spans="1:26" x14ac:dyDescent="0.2">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spans="1:26" x14ac:dyDescent="0.2">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row>
    <row r="112" spans="1:26" s="82" customFormat="1" x14ac:dyDescent="0.2"/>
    <row r="113" s="82" customFormat="1" x14ac:dyDescent="0.2"/>
    <row r="114" s="82" customFormat="1" x14ac:dyDescent="0.2"/>
    <row r="115" s="82" customFormat="1" x14ac:dyDescent="0.2"/>
    <row r="116" s="82" customFormat="1" x14ac:dyDescent="0.2"/>
    <row r="117" s="82" customFormat="1" x14ac:dyDescent="0.2"/>
    <row r="118" s="82" customFormat="1" x14ac:dyDescent="0.2"/>
    <row r="119" s="82" customFormat="1" x14ac:dyDescent="0.2"/>
    <row r="120" s="82" customFormat="1" x14ac:dyDescent="0.2"/>
    <row r="121" s="82" customFormat="1" x14ac:dyDescent="0.2"/>
    <row r="122" s="82" customFormat="1" x14ac:dyDescent="0.2"/>
    <row r="123" s="82" customFormat="1" x14ac:dyDescent="0.2"/>
    <row r="124" s="82" customFormat="1" x14ac:dyDescent="0.2"/>
    <row r="125" s="82" customFormat="1" x14ac:dyDescent="0.2"/>
    <row r="126" s="82" customFormat="1" x14ac:dyDescent="0.2"/>
    <row r="127" s="82" customFormat="1" x14ac:dyDescent="0.2"/>
    <row r="128" s="82" customFormat="1" x14ac:dyDescent="0.2"/>
    <row r="129" s="82" customFormat="1" x14ac:dyDescent="0.2"/>
    <row r="130" s="82" customFormat="1" x14ac:dyDescent="0.2"/>
    <row r="131" s="82" customFormat="1" x14ac:dyDescent="0.2"/>
    <row r="132" s="82" customFormat="1" x14ac:dyDescent="0.2"/>
    <row r="133" s="82" customFormat="1" x14ac:dyDescent="0.2"/>
    <row r="134" s="82" customFormat="1" x14ac:dyDescent="0.2"/>
    <row r="135" s="82" customFormat="1" x14ac:dyDescent="0.2"/>
    <row r="136" s="82" customFormat="1" x14ac:dyDescent="0.2"/>
    <row r="137" s="82" customFormat="1" x14ac:dyDescent="0.2"/>
    <row r="138" s="82" customFormat="1" x14ac:dyDescent="0.2"/>
    <row r="139" s="82" customFormat="1" x14ac:dyDescent="0.2"/>
    <row r="140" s="82" customFormat="1" x14ac:dyDescent="0.2"/>
    <row r="141" s="82" customFormat="1" x14ac:dyDescent="0.2"/>
    <row r="142" s="82" customFormat="1" x14ac:dyDescent="0.2"/>
    <row r="143" s="82" customFormat="1" x14ac:dyDescent="0.2"/>
    <row r="144" s="82" customFormat="1" x14ac:dyDescent="0.2"/>
    <row r="145" s="82" customFormat="1" x14ac:dyDescent="0.2"/>
    <row r="146" s="82" customFormat="1" x14ac:dyDescent="0.2"/>
    <row r="147" s="82" customFormat="1" x14ac:dyDescent="0.2"/>
    <row r="148" s="82" customFormat="1" x14ac:dyDescent="0.2"/>
    <row r="149" s="82" customFormat="1" x14ac:dyDescent="0.2"/>
    <row r="150" s="82" customFormat="1" x14ac:dyDescent="0.2"/>
    <row r="151" s="82" customFormat="1" x14ac:dyDescent="0.2"/>
    <row r="152" s="82" customFormat="1" x14ac:dyDescent="0.2"/>
    <row r="153" s="82" customFormat="1" x14ac:dyDescent="0.2"/>
    <row r="154" s="82" customFormat="1" x14ac:dyDescent="0.2"/>
    <row r="155" s="82" customFormat="1" x14ac:dyDescent="0.2"/>
    <row r="156" s="82" customFormat="1" x14ac:dyDescent="0.2"/>
    <row r="157" s="82" customFormat="1" x14ac:dyDescent="0.2"/>
    <row r="158" s="82" customFormat="1" x14ac:dyDescent="0.2"/>
    <row r="159" s="82" customFormat="1" x14ac:dyDescent="0.2"/>
    <row r="160" s="82" customFormat="1" x14ac:dyDescent="0.2"/>
    <row r="161" s="82" customFormat="1" x14ac:dyDescent="0.2"/>
    <row r="162" s="82" customFormat="1" x14ac:dyDescent="0.2"/>
    <row r="163" s="82" customFormat="1" x14ac:dyDescent="0.2"/>
    <row r="164" s="82" customFormat="1" x14ac:dyDescent="0.2"/>
    <row r="165" s="82" customFormat="1" x14ac:dyDescent="0.2"/>
    <row r="166" s="82" customFormat="1" x14ac:dyDescent="0.2"/>
    <row r="167" s="82" customFormat="1" x14ac:dyDescent="0.2"/>
    <row r="168" s="82" customFormat="1" x14ac:dyDescent="0.2"/>
    <row r="169" s="82" customFormat="1" x14ac:dyDescent="0.2"/>
    <row r="170" s="82" customFormat="1" x14ac:dyDescent="0.2"/>
    <row r="171" s="82" customFormat="1" x14ac:dyDescent="0.2"/>
    <row r="172" s="82" customFormat="1" x14ac:dyDescent="0.2"/>
    <row r="173" s="82" customFormat="1" x14ac:dyDescent="0.2"/>
    <row r="174" s="82" customFormat="1" x14ac:dyDescent="0.2"/>
    <row r="175" s="82" customFormat="1" x14ac:dyDescent="0.2"/>
    <row r="176" s="82" customFormat="1" x14ac:dyDescent="0.2"/>
    <row r="177" s="82" customFormat="1" x14ac:dyDescent="0.2"/>
    <row r="178" s="82" customFormat="1" x14ac:dyDescent="0.2"/>
    <row r="179" s="82" customFormat="1" x14ac:dyDescent="0.2"/>
    <row r="180" s="82" customFormat="1" x14ac:dyDescent="0.2"/>
    <row r="181" s="82" customFormat="1" x14ac:dyDescent="0.2"/>
    <row r="182" s="82" customFormat="1" x14ac:dyDescent="0.2"/>
    <row r="183" s="82" customFormat="1" x14ac:dyDescent="0.2"/>
    <row r="184" s="82" customFormat="1" x14ac:dyDescent="0.2"/>
    <row r="185" s="82" customFormat="1" x14ac:dyDescent="0.2"/>
    <row r="186" s="82" customFormat="1" x14ac:dyDescent="0.2"/>
    <row r="187" s="82" customFormat="1" x14ac:dyDescent="0.2"/>
    <row r="188" s="82" customFormat="1" x14ac:dyDescent="0.2"/>
    <row r="189" s="82" customFormat="1" x14ac:dyDescent="0.2"/>
    <row r="190" s="82" customFormat="1" x14ac:dyDescent="0.2"/>
    <row r="191" s="82" customFormat="1" x14ac:dyDescent="0.2"/>
    <row r="192" s="82" customFormat="1" x14ac:dyDescent="0.2"/>
    <row r="193" s="82" customFormat="1" x14ac:dyDescent="0.2"/>
    <row r="194" s="82" customFormat="1" x14ac:dyDescent="0.2"/>
    <row r="195" s="82" customFormat="1" x14ac:dyDescent="0.2"/>
    <row r="196" s="82" customFormat="1" x14ac:dyDescent="0.2"/>
    <row r="197" s="82" customFormat="1" x14ac:dyDescent="0.2"/>
    <row r="198" s="82" customFormat="1" x14ac:dyDescent="0.2"/>
    <row r="199" s="82" customFormat="1" x14ac:dyDescent="0.2"/>
    <row r="200" s="82" customFormat="1" x14ac:dyDescent="0.2"/>
    <row r="201" s="82" customFormat="1" x14ac:dyDescent="0.2"/>
    <row r="202" s="82" customFormat="1" x14ac:dyDescent="0.2"/>
    <row r="203" s="82" customFormat="1" x14ac:dyDescent="0.2"/>
    <row r="204" s="82" customFormat="1" x14ac:dyDescent="0.2"/>
    <row r="205" s="82" customFormat="1" x14ac:dyDescent="0.2"/>
    <row r="206" s="82" customFormat="1" x14ac:dyDescent="0.2"/>
    <row r="207" s="82" customFormat="1" x14ac:dyDescent="0.2"/>
    <row r="208" s="82" customFormat="1" x14ac:dyDescent="0.2"/>
    <row r="209" s="82" customFormat="1" x14ac:dyDescent="0.2"/>
    <row r="210" s="82" customFormat="1" x14ac:dyDescent="0.2"/>
    <row r="211" s="82" customFormat="1" x14ac:dyDescent="0.2"/>
    <row r="212" s="82" customFormat="1" x14ac:dyDescent="0.2"/>
    <row r="213" s="82" customFormat="1" x14ac:dyDescent="0.2"/>
    <row r="214" s="82" customFormat="1" x14ac:dyDescent="0.2"/>
    <row r="215" s="82" customFormat="1" x14ac:dyDescent="0.2"/>
    <row r="216" s="82" customFormat="1" x14ac:dyDescent="0.2"/>
    <row r="217" s="82" customFormat="1" x14ac:dyDescent="0.2"/>
    <row r="218" s="82" customFormat="1" x14ac:dyDescent="0.2"/>
    <row r="219" s="82" customFormat="1" x14ac:dyDescent="0.2"/>
    <row r="220" s="82" customFormat="1" x14ac:dyDescent="0.2"/>
    <row r="221" s="82" customFormat="1" x14ac:dyDescent="0.2"/>
    <row r="222" s="82" customFormat="1" x14ac:dyDescent="0.2"/>
    <row r="223" s="82" customFormat="1" x14ac:dyDescent="0.2"/>
    <row r="224" s="82" customFormat="1" x14ac:dyDescent="0.2"/>
    <row r="225" s="82" customFormat="1" x14ac:dyDescent="0.2"/>
    <row r="226" s="82" customFormat="1" x14ac:dyDescent="0.2"/>
    <row r="227" s="82" customFormat="1" x14ac:dyDescent="0.2"/>
    <row r="228" s="82" customFormat="1" x14ac:dyDescent="0.2"/>
    <row r="229" s="82" customFormat="1" x14ac:dyDescent="0.2"/>
    <row r="230" s="82" customFormat="1" x14ac:dyDescent="0.2"/>
    <row r="231" s="82" customFormat="1" x14ac:dyDescent="0.2"/>
    <row r="232" s="82" customFormat="1" x14ac:dyDescent="0.2"/>
    <row r="233" s="82" customFormat="1" x14ac:dyDescent="0.2"/>
    <row r="234" s="82" customFormat="1" x14ac:dyDescent="0.2"/>
    <row r="235" s="82" customFormat="1" x14ac:dyDescent="0.2"/>
    <row r="236" s="82" customFormat="1" x14ac:dyDescent="0.2"/>
    <row r="237" s="82" customFormat="1" x14ac:dyDescent="0.2"/>
    <row r="238" s="82" customFormat="1" x14ac:dyDescent="0.2"/>
    <row r="239" s="82" customFormat="1" x14ac:dyDescent="0.2"/>
    <row r="240" s="82" customFormat="1" x14ac:dyDescent="0.2"/>
    <row r="241" s="82" customFormat="1" x14ac:dyDescent="0.2"/>
    <row r="242" s="82" customFormat="1" x14ac:dyDescent="0.2"/>
    <row r="243" s="82" customFormat="1" x14ac:dyDescent="0.2"/>
    <row r="244" s="82" customFormat="1" x14ac:dyDescent="0.2"/>
    <row r="245" s="82" customFormat="1" x14ac:dyDescent="0.2"/>
    <row r="246" s="82" customFormat="1" x14ac:dyDescent="0.2"/>
    <row r="247" s="82" customFormat="1" x14ac:dyDescent="0.2"/>
    <row r="248" s="82" customFormat="1" x14ac:dyDescent="0.2"/>
    <row r="249" s="82" customFormat="1" x14ac:dyDescent="0.2"/>
    <row r="250" s="82" customFormat="1" x14ac:dyDescent="0.2"/>
    <row r="251" s="82" customFormat="1" x14ac:dyDescent="0.2"/>
    <row r="252" s="82" customFormat="1" x14ac:dyDescent="0.2"/>
    <row r="253" s="82" customFormat="1" x14ac:dyDescent="0.2"/>
    <row r="254" s="82" customFormat="1" x14ac:dyDescent="0.2"/>
    <row r="255" s="82" customFormat="1" x14ac:dyDescent="0.2"/>
    <row r="256" s="82" customFormat="1" x14ac:dyDescent="0.2"/>
    <row r="257" s="82" customFormat="1" x14ac:dyDescent="0.2"/>
    <row r="258" s="82" customFormat="1" x14ac:dyDescent="0.2"/>
    <row r="259" s="82" customFormat="1" x14ac:dyDescent="0.2"/>
    <row r="260" s="82" customFormat="1" x14ac:dyDescent="0.2"/>
    <row r="261" s="82" customFormat="1" x14ac:dyDescent="0.2"/>
    <row r="262" s="82" customFormat="1" x14ac:dyDescent="0.2"/>
    <row r="263" s="82" customFormat="1" x14ac:dyDescent="0.2"/>
    <row r="264" s="82" customFormat="1" x14ac:dyDescent="0.2"/>
    <row r="265" s="82" customFormat="1" x14ac:dyDescent="0.2"/>
    <row r="266" s="82" customFormat="1" x14ac:dyDescent="0.2"/>
    <row r="267" s="82" customFormat="1" x14ac:dyDescent="0.2"/>
    <row r="268" s="82" customFormat="1" x14ac:dyDescent="0.2"/>
    <row r="269" s="82" customFormat="1" x14ac:dyDescent="0.2"/>
    <row r="270" s="82" customFormat="1" x14ac:dyDescent="0.2"/>
    <row r="271" s="82" customFormat="1" x14ac:dyDescent="0.2"/>
    <row r="272" s="82" customFormat="1" x14ac:dyDescent="0.2"/>
    <row r="273" s="82" customFormat="1" x14ac:dyDescent="0.2"/>
    <row r="274" s="82" customFormat="1" x14ac:dyDescent="0.2"/>
    <row r="275" s="82" customFormat="1" x14ac:dyDescent="0.2"/>
    <row r="276" s="82" customFormat="1" x14ac:dyDescent="0.2"/>
    <row r="277" s="82" customFormat="1" x14ac:dyDescent="0.2"/>
    <row r="278" s="82" customFormat="1" x14ac:dyDescent="0.2"/>
    <row r="279" s="82" customFormat="1" x14ac:dyDescent="0.2"/>
    <row r="280" s="82" customFormat="1" x14ac:dyDescent="0.2"/>
    <row r="281" s="82" customFormat="1" x14ac:dyDescent="0.2"/>
    <row r="282" s="82" customFormat="1" x14ac:dyDescent="0.2"/>
    <row r="283" s="82" customFormat="1" x14ac:dyDescent="0.2"/>
    <row r="284" s="82" customFormat="1" x14ac:dyDescent="0.2"/>
    <row r="285" s="82" customFormat="1" x14ac:dyDescent="0.2"/>
    <row r="286" s="82" customFormat="1" x14ac:dyDescent="0.2"/>
    <row r="287" s="82" customFormat="1" x14ac:dyDescent="0.2"/>
    <row r="288" s="82" customFormat="1" x14ac:dyDescent="0.2"/>
    <row r="289" s="82" customFormat="1" x14ac:dyDescent="0.2"/>
    <row r="290" s="82" customFormat="1" x14ac:dyDescent="0.2"/>
    <row r="291" s="82" customFormat="1" x14ac:dyDescent="0.2"/>
    <row r="292" s="82" customFormat="1" x14ac:dyDescent="0.2"/>
    <row r="293" s="82" customFormat="1" x14ac:dyDescent="0.2"/>
    <row r="294" s="82" customFormat="1" x14ac:dyDescent="0.2"/>
    <row r="295" s="82" customFormat="1" x14ac:dyDescent="0.2"/>
    <row r="296" s="82" customFormat="1" x14ac:dyDescent="0.2"/>
    <row r="297" s="82" customFormat="1" x14ac:dyDescent="0.2"/>
    <row r="298" s="82" customFormat="1" x14ac:dyDescent="0.2"/>
    <row r="299" s="82" customFormat="1" x14ac:dyDescent="0.2"/>
    <row r="300" s="82" customFormat="1" x14ac:dyDescent="0.2"/>
    <row r="301" s="82" customFormat="1" x14ac:dyDescent="0.2"/>
    <row r="302" s="82" customFormat="1" x14ac:dyDescent="0.2"/>
    <row r="303" s="82" customFormat="1" x14ac:dyDescent="0.2"/>
    <row r="304" s="82" customFormat="1" x14ac:dyDescent="0.2"/>
    <row r="305" s="82" customFormat="1" x14ac:dyDescent="0.2"/>
    <row r="306" s="82" customFormat="1" x14ac:dyDescent="0.2"/>
    <row r="307" s="82" customFormat="1" x14ac:dyDescent="0.2"/>
    <row r="308" s="82" customFormat="1" x14ac:dyDescent="0.2"/>
    <row r="309" s="82" customFormat="1" x14ac:dyDescent="0.2"/>
    <row r="310" s="82" customFormat="1" x14ac:dyDescent="0.2"/>
    <row r="311" s="82" customFormat="1" x14ac:dyDescent="0.2"/>
    <row r="312" s="82" customFormat="1" x14ac:dyDescent="0.2"/>
    <row r="313" s="82" customFormat="1" x14ac:dyDescent="0.2"/>
    <row r="314" s="82" customFormat="1" x14ac:dyDescent="0.2"/>
    <row r="315" s="82" customFormat="1" x14ac:dyDescent="0.2"/>
    <row r="316" s="82" customFormat="1" x14ac:dyDescent="0.2"/>
    <row r="317" s="82" customFormat="1" x14ac:dyDescent="0.2"/>
    <row r="318" s="82" customFormat="1" x14ac:dyDescent="0.2"/>
    <row r="319" s="82" customFormat="1" x14ac:dyDescent="0.2"/>
    <row r="320" s="82" customFormat="1" x14ac:dyDescent="0.2"/>
    <row r="321" s="82" customFormat="1" x14ac:dyDescent="0.2"/>
    <row r="322" s="82" customFormat="1" x14ac:dyDescent="0.2"/>
    <row r="323" s="82" customFormat="1" x14ac:dyDescent="0.2"/>
    <row r="324" s="82" customFormat="1" x14ac:dyDescent="0.2"/>
    <row r="325" s="82" customFormat="1" x14ac:dyDescent="0.2"/>
    <row r="326" s="82" customFormat="1" x14ac:dyDescent="0.2"/>
    <row r="327" s="82" customFormat="1" x14ac:dyDescent="0.2"/>
    <row r="328" s="82" customFormat="1" x14ac:dyDescent="0.2"/>
    <row r="329" s="82" customFormat="1" x14ac:dyDescent="0.2"/>
    <row r="330" s="82" customFormat="1" x14ac:dyDescent="0.2"/>
    <row r="331" s="82" customFormat="1" x14ac:dyDescent="0.2"/>
    <row r="332" s="82" customFormat="1" x14ac:dyDescent="0.2"/>
    <row r="333" s="82" customFormat="1" x14ac:dyDescent="0.2"/>
    <row r="334" s="82" customFormat="1" x14ac:dyDescent="0.2"/>
    <row r="335" s="82" customFormat="1" x14ac:dyDescent="0.2"/>
    <row r="336" s="82" customFormat="1" x14ac:dyDescent="0.2"/>
    <row r="337" s="82" customFormat="1" x14ac:dyDescent="0.2"/>
    <row r="338" s="82" customFormat="1" x14ac:dyDescent="0.2"/>
    <row r="339" s="82" customFormat="1" x14ac:dyDescent="0.2"/>
    <row r="340" s="82" customFormat="1" x14ac:dyDescent="0.2"/>
    <row r="341" s="82" customFormat="1" x14ac:dyDescent="0.2"/>
    <row r="342" s="82" customFormat="1" x14ac:dyDescent="0.2"/>
    <row r="343" s="82" customFormat="1" x14ac:dyDescent="0.2"/>
    <row r="344" s="82" customFormat="1" x14ac:dyDescent="0.2"/>
    <row r="345" s="82" customFormat="1" x14ac:dyDescent="0.2"/>
    <row r="346" s="82" customFormat="1" x14ac:dyDescent="0.2"/>
    <row r="347" s="82" customFormat="1" x14ac:dyDescent="0.2"/>
    <row r="348" s="82" customFormat="1" x14ac:dyDescent="0.2"/>
    <row r="349" s="82" customFormat="1" x14ac:dyDescent="0.2"/>
    <row r="350" s="82" customFormat="1" x14ac:dyDescent="0.2"/>
    <row r="351" s="82" customFormat="1" x14ac:dyDescent="0.2"/>
    <row r="352" s="82" customFormat="1" x14ac:dyDescent="0.2"/>
    <row r="353" s="82" customFormat="1" x14ac:dyDescent="0.2"/>
    <row r="354" s="82" customFormat="1" x14ac:dyDescent="0.2"/>
    <row r="355" s="82" customFormat="1" x14ac:dyDescent="0.2"/>
    <row r="356" s="82" customFormat="1" x14ac:dyDescent="0.2"/>
    <row r="357" s="82" customFormat="1" x14ac:dyDescent="0.2"/>
    <row r="358" s="82" customFormat="1" x14ac:dyDescent="0.2"/>
    <row r="359" s="82" customFormat="1" x14ac:dyDescent="0.2"/>
    <row r="360" s="82" customFormat="1" x14ac:dyDescent="0.2"/>
    <row r="361" s="82" customFormat="1" x14ac:dyDescent="0.2"/>
    <row r="362" s="82" customFormat="1" x14ac:dyDescent="0.2"/>
    <row r="363" s="82" customFormat="1" x14ac:dyDescent="0.2"/>
    <row r="364" s="82" customFormat="1" x14ac:dyDescent="0.2"/>
    <row r="365" s="82" customFormat="1" x14ac:dyDescent="0.2"/>
    <row r="366" s="82" customFormat="1" x14ac:dyDescent="0.2"/>
    <row r="367" s="82" customFormat="1" x14ac:dyDescent="0.2"/>
    <row r="368" s="82" customFormat="1" x14ac:dyDescent="0.2"/>
    <row r="369" s="82" customFormat="1" x14ac:dyDescent="0.2"/>
    <row r="370" s="82" customFormat="1" x14ac:dyDescent="0.2"/>
    <row r="371" s="82" customFormat="1" x14ac:dyDescent="0.2"/>
    <row r="372" s="82" customFormat="1" x14ac:dyDescent="0.2"/>
    <row r="373" s="82" customFormat="1" x14ac:dyDescent="0.2"/>
    <row r="374" s="82" customFormat="1" x14ac:dyDescent="0.2"/>
    <row r="375" s="82" customFormat="1" x14ac:dyDescent="0.2"/>
    <row r="376" s="82" customFormat="1" x14ac:dyDescent="0.2"/>
    <row r="377" s="82" customFormat="1" x14ac:dyDescent="0.2"/>
    <row r="378" s="82" customFormat="1" x14ac:dyDescent="0.2"/>
    <row r="379" s="82" customFormat="1" x14ac:dyDescent="0.2"/>
    <row r="380" s="82" customFormat="1" x14ac:dyDescent="0.2"/>
    <row r="381" s="82" customFormat="1" x14ac:dyDescent="0.2"/>
    <row r="382" s="82" customFormat="1" x14ac:dyDescent="0.2"/>
    <row r="383" s="82" customFormat="1" x14ac:dyDescent="0.2"/>
    <row r="384" s="82" customFormat="1" x14ac:dyDescent="0.2"/>
    <row r="385" s="82" customFormat="1" x14ac:dyDescent="0.2"/>
    <row r="386" s="82" customFormat="1" x14ac:dyDescent="0.2"/>
    <row r="387" s="82" customFormat="1" x14ac:dyDescent="0.2"/>
    <row r="388" s="82" customFormat="1" x14ac:dyDescent="0.2"/>
    <row r="389" s="82" customFormat="1" x14ac:dyDescent="0.2"/>
    <row r="390" s="82" customFormat="1" x14ac:dyDescent="0.2"/>
    <row r="391" s="82" customFormat="1" x14ac:dyDescent="0.2"/>
    <row r="392" s="82" customFormat="1" x14ac:dyDescent="0.2"/>
    <row r="393" s="82" customFormat="1" x14ac:dyDescent="0.2"/>
    <row r="394" s="82" customFormat="1" x14ac:dyDescent="0.2"/>
    <row r="395" s="82" customFormat="1" x14ac:dyDescent="0.2"/>
    <row r="396" s="82" customFormat="1" x14ac:dyDescent="0.2"/>
    <row r="397" s="82" customFormat="1" x14ac:dyDescent="0.2"/>
    <row r="398" s="82" customFormat="1" x14ac:dyDescent="0.2"/>
    <row r="399" s="82" customFormat="1" x14ac:dyDescent="0.2"/>
    <row r="400" s="82" customFormat="1" x14ac:dyDescent="0.2"/>
    <row r="401" s="82" customFormat="1" x14ac:dyDescent="0.2"/>
    <row r="402" s="82" customFormat="1" x14ac:dyDescent="0.2"/>
    <row r="403" s="82" customFormat="1" x14ac:dyDescent="0.2"/>
    <row r="404" s="82" customFormat="1" x14ac:dyDescent="0.2"/>
    <row r="405" s="82" customFormat="1" x14ac:dyDescent="0.2"/>
    <row r="406" s="82" customFormat="1" x14ac:dyDescent="0.2"/>
    <row r="407" s="82" customFormat="1" x14ac:dyDescent="0.2"/>
    <row r="408" s="82" customFormat="1" x14ac:dyDescent="0.2"/>
    <row r="409" s="82" customFormat="1" x14ac:dyDescent="0.2"/>
    <row r="410" s="82" customFormat="1" x14ac:dyDescent="0.2"/>
    <row r="411" s="82" customFormat="1" x14ac:dyDescent="0.2"/>
    <row r="412" s="82" customFormat="1" x14ac:dyDescent="0.2"/>
    <row r="413" s="82" customFormat="1" x14ac:dyDescent="0.2"/>
    <row r="414" s="82" customFormat="1" x14ac:dyDescent="0.2"/>
    <row r="415" s="82" customFormat="1" x14ac:dyDescent="0.2"/>
    <row r="416" s="82" customFormat="1" x14ac:dyDescent="0.2"/>
    <row r="417" s="82" customFormat="1" x14ac:dyDescent="0.2"/>
    <row r="418" s="82" customFormat="1" x14ac:dyDescent="0.2"/>
    <row r="419" s="82" customFormat="1" x14ac:dyDescent="0.2"/>
    <row r="420" s="82" customFormat="1" x14ac:dyDescent="0.2"/>
    <row r="421" s="82" customFormat="1" x14ac:dyDescent="0.2"/>
    <row r="422" s="82" customFormat="1" x14ac:dyDescent="0.2"/>
    <row r="423" s="82" customFormat="1" x14ac:dyDescent="0.2"/>
    <row r="424" s="82" customFormat="1" x14ac:dyDescent="0.2"/>
    <row r="425" s="82" customFormat="1" x14ac:dyDescent="0.2"/>
    <row r="426" s="82" customFormat="1" x14ac:dyDescent="0.2"/>
    <row r="427" s="82" customFormat="1" x14ac:dyDescent="0.2"/>
    <row r="428" s="82" customFormat="1" x14ac:dyDescent="0.2"/>
    <row r="429" s="82" customFormat="1" x14ac:dyDescent="0.2"/>
    <row r="430" s="82" customFormat="1" x14ac:dyDescent="0.2"/>
    <row r="431" s="82" customFormat="1" x14ac:dyDescent="0.2"/>
    <row r="432" s="82" customFormat="1" x14ac:dyDescent="0.2"/>
    <row r="433" s="82" customFormat="1" x14ac:dyDescent="0.2"/>
    <row r="434" s="82" customFormat="1" x14ac:dyDescent="0.2"/>
    <row r="435" s="82" customFormat="1" x14ac:dyDescent="0.2"/>
    <row r="436" s="82" customFormat="1" x14ac:dyDescent="0.2"/>
    <row r="437" s="82" customFormat="1" x14ac:dyDescent="0.2"/>
    <row r="438" s="82" customFormat="1" x14ac:dyDescent="0.2"/>
    <row r="439" s="82" customFormat="1" x14ac:dyDescent="0.2"/>
    <row r="440" s="82" customFormat="1" x14ac:dyDescent="0.2"/>
    <row r="441" s="82" customFormat="1" x14ac:dyDescent="0.2"/>
    <row r="442" s="82" customFormat="1" x14ac:dyDescent="0.2"/>
    <row r="443" s="82" customFormat="1" x14ac:dyDescent="0.2"/>
    <row r="444" s="82" customFormat="1" x14ac:dyDescent="0.2"/>
    <row r="445" s="82" customFormat="1" x14ac:dyDescent="0.2"/>
    <row r="446" s="82" customFormat="1" x14ac:dyDescent="0.2"/>
    <row r="447" s="82" customFormat="1" x14ac:dyDescent="0.2"/>
    <row r="448" s="82" customFormat="1" x14ac:dyDescent="0.2"/>
    <row r="449" s="82" customFormat="1" x14ac:dyDescent="0.2"/>
    <row r="450" s="82" customFormat="1" x14ac:dyDescent="0.2"/>
    <row r="451" s="82" customFormat="1" x14ac:dyDescent="0.2"/>
    <row r="452" s="82" customFormat="1" x14ac:dyDescent="0.2"/>
    <row r="453" s="82" customFormat="1" x14ac:dyDescent="0.2"/>
    <row r="454" s="82" customFormat="1" x14ac:dyDescent="0.2"/>
    <row r="455" s="82" customFormat="1" x14ac:dyDescent="0.2"/>
    <row r="456" s="82" customFormat="1" x14ac:dyDescent="0.2"/>
    <row r="457" s="82" customFormat="1" x14ac:dyDescent="0.2"/>
    <row r="458" s="82" customFormat="1" x14ac:dyDescent="0.2"/>
    <row r="459" s="82" customFormat="1" x14ac:dyDescent="0.2"/>
    <row r="460" s="82" customFormat="1" x14ac:dyDescent="0.2"/>
    <row r="461" s="82" customFormat="1" x14ac:dyDescent="0.2"/>
    <row r="462" s="82" customFormat="1" x14ac:dyDescent="0.2"/>
    <row r="463" s="82" customFormat="1" x14ac:dyDescent="0.2"/>
    <row r="464" s="82" customFormat="1" x14ac:dyDescent="0.2"/>
    <row r="465" s="82" customFormat="1" x14ac:dyDescent="0.2"/>
    <row r="466" s="82" customFormat="1" x14ac:dyDescent="0.2"/>
    <row r="467" s="82" customFormat="1" x14ac:dyDescent="0.2"/>
    <row r="468" s="82" customFormat="1" x14ac:dyDescent="0.2"/>
    <row r="469" s="82" customFormat="1" x14ac:dyDescent="0.2"/>
    <row r="470" s="82" customFormat="1" x14ac:dyDescent="0.2"/>
    <row r="471" s="82" customFormat="1" x14ac:dyDescent="0.2"/>
    <row r="472" s="82" customFormat="1" x14ac:dyDescent="0.2"/>
    <row r="473" s="82" customFormat="1" x14ac:dyDescent="0.2"/>
    <row r="474" s="82" customFormat="1" x14ac:dyDescent="0.2"/>
    <row r="475" s="82" customFormat="1" x14ac:dyDescent="0.2"/>
    <row r="476" s="82" customFormat="1" x14ac:dyDescent="0.2"/>
    <row r="477" s="82" customFormat="1" x14ac:dyDescent="0.2"/>
    <row r="478" s="82" customFormat="1" x14ac:dyDescent="0.2"/>
    <row r="479" s="82" customFormat="1" x14ac:dyDescent="0.2"/>
    <row r="480" s="82" customFormat="1" x14ac:dyDescent="0.2"/>
    <row r="481" s="82" customFormat="1" x14ac:dyDescent="0.2"/>
    <row r="482" s="82" customFormat="1" x14ac:dyDescent="0.2"/>
    <row r="483" s="82" customFormat="1" x14ac:dyDescent="0.2"/>
    <row r="484" s="82" customFormat="1" x14ac:dyDescent="0.2"/>
    <row r="485" s="82" customFormat="1" x14ac:dyDescent="0.2"/>
    <row r="486" s="82" customFormat="1" x14ac:dyDescent="0.2"/>
    <row r="487" s="82" customFormat="1" x14ac:dyDescent="0.2"/>
    <row r="488" s="82" customFormat="1" x14ac:dyDescent="0.2"/>
    <row r="489" s="82" customFormat="1" x14ac:dyDescent="0.2"/>
    <row r="490" s="82" customFormat="1" x14ac:dyDescent="0.2"/>
    <row r="491" s="82" customFormat="1" x14ac:dyDescent="0.2"/>
    <row r="492" s="82" customFormat="1" x14ac:dyDescent="0.2"/>
    <row r="493" s="82" customFormat="1" x14ac:dyDescent="0.2"/>
    <row r="494" s="82" customFormat="1" x14ac:dyDescent="0.2"/>
    <row r="495" s="82" customFormat="1" x14ac:dyDescent="0.2"/>
    <row r="496" s="82" customFormat="1" x14ac:dyDescent="0.2"/>
    <row r="497" s="82" customFormat="1" x14ac:dyDescent="0.2"/>
    <row r="498" s="82" customFormat="1" x14ac:dyDescent="0.2"/>
    <row r="499" s="82" customFormat="1" x14ac:dyDescent="0.2"/>
    <row r="500" s="82" customFormat="1" x14ac:dyDescent="0.2"/>
  </sheetData>
  <mergeCells count="12">
    <mergeCell ref="P9:R10"/>
    <mergeCell ref="A3:C3"/>
    <mergeCell ref="A4:B4"/>
    <mergeCell ref="A5:B5"/>
    <mergeCell ref="A7:B7"/>
    <mergeCell ref="A6:B6"/>
    <mergeCell ref="N10:N11"/>
    <mergeCell ref="A9:E10"/>
    <mergeCell ref="M10:M11"/>
    <mergeCell ref="G10:G11"/>
    <mergeCell ref="G9:N9"/>
    <mergeCell ref="I10:J10"/>
  </mergeCells>
  <pageMargins left="0.25" right="0.25" top="0.75" bottom="0.75" header="0.3" footer="0.3"/>
  <pageSetup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B50"/>
  <sheetViews>
    <sheetView zoomScale="85" zoomScaleNormal="85" workbookViewId="0">
      <selection activeCell="C11" sqref="C11"/>
    </sheetView>
  </sheetViews>
  <sheetFormatPr defaultRowHeight="12.75" x14ac:dyDescent="0.2"/>
  <cols>
    <col min="4" max="4" width="10.7109375" bestFit="1" customWidth="1"/>
    <col min="6" max="6" width="10.7109375" customWidth="1"/>
    <col min="7" max="7" width="14.5703125" customWidth="1"/>
  </cols>
  <sheetData>
    <row r="1" spans="1:28" x14ac:dyDescent="0.2">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row>
    <row r="2" spans="1:28" ht="13.5" thickBot="1" x14ac:dyDescent="0.25">
      <c r="A2" s="383" t="s">
        <v>6</v>
      </c>
      <c r="B2" s="384"/>
      <c r="C2" s="384"/>
      <c r="D2" s="385"/>
      <c r="E2" s="82"/>
      <c r="F2" s="374" t="s">
        <v>194</v>
      </c>
      <c r="G2" s="375"/>
      <c r="H2" s="82"/>
      <c r="I2" s="82"/>
      <c r="J2" s="82"/>
      <c r="K2" s="82"/>
      <c r="L2" s="82"/>
      <c r="M2" s="82"/>
      <c r="N2" s="82"/>
      <c r="O2" s="82"/>
      <c r="P2" s="82"/>
      <c r="Q2" s="82"/>
      <c r="R2" s="82"/>
      <c r="S2" s="82"/>
      <c r="T2" s="82"/>
      <c r="U2" s="82"/>
      <c r="V2" s="82"/>
      <c r="W2" s="82"/>
      <c r="X2" s="82"/>
      <c r="Y2" s="82"/>
      <c r="Z2" s="82"/>
      <c r="AA2" s="82"/>
      <c r="AB2" s="82"/>
    </row>
    <row r="3" spans="1:28" ht="14.25" thickTop="1" thickBot="1" x14ac:dyDescent="0.25">
      <c r="A3" s="267">
        <v>0</v>
      </c>
      <c r="B3" s="267">
        <v>2019</v>
      </c>
      <c r="C3" s="44">
        <v>1</v>
      </c>
      <c r="D3" s="69">
        <v>1</v>
      </c>
      <c r="E3" s="82"/>
      <c r="F3" s="327" t="s">
        <v>195</v>
      </c>
      <c r="G3" s="328" t="s">
        <v>196</v>
      </c>
      <c r="H3" s="82"/>
      <c r="I3" s="82"/>
      <c r="J3" s="82"/>
      <c r="K3" s="82"/>
      <c r="L3" s="82"/>
      <c r="M3" s="82"/>
      <c r="N3" s="82"/>
      <c r="O3" s="82"/>
      <c r="P3" s="82"/>
      <c r="Q3" s="82"/>
      <c r="R3" s="82"/>
      <c r="S3" s="82"/>
      <c r="T3" s="82"/>
      <c r="U3" s="82"/>
      <c r="V3" s="82"/>
      <c r="W3" s="82"/>
      <c r="X3" s="82"/>
      <c r="Y3" s="82"/>
      <c r="Z3" s="82"/>
      <c r="AA3" s="82"/>
      <c r="AB3" s="82"/>
    </row>
    <row r="4" spans="1:28" ht="13.5" thickTop="1" x14ac:dyDescent="0.2">
      <c r="A4" s="267">
        <f t="shared" ref="A4:A42" si="0">A3+1</f>
        <v>1</v>
      </c>
      <c r="B4" s="267">
        <f t="shared" ref="B4:B42" si="1">B3+1</f>
        <v>2020</v>
      </c>
      <c r="C4" s="44">
        <f>1/(1+$C$43)^A4</f>
        <v>0.93457943925233644</v>
      </c>
      <c r="D4" s="69">
        <f>1/(1+$D$43)^A4</f>
        <v>0.970873786407767</v>
      </c>
      <c r="E4" s="82"/>
      <c r="F4" s="267">
        <v>2002</v>
      </c>
      <c r="G4" s="333">
        <v>1.3851</v>
      </c>
      <c r="H4" s="82"/>
      <c r="I4" s="82"/>
      <c r="J4" s="82"/>
      <c r="K4" s="82"/>
      <c r="L4" s="82"/>
      <c r="M4" s="82"/>
      <c r="N4" s="82"/>
      <c r="O4" s="82"/>
      <c r="P4" s="82"/>
      <c r="Q4" s="82"/>
      <c r="R4" s="82"/>
      <c r="S4" s="82"/>
      <c r="T4" s="82"/>
      <c r="U4" s="82"/>
      <c r="V4" s="82"/>
      <c r="W4" s="82"/>
      <c r="X4" s="82"/>
      <c r="Y4" s="82"/>
      <c r="Z4" s="82"/>
      <c r="AA4" s="82"/>
      <c r="AB4" s="82"/>
    </row>
    <row r="5" spans="1:28" x14ac:dyDescent="0.2">
      <c r="A5" s="267">
        <f t="shared" si="0"/>
        <v>2</v>
      </c>
      <c r="B5" s="267">
        <f t="shared" si="1"/>
        <v>2021</v>
      </c>
      <c r="C5" s="44">
        <f t="shared" ref="C5:C24" si="2">1/(1+$C$43)^A5</f>
        <v>0.87343872827321156</v>
      </c>
      <c r="D5" s="69">
        <f t="shared" ref="D5:D42" si="3">1/(1+$D$43)^A5</f>
        <v>0.94259590913375435</v>
      </c>
      <c r="E5" s="82"/>
      <c r="F5" s="267">
        <f t="shared" ref="F5:F21" si="4">F4+1</f>
        <v>2003</v>
      </c>
      <c r="G5" s="333">
        <v>1.3597999999999999</v>
      </c>
      <c r="H5" s="82"/>
      <c r="I5" s="82"/>
      <c r="J5" s="82"/>
      <c r="K5" s="82"/>
      <c r="L5" s="82"/>
      <c r="M5" s="82"/>
      <c r="N5" s="82"/>
      <c r="O5" s="82"/>
      <c r="P5" s="82"/>
      <c r="Q5" s="82"/>
      <c r="R5" s="82"/>
      <c r="S5" s="82"/>
      <c r="T5" s="82"/>
      <c r="U5" s="82"/>
      <c r="V5" s="82"/>
      <c r="W5" s="82"/>
      <c r="X5" s="82"/>
      <c r="Y5" s="82"/>
      <c r="Z5" s="82"/>
      <c r="AA5" s="82"/>
      <c r="AB5" s="82"/>
    </row>
    <row r="6" spans="1:28" x14ac:dyDescent="0.2">
      <c r="A6" s="267">
        <f t="shared" si="0"/>
        <v>3</v>
      </c>
      <c r="B6" s="267">
        <f t="shared" si="1"/>
        <v>2022</v>
      </c>
      <c r="C6" s="44">
        <f t="shared" si="2"/>
        <v>0.81629787689085187</v>
      </c>
      <c r="D6" s="69">
        <f t="shared" si="3"/>
        <v>0.91514165935315961</v>
      </c>
      <c r="E6" s="82"/>
      <c r="F6" s="267">
        <f t="shared" si="4"/>
        <v>2004</v>
      </c>
      <c r="G6" s="333">
        <v>1.3242</v>
      </c>
      <c r="H6" s="82"/>
      <c r="I6" s="82"/>
      <c r="J6" s="82"/>
      <c r="K6" s="82"/>
      <c r="L6" s="82"/>
      <c r="M6" s="82"/>
      <c r="N6" s="82"/>
      <c r="O6" s="82"/>
      <c r="P6" s="82"/>
      <c r="Q6" s="82"/>
      <c r="R6" s="82"/>
      <c r="S6" s="82"/>
      <c r="T6" s="82"/>
      <c r="U6" s="82"/>
      <c r="V6" s="82"/>
      <c r="W6" s="82"/>
      <c r="X6" s="82"/>
      <c r="Y6" s="82"/>
      <c r="Z6" s="82"/>
      <c r="AA6" s="82"/>
      <c r="AB6" s="82"/>
    </row>
    <row r="7" spans="1:28" x14ac:dyDescent="0.2">
      <c r="A7" s="267">
        <f t="shared" si="0"/>
        <v>4</v>
      </c>
      <c r="B7" s="267">
        <f t="shared" si="1"/>
        <v>2023</v>
      </c>
      <c r="C7" s="44">
        <f t="shared" si="2"/>
        <v>0.7628952120475252</v>
      </c>
      <c r="D7" s="69">
        <f t="shared" si="3"/>
        <v>0.888487047915689</v>
      </c>
      <c r="E7" s="82"/>
      <c r="F7" s="267">
        <f t="shared" si="4"/>
        <v>2005</v>
      </c>
      <c r="G7" s="333">
        <v>1.2842</v>
      </c>
      <c r="H7" s="82"/>
      <c r="I7" s="82"/>
      <c r="J7" s="82"/>
      <c r="K7" s="82"/>
      <c r="L7" s="82"/>
      <c r="M7" s="82"/>
      <c r="N7" s="82"/>
      <c r="O7" s="82"/>
      <c r="P7" s="82"/>
      <c r="Q7" s="82"/>
      <c r="R7" s="82"/>
      <c r="S7" s="82"/>
      <c r="T7" s="82"/>
      <c r="U7" s="82"/>
      <c r="V7" s="82"/>
      <c r="W7" s="82"/>
      <c r="X7" s="82"/>
      <c r="Y7" s="82"/>
      <c r="Z7" s="82"/>
      <c r="AA7" s="82"/>
      <c r="AB7" s="82"/>
    </row>
    <row r="8" spans="1:28" x14ac:dyDescent="0.2">
      <c r="A8" s="267">
        <f t="shared" si="0"/>
        <v>5</v>
      </c>
      <c r="B8" s="267">
        <f t="shared" si="1"/>
        <v>2024</v>
      </c>
      <c r="C8" s="44">
        <f t="shared" si="2"/>
        <v>0.71298617948366838</v>
      </c>
      <c r="D8" s="69">
        <f t="shared" si="3"/>
        <v>0.86260878438416411</v>
      </c>
      <c r="E8" s="82"/>
      <c r="F8" s="267">
        <f t="shared" si="4"/>
        <v>2006</v>
      </c>
      <c r="G8" s="334">
        <v>1.2464999999999999</v>
      </c>
      <c r="H8" s="82"/>
      <c r="I8" s="82"/>
      <c r="J8" s="82"/>
      <c r="K8" s="82"/>
      <c r="L8" s="82"/>
      <c r="M8" s="82"/>
      <c r="N8" s="82"/>
      <c r="O8" s="82"/>
      <c r="P8" s="82"/>
      <c r="Q8" s="82"/>
      <c r="R8" s="82"/>
      <c r="S8" s="82"/>
      <c r="T8" s="82"/>
      <c r="U8" s="82"/>
      <c r="V8" s="82"/>
      <c r="W8" s="82"/>
      <c r="X8" s="82"/>
      <c r="Y8" s="82"/>
      <c r="Z8" s="82"/>
      <c r="AA8" s="82"/>
      <c r="AB8" s="82"/>
    </row>
    <row r="9" spans="1:28" x14ac:dyDescent="0.2">
      <c r="A9" s="267">
        <f t="shared" si="0"/>
        <v>6</v>
      </c>
      <c r="B9" s="267">
        <f t="shared" si="1"/>
        <v>2025</v>
      </c>
      <c r="C9" s="44">
        <f t="shared" si="2"/>
        <v>0.66634222381651254</v>
      </c>
      <c r="D9" s="69">
        <f t="shared" si="3"/>
        <v>0.83748425668365445</v>
      </c>
      <c r="E9" s="82"/>
      <c r="F9" s="267">
        <f t="shared" si="4"/>
        <v>2007</v>
      </c>
      <c r="G9" s="333">
        <v>1.2139</v>
      </c>
      <c r="H9" s="82"/>
      <c r="I9" s="82"/>
      <c r="J9" s="82"/>
      <c r="K9" s="82"/>
      <c r="L9" s="82"/>
      <c r="M9" s="82"/>
      <c r="N9" s="82"/>
      <c r="O9" s="82"/>
      <c r="P9" s="82"/>
      <c r="Q9" s="82"/>
      <c r="R9" s="82"/>
      <c r="S9" s="82"/>
      <c r="T9" s="82"/>
      <c r="U9" s="82"/>
      <c r="V9" s="82"/>
      <c r="W9" s="82"/>
      <c r="X9" s="82"/>
      <c r="Y9" s="82"/>
      <c r="Z9" s="82"/>
      <c r="AA9" s="82"/>
      <c r="AB9" s="82"/>
    </row>
    <row r="10" spans="1:28" x14ac:dyDescent="0.2">
      <c r="A10" s="267">
        <f t="shared" si="0"/>
        <v>7</v>
      </c>
      <c r="B10" s="267">
        <f t="shared" si="1"/>
        <v>2026</v>
      </c>
      <c r="C10" s="44">
        <f t="shared" si="2"/>
        <v>0.62274974188459109</v>
      </c>
      <c r="D10" s="69">
        <f t="shared" si="3"/>
        <v>0.81309151134335378</v>
      </c>
      <c r="E10" s="82"/>
      <c r="F10" s="267">
        <f t="shared" si="4"/>
        <v>2008</v>
      </c>
      <c r="G10" s="333">
        <v>1.1907000000000001</v>
      </c>
      <c r="H10" s="82"/>
      <c r="I10" s="82"/>
      <c r="J10" s="82"/>
      <c r="K10" s="82"/>
      <c r="L10" s="82"/>
      <c r="M10" s="82"/>
      <c r="N10" s="82"/>
      <c r="O10" s="82"/>
      <c r="P10" s="82"/>
      <c r="Q10" s="82"/>
      <c r="R10" s="82"/>
      <c r="S10" s="82"/>
      <c r="T10" s="82"/>
      <c r="U10" s="82"/>
      <c r="V10" s="82"/>
      <c r="W10" s="82"/>
      <c r="X10" s="82"/>
      <c r="Y10" s="82"/>
      <c r="Z10" s="82"/>
      <c r="AA10" s="82"/>
      <c r="AB10" s="82"/>
    </row>
    <row r="11" spans="1:28" x14ac:dyDescent="0.2">
      <c r="A11" s="267">
        <f t="shared" si="0"/>
        <v>8</v>
      </c>
      <c r="B11" s="267">
        <f t="shared" si="1"/>
        <v>2027</v>
      </c>
      <c r="C11" s="44">
        <f t="shared" si="2"/>
        <v>0.5820091045650384</v>
      </c>
      <c r="D11" s="69">
        <f t="shared" si="3"/>
        <v>0.78940923431393573</v>
      </c>
      <c r="E11" s="82"/>
      <c r="F11" s="267">
        <f t="shared" si="4"/>
        <v>2009</v>
      </c>
      <c r="G11" s="333">
        <v>1.1817</v>
      </c>
      <c r="H11" s="82"/>
      <c r="I11" s="82"/>
      <c r="J11" s="82"/>
      <c r="K11" s="82"/>
      <c r="L11" s="82"/>
      <c r="M11" s="82"/>
      <c r="N11" s="82"/>
      <c r="O11" s="82"/>
      <c r="P11" s="82"/>
      <c r="Q11" s="82"/>
      <c r="R11" s="82"/>
      <c r="S11" s="82"/>
      <c r="T11" s="82"/>
      <c r="U11" s="82"/>
      <c r="V11" s="82"/>
      <c r="W11" s="82"/>
      <c r="X11" s="82"/>
      <c r="Y11" s="82"/>
      <c r="Z11" s="82"/>
      <c r="AA11" s="82"/>
      <c r="AB11" s="82"/>
    </row>
    <row r="12" spans="1:28" x14ac:dyDescent="0.2">
      <c r="A12" s="267">
        <f t="shared" si="0"/>
        <v>9</v>
      </c>
      <c r="B12" s="267">
        <f t="shared" si="1"/>
        <v>2028</v>
      </c>
      <c r="C12" s="44">
        <f t="shared" si="2"/>
        <v>0.54393374258414806</v>
      </c>
      <c r="D12" s="69">
        <f t="shared" si="3"/>
        <v>0.76641673234362695</v>
      </c>
      <c r="E12" s="82"/>
      <c r="F12" s="267">
        <f t="shared" si="4"/>
        <v>2010</v>
      </c>
      <c r="G12" s="333">
        <v>1.1680999999999999</v>
      </c>
      <c r="H12" s="82"/>
      <c r="I12" s="82"/>
      <c r="J12" s="82"/>
      <c r="K12" s="82"/>
      <c r="L12" s="82"/>
      <c r="M12" s="82"/>
      <c r="N12" s="82"/>
      <c r="O12" s="82"/>
      <c r="P12" s="82"/>
      <c r="Q12" s="82"/>
      <c r="R12" s="82"/>
      <c r="S12" s="82"/>
      <c r="T12" s="82"/>
      <c r="U12" s="82"/>
      <c r="V12" s="82"/>
      <c r="W12" s="82"/>
      <c r="X12" s="82"/>
      <c r="Y12" s="82"/>
      <c r="Z12" s="82"/>
      <c r="AA12" s="82"/>
      <c r="AB12" s="82"/>
    </row>
    <row r="13" spans="1:28" x14ac:dyDescent="0.2">
      <c r="A13" s="267">
        <f t="shared" si="0"/>
        <v>10</v>
      </c>
      <c r="B13" s="267">
        <f t="shared" si="1"/>
        <v>2029</v>
      </c>
      <c r="C13" s="44">
        <f t="shared" si="2"/>
        <v>0.5083492921347178</v>
      </c>
      <c r="D13" s="69">
        <f t="shared" si="3"/>
        <v>0.74409391489672516</v>
      </c>
      <c r="E13" s="82"/>
      <c r="F13" s="267">
        <f t="shared" si="4"/>
        <v>2011</v>
      </c>
      <c r="G13" s="333">
        <v>1.1442000000000001</v>
      </c>
      <c r="H13" s="82"/>
      <c r="I13" s="82"/>
      <c r="J13" s="82"/>
      <c r="K13" s="82"/>
      <c r="L13" s="82"/>
      <c r="M13" s="82"/>
      <c r="N13" s="82"/>
      <c r="O13" s="82"/>
      <c r="P13" s="82"/>
      <c r="Q13" s="82"/>
      <c r="R13" s="82"/>
      <c r="S13" s="82"/>
      <c r="T13" s="82"/>
      <c r="U13" s="82"/>
      <c r="V13" s="82"/>
      <c r="W13" s="82"/>
      <c r="X13" s="82"/>
      <c r="Y13" s="82"/>
      <c r="Z13" s="82"/>
      <c r="AA13" s="82"/>
      <c r="AB13" s="82"/>
    </row>
    <row r="14" spans="1:28" x14ac:dyDescent="0.2">
      <c r="A14" s="267">
        <f t="shared" si="0"/>
        <v>11</v>
      </c>
      <c r="B14" s="267">
        <f t="shared" si="1"/>
        <v>2030</v>
      </c>
      <c r="C14" s="44">
        <f t="shared" si="2"/>
        <v>0.47509279638758667</v>
      </c>
      <c r="D14" s="69">
        <f t="shared" si="3"/>
        <v>0.72242127659876232</v>
      </c>
      <c r="E14" s="82"/>
      <c r="F14" s="267">
        <f t="shared" si="4"/>
        <v>2012</v>
      </c>
      <c r="G14" s="333">
        <v>1.1227</v>
      </c>
      <c r="H14" s="82"/>
      <c r="I14" s="82"/>
      <c r="J14" s="82"/>
      <c r="K14" s="82"/>
      <c r="L14" s="82"/>
      <c r="M14" s="82"/>
      <c r="N14" s="82"/>
      <c r="O14" s="82"/>
      <c r="P14" s="82"/>
      <c r="Q14" s="82"/>
      <c r="R14" s="82"/>
      <c r="S14" s="82"/>
      <c r="T14" s="82"/>
      <c r="U14" s="82"/>
      <c r="V14" s="82"/>
      <c r="W14" s="82"/>
      <c r="X14" s="82"/>
      <c r="Y14" s="82"/>
      <c r="Z14" s="82"/>
      <c r="AA14" s="82"/>
      <c r="AB14" s="82"/>
    </row>
    <row r="15" spans="1:28" x14ac:dyDescent="0.2">
      <c r="A15" s="267">
        <f t="shared" si="0"/>
        <v>12</v>
      </c>
      <c r="B15" s="267">
        <f t="shared" si="1"/>
        <v>2031</v>
      </c>
      <c r="C15" s="44">
        <f t="shared" si="2"/>
        <v>0.44401195924073528</v>
      </c>
      <c r="D15" s="69">
        <f t="shared" si="3"/>
        <v>0.70137988019297326</v>
      </c>
      <c r="E15" s="82"/>
      <c r="F15" s="267">
        <f t="shared" si="4"/>
        <v>2013</v>
      </c>
      <c r="G15" s="333">
        <v>1.1032999999999999</v>
      </c>
      <c r="H15" s="82"/>
      <c r="I15" s="82"/>
      <c r="J15" s="82"/>
      <c r="K15" s="82"/>
      <c r="L15" s="82"/>
      <c r="M15" s="82"/>
      <c r="N15" s="82"/>
      <c r="O15" s="82"/>
      <c r="P15" s="82"/>
      <c r="Q15" s="82"/>
      <c r="R15" s="82"/>
      <c r="S15" s="82"/>
      <c r="T15" s="82"/>
      <c r="U15" s="82"/>
      <c r="V15" s="82"/>
      <c r="W15" s="82"/>
      <c r="X15" s="82"/>
      <c r="Y15" s="82"/>
      <c r="Z15" s="82"/>
      <c r="AA15" s="82"/>
      <c r="AB15" s="82"/>
    </row>
    <row r="16" spans="1:28" x14ac:dyDescent="0.2">
      <c r="A16" s="267">
        <f t="shared" si="0"/>
        <v>13</v>
      </c>
      <c r="B16" s="267">
        <f t="shared" si="1"/>
        <v>2032</v>
      </c>
      <c r="C16" s="44">
        <f t="shared" si="2"/>
        <v>0.41496444788853759</v>
      </c>
      <c r="D16" s="69">
        <f t="shared" si="3"/>
        <v>0.68095133999317792</v>
      </c>
      <c r="E16" s="82"/>
      <c r="F16" s="267">
        <f t="shared" si="4"/>
        <v>2014</v>
      </c>
      <c r="G16" s="333">
        <v>1.0831999999999999</v>
      </c>
      <c r="H16" s="82"/>
      <c r="I16" s="82"/>
      <c r="J16" s="82"/>
      <c r="K16" s="82"/>
      <c r="L16" s="82"/>
      <c r="M16" s="82"/>
      <c r="N16" s="82"/>
      <c r="O16" s="82"/>
      <c r="P16" s="82"/>
      <c r="Q16" s="82"/>
      <c r="R16" s="82"/>
      <c r="S16" s="82"/>
      <c r="T16" s="82"/>
      <c r="U16" s="82"/>
      <c r="V16" s="82"/>
      <c r="W16" s="82"/>
      <c r="X16" s="82"/>
      <c r="Y16" s="82"/>
      <c r="Z16" s="82"/>
      <c r="AA16" s="82"/>
      <c r="AB16" s="82"/>
    </row>
    <row r="17" spans="1:28" x14ac:dyDescent="0.2">
      <c r="A17" s="267">
        <f t="shared" si="0"/>
        <v>14</v>
      </c>
      <c r="B17" s="267">
        <f t="shared" si="1"/>
        <v>2033</v>
      </c>
      <c r="C17" s="44">
        <f t="shared" si="2"/>
        <v>0.3878172410173249</v>
      </c>
      <c r="D17" s="69">
        <f t="shared" si="3"/>
        <v>0.66111780581861923</v>
      </c>
      <c r="E17" s="82"/>
      <c r="F17" s="267">
        <f t="shared" si="4"/>
        <v>2015</v>
      </c>
      <c r="G17" s="333">
        <v>1.073</v>
      </c>
      <c r="H17" s="82"/>
      <c r="I17" s="82"/>
      <c r="J17" s="82"/>
      <c r="K17" s="82"/>
      <c r="L17" s="82"/>
      <c r="M17" s="82"/>
      <c r="N17" s="82"/>
      <c r="O17" s="82"/>
      <c r="P17" s="82"/>
      <c r="Q17" s="82"/>
      <c r="R17" s="82"/>
      <c r="S17" s="82"/>
      <c r="T17" s="82"/>
      <c r="U17" s="82"/>
      <c r="V17" s="82"/>
      <c r="W17" s="82"/>
      <c r="X17" s="82"/>
      <c r="Y17" s="82"/>
      <c r="Z17" s="82"/>
      <c r="AA17" s="82"/>
      <c r="AB17" s="82"/>
    </row>
    <row r="18" spans="1:28" x14ac:dyDescent="0.2">
      <c r="A18" s="267">
        <f t="shared" si="0"/>
        <v>15</v>
      </c>
      <c r="B18" s="267">
        <f t="shared" si="1"/>
        <v>2034</v>
      </c>
      <c r="C18" s="44">
        <f t="shared" si="2"/>
        <v>0.36244601964235967</v>
      </c>
      <c r="D18" s="69">
        <f t="shared" si="3"/>
        <v>0.64186194739671765</v>
      </c>
      <c r="E18" s="82"/>
      <c r="F18" s="267">
        <f t="shared" si="4"/>
        <v>2016</v>
      </c>
      <c r="G18" s="333">
        <v>1.0619000000000001</v>
      </c>
      <c r="H18" s="82"/>
      <c r="I18" s="82"/>
      <c r="J18" s="82"/>
      <c r="K18" s="82"/>
      <c r="L18" s="82"/>
      <c r="M18" s="82"/>
      <c r="N18" s="82"/>
      <c r="O18" s="82"/>
      <c r="P18" s="82"/>
      <c r="Q18" s="82"/>
      <c r="R18" s="82"/>
      <c r="S18" s="82"/>
      <c r="T18" s="82"/>
      <c r="U18" s="82"/>
      <c r="V18" s="82"/>
      <c r="W18" s="82"/>
      <c r="X18" s="82"/>
      <c r="Y18" s="82"/>
      <c r="Z18" s="82"/>
      <c r="AA18" s="82"/>
      <c r="AB18" s="82"/>
    </row>
    <row r="19" spans="1:28" x14ac:dyDescent="0.2">
      <c r="A19" s="267">
        <f t="shared" si="0"/>
        <v>16</v>
      </c>
      <c r="B19" s="267">
        <f t="shared" si="1"/>
        <v>2035</v>
      </c>
      <c r="C19" s="44">
        <f t="shared" si="2"/>
        <v>0.33873459779659787</v>
      </c>
      <c r="D19" s="69">
        <f t="shared" si="3"/>
        <v>0.62316693922011435</v>
      </c>
      <c r="E19" s="82"/>
      <c r="F19" s="267">
        <f t="shared" si="4"/>
        <v>2017</v>
      </c>
      <c r="G19" s="333">
        <v>1.0423</v>
      </c>
      <c r="H19" s="82"/>
      <c r="I19" s="82"/>
      <c r="J19" s="82"/>
      <c r="K19" s="82"/>
      <c r="L19" s="82"/>
      <c r="M19" s="82"/>
      <c r="N19" s="82"/>
      <c r="O19" s="82"/>
      <c r="P19" s="82"/>
      <c r="Q19" s="82"/>
      <c r="R19" s="82"/>
      <c r="S19" s="82"/>
      <c r="T19" s="82"/>
      <c r="U19" s="82"/>
      <c r="V19" s="82"/>
      <c r="W19" s="82"/>
      <c r="X19" s="82"/>
      <c r="Y19" s="82"/>
      <c r="Z19" s="82"/>
      <c r="AA19" s="82"/>
      <c r="AB19" s="82"/>
    </row>
    <row r="20" spans="1:28" x14ac:dyDescent="0.2">
      <c r="A20" s="267">
        <f t="shared" si="0"/>
        <v>17</v>
      </c>
      <c r="B20" s="267">
        <f t="shared" si="1"/>
        <v>2036</v>
      </c>
      <c r="C20" s="44">
        <f t="shared" si="2"/>
        <v>0.31657439046411018</v>
      </c>
      <c r="D20" s="69">
        <f t="shared" si="3"/>
        <v>0.60501644584477121</v>
      </c>
      <c r="E20" s="82"/>
      <c r="F20" s="267">
        <f t="shared" si="4"/>
        <v>2018</v>
      </c>
      <c r="G20" s="334">
        <v>1.0179</v>
      </c>
      <c r="H20" s="82"/>
      <c r="I20" s="82"/>
      <c r="J20" s="82"/>
      <c r="K20" s="82"/>
      <c r="L20" s="82"/>
      <c r="M20" s="82"/>
      <c r="N20" s="82"/>
      <c r="O20" s="82"/>
      <c r="P20" s="82"/>
      <c r="Q20" s="82"/>
      <c r="R20" s="82"/>
      <c r="S20" s="82"/>
      <c r="T20" s="82"/>
      <c r="U20" s="82"/>
      <c r="V20" s="82"/>
      <c r="W20" s="82"/>
      <c r="X20" s="82"/>
      <c r="Y20" s="82"/>
      <c r="Z20" s="82"/>
      <c r="AA20" s="82"/>
      <c r="AB20" s="82"/>
    </row>
    <row r="21" spans="1:28" x14ac:dyDescent="0.2">
      <c r="A21" s="267">
        <f t="shared" si="0"/>
        <v>18</v>
      </c>
      <c r="B21" s="267">
        <f t="shared" si="1"/>
        <v>2037</v>
      </c>
      <c r="C21" s="44">
        <f t="shared" si="2"/>
        <v>0.29586391632159825</v>
      </c>
      <c r="D21" s="69">
        <f t="shared" si="3"/>
        <v>0.5873946076162827</v>
      </c>
      <c r="E21" s="82"/>
      <c r="F21" s="267">
        <f t="shared" si="4"/>
        <v>2019</v>
      </c>
      <c r="G21" s="334">
        <v>1</v>
      </c>
      <c r="H21" s="82"/>
      <c r="I21" s="82"/>
      <c r="J21" s="82"/>
      <c r="K21" s="82"/>
      <c r="L21" s="82"/>
      <c r="M21" s="82"/>
      <c r="N21" s="82"/>
      <c r="O21" s="82"/>
      <c r="P21" s="82"/>
      <c r="Q21" s="82"/>
      <c r="R21" s="82"/>
      <c r="S21" s="82"/>
      <c r="T21" s="82"/>
      <c r="U21" s="82"/>
      <c r="V21" s="82"/>
      <c r="W21" s="82"/>
      <c r="X21" s="82"/>
      <c r="Y21" s="82"/>
      <c r="Z21" s="82"/>
      <c r="AA21" s="82"/>
      <c r="AB21" s="82"/>
    </row>
    <row r="22" spans="1:28" x14ac:dyDescent="0.2">
      <c r="A22" s="267">
        <f t="shared" si="0"/>
        <v>19</v>
      </c>
      <c r="B22" s="267">
        <f t="shared" si="1"/>
        <v>2038</v>
      </c>
      <c r="C22" s="44">
        <f t="shared" si="2"/>
        <v>0.27650833301083949</v>
      </c>
      <c r="D22" s="69">
        <f t="shared" si="3"/>
        <v>0.57028602681192497</v>
      </c>
      <c r="E22" s="82"/>
      <c r="F22" s="381" t="s">
        <v>289</v>
      </c>
      <c r="G22" s="382"/>
      <c r="H22" s="82"/>
      <c r="I22" s="82"/>
      <c r="J22" s="82"/>
      <c r="K22" s="82"/>
      <c r="L22" s="82"/>
      <c r="M22" s="82"/>
      <c r="N22" s="82"/>
      <c r="O22" s="82"/>
      <c r="P22" s="82"/>
      <c r="Q22" s="82"/>
      <c r="R22" s="82"/>
      <c r="S22" s="82"/>
      <c r="T22" s="82"/>
      <c r="U22" s="82"/>
      <c r="V22" s="82"/>
      <c r="W22" s="82"/>
      <c r="X22" s="82"/>
      <c r="Y22" s="82"/>
      <c r="Z22" s="82"/>
      <c r="AA22" s="82"/>
      <c r="AB22" s="82"/>
    </row>
    <row r="23" spans="1:28" x14ac:dyDescent="0.2">
      <c r="A23" s="267">
        <f t="shared" si="0"/>
        <v>20</v>
      </c>
      <c r="B23" s="267">
        <f t="shared" si="1"/>
        <v>2039</v>
      </c>
      <c r="C23" s="44">
        <f t="shared" si="2"/>
        <v>0.2584190028138687</v>
      </c>
      <c r="D23" s="69">
        <f t="shared" si="3"/>
        <v>0.55367575418633497</v>
      </c>
      <c r="E23" s="82"/>
      <c r="F23" s="82"/>
      <c r="G23" s="82"/>
      <c r="H23" s="82"/>
      <c r="I23" s="82"/>
      <c r="J23" s="82"/>
      <c r="K23" s="82"/>
      <c r="L23" s="82"/>
      <c r="M23" s="82"/>
      <c r="N23" s="82"/>
      <c r="O23" s="82"/>
      <c r="P23" s="82"/>
      <c r="Q23" s="82"/>
      <c r="R23" s="82"/>
      <c r="S23" s="82"/>
      <c r="T23" s="82"/>
      <c r="U23" s="82"/>
      <c r="V23" s="82"/>
      <c r="W23" s="82"/>
      <c r="X23" s="82"/>
      <c r="Y23" s="82"/>
      <c r="Z23" s="82"/>
      <c r="AA23" s="82"/>
      <c r="AB23" s="82"/>
    </row>
    <row r="24" spans="1:28" x14ac:dyDescent="0.2">
      <c r="A24" s="267">
        <f t="shared" si="0"/>
        <v>21</v>
      </c>
      <c r="B24" s="267">
        <f t="shared" si="1"/>
        <v>2040</v>
      </c>
      <c r="C24" s="44">
        <f t="shared" si="2"/>
        <v>0.24151308674193336</v>
      </c>
      <c r="D24" s="69">
        <f t="shared" si="3"/>
        <v>0.5375492759090631</v>
      </c>
      <c r="E24" s="82"/>
      <c r="F24" s="82"/>
      <c r="G24" s="82"/>
      <c r="H24" s="82"/>
      <c r="I24" s="82"/>
      <c r="J24" s="82"/>
      <c r="K24" s="82"/>
      <c r="L24" s="82"/>
      <c r="M24" s="82"/>
      <c r="N24" s="82"/>
      <c r="O24" s="82"/>
      <c r="P24" s="82"/>
      <c r="Q24" s="82"/>
      <c r="R24" s="82"/>
      <c r="S24" s="82"/>
      <c r="T24" s="82"/>
      <c r="U24" s="82"/>
      <c r="V24" s="82"/>
      <c r="W24" s="82"/>
      <c r="X24" s="82"/>
      <c r="Y24" s="82"/>
      <c r="Z24" s="82"/>
      <c r="AA24" s="82"/>
      <c r="AB24" s="82"/>
    </row>
    <row r="25" spans="1:28" x14ac:dyDescent="0.2">
      <c r="A25" s="267">
        <f t="shared" si="0"/>
        <v>22</v>
      </c>
      <c r="B25" s="267">
        <f t="shared" si="1"/>
        <v>2041</v>
      </c>
      <c r="C25" s="44">
        <f t="shared" ref="C25:C35" si="5">1/(1+$C$43)^A25</f>
        <v>0.22571316517937698</v>
      </c>
      <c r="D25" s="69">
        <f t="shared" si="3"/>
        <v>0.52189250088258554</v>
      </c>
      <c r="E25" s="82"/>
      <c r="F25" s="82"/>
      <c r="G25" s="82"/>
      <c r="H25" s="82"/>
      <c r="I25" s="82"/>
      <c r="J25" s="82"/>
      <c r="K25" s="82"/>
      <c r="L25" s="82"/>
      <c r="M25" s="82"/>
      <c r="N25" s="82"/>
      <c r="O25" s="82"/>
      <c r="P25" s="82"/>
      <c r="Q25" s="82"/>
      <c r="R25" s="82"/>
      <c r="S25" s="82"/>
      <c r="T25" s="82"/>
      <c r="U25" s="82"/>
      <c r="V25" s="82"/>
      <c r="W25" s="82"/>
      <c r="X25" s="82"/>
      <c r="Y25" s="82"/>
      <c r="Z25" s="82"/>
      <c r="AA25" s="82"/>
      <c r="AB25" s="82"/>
    </row>
    <row r="26" spans="1:28" x14ac:dyDescent="0.2">
      <c r="A26" s="267">
        <f t="shared" si="0"/>
        <v>23</v>
      </c>
      <c r="B26" s="267">
        <f t="shared" si="1"/>
        <v>2042</v>
      </c>
      <c r="C26" s="44">
        <f t="shared" si="5"/>
        <v>0.21094688334521211</v>
      </c>
      <c r="D26" s="69">
        <f t="shared" si="3"/>
        <v>0.50669174842969467</v>
      </c>
      <c r="E26" s="82"/>
      <c r="F26" s="82"/>
      <c r="G26" s="82"/>
      <c r="H26" s="82"/>
      <c r="I26" s="82"/>
      <c r="J26" s="82"/>
      <c r="K26" s="82"/>
      <c r="L26" s="82"/>
      <c r="M26" s="82"/>
      <c r="N26" s="82"/>
      <c r="O26" s="82"/>
      <c r="P26" s="82"/>
      <c r="Q26" s="82"/>
      <c r="R26" s="82"/>
      <c r="S26" s="82"/>
      <c r="T26" s="82"/>
      <c r="U26" s="82"/>
      <c r="V26" s="82"/>
      <c r="W26" s="82"/>
      <c r="X26" s="82"/>
      <c r="Y26" s="82"/>
      <c r="Z26" s="82"/>
      <c r="AA26" s="82"/>
      <c r="AB26" s="82"/>
    </row>
    <row r="27" spans="1:28" x14ac:dyDescent="0.2">
      <c r="A27" s="267">
        <f t="shared" si="0"/>
        <v>24</v>
      </c>
      <c r="B27" s="267">
        <f t="shared" si="1"/>
        <v>2043</v>
      </c>
      <c r="C27" s="44">
        <f t="shared" si="5"/>
        <v>0.19714661994879637</v>
      </c>
      <c r="D27" s="69">
        <f t="shared" si="3"/>
        <v>0.49193373633950943</v>
      </c>
      <c r="E27" s="82"/>
      <c r="F27" s="82"/>
      <c r="G27" s="82"/>
      <c r="H27" s="82"/>
      <c r="I27" s="82"/>
      <c r="J27" s="82"/>
      <c r="K27" s="82"/>
      <c r="L27" s="82"/>
      <c r="M27" s="82"/>
      <c r="N27" s="82"/>
      <c r="O27" s="82"/>
      <c r="P27" s="82"/>
      <c r="Q27" s="82"/>
      <c r="R27" s="82"/>
      <c r="S27" s="82"/>
      <c r="T27" s="82"/>
      <c r="U27" s="82"/>
      <c r="V27" s="82"/>
      <c r="W27" s="82"/>
      <c r="X27" s="82"/>
      <c r="Y27" s="82"/>
      <c r="Z27" s="82"/>
      <c r="AA27" s="82"/>
      <c r="AB27" s="82"/>
    </row>
    <row r="28" spans="1:28" x14ac:dyDescent="0.2">
      <c r="A28" s="267">
        <f t="shared" si="0"/>
        <v>25</v>
      </c>
      <c r="B28" s="267">
        <f t="shared" si="1"/>
        <v>2044</v>
      </c>
      <c r="C28" s="44">
        <f t="shared" si="5"/>
        <v>0.18424917752223957</v>
      </c>
      <c r="D28" s="69">
        <f t="shared" si="3"/>
        <v>0.47760556926165965</v>
      </c>
      <c r="E28" s="82"/>
      <c r="F28" s="82"/>
      <c r="G28" s="82"/>
      <c r="H28" s="82"/>
      <c r="I28" s="82"/>
      <c r="J28" s="82"/>
      <c r="K28" s="82"/>
      <c r="L28" s="82"/>
      <c r="M28" s="82"/>
      <c r="N28" s="82"/>
      <c r="O28" s="82"/>
      <c r="P28" s="82"/>
      <c r="Q28" s="82"/>
      <c r="R28" s="82"/>
      <c r="S28" s="82"/>
      <c r="T28" s="82"/>
      <c r="U28" s="82"/>
      <c r="V28" s="82"/>
      <c r="W28" s="82"/>
      <c r="X28" s="82"/>
      <c r="Y28" s="82"/>
      <c r="Z28" s="82"/>
      <c r="AA28" s="82"/>
      <c r="AB28" s="82"/>
    </row>
    <row r="29" spans="1:28" x14ac:dyDescent="0.2">
      <c r="A29" s="267">
        <f t="shared" si="0"/>
        <v>26</v>
      </c>
      <c r="B29" s="267">
        <f t="shared" si="1"/>
        <v>2045</v>
      </c>
      <c r="C29" s="44">
        <f t="shared" si="5"/>
        <v>0.17219549301143888</v>
      </c>
      <c r="D29" s="69">
        <f t="shared" si="3"/>
        <v>0.46369472743850448</v>
      </c>
      <c r="E29" s="82"/>
      <c r="F29" s="82"/>
      <c r="G29" s="82"/>
      <c r="H29" s="82"/>
      <c r="I29" s="82"/>
      <c r="J29" s="82"/>
      <c r="K29" s="82"/>
      <c r="L29" s="82"/>
      <c r="M29" s="82"/>
      <c r="N29" s="82"/>
      <c r="O29" s="82"/>
      <c r="P29" s="82"/>
      <c r="Q29" s="82"/>
      <c r="R29" s="82"/>
      <c r="S29" s="82"/>
      <c r="T29" s="82"/>
      <c r="U29" s="82"/>
      <c r="V29" s="82"/>
      <c r="W29" s="82"/>
      <c r="X29" s="82"/>
      <c r="Y29" s="82"/>
      <c r="Z29" s="82"/>
      <c r="AA29" s="82"/>
      <c r="AB29" s="82"/>
    </row>
    <row r="30" spans="1:28" x14ac:dyDescent="0.2">
      <c r="A30" s="267">
        <f t="shared" si="0"/>
        <v>27</v>
      </c>
      <c r="B30" s="267">
        <f t="shared" si="1"/>
        <v>2046</v>
      </c>
      <c r="C30" s="44">
        <f t="shared" si="5"/>
        <v>0.16093036730041013</v>
      </c>
      <c r="D30" s="69">
        <f t="shared" si="3"/>
        <v>0.45018905576553836</v>
      </c>
      <c r="E30" s="82"/>
      <c r="F30" s="82"/>
      <c r="G30" s="82"/>
      <c r="H30" s="82"/>
      <c r="I30" s="82"/>
      <c r="J30" s="82"/>
      <c r="K30" s="82"/>
      <c r="L30" s="82"/>
      <c r="M30" s="82"/>
      <c r="N30" s="82"/>
      <c r="O30" s="82"/>
      <c r="P30" s="82"/>
      <c r="Q30" s="82"/>
      <c r="R30" s="82"/>
      <c r="S30" s="82"/>
      <c r="T30" s="82"/>
      <c r="U30" s="82"/>
      <c r="V30" s="82"/>
      <c r="W30" s="82"/>
      <c r="X30" s="82"/>
      <c r="Y30" s="82"/>
      <c r="Z30" s="82"/>
      <c r="AA30" s="82"/>
      <c r="AB30" s="82"/>
    </row>
    <row r="31" spans="1:28" x14ac:dyDescent="0.2">
      <c r="A31" s="267">
        <f t="shared" si="0"/>
        <v>28</v>
      </c>
      <c r="B31" s="267">
        <f t="shared" si="1"/>
        <v>2047</v>
      </c>
      <c r="C31" s="44">
        <f t="shared" si="5"/>
        <v>0.15040221243028987</v>
      </c>
      <c r="D31" s="69">
        <f t="shared" si="3"/>
        <v>0.4370767531704256</v>
      </c>
      <c r="E31" s="82"/>
      <c r="F31" s="82"/>
      <c r="G31" s="82"/>
      <c r="H31" s="82"/>
      <c r="I31" s="82"/>
      <c r="J31" s="82"/>
      <c r="K31" s="82"/>
      <c r="L31" s="82"/>
      <c r="M31" s="82"/>
      <c r="N31" s="82"/>
      <c r="O31" s="82"/>
      <c r="P31" s="82"/>
      <c r="Q31" s="82"/>
      <c r="R31" s="82"/>
      <c r="S31" s="82"/>
      <c r="T31" s="82"/>
      <c r="U31" s="82"/>
      <c r="V31" s="82"/>
      <c r="W31" s="82"/>
      <c r="X31" s="82"/>
      <c r="Y31" s="82"/>
      <c r="Z31" s="82"/>
      <c r="AA31" s="82"/>
      <c r="AB31" s="82"/>
    </row>
    <row r="32" spans="1:28" x14ac:dyDescent="0.2">
      <c r="A32" s="267">
        <f t="shared" si="0"/>
        <v>29</v>
      </c>
      <c r="B32" s="267">
        <f t="shared" si="1"/>
        <v>2048</v>
      </c>
      <c r="C32" s="44">
        <f t="shared" si="5"/>
        <v>0.1405628153554111</v>
      </c>
      <c r="D32" s="69">
        <f t="shared" si="3"/>
        <v>0.42434636230138412</v>
      </c>
      <c r="E32" s="82"/>
      <c r="F32" s="82"/>
      <c r="G32" s="82"/>
      <c r="H32" s="82"/>
      <c r="I32" s="82"/>
      <c r="J32" s="82"/>
      <c r="K32" s="82"/>
      <c r="L32" s="82"/>
      <c r="M32" s="82"/>
      <c r="N32" s="82"/>
      <c r="O32" s="82"/>
      <c r="P32" s="82"/>
      <c r="Q32" s="82"/>
      <c r="R32" s="82"/>
      <c r="S32" s="82"/>
      <c r="T32" s="82"/>
      <c r="U32" s="82"/>
      <c r="V32" s="82"/>
      <c r="W32" s="82"/>
      <c r="X32" s="82"/>
      <c r="Y32" s="82"/>
      <c r="Z32" s="82"/>
      <c r="AA32" s="82"/>
      <c r="AB32" s="82"/>
    </row>
    <row r="33" spans="1:28" x14ac:dyDescent="0.2">
      <c r="A33" s="267">
        <f t="shared" si="0"/>
        <v>30</v>
      </c>
      <c r="B33" s="267">
        <f t="shared" si="1"/>
        <v>2049</v>
      </c>
      <c r="C33" s="44">
        <f t="shared" si="5"/>
        <v>0.13136711715458982</v>
      </c>
      <c r="D33" s="69">
        <f t="shared" si="3"/>
        <v>0.41198675951590691</v>
      </c>
      <c r="E33" s="82"/>
      <c r="F33" s="82"/>
      <c r="G33" s="82"/>
      <c r="H33" s="82"/>
      <c r="I33" s="82"/>
      <c r="J33" s="82"/>
      <c r="K33" s="82"/>
      <c r="L33" s="82"/>
      <c r="M33" s="82"/>
      <c r="N33" s="82"/>
      <c r="O33" s="82"/>
      <c r="P33" s="82"/>
      <c r="Q33" s="82"/>
      <c r="R33" s="82"/>
      <c r="S33" s="82"/>
      <c r="T33" s="82"/>
      <c r="U33" s="82"/>
      <c r="V33" s="82"/>
      <c r="W33" s="82"/>
      <c r="X33" s="82"/>
      <c r="Y33" s="82"/>
      <c r="Z33" s="82"/>
      <c r="AA33" s="82"/>
      <c r="AB33" s="82"/>
    </row>
    <row r="34" spans="1:28" x14ac:dyDescent="0.2">
      <c r="A34" s="267">
        <f t="shared" si="0"/>
        <v>31</v>
      </c>
      <c r="B34" s="267">
        <f t="shared" si="1"/>
        <v>2050</v>
      </c>
      <c r="C34" s="44">
        <f t="shared" si="5"/>
        <v>0.1227730066865325</v>
      </c>
      <c r="D34" s="69">
        <f t="shared" si="3"/>
        <v>0.39998714516107459</v>
      </c>
      <c r="E34" s="82"/>
      <c r="F34" s="82"/>
      <c r="G34" s="82"/>
      <c r="H34" s="82"/>
      <c r="I34" s="82"/>
      <c r="J34" s="82"/>
      <c r="K34" s="82"/>
      <c r="L34" s="82"/>
      <c r="M34" s="82"/>
      <c r="N34" s="82"/>
      <c r="O34" s="82"/>
      <c r="P34" s="82"/>
      <c r="Q34" s="82"/>
      <c r="R34" s="82"/>
      <c r="S34" s="82"/>
      <c r="T34" s="82"/>
      <c r="U34" s="82"/>
      <c r="V34" s="82"/>
      <c r="W34" s="82"/>
      <c r="X34" s="82"/>
      <c r="Y34" s="82"/>
      <c r="Z34" s="82"/>
      <c r="AA34" s="82"/>
      <c r="AB34" s="82"/>
    </row>
    <row r="35" spans="1:28" x14ac:dyDescent="0.2">
      <c r="A35" s="267">
        <f t="shared" si="0"/>
        <v>32</v>
      </c>
      <c r="B35" s="267">
        <f t="shared" si="1"/>
        <v>2051</v>
      </c>
      <c r="C35" s="44">
        <f t="shared" si="5"/>
        <v>0.11474112774442291</v>
      </c>
      <c r="D35" s="69">
        <f t="shared" si="3"/>
        <v>0.38833703413696569</v>
      </c>
      <c r="E35" s="82"/>
      <c r="F35" s="82"/>
      <c r="G35" s="82"/>
      <c r="H35" s="82"/>
      <c r="I35" s="82"/>
      <c r="J35" s="82"/>
      <c r="K35" s="82"/>
      <c r="L35" s="82"/>
      <c r="M35" s="82"/>
      <c r="N35" s="82"/>
      <c r="O35" s="82"/>
      <c r="P35" s="82"/>
      <c r="Q35" s="82"/>
      <c r="R35" s="82"/>
      <c r="S35" s="82"/>
      <c r="T35" s="82"/>
      <c r="U35" s="82"/>
      <c r="V35" s="82"/>
      <c r="W35" s="82"/>
      <c r="X35" s="82"/>
      <c r="Y35" s="82"/>
      <c r="Z35" s="82"/>
      <c r="AA35" s="82"/>
      <c r="AB35" s="82"/>
    </row>
    <row r="36" spans="1:28" x14ac:dyDescent="0.2">
      <c r="A36" s="267">
        <f t="shared" si="0"/>
        <v>33</v>
      </c>
      <c r="B36" s="267">
        <f t="shared" si="1"/>
        <v>2052</v>
      </c>
      <c r="C36" s="44">
        <f t="shared" ref="C36:C42" si="6">1/(1+$C$43)^A36</f>
        <v>0.10723469882656347</v>
      </c>
      <c r="D36" s="69">
        <f t="shared" si="3"/>
        <v>0.37702624673491814</v>
      </c>
      <c r="E36" s="82"/>
      <c r="F36" s="82"/>
      <c r="G36" s="82"/>
      <c r="H36" s="82"/>
      <c r="I36" s="82"/>
      <c r="J36" s="82"/>
      <c r="K36" s="82"/>
      <c r="L36" s="82"/>
      <c r="M36" s="82"/>
      <c r="N36" s="82"/>
      <c r="O36" s="82"/>
      <c r="P36" s="82"/>
      <c r="Q36" s="82"/>
      <c r="R36" s="82"/>
      <c r="S36" s="82"/>
      <c r="T36" s="82"/>
      <c r="U36" s="82"/>
      <c r="V36" s="82"/>
      <c r="W36" s="82"/>
      <c r="X36" s="82"/>
      <c r="Y36" s="82"/>
      <c r="Z36" s="82"/>
      <c r="AA36" s="82"/>
      <c r="AB36" s="82"/>
    </row>
    <row r="37" spans="1:28" x14ac:dyDescent="0.2">
      <c r="A37" s="267">
        <f t="shared" si="0"/>
        <v>34</v>
      </c>
      <c r="B37" s="267">
        <f t="shared" si="1"/>
        <v>2053</v>
      </c>
      <c r="C37" s="44">
        <f t="shared" si="6"/>
        <v>0.10021934469772288</v>
      </c>
      <c r="D37" s="69">
        <f t="shared" si="3"/>
        <v>0.36604489974263904</v>
      </c>
      <c r="E37" s="82"/>
      <c r="F37" s="82"/>
      <c r="G37" s="82"/>
      <c r="H37" s="82"/>
      <c r="I37" s="82"/>
      <c r="J37" s="82"/>
      <c r="K37" s="82"/>
      <c r="L37" s="82"/>
      <c r="M37" s="82"/>
      <c r="N37" s="82"/>
      <c r="O37" s="82"/>
      <c r="P37" s="82"/>
      <c r="Q37" s="82"/>
      <c r="R37" s="82"/>
      <c r="S37" s="82"/>
      <c r="T37" s="82"/>
      <c r="U37" s="82"/>
      <c r="V37" s="82"/>
      <c r="W37" s="82"/>
      <c r="X37" s="82"/>
      <c r="Y37" s="82"/>
      <c r="Z37" s="82"/>
      <c r="AA37" s="82"/>
      <c r="AB37" s="82"/>
    </row>
    <row r="38" spans="1:28" x14ac:dyDescent="0.2">
      <c r="A38" s="267">
        <f t="shared" si="0"/>
        <v>35</v>
      </c>
      <c r="B38" s="267">
        <f t="shared" si="1"/>
        <v>2054</v>
      </c>
      <c r="C38" s="44">
        <f t="shared" si="6"/>
        <v>9.366293896983445E-2</v>
      </c>
      <c r="D38" s="69">
        <f t="shared" si="3"/>
        <v>0.35538339780838735</v>
      </c>
      <c r="E38" s="82"/>
      <c r="F38" s="82"/>
      <c r="G38" s="82"/>
      <c r="H38" s="82"/>
      <c r="I38" s="82"/>
      <c r="J38" s="82"/>
      <c r="K38" s="82"/>
      <c r="L38" s="82"/>
      <c r="M38" s="82"/>
      <c r="N38" s="82"/>
      <c r="O38" s="82"/>
      <c r="P38" s="82"/>
      <c r="Q38" s="82"/>
      <c r="R38" s="82"/>
      <c r="S38" s="82"/>
      <c r="T38" s="82"/>
      <c r="U38" s="82"/>
      <c r="V38" s="82"/>
      <c r="W38" s="82"/>
      <c r="X38" s="82"/>
      <c r="Y38" s="82"/>
      <c r="Z38" s="82"/>
      <c r="AA38" s="82"/>
      <c r="AB38" s="82"/>
    </row>
    <row r="39" spans="1:28" x14ac:dyDescent="0.2">
      <c r="A39" s="267">
        <f t="shared" si="0"/>
        <v>36</v>
      </c>
      <c r="B39" s="267">
        <f t="shared" si="1"/>
        <v>2055</v>
      </c>
      <c r="C39" s="44">
        <f t="shared" si="6"/>
        <v>8.7535456981153698E-2</v>
      </c>
      <c r="D39" s="69">
        <f t="shared" si="3"/>
        <v>0.34503242505668674</v>
      </c>
      <c r="E39" s="82"/>
      <c r="F39" s="82"/>
      <c r="G39" s="82"/>
      <c r="H39" s="82"/>
      <c r="I39" s="82"/>
      <c r="J39" s="82"/>
      <c r="K39" s="82"/>
      <c r="L39" s="82"/>
      <c r="M39" s="82"/>
      <c r="N39" s="82"/>
      <c r="O39" s="82"/>
      <c r="P39" s="82"/>
      <c r="Q39" s="82"/>
      <c r="R39" s="82"/>
      <c r="S39" s="82"/>
      <c r="T39" s="82"/>
      <c r="U39" s="82"/>
      <c r="V39" s="82"/>
      <c r="W39" s="82"/>
      <c r="X39" s="82"/>
      <c r="Y39" s="82"/>
      <c r="Z39" s="82"/>
      <c r="AA39" s="82"/>
      <c r="AB39" s="82"/>
    </row>
    <row r="40" spans="1:28" x14ac:dyDescent="0.2">
      <c r="A40" s="267">
        <f t="shared" si="0"/>
        <v>37</v>
      </c>
      <c r="B40" s="267">
        <f t="shared" si="1"/>
        <v>2056</v>
      </c>
      <c r="C40" s="44">
        <f t="shared" si="6"/>
        <v>8.1808838300143641E-2</v>
      </c>
      <c r="D40" s="69">
        <f t="shared" si="3"/>
        <v>0.33498293694823961</v>
      </c>
      <c r="E40" s="82"/>
      <c r="F40" s="82"/>
      <c r="G40" s="82"/>
      <c r="H40" s="82"/>
      <c r="I40" s="82"/>
      <c r="J40" s="82"/>
      <c r="K40" s="82"/>
      <c r="L40" s="82"/>
      <c r="M40" s="82"/>
      <c r="N40" s="82"/>
      <c r="O40" s="82"/>
      <c r="P40" s="82"/>
      <c r="Q40" s="82"/>
      <c r="R40" s="82"/>
      <c r="S40" s="82"/>
      <c r="T40" s="82"/>
      <c r="U40" s="82"/>
      <c r="V40" s="82"/>
      <c r="W40" s="82"/>
      <c r="X40" s="82"/>
      <c r="Y40" s="82"/>
      <c r="Z40" s="82"/>
      <c r="AA40" s="82"/>
      <c r="AB40" s="82"/>
    </row>
    <row r="41" spans="1:28" x14ac:dyDescent="0.2">
      <c r="A41" s="267">
        <f t="shared" si="0"/>
        <v>38</v>
      </c>
      <c r="B41" s="267">
        <f t="shared" si="1"/>
        <v>2057</v>
      </c>
      <c r="C41" s="44">
        <f t="shared" si="6"/>
        <v>7.6456858224433308E-2</v>
      </c>
      <c r="D41" s="69">
        <f t="shared" si="3"/>
        <v>0.3252261523769317</v>
      </c>
      <c r="E41" s="82"/>
      <c r="F41" s="82"/>
      <c r="G41" s="82"/>
      <c r="H41" s="82"/>
      <c r="I41" s="82"/>
      <c r="J41" s="82"/>
      <c r="K41" s="82"/>
      <c r="L41" s="82"/>
      <c r="M41" s="82"/>
      <c r="N41" s="82"/>
      <c r="O41" s="82"/>
      <c r="P41" s="82"/>
      <c r="Q41" s="82"/>
      <c r="R41" s="82"/>
      <c r="S41" s="82"/>
      <c r="T41" s="82"/>
      <c r="U41" s="82"/>
      <c r="V41" s="82"/>
      <c r="W41" s="82"/>
      <c r="X41" s="82"/>
      <c r="Y41" s="82"/>
      <c r="Z41" s="82"/>
      <c r="AA41" s="82"/>
      <c r="AB41" s="82"/>
    </row>
    <row r="42" spans="1:28" x14ac:dyDescent="0.2">
      <c r="A42" s="267">
        <f t="shared" si="0"/>
        <v>39</v>
      </c>
      <c r="B42" s="267">
        <f t="shared" si="1"/>
        <v>2058</v>
      </c>
      <c r="C42" s="44">
        <f t="shared" si="6"/>
        <v>7.1455007686386268E-2</v>
      </c>
      <c r="D42" s="69">
        <f t="shared" si="3"/>
        <v>0.31575354599702099</v>
      </c>
      <c r="E42" s="82"/>
      <c r="F42" s="82"/>
      <c r="G42" s="82"/>
      <c r="H42" s="82"/>
      <c r="I42" s="82"/>
      <c r="J42" s="82"/>
      <c r="K42" s="82"/>
      <c r="L42" s="82"/>
      <c r="M42" s="82"/>
      <c r="N42" s="82"/>
      <c r="O42" s="82"/>
      <c r="P42" s="82"/>
      <c r="Q42" s="82"/>
      <c r="R42" s="82"/>
      <c r="S42" s="82"/>
      <c r="T42" s="82"/>
      <c r="U42" s="82"/>
      <c r="V42" s="82"/>
      <c r="W42" s="82"/>
      <c r="X42" s="82"/>
      <c r="Y42" s="82"/>
      <c r="Z42" s="82"/>
      <c r="AA42" s="82"/>
      <c r="AB42" s="82"/>
    </row>
    <row r="43" spans="1:28" x14ac:dyDescent="0.2">
      <c r="A43" s="379" t="s">
        <v>7</v>
      </c>
      <c r="B43" s="380"/>
      <c r="C43" s="45">
        <f>0.07</f>
        <v>7.0000000000000007E-2</v>
      </c>
      <c r="D43" s="45">
        <f>0.03</f>
        <v>0.03</v>
      </c>
      <c r="E43" s="82"/>
      <c r="F43" s="82"/>
      <c r="G43" s="82"/>
      <c r="H43" s="82"/>
      <c r="I43" s="82"/>
      <c r="J43" s="82"/>
      <c r="K43" s="82"/>
      <c r="L43" s="82"/>
      <c r="M43" s="82"/>
      <c r="N43" s="82"/>
      <c r="O43" s="82"/>
      <c r="P43" s="82"/>
      <c r="Q43" s="82"/>
      <c r="R43" s="82"/>
      <c r="S43" s="82"/>
      <c r="T43" s="82"/>
      <c r="U43" s="82"/>
      <c r="V43" s="82"/>
      <c r="W43" s="82"/>
      <c r="X43" s="82"/>
      <c r="Y43" s="82"/>
      <c r="Z43" s="82"/>
      <c r="AA43" s="82"/>
      <c r="AB43" s="82"/>
    </row>
    <row r="44" spans="1:28" ht="13.15" customHeight="1" x14ac:dyDescent="0.2">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row>
    <row r="45" spans="1:28" x14ac:dyDescent="0.2">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row>
    <row r="46" spans="1:28" x14ac:dyDescent="0.2">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row>
    <row r="47" spans="1:28" x14ac:dyDescent="0.2">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row>
    <row r="48" spans="1:28"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row>
    <row r="49" spans="1:28" x14ac:dyDescent="0.2">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row>
    <row r="50" spans="1:28" x14ac:dyDescent="0.2">
      <c r="E50" s="82"/>
      <c r="F50" s="82"/>
      <c r="G50" s="82"/>
      <c r="H50" s="82"/>
      <c r="I50" s="82"/>
      <c r="J50" s="82"/>
      <c r="K50" s="82"/>
      <c r="L50" s="82"/>
      <c r="M50" s="82"/>
      <c r="N50" s="82"/>
      <c r="O50" s="82"/>
      <c r="P50" s="82"/>
      <c r="Q50" s="82"/>
      <c r="R50" s="82"/>
      <c r="S50" s="82"/>
      <c r="T50" s="82"/>
      <c r="U50" s="82"/>
      <c r="V50" s="82"/>
      <c r="W50" s="82"/>
      <c r="X50" s="82"/>
      <c r="Y50" s="82"/>
      <c r="Z50" s="82"/>
      <c r="AA50" s="82"/>
      <c r="AB50" s="82"/>
    </row>
  </sheetData>
  <mergeCells count="4">
    <mergeCell ref="A43:B43"/>
    <mergeCell ref="F2:G2"/>
    <mergeCell ref="F22:G22"/>
    <mergeCell ref="A2:D2"/>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Z87"/>
  <sheetViews>
    <sheetView zoomScale="110" zoomScaleNormal="110" workbookViewId="0">
      <selection activeCell="C3" sqref="C3"/>
    </sheetView>
  </sheetViews>
  <sheetFormatPr defaultRowHeight="12.75" x14ac:dyDescent="0.2"/>
  <cols>
    <col min="1" max="1" width="16.28515625" customWidth="1"/>
    <col min="2" max="2" width="5.7109375" customWidth="1"/>
    <col min="3" max="3" width="11.28515625" customWidth="1"/>
    <col min="4" max="4" width="1.28515625" customWidth="1"/>
    <col min="5" max="5" width="7.5703125" customWidth="1"/>
    <col min="6" max="6" width="12.7109375" customWidth="1"/>
    <col min="7" max="7" width="11.7109375" customWidth="1"/>
    <col min="8" max="8" width="14.42578125" customWidth="1"/>
    <col min="9" max="9" width="11" bestFit="1" customWidth="1"/>
    <col min="12" max="13" width="11.7109375" bestFit="1" customWidth="1"/>
  </cols>
  <sheetData>
    <row r="1" spans="1:26" ht="16.5" x14ac:dyDescent="0.3">
      <c r="A1" s="152" t="s">
        <v>205</v>
      </c>
      <c r="B1" s="82"/>
      <c r="C1" s="82"/>
      <c r="D1" s="82"/>
      <c r="E1" s="82"/>
      <c r="F1" s="82"/>
      <c r="G1" s="82"/>
      <c r="H1" s="82"/>
      <c r="I1" s="82"/>
      <c r="J1" s="82"/>
      <c r="K1" s="82"/>
      <c r="L1" s="82"/>
      <c r="M1" s="82"/>
      <c r="N1" s="82"/>
      <c r="O1" s="82"/>
      <c r="P1" s="82"/>
      <c r="Q1" s="82"/>
      <c r="R1" s="82"/>
      <c r="S1" s="82"/>
      <c r="T1" s="82"/>
      <c r="U1" s="82"/>
      <c r="V1" s="82"/>
      <c r="W1" s="82"/>
      <c r="X1" s="82"/>
      <c r="Y1" s="82"/>
      <c r="Z1" s="82"/>
    </row>
    <row r="2" spans="1:26" x14ac:dyDescent="0.2">
      <c r="A2" s="82"/>
      <c r="B2" s="82"/>
      <c r="C2" s="82"/>
      <c r="D2" s="82"/>
      <c r="E2" s="82"/>
      <c r="F2" s="82"/>
      <c r="G2" s="82"/>
      <c r="H2" s="82"/>
      <c r="I2" s="82"/>
      <c r="J2" s="82"/>
      <c r="K2" s="82"/>
      <c r="L2" s="82"/>
      <c r="M2" s="82"/>
      <c r="N2" s="82"/>
      <c r="O2" s="82"/>
      <c r="P2" s="82"/>
      <c r="Q2" s="82"/>
      <c r="R2" s="82"/>
      <c r="S2" s="82"/>
      <c r="T2" s="82"/>
      <c r="U2" s="82"/>
      <c r="V2" s="82"/>
      <c r="W2" s="82"/>
      <c r="X2" s="82"/>
      <c r="Y2" s="82"/>
      <c r="Z2" s="82"/>
    </row>
    <row r="3" spans="1:26" x14ac:dyDescent="0.2">
      <c r="A3" s="386" t="s">
        <v>288</v>
      </c>
      <c r="B3" s="386"/>
      <c r="C3" s="41">
        <f>SUM(G15:G22,G5:G14)</f>
        <v>308631437</v>
      </c>
      <c r="D3" s="82"/>
      <c r="E3" s="387" t="s">
        <v>206</v>
      </c>
      <c r="F3" s="388"/>
      <c r="G3" s="388"/>
      <c r="H3" s="389"/>
      <c r="I3" s="82"/>
      <c r="J3" s="82"/>
      <c r="K3" s="82"/>
      <c r="L3" s="82"/>
      <c r="M3" s="82"/>
      <c r="N3" s="82"/>
      <c r="O3" s="82"/>
      <c r="P3" s="82"/>
      <c r="Q3" s="82"/>
      <c r="R3" s="82"/>
      <c r="S3" s="82"/>
      <c r="T3" s="82"/>
      <c r="U3" s="82"/>
      <c r="V3" s="82"/>
      <c r="W3" s="82"/>
      <c r="X3" s="82"/>
      <c r="Y3" s="82"/>
    </row>
    <row r="4" spans="1:26" ht="26.25" thickBot="1" x14ac:dyDescent="0.25">
      <c r="A4" s="386" t="s">
        <v>204</v>
      </c>
      <c r="B4" s="386"/>
      <c r="C4" s="40">
        <f>((C5-30)/C5)*C3</f>
        <v>123452574.80000001</v>
      </c>
      <c r="D4" s="82"/>
      <c r="E4" s="6" t="s">
        <v>1</v>
      </c>
      <c r="F4" s="7" t="s">
        <v>51</v>
      </c>
      <c r="G4" s="7" t="s">
        <v>50</v>
      </c>
      <c r="H4" s="7" t="s">
        <v>73</v>
      </c>
      <c r="I4" s="82"/>
      <c r="J4" s="82"/>
      <c r="K4" s="82"/>
      <c r="L4" s="82"/>
      <c r="M4" s="82"/>
      <c r="N4" s="82"/>
      <c r="O4" s="82"/>
      <c r="P4" s="82"/>
      <c r="Q4" s="82"/>
      <c r="R4" s="82"/>
      <c r="S4" s="82"/>
      <c r="T4" s="82"/>
      <c r="U4" s="82"/>
      <c r="V4" s="82"/>
      <c r="W4" s="82"/>
      <c r="X4" s="82"/>
      <c r="Y4" s="82"/>
    </row>
    <row r="5" spans="1:26" ht="13.5" thickTop="1" x14ac:dyDescent="0.2">
      <c r="A5" s="386" t="s">
        <v>70</v>
      </c>
      <c r="B5" s="386"/>
      <c r="C5" s="42">
        <v>50</v>
      </c>
      <c r="D5" s="82"/>
      <c r="E5" s="267">
        <v>2009</v>
      </c>
      <c r="F5" s="38"/>
      <c r="G5" s="163">
        <v>0</v>
      </c>
      <c r="H5" s="164">
        <f>G5*NPV!G11</f>
        <v>0</v>
      </c>
      <c r="I5" s="82"/>
      <c r="J5" s="82"/>
      <c r="K5" s="82"/>
      <c r="L5" s="82"/>
      <c r="M5" s="82"/>
      <c r="N5" s="82"/>
      <c r="O5" s="82"/>
      <c r="P5" s="82"/>
      <c r="Q5" s="82"/>
      <c r="R5" s="82"/>
      <c r="S5" s="82"/>
      <c r="T5" s="82"/>
      <c r="U5" s="82"/>
      <c r="V5" s="82"/>
      <c r="W5" s="82"/>
      <c r="X5" s="82"/>
      <c r="Y5" s="82"/>
    </row>
    <row r="6" spans="1:26" x14ac:dyDescent="0.2">
      <c r="A6" s="99"/>
      <c r="B6" s="82"/>
      <c r="C6" s="82"/>
      <c r="D6" s="82"/>
      <c r="E6" s="267">
        <v>2010</v>
      </c>
      <c r="F6" s="38"/>
      <c r="G6" s="163">
        <v>0</v>
      </c>
      <c r="H6" s="164">
        <f>G6*NPV!G12</f>
        <v>0</v>
      </c>
      <c r="I6" s="82"/>
      <c r="J6" s="82"/>
      <c r="K6" s="82"/>
      <c r="L6" s="82"/>
      <c r="M6" s="82"/>
      <c r="N6" s="82"/>
      <c r="O6" s="82"/>
      <c r="P6" s="82"/>
      <c r="Q6" s="82"/>
      <c r="R6" s="82"/>
      <c r="S6" s="82"/>
      <c r="T6" s="82"/>
      <c r="U6" s="82"/>
      <c r="V6" s="82"/>
      <c r="W6" s="82"/>
      <c r="X6" s="82"/>
      <c r="Y6" s="82"/>
    </row>
    <row r="7" spans="1:26" x14ac:dyDescent="0.2">
      <c r="A7" s="99"/>
      <c r="B7" s="82"/>
      <c r="C7" s="82"/>
      <c r="D7" s="82"/>
      <c r="E7" s="267">
        <v>2011</v>
      </c>
      <c r="F7" s="38">
        <f t="shared" ref="F7:F16" si="0">G7/$C$3</f>
        <v>9.9212414320580047E-3</v>
      </c>
      <c r="G7" s="163">
        <v>3062007</v>
      </c>
      <c r="H7" s="164">
        <f>G7*NPV!G13</f>
        <v>3503548.4094000002</v>
      </c>
      <c r="I7" s="82"/>
      <c r="J7" s="82"/>
      <c r="K7" s="82"/>
      <c r="L7" s="82"/>
      <c r="M7" s="82"/>
      <c r="N7" s="82"/>
      <c r="O7" s="82"/>
      <c r="P7" s="82"/>
      <c r="Q7" s="82"/>
      <c r="R7" s="82"/>
      <c r="S7" s="82"/>
      <c r="T7" s="82"/>
      <c r="U7" s="82"/>
      <c r="V7" s="82"/>
      <c r="W7" s="82"/>
      <c r="X7" s="82"/>
      <c r="Y7" s="82"/>
    </row>
    <row r="8" spans="1:26" x14ac:dyDescent="0.2">
      <c r="A8" s="99"/>
      <c r="B8" s="82"/>
      <c r="C8" s="82"/>
      <c r="D8" s="82"/>
      <c r="E8" s="267">
        <v>2012</v>
      </c>
      <c r="F8" s="38"/>
      <c r="G8" s="163">
        <v>0</v>
      </c>
      <c r="H8" s="164">
        <f>G8*NPV!G14</f>
        <v>0</v>
      </c>
      <c r="I8" s="82"/>
      <c r="J8" s="82"/>
      <c r="K8" s="82"/>
      <c r="L8" s="82"/>
      <c r="M8" s="82"/>
      <c r="N8" s="82"/>
      <c r="O8" s="82"/>
      <c r="P8" s="82"/>
      <c r="Q8" s="82"/>
      <c r="R8" s="82"/>
      <c r="S8" s="82"/>
      <c r="T8" s="82"/>
      <c r="U8" s="82"/>
      <c r="V8" s="82"/>
      <c r="W8" s="82"/>
      <c r="X8" s="82"/>
      <c r="Y8" s="82"/>
    </row>
    <row r="9" spans="1:26" x14ac:dyDescent="0.2">
      <c r="A9" s="99"/>
      <c r="B9" s="82"/>
      <c r="C9" s="82"/>
      <c r="D9" s="82"/>
      <c r="E9" s="267">
        <v>2013</v>
      </c>
      <c r="F9" s="38"/>
      <c r="G9" s="163">
        <v>0</v>
      </c>
      <c r="H9" s="164">
        <f>G9*NPV!G15</f>
        <v>0</v>
      </c>
      <c r="I9" s="82"/>
      <c r="J9" s="82"/>
      <c r="K9" s="82"/>
      <c r="L9" s="82"/>
      <c r="M9" s="82"/>
      <c r="N9" s="82"/>
      <c r="O9" s="82"/>
      <c r="P9" s="82"/>
      <c r="Q9" s="82"/>
      <c r="R9" s="82"/>
      <c r="S9" s="82"/>
      <c r="T9" s="82"/>
      <c r="U9" s="82"/>
      <c r="V9" s="82"/>
      <c r="W9" s="82"/>
      <c r="X9" s="82"/>
      <c r="Y9" s="82"/>
    </row>
    <row r="10" spans="1:26" x14ac:dyDescent="0.2">
      <c r="A10" s="99"/>
      <c r="B10" s="82"/>
      <c r="C10" s="82"/>
      <c r="D10" s="82"/>
      <c r="E10" s="267">
        <v>2014</v>
      </c>
      <c r="F10" s="38"/>
      <c r="G10" s="163">
        <v>0</v>
      </c>
      <c r="H10" s="164">
        <f>G10*NPV!G16</f>
        <v>0</v>
      </c>
      <c r="I10" s="82"/>
      <c r="J10" s="82"/>
      <c r="K10" s="82"/>
      <c r="L10" s="82"/>
      <c r="M10" s="82"/>
      <c r="N10" s="82"/>
      <c r="O10" s="82"/>
      <c r="P10" s="82"/>
      <c r="Q10" s="82"/>
      <c r="R10" s="82"/>
      <c r="S10" s="82"/>
      <c r="T10" s="82"/>
      <c r="U10" s="82"/>
      <c r="V10" s="82"/>
      <c r="W10" s="82"/>
      <c r="X10" s="82"/>
      <c r="Y10" s="82"/>
    </row>
    <row r="11" spans="1:26" x14ac:dyDescent="0.2">
      <c r="A11" s="99"/>
      <c r="B11" s="82"/>
      <c r="C11" s="82"/>
      <c r="D11" s="82"/>
      <c r="E11" s="267">
        <v>2015</v>
      </c>
      <c r="F11" s="38"/>
      <c r="G11" s="163">
        <v>0</v>
      </c>
      <c r="H11" s="164">
        <f>G11*NPV!G17</f>
        <v>0</v>
      </c>
      <c r="I11" s="82"/>
      <c r="J11" s="82"/>
      <c r="K11" s="82"/>
      <c r="L11" s="82"/>
      <c r="M11" s="82"/>
      <c r="N11" s="82"/>
      <c r="O11" s="82"/>
      <c r="P11" s="82"/>
      <c r="Q11" s="82"/>
      <c r="R11" s="82"/>
      <c r="S11" s="82"/>
      <c r="T11" s="82"/>
      <c r="U11" s="82"/>
      <c r="V11" s="82"/>
      <c r="W11" s="82"/>
      <c r="X11" s="82"/>
      <c r="Y11" s="82"/>
    </row>
    <row r="12" spans="1:26" x14ac:dyDescent="0.2">
      <c r="A12" s="82"/>
      <c r="B12" s="82"/>
      <c r="C12" s="82"/>
      <c r="D12" s="82"/>
      <c r="E12" s="267">
        <v>2016</v>
      </c>
      <c r="F12" s="38">
        <f t="shared" si="0"/>
        <v>1.0711157723054634E-2</v>
      </c>
      <c r="G12" s="163">
        <v>3305800</v>
      </c>
      <c r="H12" s="164">
        <f>G12*NPV!G18</f>
        <v>3510429.02</v>
      </c>
      <c r="I12" s="82"/>
      <c r="J12" s="82"/>
      <c r="K12" s="82"/>
      <c r="L12" s="314"/>
      <c r="M12" s="314"/>
      <c r="N12" s="82"/>
      <c r="O12" s="82"/>
      <c r="P12" s="82"/>
      <c r="Q12" s="82"/>
      <c r="R12" s="82"/>
      <c r="S12" s="82"/>
      <c r="T12" s="82"/>
      <c r="U12" s="82"/>
      <c r="V12" s="82"/>
      <c r="W12" s="82"/>
      <c r="X12" s="82"/>
      <c r="Y12" s="82"/>
    </row>
    <row r="13" spans="1:26" x14ac:dyDescent="0.2">
      <c r="A13" s="82"/>
      <c r="B13" s="82"/>
      <c r="C13" s="82"/>
      <c r="D13" s="82"/>
      <c r="E13" s="267">
        <v>2017</v>
      </c>
      <c r="F13" s="38"/>
      <c r="G13" s="163">
        <v>0</v>
      </c>
      <c r="H13" s="164">
        <f>G13*NPV!G19</f>
        <v>0</v>
      </c>
      <c r="I13" s="82"/>
      <c r="J13" s="82"/>
      <c r="K13" s="82"/>
      <c r="L13" s="82"/>
      <c r="M13" s="82"/>
      <c r="N13" s="82"/>
      <c r="O13" s="82"/>
      <c r="P13" s="82"/>
      <c r="Q13" s="82"/>
      <c r="R13" s="82"/>
      <c r="S13" s="82"/>
      <c r="T13" s="82"/>
      <c r="U13" s="82"/>
      <c r="V13" s="82"/>
      <c r="W13" s="82"/>
      <c r="X13" s="82"/>
      <c r="Y13" s="82"/>
    </row>
    <row r="14" spans="1:26" x14ac:dyDescent="0.2">
      <c r="A14" s="82"/>
      <c r="B14" s="82"/>
      <c r="C14" s="82"/>
      <c r="D14" s="82"/>
      <c r="E14" s="267">
        <v>2018</v>
      </c>
      <c r="F14" s="38">
        <f t="shared" si="0"/>
        <v>5.7650724673261329E-2</v>
      </c>
      <c r="G14" s="163">
        <v>17792826</v>
      </c>
      <c r="H14" s="164">
        <f>G14*NPV!G20</f>
        <v>18111317.5854</v>
      </c>
      <c r="I14" s="82"/>
      <c r="J14" s="82"/>
      <c r="K14" s="82"/>
      <c r="L14" s="82"/>
      <c r="M14" s="82"/>
      <c r="N14" s="82"/>
      <c r="O14" s="82"/>
      <c r="P14" s="82"/>
      <c r="Q14" s="82"/>
      <c r="R14" s="82"/>
      <c r="S14" s="82"/>
      <c r="T14" s="82"/>
      <c r="U14" s="82"/>
      <c r="V14" s="82"/>
      <c r="W14" s="82"/>
      <c r="X14" s="82"/>
      <c r="Y14" s="82"/>
    </row>
    <row r="15" spans="1:26" x14ac:dyDescent="0.2">
      <c r="A15" s="82"/>
      <c r="B15" s="82"/>
      <c r="C15" s="82"/>
      <c r="D15" s="82"/>
      <c r="E15" s="267">
        <v>2019</v>
      </c>
      <c r="F15" s="38">
        <f t="shared" si="0"/>
        <v>7.6885615511682298E-2</v>
      </c>
      <c r="G15" s="163">
        <f>110418+23618900</f>
        <v>23729318</v>
      </c>
      <c r="H15" s="164">
        <f>ROUND((G15)*NPV!C3,0)</f>
        <v>23729318</v>
      </c>
      <c r="I15" s="82"/>
      <c r="J15" s="82"/>
      <c r="K15" s="82"/>
      <c r="L15" s="82"/>
      <c r="M15" s="82"/>
      <c r="N15" s="82"/>
      <c r="O15" s="82"/>
      <c r="P15" s="82"/>
      <c r="Q15" s="82"/>
      <c r="R15" s="82"/>
      <c r="S15" s="82"/>
      <c r="T15" s="82"/>
      <c r="U15" s="82"/>
      <c r="V15" s="82"/>
      <c r="W15" s="82"/>
      <c r="X15" s="82"/>
      <c r="Y15" s="82"/>
    </row>
    <row r="16" spans="1:26" x14ac:dyDescent="0.2">
      <c r="A16" s="82"/>
      <c r="B16" s="82"/>
      <c r="C16" s="82"/>
      <c r="D16" s="82"/>
      <c r="E16" s="267">
        <f>E15+1</f>
        <v>2020</v>
      </c>
      <c r="F16" s="38">
        <f t="shared" si="0"/>
        <v>2.4024966711346388E-3</v>
      </c>
      <c r="G16" s="163">
        <v>741486</v>
      </c>
      <c r="H16" s="164">
        <f>ROUND((G16)*NPV!C4,0)</f>
        <v>692978</v>
      </c>
      <c r="I16" s="82"/>
      <c r="J16" s="82"/>
      <c r="K16" s="82"/>
      <c r="L16" s="82"/>
      <c r="M16" s="82"/>
      <c r="N16" s="82"/>
      <c r="O16" s="82"/>
      <c r="P16" s="82"/>
      <c r="Q16" s="82"/>
      <c r="R16" s="82"/>
      <c r="S16" s="82"/>
      <c r="T16" s="82"/>
      <c r="U16" s="82"/>
      <c r="V16" s="82"/>
      <c r="W16" s="82"/>
      <c r="X16" s="82"/>
      <c r="Y16" s="82"/>
    </row>
    <row r="17" spans="1:25" x14ac:dyDescent="0.2">
      <c r="A17" s="82"/>
      <c r="B17" s="82"/>
      <c r="C17" s="82"/>
      <c r="D17" s="82"/>
      <c r="E17" s="267">
        <f t="shared" ref="E17:E51" si="1">E16+1</f>
        <v>2021</v>
      </c>
      <c r="F17" s="38"/>
      <c r="G17" s="163">
        <v>0</v>
      </c>
      <c r="H17" s="164">
        <f>ROUND((G17)*NPV!C5,0)</f>
        <v>0</v>
      </c>
      <c r="I17" s="82"/>
      <c r="J17" s="82"/>
      <c r="K17" s="82"/>
      <c r="L17" s="82"/>
      <c r="M17" s="82"/>
      <c r="N17" s="82"/>
      <c r="O17" s="82"/>
      <c r="P17" s="82"/>
      <c r="Q17" s="82"/>
      <c r="R17" s="82"/>
      <c r="S17" s="82"/>
      <c r="T17" s="82"/>
      <c r="U17" s="82"/>
      <c r="V17" s="82"/>
      <c r="W17" s="82"/>
      <c r="X17" s="82"/>
      <c r="Y17" s="82"/>
    </row>
    <row r="18" spans="1:25" x14ac:dyDescent="0.2">
      <c r="A18" s="82"/>
      <c r="B18" s="82"/>
      <c r="C18" s="82"/>
      <c r="D18" s="82"/>
      <c r="E18" s="267">
        <f t="shared" si="1"/>
        <v>2022</v>
      </c>
      <c r="F18" s="38">
        <f>G18/$C$3</f>
        <v>0.11109762317110494</v>
      </c>
      <c r="G18" s="163">
        <v>34288219.086582616</v>
      </c>
      <c r="H18" s="164">
        <f>ROUND((G18)*NPV!C6,0)</f>
        <v>27989400</v>
      </c>
      <c r="I18" s="82"/>
      <c r="J18" s="82"/>
      <c r="K18" s="82"/>
      <c r="L18" s="82"/>
      <c r="M18" s="82"/>
      <c r="N18" s="82"/>
      <c r="O18" s="82"/>
      <c r="P18" s="82"/>
      <c r="Q18" s="82"/>
      <c r="R18" s="82"/>
      <c r="S18" s="82"/>
      <c r="T18" s="82"/>
      <c r="U18" s="82"/>
      <c r="V18" s="82"/>
      <c r="W18" s="82"/>
      <c r="X18" s="82"/>
      <c r="Y18" s="82"/>
    </row>
    <row r="19" spans="1:25" x14ac:dyDescent="0.2">
      <c r="A19" s="82"/>
      <c r="B19" s="82"/>
      <c r="C19" s="82"/>
      <c r="D19" s="82"/>
      <c r="E19" s="267">
        <f t="shared" si="1"/>
        <v>2023</v>
      </c>
      <c r="F19" s="38">
        <f t="shared" ref="F19:F22" si="2">G19/$C$3</f>
        <v>0.19884329262723247</v>
      </c>
      <c r="G19" s="163">
        <v>61369291.141354263</v>
      </c>
      <c r="H19" s="164">
        <f>ROUND((G19)*NPV!C7,0)</f>
        <v>46818338</v>
      </c>
      <c r="I19" s="82"/>
      <c r="J19" s="82"/>
      <c r="K19" s="82"/>
      <c r="L19" s="82"/>
      <c r="M19" s="82"/>
      <c r="N19" s="82"/>
      <c r="O19" s="82"/>
      <c r="P19" s="82"/>
      <c r="Q19" s="82"/>
      <c r="R19" s="82"/>
      <c r="S19" s="82"/>
      <c r="T19" s="82"/>
      <c r="U19" s="82"/>
      <c r="V19" s="82"/>
      <c r="W19" s="82"/>
      <c r="X19" s="82"/>
      <c r="Y19" s="82"/>
    </row>
    <row r="20" spans="1:25" x14ac:dyDescent="0.2">
      <c r="A20" s="82"/>
      <c r="B20" s="82"/>
      <c r="C20" s="82"/>
      <c r="D20" s="82"/>
      <c r="E20" s="267">
        <f t="shared" si="1"/>
        <v>2024</v>
      </c>
      <c r="F20" s="38">
        <f t="shared" si="2"/>
        <v>0.23995539186339002</v>
      </c>
      <c r="G20" s="163">
        <v>74057777.406696171</v>
      </c>
      <c r="H20" s="164">
        <f>ROUND((G20)*NPV!C8,0)</f>
        <v>52802172</v>
      </c>
      <c r="I20" s="82"/>
      <c r="J20" s="82"/>
      <c r="K20" s="82"/>
      <c r="L20" s="82"/>
      <c r="M20" s="82"/>
      <c r="N20" s="82"/>
      <c r="O20" s="82"/>
      <c r="P20" s="82"/>
      <c r="Q20" s="82"/>
      <c r="R20" s="82"/>
      <c r="S20" s="82"/>
      <c r="T20" s="82"/>
      <c r="U20" s="82"/>
      <c r="V20" s="82"/>
      <c r="W20" s="82"/>
      <c r="X20" s="82"/>
      <c r="Y20" s="82"/>
    </row>
    <row r="21" spans="1:25" x14ac:dyDescent="0.2">
      <c r="A21" s="82"/>
      <c r="B21" s="82"/>
      <c r="C21" s="82"/>
      <c r="D21" s="82"/>
      <c r="E21" s="267">
        <f t="shared" si="1"/>
        <v>2025</v>
      </c>
      <c r="F21" s="38">
        <f t="shared" si="2"/>
        <v>0.16979402490348042</v>
      </c>
      <c r="G21" s="163">
        <v>52403773.89997495</v>
      </c>
      <c r="H21" s="164">
        <f>ROUND((G21)*NPV!C9,0)</f>
        <v>34918847</v>
      </c>
      <c r="I21" s="82"/>
      <c r="J21" s="82"/>
      <c r="K21" s="82"/>
      <c r="L21" s="82"/>
      <c r="M21" s="82"/>
      <c r="N21" s="82"/>
      <c r="O21" s="82"/>
      <c r="P21" s="82"/>
      <c r="Q21" s="82"/>
      <c r="R21" s="82"/>
      <c r="S21" s="82"/>
      <c r="T21" s="82"/>
      <c r="U21" s="82"/>
      <c r="V21" s="82"/>
      <c r="W21" s="82"/>
      <c r="X21" s="82"/>
      <c r="Y21" s="82"/>
    </row>
    <row r="22" spans="1:25" x14ac:dyDescent="0.2">
      <c r="A22" s="82"/>
      <c r="B22" s="82"/>
      <c r="C22" s="82"/>
      <c r="D22" s="82"/>
      <c r="E22" s="267">
        <f t="shared" si="1"/>
        <v>2026</v>
      </c>
      <c r="F22" s="38">
        <f t="shared" si="2"/>
        <v>0.12273843142360122</v>
      </c>
      <c r="G22" s="163">
        <v>37880938.465392001</v>
      </c>
      <c r="H22" s="164">
        <f>ROUND((G22)*NPV!C10,0)</f>
        <v>23590345</v>
      </c>
      <c r="I22" s="82"/>
      <c r="J22" s="82"/>
      <c r="K22" s="82"/>
      <c r="L22" s="82"/>
      <c r="M22" s="82"/>
      <c r="N22" s="82"/>
      <c r="O22" s="82"/>
      <c r="P22" s="82"/>
      <c r="Q22" s="82"/>
      <c r="R22" s="82"/>
      <c r="S22" s="82"/>
      <c r="T22" s="82"/>
      <c r="U22" s="82"/>
      <c r="V22" s="82"/>
      <c r="W22" s="82"/>
      <c r="X22" s="82"/>
      <c r="Y22" s="82"/>
    </row>
    <row r="23" spans="1:25" x14ac:dyDescent="0.2">
      <c r="A23" s="82"/>
      <c r="B23" s="82"/>
      <c r="C23" s="82"/>
      <c r="D23" s="82"/>
      <c r="E23" s="267">
        <f t="shared" si="1"/>
        <v>2027</v>
      </c>
      <c r="F23" s="39"/>
      <c r="G23" s="163">
        <f t="shared" ref="G23:G46" si="3">F23*$C$3</f>
        <v>0</v>
      </c>
      <c r="H23" s="164">
        <f>ROUND((G23)*NPV!C11,0)</f>
        <v>0</v>
      </c>
      <c r="I23" s="82"/>
      <c r="J23" s="82"/>
      <c r="K23" s="82"/>
      <c r="L23" s="82"/>
      <c r="M23" s="82"/>
      <c r="N23" s="82"/>
      <c r="O23" s="82"/>
      <c r="P23" s="82"/>
      <c r="Q23" s="82"/>
      <c r="R23" s="82"/>
      <c r="S23" s="82"/>
      <c r="T23" s="82"/>
      <c r="U23" s="82"/>
      <c r="V23" s="82"/>
      <c r="W23" s="82"/>
      <c r="X23" s="82"/>
      <c r="Y23" s="82"/>
    </row>
    <row r="24" spans="1:25" x14ac:dyDescent="0.2">
      <c r="A24" s="82"/>
      <c r="B24" s="82"/>
      <c r="C24" s="82"/>
      <c r="D24" s="82"/>
      <c r="E24" s="267">
        <f t="shared" si="1"/>
        <v>2028</v>
      </c>
      <c r="F24" s="39"/>
      <c r="G24" s="163">
        <f t="shared" si="3"/>
        <v>0</v>
      </c>
      <c r="H24" s="164">
        <f>ROUND((G24)*NPV!C12,0)</f>
        <v>0</v>
      </c>
      <c r="I24" s="82"/>
      <c r="J24" s="82"/>
      <c r="K24" s="82"/>
      <c r="L24" s="82"/>
      <c r="M24" s="82"/>
      <c r="N24" s="82"/>
      <c r="O24" s="82"/>
      <c r="P24" s="82"/>
      <c r="Q24" s="82"/>
      <c r="R24" s="82"/>
      <c r="S24" s="82"/>
      <c r="T24" s="82"/>
      <c r="U24" s="82"/>
      <c r="V24" s="82"/>
      <c r="W24" s="82"/>
      <c r="X24" s="82"/>
      <c r="Y24" s="82"/>
    </row>
    <row r="25" spans="1:25" x14ac:dyDescent="0.2">
      <c r="A25" s="82"/>
      <c r="B25" s="82"/>
      <c r="C25" s="82"/>
      <c r="D25" s="82"/>
      <c r="E25" s="267">
        <f t="shared" si="1"/>
        <v>2029</v>
      </c>
      <c r="F25" s="39"/>
      <c r="G25" s="163">
        <f t="shared" si="3"/>
        <v>0</v>
      </c>
      <c r="H25" s="164">
        <f>ROUND((G25)*NPV!C13,0)</f>
        <v>0</v>
      </c>
      <c r="I25" s="82"/>
      <c r="J25" s="82"/>
      <c r="K25" s="82"/>
      <c r="L25" s="82"/>
      <c r="M25" s="82"/>
      <c r="N25" s="82"/>
      <c r="O25" s="82"/>
      <c r="P25" s="82"/>
      <c r="Q25" s="82"/>
      <c r="R25" s="82"/>
      <c r="S25" s="82"/>
      <c r="T25" s="82"/>
      <c r="U25" s="82"/>
      <c r="V25" s="82"/>
      <c r="W25" s="82"/>
      <c r="X25" s="82"/>
      <c r="Y25" s="82"/>
    </row>
    <row r="26" spans="1:25" x14ac:dyDescent="0.2">
      <c r="A26" s="82"/>
      <c r="B26" s="82"/>
      <c r="C26" s="82"/>
      <c r="D26" s="82"/>
      <c r="E26" s="267">
        <f t="shared" si="1"/>
        <v>2030</v>
      </c>
      <c r="F26" s="39"/>
      <c r="G26" s="163">
        <f t="shared" si="3"/>
        <v>0</v>
      </c>
      <c r="H26" s="164">
        <f>ROUND((G26)*NPV!C14,0)</f>
        <v>0</v>
      </c>
      <c r="I26" s="82"/>
      <c r="J26" s="82"/>
      <c r="K26" s="82"/>
      <c r="L26" s="82"/>
      <c r="M26" s="82"/>
      <c r="N26" s="82"/>
      <c r="O26" s="82"/>
      <c r="P26" s="82"/>
      <c r="Q26" s="82"/>
      <c r="R26" s="82"/>
      <c r="S26" s="82"/>
      <c r="T26" s="82"/>
      <c r="U26" s="82"/>
      <c r="V26" s="82"/>
      <c r="W26" s="82"/>
      <c r="X26" s="82"/>
      <c r="Y26" s="82"/>
    </row>
    <row r="27" spans="1:25" x14ac:dyDescent="0.2">
      <c r="A27" s="82"/>
      <c r="B27" s="82"/>
      <c r="C27" s="82"/>
      <c r="D27" s="82"/>
      <c r="E27" s="267">
        <f t="shared" si="1"/>
        <v>2031</v>
      </c>
      <c r="F27" s="39"/>
      <c r="G27" s="163">
        <f t="shared" si="3"/>
        <v>0</v>
      </c>
      <c r="H27" s="164">
        <f>ROUND((G27)*NPV!C15,0)</f>
        <v>0</v>
      </c>
      <c r="I27" s="82"/>
      <c r="J27" s="82"/>
      <c r="K27" s="82"/>
      <c r="L27" s="82"/>
      <c r="M27" s="82"/>
      <c r="N27" s="82"/>
      <c r="O27" s="82"/>
      <c r="P27" s="82"/>
      <c r="Q27" s="82"/>
      <c r="R27" s="82"/>
      <c r="S27" s="82"/>
      <c r="T27" s="82"/>
      <c r="U27" s="82"/>
      <c r="V27" s="82"/>
      <c r="W27" s="82"/>
      <c r="X27" s="82"/>
      <c r="Y27" s="82"/>
    </row>
    <row r="28" spans="1:25" x14ac:dyDescent="0.2">
      <c r="A28" s="82"/>
      <c r="B28" s="82"/>
      <c r="C28" s="82"/>
      <c r="D28" s="82"/>
      <c r="E28" s="267">
        <f t="shared" si="1"/>
        <v>2032</v>
      </c>
      <c r="F28" s="39"/>
      <c r="G28" s="163">
        <f t="shared" si="3"/>
        <v>0</v>
      </c>
      <c r="H28" s="164">
        <f>ROUND((G28)*NPV!C16,0)</f>
        <v>0</v>
      </c>
      <c r="I28" s="82"/>
      <c r="J28" s="82"/>
      <c r="K28" s="82"/>
      <c r="L28" s="82"/>
      <c r="M28" s="82"/>
      <c r="N28" s="82"/>
      <c r="O28" s="82"/>
      <c r="P28" s="82"/>
      <c r="Q28" s="82"/>
      <c r="R28" s="82"/>
      <c r="S28" s="82"/>
      <c r="T28" s="82"/>
      <c r="U28" s="82"/>
      <c r="V28" s="82"/>
      <c r="W28" s="82"/>
      <c r="X28" s="82"/>
      <c r="Y28" s="82"/>
    </row>
    <row r="29" spans="1:25" x14ac:dyDescent="0.2">
      <c r="A29" s="82"/>
      <c r="B29" s="82"/>
      <c r="C29" s="82"/>
      <c r="D29" s="82"/>
      <c r="E29" s="267">
        <f t="shared" si="1"/>
        <v>2033</v>
      </c>
      <c r="F29" s="39"/>
      <c r="G29" s="163">
        <f t="shared" si="3"/>
        <v>0</v>
      </c>
      <c r="H29" s="164">
        <f>ROUND((G29)*NPV!C17,0)</f>
        <v>0</v>
      </c>
      <c r="I29" s="82"/>
      <c r="J29" s="82"/>
      <c r="K29" s="82"/>
      <c r="L29" s="82"/>
      <c r="M29" s="82"/>
      <c r="N29" s="82"/>
      <c r="O29" s="82"/>
      <c r="P29" s="82"/>
      <c r="Q29" s="82"/>
      <c r="R29" s="82"/>
      <c r="S29" s="82"/>
      <c r="T29" s="82"/>
      <c r="U29" s="82"/>
      <c r="V29" s="82"/>
      <c r="W29" s="82"/>
      <c r="X29" s="82"/>
      <c r="Y29" s="82"/>
    </row>
    <row r="30" spans="1:25" x14ac:dyDescent="0.2">
      <c r="A30" s="82"/>
      <c r="B30" s="82"/>
      <c r="C30" s="82"/>
      <c r="D30" s="82"/>
      <c r="E30" s="267">
        <f t="shared" si="1"/>
        <v>2034</v>
      </c>
      <c r="F30" s="39"/>
      <c r="G30" s="163">
        <f t="shared" ref="G30:G40" si="4">F30*$C$3</f>
        <v>0</v>
      </c>
      <c r="H30" s="164">
        <f>ROUND((G30)*NPV!C18,0)</f>
        <v>0</v>
      </c>
      <c r="I30" s="82"/>
      <c r="J30" s="82"/>
      <c r="K30" s="82"/>
      <c r="L30" s="82"/>
      <c r="M30" s="82"/>
      <c r="N30" s="82"/>
      <c r="O30" s="82"/>
      <c r="P30" s="82"/>
      <c r="Q30" s="82"/>
      <c r="R30" s="82"/>
      <c r="S30" s="82"/>
      <c r="T30" s="82"/>
      <c r="U30" s="82"/>
      <c r="V30" s="82"/>
      <c r="W30" s="82"/>
      <c r="X30" s="82"/>
      <c r="Y30" s="82"/>
    </row>
    <row r="31" spans="1:25" x14ac:dyDescent="0.2">
      <c r="A31" s="82"/>
      <c r="B31" s="82"/>
      <c r="C31" s="82"/>
      <c r="D31" s="82"/>
      <c r="E31" s="267">
        <f t="shared" si="1"/>
        <v>2035</v>
      </c>
      <c r="F31" s="39"/>
      <c r="G31" s="163">
        <f t="shared" si="4"/>
        <v>0</v>
      </c>
      <c r="H31" s="164">
        <f>ROUND((G31)*NPV!C19,0)</f>
        <v>0</v>
      </c>
      <c r="I31" s="82"/>
      <c r="J31" s="82"/>
      <c r="K31" s="82"/>
      <c r="L31" s="82"/>
      <c r="M31" s="82"/>
      <c r="N31" s="82"/>
      <c r="O31" s="82"/>
      <c r="P31" s="82"/>
      <c r="Q31" s="82"/>
      <c r="R31" s="82"/>
      <c r="S31" s="82"/>
      <c r="T31" s="82"/>
      <c r="U31" s="82"/>
      <c r="V31" s="82"/>
      <c r="W31" s="82"/>
      <c r="X31" s="82"/>
      <c r="Y31" s="82"/>
    </row>
    <row r="32" spans="1:25" x14ac:dyDescent="0.2">
      <c r="A32" s="82"/>
      <c r="B32" s="82"/>
      <c r="C32" s="82"/>
      <c r="D32" s="82"/>
      <c r="E32" s="267">
        <f t="shared" si="1"/>
        <v>2036</v>
      </c>
      <c r="F32" s="39"/>
      <c r="G32" s="163">
        <f t="shared" si="4"/>
        <v>0</v>
      </c>
      <c r="H32" s="164">
        <f>ROUND((G32)*NPV!C20,0)</f>
        <v>0</v>
      </c>
      <c r="I32" s="82"/>
      <c r="J32" s="82"/>
      <c r="K32" s="82"/>
      <c r="L32" s="82"/>
      <c r="M32" s="82"/>
      <c r="N32" s="82"/>
      <c r="O32" s="82"/>
      <c r="P32" s="82"/>
      <c r="Q32" s="82"/>
      <c r="R32" s="82"/>
      <c r="S32" s="82"/>
      <c r="T32" s="82"/>
      <c r="U32" s="82"/>
      <c r="V32" s="82"/>
      <c r="W32" s="82"/>
      <c r="X32" s="82"/>
      <c r="Y32" s="82"/>
    </row>
    <row r="33" spans="1:25" x14ac:dyDescent="0.2">
      <c r="A33" s="82"/>
      <c r="B33" s="82"/>
      <c r="C33" s="82"/>
      <c r="D33" s="82"/>
      <c r="E33" s="267">
        <f t="shared" si="1"/>
        <v>2037</v>
      </c>
      <c r="F33" s="39"/>
      <c r="G33" s="163">
        <f t="shared" si="4"/>
        <v>0</v>
      </c>
      <c r="H33" s="164">
        <f>ROUND((G33)*NPV!C21,0)</f>
        <v>0</v>
      </c>
      <c r="I33" s="82"/>
      <c r="J33" s="82"/>
      <c r="K33" s="82"/>
      <c r="L33" s="82"/>
      <c r="M33" s="82"/>
      <c r="N33" s="82"/>
      <c r="O33" s="82"/>
      <c r="P33" s="82"/>
      <c r="Q33" s="82"/>
      <c r="R33" s="82"/>
      <c r="S33" s="82"/>
      <c r="T33" s="82"/>
      <c r="U33" s="82"/>
      <c r="V33" s="82"/>
      <c r="W33" s="82"/>
      <c r="X33" s="82"/>
      <c r="Y33" s="82"/>
    </row>
    <row r="34" spans="1:25" x14ac:dyDescent="0.2">
      <c r="A34" s="82"/>
      <c r="B34" s="82"/>
      <c r="C34" s="82"/>
      <c r="D34" s="82"/>
      <c r="E34" s="267">
        <f t="shared" si="1"/>
        <v>2038</v>
      </c>
      <c r="F34" s="39"/>
      <c r="G34" s="163">
        <f t="shared" si="4"/>
        <v>0</v>
      </c>
      <c r="H34" s="164">
        <f>ROUND((G34)*NPV!C22,0)</f>
        <v>0</v>
      </c>
      <c r="I34" s="82"/>
      <c r="J34" s="82"/>
      <c r="K34" s="82"/>
      <c r="L34" s="82"/>
      <c r="M34" s="82"/>
      <c r="N34" s="82"/>
      <c r="O34" s="82"/>
      <c r="P34" s="82"/>
      <c r="Q34" s="82"/>
      <c r="R34" s="82"/>
      <c r="S34" s="82"/>
      <c r="T34" s="82"/>
      <c r="U34" s="82"/>
      <c r="V34" s="82"/>
      <c r="W34" s="82"/>
      <c r="X34" s="82"/>
      <c r="Y34" s="82"/>
    </row>
    <row r="35" spans="1:25" x14ac:dyDescent="0.2">
      <c r="A35" s="82"/>
      <c r="B35" s="82"/>
      <c r="C35" s="82"/>
      <c r="D35" s="82"/>
      <c r="E35" s="267">
        <f t="shared" si="1"/>
        <v>2039</v>
      </c>
      <c r="F35" s="39"/>
      <c r="G35" s="163">
        <f t="shared" si="4"/>
        <v>0</v>
      </c>
      <c r="H35" s="164">
        <f>ROUND((G35)*NPV!C23,0)</f>
        <v>0</v>
      </c>
      <c r="I35" s="82"/>
      <c r="J35" s="82"/>
      <c r="K35" s="82"/>
      <c r="L35" s="82"/>
      <c r="M35" s="82"/>
      <c r="N35" s="82"/>
      <c r="O35" s="82"/>
      <c r="P35" s="82"/>
      <c r="Q35" s="82"/>
      <c r="R35" s="82"/>
      <c r="S35" s="82"/>
      <c r="T35" s="82"/>
      <c r="U35" s="82"/>
      <c r="V35" s="82"/>
      <c r="W35" s="82"/>
      <c r="X35" s="82"/>
      <c r="Y35" s="82"/>
    </row>
    <row r="36" spans="1:25" x14ac:dyDescent="0.2">
      <c r="A36" s="82"/>
      <c r="B36" s="82"/>
      <c r="C36" s="82"/>
      <c r="D36" s="82"/>
      <c r="E36" s="267">
        <f t="shared" si="1"/>
        <v>2040</v>
      </c>
      <c r="F36" s="39"/>
      <c r="G36" s="163">
        <f t="shared" si="4"/>
        <v>0</v>
      </c>
      <c r="H36" s="164">
        <f>ROUND((G36)*NPV!C24,0)</f>
        <v>0</v>
      </c>
      <c r="I36" s="82"/>
      <c r="J36" s="82"/>
      <c r="K36" s="82"/>
      <c r="L36" s="82"/>
      <c r="M36" s="82"/>
      <c r="N36" s="82"/>
      <c r="O36" s="82"/>
      <c r="P36" s="82"/>
      <c r="Q36" s="82"/>
      <c r="R36" s="82"/>
      <c r="S36" s="82"/>
      <c r="T36" s="82"/>
      <c r="U36" s="82"/>
      <c r="V36" s="82"/>
      <c r="W36" s="82"/>
      <c r="X36" s="82"/>
      <c r="Y36" s="82"/>
    </row>
    <row r="37" spans="1:25" x14ac:dyDescent="0.2">
      <c r="A37" s="82"/>
      <c r="B37" s="82"/>
      <c r="C37" s="82"/>
      <c r="D37" s="82"/>
      <c r="E37" s="267">
        <f t="shared" si="1"/>
        <v>2041</v>
      </c>
      <c r="F37" s="39"/>
      <c r="G37" s="163">
        <f t="shared" si="4"/>
        <v>0</v>
      </c>
      <c r="H37" s="164">
        <f>ROUND((G37)*NPV!C25,0)</f>
        <v>0</v>
      </c>
      <c r="I37" s="82"/>
      <c r="J37" s="82"/>
      <c r="K37" s="82"/>
      <c r="L37" s="82"/>
      <c r="M37" s="82"/>
      <c r="N37" s="82"/>
      <c r="O37" s="82"/>
      <c r="P37" s="82"/>
      <c r="Q37" s="82"/>
      <c r="R37" s="82"/>
      <c r="S37" s="82"/>
      <c r="T37" s="82"/>
      <c r="U37" s="82"/>
      <c r="V37" s="82"/>
      <c r="W37" s="82"/>
      <c r="X37" s="82"/>
      <c r="Y37" s="82"/>
    </row>
    <row r="38" spans="1:25" x14ac:dyDescent="0.2">
      <c r="A38" s="82"/>
      <c r="B38" s="82"/>
      <c r="C38" s="82"/>
      <c r="D38" s="82"/>
      <c r="E38" s="267">
        <f t="shared" si="1"/>
        <v>2042</v>
      </c>
      <c r="F38" s="39"/>
      <c r="G38" s="163">
        <f t="shared" si="4"/>
        <v>0</v>
      </c>
      <c r="H38" s="164">
        <f>ROUND((G38)*NPV!C26,0)</f>
        <v>0</v>
      </c>
      <c r="I38" s="82"/>
      <c r="J38" s="82"/>
      <c r="K38" s="82"/>
      <c r="L38" s="82"/>
      <c r="M38" s="82"/>
      <c r="N38" s="82"/>
      <c r="O38" s="82"/>
      <c r="P38" s="82"/>
      <c r="Q38" s="82"/>
      <c r="R38" s="82"/>
      <c r="S38" s="82"/>
      <c r="T38" s="82"/>
      <c r="U38" s="82"/>
      <c r="V38" s="82"/>
      <c r="W38" s="82"/>
      <c r="X38" s="82"/>
      <c r="Y38" s="82"/>
    </row>
    <row r="39" spans="1:25" x14ac:dyDescent="0.2">
      <c r="A39" s="82"/>
      <c r="B39" s="82"/>
      <c r="C39" s="82"/>
      <c r="D39" s="82"/>
      <c r="E39" s="267">
        <f t="shared" si="1"/>
        <v>2043</v>
      </c>
      <c r="F39" s="39"/>
      <c r="G39" s="163">
        <f t="shared" si="4"/>
        <v>0</v>
      </c>
      <c r="H39" s="164">
        <f>ROUND((G39)*NPV!C27,0)</f>
        <v>0</v>
      </c>
      <c r="I39" s="82"/>
      <c r="J39" s="82"/>
      <c r="K39" s="82"/>
      <c r="L39" s="82"/>
      <c r="M39" s="82"/>
      <c r="N39" s="82"/>
      <c r="O39" s="82"/>
      <c r="P39" s="82"/>
      <c r="Q39" s="82"/>
      <c r="R39" s="82"/>
      <c r="S39" s="82"/>
      <c r="T39" s="82"/>
      <c r="U39" s="82"/>
      <c r="V39" s="82"/>
      <c r="W39" s="82"/>
      <c r="X39" s="82"/>
      <c r="Y39" s="82"/>
    </row>
    <row r="40" spans="1:25" x14ac:dyDescent="0.2">
      <c r="A40" s="82"/>
      <c r="B40" s="82"/>
      <c r="C40" s="82"/>
      <c r="D40" s="82"/>
      <c r="E40" s="267">
        <f t="shared" si="1"/>
        <v>2044</v>
      </c>
      <c r="F40" s="39"/>
      <c r="G40" s="163">
        <f t="shared" si="4"/>
        <v>0</v>
      </c>
      <c r="H40" s="164">
        <f>ROUND((G40)*NPV!C28,0)</f>
        <v>0</v>
      </c>
      <c r="I40" s="82"/>
      <c r="J40" s="82"/>
      <c r="K40" s="82"/>
      <c r="L40" s="82"/>
      <c r="M40" s="82"/>
      <c r="N40" s="82"/>
      <c r="O40" s="82"/>
      <c r="P40" s="82"/>
      <c r="Q40" s="82"/>
      <c r="R40" s="82"/>
      <c r="S40" s="82"/>
      <c r="T40" s="82"/>
      <c r="U40" s="82"/>
      <c r="V40" s="82"/>
      <c r="W40" s="82"/>
      <c r="X40" s="82"/>
      <c r="Y40" s="82"/>
    </row>
    <row r="41" spans="1:25" x14ac:dyDescent="0.2">
      <c r="A41" s="82"/>
      <c r="B41" s="82"/>
      <c r="C41" s="82"/>
      <c r="D41" s="82"/>
      <c r="E41" s="267">
        <f t="shared" si="1"/>
        <v>2045</v>
      </c>
      <c r="F41" s="39"/>
      <c r="G41" s="163">
        <f t="shared" si="3"/>
        <v>0</v>
      </c>
      <c r="H41" s="164">
        <f>ROUND((G41)*NPV!C29,0)</f>
        <v>0</v>
      </c>
      <c r="I41" s="82"/>
      <c r="J41" s="82"/>
      <c r="K41" s="82"/>
      <c r="L41" s="82"/>
      <c r="M41" s="82"/>
      <c r="N41" s="82"/>
      <c r="O41" s="82"/>
      <c r="P41" s="82"/>
      <c r="Q41" s="82"/>
      <c r="R41" s="82"/>
      <c r="S41" s="82"/>
      <c r="T41" s="82"/>
      <c r="U41" s="82"/>
      <c r="V41" s="82"/>
      <c r="W41" s="82"/>
      <c r="X41" s="82"/>
      <c r="Y41" s="82"/>
    </row>
    <row r="42" spans="1:25" x14ac:dyDescent="0.2">
      <c r="A42" s="82"/>
      <c r="B42" s="82"/>
      <c r="C42" s="82"/>
      <c r="D42" s="82"/>
      <c r="E42" s="267">
        <f t="shared" si="1"/>
        <v>2046</v>
      </c>
      <c r="F42" s="39"/>
      <c r="G42" s="163">
        <f t="shared" si="3"/>
        <v>0</v>
      </c>
      <c r="H42" s="164">
        <f>ROUND((G42)*NPV!C30,0)</f>
        <v>0</v>
      </c>
      <c r="I42" s="82"/>
      <c r="J42" s="82"/>
      <c r="K42" s="82"/>
      <c r="L42" s="82"/>
      <c r="M42" s="82"/>
      <c r="N42" s="82"/>
      <c r="O42" s="82"/>
      <c r="P42" s="82"/>
      <c r="Q42" s="82"/>
      <c r="R42" s="82"/>
      <c r="S42" s="82"/>
      <c r="T42" s="82"/>
      <c r="U42" s="82"/>
      <c r="V42" s="82"/>
      <c r="W42" s="82"/>
      <c r="X42" s="82"/>
      <c r="Y42" s="82"/>
    </row>
    <row r="43" spans="1:25" x14ac:dyDescent="0.2">
      <c r="A43" s="82"/>
      <c r="B43" s="82"/>
      <c r="C43" s="82"/>
      <c r="D43" s="82"/>
      <c r="E43" s="267">
        <f t="shared" si="1"/>
        <v>2047</v>
      </c>
      <c r="F43" s="39"/>
      <c r="G43" s="163">
        <f t="shared" si="3"/>
        <v>0</v>
      </c>
      <c r="H43" s="164">
        <f>ROUND((G43)*NPV!C31,0)</f>
        <v>0</v>
      </c>
      <c r="I43" s="82"/>
      <c r="J43" s="82"/>
      <c r="K43" s="82"/>
      <c r="L43" s="82"/>
      <c r="M43" s="82"/>
      <c r="N43" s="82"/>
      <c r="O43" s="82"/>
      <c r="P43" s="82"/>
      <c r="Q43" s="82"/>
      <c r="R43" s="82"/>
      <c r="S43" s="82"/>
      <c r="T43" s="82"/>
      <c r="U43" s="82"/>
      <c r="V43" s="82"/>
      <c r="W43" s="82"/>
      <c r="X43" s="82"/>
      <c r="Y43" s="82"/>
    </row>
    <row r="44" spans="1:25" x14ac:dyDescent="0.2">
      <c r="A44" s="82"/>
      <c r="B44" s="82"/>
      <c r="C44" s="82"/>
      <c r="D44" s="82"/>
      <c r="E44" s="267">
        <f t="shared" si="1"/>
        <v>2048</v>
      </c>
      <c r="F44" s="39"/>
      <c r="G44" s="163">
        <f t="shared" si="3"/>
        <v>0</v>
      </c>
      <c r="H44" s="164">
        <f>ROUND((G44)*NPV!C32,0)</f>
        <v>0</v>
      </c>
      <c r="I44" s="82"/>
      <c r="J44" s="82"/>
      <c r="K44" s="82"/>
      <c r="L44" s="82"/>
      <c r="M44" s="82"/>
      <c r="N44" s="82"/>
      <c r="O44" s="82"/>
      <c r="P44" s="82"/>
      <c r="Q44" s="82"/>
      <c r="R44" s="82"/>
      <c r="S44" s="82"/>
      <c r="T44" s="82"/>
      <c r="U44" s="82"/>
      <c r="V44" s="82"/>
      <c r="W44" s="82"/>
      <c r="X44" s="82"/>
      <c r="Y44" s="82"/>
    </row>
    <row r="45" spans="1:25" x14ac:dyDescent="0.2">
      <c r="A45" s="82"/>
      <c r="B45" s="82"/>
      <c r="C45" s="82"/>
      <c r="D45" s="82"/>
      <c r="E45" s="267">
        <f t="shared" si="1"/>
        <v>2049</v>
      </c>
      <c r="F45" s="39"/>
      <c r="G45" s="163">
        <f t="shared" si="3"/>
        <v>0</v>
      </c>
      <c r="H45" s="164">
        <f>ROUND((G45)*NPV!C33,0)</f>
        <v>0</v>
      </c>
      <c r="I45" s="82"/>
      <c r="J45" s="82"/>
      <c r="K45" s="82"/>
      <c r="L45" s="82"/>
      <c r="M45" s="82"/>
      <c r="N45" s="82"/>
      <c r="O45" s="82"/>
      <c r="P45" s="82"/>
      <c r="Q45" s="82"/>
      <c r="R45" s="82"/>
      <c r="S45" s="82"/>
      <c r="T45" s="82"/>
      <c r="U45" s="82"/>
      <c r="V45" s="82"/>
      <c r="W45" s="82"/>
      <c r="X45" s="82"/>
      <c r="Y45" s="82"/>
    </row>
    <row r="46" spans="1:25" x14ac:dyDescent="0.2">
      <c r="A46" s="82"/>
      <c r="B46" s="82"/>
      <c r="C46" s="82"/>
      <c r="D46" s="82"/>
      <c r="E46" s="267">
        <f t="shared" si="1"/>
        <v>2050</v>
      </c>
      <c r="F46" s="39"/>
      <c r="G46" s="163">
        <f t="shared" si="3"/>
        <v>0</v>
      </c>
      <c r="H46" s="164">
        <f>ROUND((G46)*NPV!C34,0)</f>
        <v>0</v>
      </c>
      <c r="I46" s="82"/>
      <c r="J46" s="82"/>
      <c r="K46" s="82"/>
      <c r="L46" s="82"/>
      <c r="M46" s="82"/>
      <c r="N46" s="82"/>
      <c r="O46" s="82"/>
      <c r="P46" s="82"/>
      <c r="Q46" s="82"/>
      <c r="R46" s="82"/>
      <c r="S46" s="82"/>
      <c r="T46" s="82"/>
      <c r="U46" s="82"/>
      <c r="V46" s="82"/>
      <c r="W46" s="82"/>
      <c r="X46" s="82"/>
      <c r="Y46" s="82"/>
    </row>
    <row r="47" spans="1:25" x14ac:dyDescent="0.2">
      <c r="A47" s="82"/>
      <c r="B47" s="82"/>
      <c r="C47" s="82"/>
      <c r="D47" s="82"/>
      <c r="E47" s="267">
        <f t="shared" si="1"/>
        <v>2051</v>
      </c>
      <c r="F47" s="39"/>
      <c r="G47" s="163">
        <f t="shared" ref="G47:G48" si="5">F47*$C$3</f>
        <v>0</v>
      </c>
      <c r="H47" s="164">
        <f>ROUND((G47)*NPV!C35,0)</f>
        <v>0</v>
      </c>
      <c r="I47" s="82"/>
      <c r="J47" s="82"/>
      <c r="K47" s="82"/>
      <c r="L47" s="82"/>
      <c r="M47" s="82"/>
      <c r="N47" s="82"/>
      <c r="O47" s="82"/>
      <c r="P47" s="82"/>
      <c r="Q47" s="82"/>
      <c r="R47" s="82"/>
      <c r="S47" s="82"/>
      <c r="T47" s="82"/>
      <c r="U47" s="82"/>
      <c r="V47" s="82"/>
      <c r="W47" s="82"/>
      <c r="X47" s="82"/>
      <c r="Y47" s="82"/>
    </row>
    <row r="48" spans="1:25" x14ac:dyDescent="0.2">
      <c r="A48" s="82"/>
      <c r="B48" s="82"/>
      <c r="C48" s="82"/>
      <c r="D48" s="82"/>
      <c r="E48" s="267">
        <f t="shared" si="1"/>
        <v>2052</v>
      </c>
      <c r="F48" s="39"/>
      <c r="G48" s="163">
        <f t="shared" si="5"/>
        <v>0</v>
      </c>
      <c r="H48" s="164">
        <f>ROUND((G48)*NPV!C36,0)</f>
        <v>0</v>
      </c>
      <c r="I48" s="82"/>
      <c r="J48" s="82"/>
      <c r="K48" s="82"/>
      <c r="L48" s="82"/>
      <c r="M48" s="82"/>
      <c r="N48" s="82"/>
      <c r="O48" s="82"/>
      <c r="P48" s="82"/>
      <c r="Q48" s="82"/>
      <c r="R48" s="82"/>
      <c r="S48" s="82"/>
      <c r="T48" s="82"/>
      <c r="U48" s="82"/>
      <c r="V48" s="82"/>
      <c r="W48" s="82"/>
      <c r="X48" s="82"/>
      <c r="Y48" s="82"/>
    </row>
    <row r="49" spans="1:26" x14ac:dyDescent="0.2">
      <c r="A49" s="82"/>
      <c r="B49" s="82"/>
      <c r="C49" s="82"/>
      <c r="D49" s="82"/>
      <c r="E49" s="267">
        <f t="shared" si="1"/>
        <v>2053</v>
      </c>
      <c r="F49" s="39"/>
      <c r="G49" s="163">
        <f t="shared" ref="G49:G51" si="6">F49*$C$3</f>
        <v>0</v>
      </c>
      <c r="H49" s="164">
        <f>ROUND((G49)*NPV!C37,0)</f>
        <v>0</v>
      </c>
      <c r="I49" s="82"/>
      <c r="J49" s="82"/>
      <c r="K49" s="82"/>
      <c r="L49" s="82"/>
      <c r="M49" s="82"/>
      <c r="N49" s="82"/>
      <c r="O49" s="82"/>
      <c r="P49" s="82"/>
      <c r="Q49" s="82"/>
      <c r="R49" s="82"/>
      <c r="S49" s="82"/>
      <c r="T49" s="82"/>
      <c r="U49" s="82"/>
      <c r="V49" s="82"/>
      <c r="W49" s="82"/>
      <c r="X49" s="82"/>
      <c r="Y49" s="82"/>
    </row>
    <row r="50" spans="1:26" x14ac:dyDescent="0.2">
      <c r="A50" s="82"/>
      <c r="B50" s="82"/>
      <c r="C50" s="82"/>
      <c r="D50" s="82"/>
      <c r="E50" s="267">
        <f t="shared" si="1"/>
        <v>2054</v>
      </c>
      <c r="F50" s="39"/>
      <c r="G50" s="163">
        <f t="shared" si="6"/>
        <v>0</v>
      </c>
      <c r="H50" s="164">
        <f>ROUND((G50)*NPV!C38,0)</f>
        <v>0</v>
      </c>
      <c r="I50" s="82"/>
      <c r="J50" s="82"/>
      <c r="K50" s="82"/>
      <c r="L50" s="82"/>
      <c r="M50" s="82"/>
      <c r="N50" s="82"/>
      <c r="O50" s="82"/>
      <c r="P50" s="82"/>
      <c r="Q50" s="82"/>
      <c r="R50" s="82"/>
      <c r="S50" s="82"/>
      <c r="T50" s="82"/>
      <c r="U50" s="82"/>
      <c r="V50" s="82"/>
      <c r="W50" s="82"/>
      <c r="X50" s="82"/>
      <c r="Y50" s="82"/>
    </row>
    <row r="51" spans="1:26" x14ac:dyDescent="0.2">
      <c r="A51" s="82"/>
      <c r="B51" s="82"/>
      <c r="C51" s="82"/>
      <c r="D51" s="82"/>
      <c r="E51" s="267">
        <f t="shared" si="1"/>
        <v>2055</v>
      </c>
      <c r="F51" s="39"/>
      <c r="G51" s="163">
        <f t="shared" si="6"/>
        <v>0</v>
      </c>
      <c r="H51" s="164">
        <f>ROUND((G51)*NPV!C39,0)</f>
        <v>0</v>
      </c>
      <c r="I51" s="82"/>
      <c r="J51" s="82"/>
      <c r="K51" s="82"/>
      <c r="L51" s="82"/>
      <c r="M51" s="82"/>
      <c r="N51" s="82"/>
      <c r="O51" s="82"/>
      <c r="P51" s="82"/>
      <c r="Q51" s="82"/>
      <c r="R51" s="82"/>
      <c r="S51" s="82"/>
      <c r="T51" s="82"/>
      <c r="U51" s="82"/>
      <c r="V51" s="82"/>
      <c r="W51" s="82"/>
      <c r="X51" s="82"/>
      <c r="Y51" s="82"/>
    </row>
    <row r="52" spans="1:26" ht="13.5" thickBot="1" x14ac:dyDescent="0.25">
      <c r="A52" s="82"/>
      <c r="B52" s="82"/>
      <c r="C52" s="82"/>
      <c r="D52" s="82"/>
      <c r="E52" s="268">
        <f>E51+1</f>
        <v>2056</v>
      </c>
      <c r="F52" s="60"/>
      <c r="G52" s="165">
        <f>-C4</f>
        <v>-123452574.80000001</v>
      </c>
      <c r="H52" s="165">
        <f>ROUND((G52)*NPV!C40,0)</f>
        <v>-10099512</v>
      </c>
      <c r="I52" s="82"/>
      <c r="J52" s="82"/>
      <c r="K52" s="82"/>
      <c r="L52" s="82"/>
      <c r="M52" s="82"/>
      <c r="N52" s="82"/>
      <c r="O52" s="82"/>
      <c r="P52" s="82"/>
      <c r="Q52" s="82"/>
      <c r="R52" s="82"/>
      <c r="S52" s="82"/>
      <c r="T52" s="82"/>
      <c r="U52" s="82"/>
      <c r="V52" s="82"/>
      <c r="W52" s="82"/>
      <c r="X52" s="82"/>
      <c r="Y52" s="82"/>
    </row>
    <row r="53" spans="1:26" ht="13.5" thickTop="1" x14ac:dyDescent="0.2">
      <c r="A53" s="82"/>
      <c r="B53" s="82"/>
      <c r="C53" s="82"/>
      <c r="D53" s="82"/>
      <c r="E53" s="269" t="s">
        <v>0</v>
      </c>
      <c r="F53" s="43">
        <f>SUM(F5:F52)</f>
        <v>0.99999999999999989</v>
      </c>
      <c r="G53" s="166">
        <f>SUM(G15:G52)</f>
        <v>161018229.19999999</v>
      </c>
      <c r="H53" s="166">
        <f>SUM(H5:H52)</f>
        <v>225567181.01480001</v>
      </c>
      <c r="I53" s="82"/>
      <c r="J53" s="82"/>
      <c r="K53" s="82"/>
      <c r="L53" s="82"/>
      <c r="M53" s="82"/>
      <c r="N53" s="82"/>
      <c r="O53" s="82"/>
      <c r="P53" s="82"/>
      <c r="Q53" s="82"/>
      <c r="R53" s="82"/>
      <c r="S53" s="82"/>
      <c r="T53" s="82"/>
      <c r="U53" s="82"/>
      <c r="V53" s="82"/>
      <c r="W53" s="82"/>
      <c r="X53" s="82"/>
      <c r="Y53" s="82"/>
    </row>
    <row r="54" spans="1:26"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6" x14ac:dyDescent="0.2">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x14ac:dyDescent="0.2">
      <c r="A56" s="82" t="s">
        <v>290</v>
      </c>
      <c r="B56" s="82"/>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x14ac:dyDescent="0.2">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x14ac:dyDescent="0.2">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x14ac:dyDescent="0.2">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x14ac:dyDescent="0.2">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x14ac:dyDescent="0.2">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x14ac:dyDescent="0.2">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x14ac:dyDescent="0.2">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row>
    <row r="65" spans="1:26" x14ac:dyDescent="0.2">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row>
    <row r="66" spans="1:26" x14ac:dyDescent="0.2">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spans="1:26" x14ac:dyDescent="0.2">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row>
    <row r="68" spans="1:26" x14ac:dyDescent="0.2">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row>
    <row r="69" spans="1:26" x14ac:dyDescent="0.2">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row>
    <row r="70" spans="1:26" x14ac:dyDescent="0.2">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row>
    <row r="71" spans="1:26" x14ac:dyDescent="0.2">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spans="1:26" x14ac:dyDescent="0.2">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x14ac:dyDescent="0.2">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1:26" x14ac:dyDescent="0.2">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spans="1:26" x14ac:dyDescent="0.2">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spans="1:26" x14ac:dyDescent="0.2">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spans="1:26"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spans="1:26" x14ac:dyDescent="0.2">
      <c r="E78" s="82"/>
      <c r="F78" s="82"/>
      <c r="G78" s="82"/>
      <c r="H78" s="82"/>
      <c r="I78" s="82"/>
    </row>
    <row r="79" spans="1:26" x14ac:dyDescent="0.2">
      <c r="E79" s="82"/>
      <c r="F79" s="82"/>
      <c r="G79" s="82"/>
      <c r="H79" s="82"/>
      <c r="I79" s="82"/>
    </row>
    <row r="80" spans="1:26" x14ac:dyDescent="0.2">
      <c r="E80" s="82"/>
      <c r="F80" s="82"/>
      <c r="G80" s="82"/>
      <c r="H80" s="82"/>
      <c r="I80" s="82"/>
    </row>
    <row r="81" spans="5:9" x14ac:dyDescent="0.2">
      <c r="E81" s="82"/>
      <c r="F81" s="82"/>
      <c r="G81" s="82"/>
      <c r="H81" s="82"/>
      <c r="I81" s="82"/>
    </row>
    <row r="82" spans="5:9" x14ac:dyDescent="0.2">
      <c r="E82" s="82"/>
      <c r="F82" s="82"/>
      <c r="G82" s="82"/>
      <c r="H82" s="82"/>
      <c r="I82" s="82"/>
    </row>
    <row r="83" spans="5:9" x14ac:dyDescent="0.2">
      <c r="E83" s="82"/>
      <c r="F83" s="82"/>
      <c r="G83" s="82"/>
      <c r="H83" s="82"/>
      <c r="I83" s="82"/>
    </row>
    <row r="84" spans="5:9" x14ac:dyDescent="0.2">
      <c r="E84" s="82"/>
      <c r="F84" s="82"/>
      <c r="G84" s="82"/>
      <c r="H84" s="82"/>
      <c r="I84" s="82"/>
    </row>
    <row r="85" spans="5:9" x14ac:dyDescent="0.2">
      <c r="E85" s="82"/>
      <c r="F85" s="82"/>
      <c r="G85" s="82"/>
      <c r="H85" s="82"/>
      <c r="I85" s="82"/>
    </row>
    <row r="86" spans="5:9" x14ac:dyDescent="0.2">
      <c r="E86" s="82"/>
      <c r="F86" s="82"/>
      <c r="G86" s="82"/>
      <c r="H86" s="82"/>
      <c r="I86" s="82"/>
    </row>
    <row r="87" spans="5:9" x14ac:dyDescent="0.2">
      <c r="E87" s="82"/>
      <c r="F87" s="82"/>
      <c r="G87" s="82"/>
      <c r="H87" s="82"/>
      <c r="I87" s="82"/>
    </row>
  </sheetData>
  <mergeCells count="4">
    <mergeCell ref="A3:B3"/>
    <mergeCell ref="A5:B5"/>
    <mergeCell ref="A4:B4"/>
    <mergeCell ref="E3:H3"/>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4499-5B98-475D-A8C2-A2102FBEED6C}">
  <sheetPr>
    <tabColor theme="6"/>
    <pageSetUpPr fitToPage="1"/>
  </sheetPr>
  <dimension ref="A1:AZ302"/>
  <sheetViews>
    <sheetView topLeftCell="A11" zoomScale="70" zoomScaleNormal="70" workbookViewId="0">
      <selection activeCell="B5" sqref="B5:C12"/>
    </sheetView>
  </sheetViews>
  <sheetFormatPr defaultRowHeight="12.75" x14ac:dyDescent="0.2"/>
  <cols>
    <col min="1" max="1" width="39.5703125" customWidth="1"/>
    <col min="2" max="2" width="13" customWidth="1"/>
    <col min="3" max="3" width="12.7109375" customWidth="1"/>
    <col min="4" max="4" width="13" customWidth="1"/>
    <col min="5" max="5" width="15.42578125" customWidth="1"/>
    <col min="6" max="6" width="14.28515625" customWidth="1"/>
    <col min="7" max="7" width="14.140625" customWidth="1"/>
    <col min="8" max="8" width="40.42578125" bestFit="1" customWidth="1"/>
    <col min="9" max="9" width="11.7109375" customWidth="1"/>
    <col min="10" max="10" width="14.85546875" bestFit="1" customWidth="1"/>
    <col min="11" max="11" width="16.7109375" bestFit="1" customWidth="1"/>
    <col min="12" max="12" width="12.7109375" customWidth="1"/>
    <col min="13" max="13" width="18" customWidth="1"/>
    <col min="14" max="14" width="22.28515625" customWidth="1"/>
  </cols>
  <sheetData>
    <row r="1" spans="1:52" ht="20.25" x14ac:dyDescent="0.3">
      <c r="A1" s="305" t="s">
        <v>243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row>
    <row r="2" spans="1:52" ht="10.9" customHeight="1" x14ac:dyDescent="0.3">
      <c r="A2" s="116"/>
      <c r="B2" s="116"/>
      <c r="C2" s="116"/>
      <c r="D2" s="82"/>
      <c r="E2" s="82"/>
      <c r="F2" s="82"/>
      <c r="G2" s="82"/>
      <c r="H2" s="82"/>
      <c r="I2" s="82"/>
      <c r="J2" s="152"/>
      <c r="K2" s="152"/>
      <c r="L2" s="153"/>
      <c r="M2" s="153"/>
      <c r="N2" s="153"/>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row>
    <row r="3" spans="1:52" x14ac:dyDescent="0.2">
      <c r="A3" s="387" t="s">
        <v>207</v>
      </c>
      <c r="B3" s="388"/>
      <c r="C3" s="388"/>
      <c r="D3" s="388"/>
      <c r="E3" s="388"/>
      <c r="F3" s="389"/>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row>
    <row r="4" spans="1:52" ht="43.9" customHeight="1" thickBot="1" x14ac:dyDescent="0.25">
      <c r="A4" s="80" t="s">
        <v>1</v>
      </c>
      <c r="B4" s="80" t="s">
        <v>208</v>
      </c>
      <c r="C4" s="80" t="s">
        <v>227</v>
      </c>
      <c r="D4" s="80" t="s">
        <v>209</v>
      </c>
      <c r="E4" s="80" t="s">
        <v>228</v>
      </c>
      <c r="F4" s="80" t="s">
        <v>76</v>
      </c>
      <c r="G4" s="16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1:52" ht="13.5" thickTop="1" x14ac:dyDescent="0.2">
      <c r="A5" s="267">
        <v>2019</v>
      </c>
      <c r="B5" s="167">
        <f>($F$54*$B$54)</f>
        <v>181684</v>
      </c>
      <c r="C5" s="168">
        <v>0</v>
      </c>
      <c r="D5" s="169"/>
      <c r="E5" s="170"/>
      <c r="F5" s="171"/>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row>
    <row r="6" spans="1:52" x14ac:dyDescent="0.2">
      <c r="A6" s="267">
        <f>A5+1</f>
        <v>2020</v>
      </c>
      <c r="B6" s="167">
        <f t="shared" ref="B6:B38" si="0">($F$54*$B$54)</f>
        <v>181684</v>
      </c>
      <c r="C6" s="168">
        <f>($F$51*$B$51)+($F$52*$B$52)</f>
        <v>1362800</v>
      </c>
      <c r="D6" s="169"/>
      <c r="E6" s="170"/>
      <c r="F6" s="171"/>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row>
    <row r="7" spans="1:52" x14ac:dyDescent="0.2">
      <c r="A7" s="267">
        <f t="shared" ref="A7:A41" si="1">A6+1</f>
        <v>2021</v>
      </c>
      <c r="B7" s="167">
        <f t="shared" si="0"/>
        <v>181684</v>
      </c>
      <c r="C7" s="168">
        <f>$F$49*$B$49</f>
        <v>2557400</v>
      </c>
      <c r="D7" s="169"/>
      <c r="E7" s="170"/>
      <c r="F7" s="171"/>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x14ac:dyDescent="0.2">
      <c r="A8" s="267">
        <f t="shared" si="1"/>
        <v>2022</v>
      </c>
      <c r="B8" s="167">
        <f t="shared" si="0"/>
        <v>181684</v>
      </c>
      <c r="C8" s="168">
        <f>($F$48*$B$48)+($F$53*$B$53)</f>
        <v>1754800</v>
      </c>
      <c r="D8" s="169"/>
      <c r="E8" s="170"/>
      <c r="F8" s="171"/>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x14ac:dyDescent="0.2">
      <c r="A9" s="267">
        <f t="shared" si="1"/>
        <v>2023</v>
      </c>
      <c r="B9" s="167">
        <f t="shared" si="0"/>
        <v>181684</v>
      </c>
      <c r="C9" s="168">
        <v>0</v>
      </c>
      <c r="D9" s="169"/>
      <c r="E9" s="170"/>
      <c r="F9" s="171"/>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row>
    <row r="10" spans="1:52" x14ac:dyDescent="0.2">
      <c r="A10" s="267">
        <f t="shared" si="1"/>
        <v>2024</v>
      </c>
      <c r="B10" s="167">
        <f t="shared" si="0"/>
        <v>181684</v>
      </c>
      <c r="C10" s="168">
        <f>$F$50*$B$50</f>
        <v>470400</v>
      </c>
      <c r="D10" s="169"/>
      <c r="E10" s="170"/>
      <c r="F10" s="171"/>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row>
    <row r="11" spans="1:52" x14ac:dyDescent="0.2">
      <c r="A11" s="267">
        <f t="shared" si="1"/>
        <v>2025</v>
      </c>
      <c r="B11" s="167">
        <f t="shared" si="0"/>
        <v>181684</v>
      </c>
      <c r="C11" s="168">
        <v>0</v>
      </c>
      <c r="D11" s="169"/>
      <c r="E11" s="170"/>
      <c r="F11" s="171"/>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2" ht="14.45" customHeight="1" x14ac:dyDescent="0.2">
      <c r="A12" s="267">
        <f t="shared" si="1"/>
        <v>2026</v>
      </c>
      <c r="B12" s="167">
        <f t="shared" si="0"/>
        <v>181684</v>
      </c>
      <c r="C12" s="168">
        <v>0</v>
      </c>
      <c r="D12" s="169"/>
      <c r="E12" s="170"/>
      <c r="F12" s="171"/>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2" x14ac:dyDescent="0.2">
      <c r="A13" s="267">
        <f t="shared" si="1"/>
        <v>2027</v>
      </c>
      <c r="B13" s="167">
        <f t="shared" si="0"/>
        <v>181684</v>
      </c>
      <c r="C13" s="168">
        <f>(F51*B51)+(F52*B52)</f>
        <v>1362800</v>
      </c>
      <c r="D13" s="169">
        <f>($B$62*$E$62)+B13</f>
        <v>359181</v>
      </c>
      <c r="E13" s="170">
        <f>$E$61*$B$61</f>
        <v>199080</v>
      </c>
      <c r="F13" s="171">
        <f>((D13+E13)-(B13+C13))*-1</f>
        <v>986223</v>
      </c>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2" x14ac:dyDescent="0.2">
      <c r="A14" s="267">
        <f t="shared" si="1"/>
        <v>2028</v>
      </c>
      <c r="B14" s="167">
        <f t="shared" si="0"/>
        <v>181684</v>
      </c>
      <c r="C14" s="168">
        <f>F49*B49</f>
        <v>2557400</v>
      </c>
      <c r="D14" s="169">
        <f t="shared" ref="D14:D38" si="2">($B$62*$E$62)+B14</f>
        <v>359181</v>
      </c>
      <c r="E14" s="170">
        <v>0</v>
      </c>
      <c r="F14" s="171">
        <f>((D14+E14)-(B14+C14))*-1</f>
        <v>2379903</v>
      </c>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5" spans="1:52" ht="14.45" customHeight="1" x14ac:dyDescent="0.2">
      <c r="A15" s="267">
        <f t="shared" si="1"/>
        <v>2029</v>
      </c>
      <c r="B15" s="167">
        <f t="shared" si="0"/>
        <v>181684</v>
      </c>
      <c r="C15" s="168">
        <f>(F48*B48)+(F53*B53)</f>
        <v>1754800</v>
      </c>
      <c r="D15" s="169">
        <f t="shared" si="2"/>
        <v>359181</v>
      </c>
      <c r="E15" s="170">
        <v>0</v>
      </c>
      <c r="F15" s="171">
        <f t="shared" ref="F15:F42" si="3">((D15+E15)-(B15+C15))*-1</f>
        <v>1577303</v>
      </c>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2" x14ac:dyDescent="0.2">
      <c r="A16" s="267">
        <f t="shared" si="1"/>
        <v>2030</v>
      </c>
      <c r="B16" s="167">
        <f t="shared" si="0"/>
        <v>181684</v>
      </c>
      <c r="C16" s="168">
        <v>0</v>
      </c>
      <c r="D16" s="169">
        <f t="shared" si="2"/>
        <v>359181</v>
      </c>
      <c r="E16" s="170">
        <v>0</v>
      </c>
      <c r="F16" s="171">
        <f t="shared" si="3"/>
        <v>-177497</v>
      </c>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2" x14ac:dyDescent="0.2">
      <c r="A17" s="267">
        <f t="shared" si="1"/>
        <v>2031</v>
      </c>
      <c r="B17" s="167">
        <f t="shared" si="0"/>
        <v>181684</v>
      </c>
      <c r="C17" s="168">
        <f>F50*B50</f>
        <v>470400</v>
      </c>
      <c r="D17" s="169">
        <f t="shared" si="2"/>
        <v>359181</v>
      </c>
      <c r="E17" s="170">
        <v>0</v>
      </c>
      <c r="F17" s="171">
        <f t="shared" si="3"/>
        <v>292903</v>
      </c>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2" x14ac:dyDescent="0.2">
      <c r="A18" s="267">
        <f t="shared" si="1"/>
        <v>2032</v>
      </c>
      <c r="B18" s="167">
        <f t="shared" si="0"/>
        <v>181684</v>
      </c>
      <c r="C18" s="168">
        <v>0</v>
      </c>
      <c r="D18" s="169">
        <f t="shared" si="2"/>
        <v>359181</v>
      </c>
      <c r="E18" s="170">
        <v>0</v>
      </c>
      <c r="F18" s="171">
        <f t="shared" si="3"/>
        <v>-177497</v>
      </c>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2" x14ac:dyDescent="0.2">
      <c r="A19" s="267">
        <f t="shared" si="1"/>
        <v>2033</v>
      </c>
      <c r="B19" s="167">
        <f t="shared" si="0"/>
        <v>181684</v>
      </c>
      <c r="C19" s="168">
        <v>0</v>
      </c>
      <c r="D19" s="169">
        <f t="shared" si="2"/>
        <v>359181</v>
      </c>
      <c r="E19" s="170">
        <f>$E$59*$B$59</f>
        <v>4686400</v>
      </c>
      <c r="F19" s="171">
        <f t="shared" si="3"/>
        <v>-4863897</v>
      </c>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x14ac:dyDescent="0.2">
      <c r="A20" s="267">
        <f t="shared" si="1"/>
        <v>2034</v>
      </c>
      <c r="B20" s="167">
        <f t="shared" si="0"/>
        <v>181684</v>
      </c>
      <c r="C20" s="168">
        <f>($G$51*$B$51)+($G$52*$B$52)</f>
        <v>2854120</v>
      </c>
      <c r="D20" s="169">
        <f t="shared" si="2"/>
        <v>359181</v>
      </c>
      <c r="E20" s="170">
        <v>0</v>
      </c>
      <c r="F20" s="171">
        <f t="shared" si="3"/>
        <v>2676623</v>
      </c>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2" ht="16.5" x14ac:dyDescent="0.3">
      <c r="A21" s="267">
        <f t="shared" si="1"/>
        <v>2035</v>
      </c>
      <c r="B21" s="167">
        <f t="shared" si="0"/>
        <v>181684</v>
      </c>
      <c r="C21" s="168">
        <f>$G$49*$B$49</f>
        <v>7174180</v>
      </c>
      <c r="D21" s="169">
        <f t="shared" si="2"/>
        <v>359181</v>
      </c>
      <c r="E21" s="170">
        <v>0</v>
      </c>
      <c r="F21" s="171">
        <f t="shared" si="3"/>
        <v>6996683</v>
      </c>
      <c r="G21" s="82"/>
      <c r="H21" s="82"/>
      <c r="I21" s="82"/>
      <c r="J21" s="82"/>
      <c r="K21" s="82"/>
      <c r="L21" s="154"/>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2" ht="16.5" x14ac:dyDescent="0.3">
      <c r="A22" s="267">
        <f t="shared" si="1"/>
        <v>2036</v>
      </c>
      <c r="B22" s="167">
        <f t="shared" si="0"/>
        <v>181684</v>
      </c>
      <c r="C22" s="168">
        <f>($G$48*$B$48)+($G$53*$B$53)</f>
        <v>4690760</v>
      </c>
      <c r="D22" s="169">
        <f t="shared" si="2"/>
        <v>359181</v>
      </c>
      <c r="E22" s="170">
        <v>0</v>
      </c>
      <c r="F22" s="171">
        <f t="shared" si="3"/>
        <v>4513263</v>
      </c>
      <c r="G22" s="82"/>
      <c r="H22" s="82"/>
      <c r="I22" s="82"/>
      <c r="J22" s="82"/>
      <c r="K22" s="82"/>
      <c r="L22" s="154"/>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2" ht="16.5" x14ac:dyDescent="0.3">
      <c r="A23" s="267">
        <f t="shared" si="1"/>
        <v>2037</v>
      </c>
      <c r="B23" s="167">
        <f t="shared" si="0"/>
        <v>181684</v>
      </c>
      <c r="C23" s="168">
        <v>0</v>
      </c>
      <c r="D23" s="169">
        <f t="shared" si="2"/>
        <v>359181</v>
      </c>
      <c r="E23" s="170">
        <v>0</v>
      </c>
      <c r="F23" s="171">
        <f t="shared" si="3"/>
        <v>-177497</v>
      </c>
      <c r="G23" s="82"/>
      <c r="H23" s="82"/>
      <c r="I23" s="82"/>
      <c r="J23" s="82"/>
      <c r="K23" s="82"/>
      <c r="L23" s="154"/>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row r="24" spans="1:52" ht="16.5" x14ac:dyDescent="0.3">
      <c r="A24" s="267">
        <f t="shared" si="1"/>
        <v>2038</v>
      </c>
      <c r="B24" s="167">
        <f t="shared" si="0"/>
        <v>181684</v>
      </c>
      <c r="C24" s="168">
        <f>$G$50*$B$50</f>
        <v>940800</v>
      </c>
      <c r="D24" s="169">
        <f t="shared" si="2"/>
        <v>359181</v>
      </c>
      <c r="E24" s="170">
        <v>0</v>
      </c>
      <c r="F24" s="171">
        <f t="shared" si="3"/>
        <v>763303</v>
      </c>
      <c r="G24" s="82"/>
      <c r="H24" s="82"/>
      <c r="I24" s="82"/>
      <c r="J24" s="82"/>
      <c r="K24" s="82"/>
      <c r="L24" s="154"/>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row>
    <row r="25" spans="1:52" ht="16.5" x14ac:dyDescent="0.3">
      <c r="A25" s="267">
        <f t="shared" si="1"/>
        <v>2039</v>
      </c>
      <c r="B25" s="167">
        <f t="shared" si="0"/>
        <v>181684</v>
      </c>
      <c r="C25" s="168">
        <v>0</v>
      </c>
      <c r="D25" s="169">
        <f t="shared" si="2"/>
        <v>359181</v>
      </c>
      <c r="E25" s="170">
        <v>0</v>
      </c>
      <c r="F25" s="171">
        <f t="shared" si="3"/>
        <v>-177497</v>
      </c>
      <c r="G25" s="82"/>
      <c r="H25" s="82"/>
      <c r="I25" s="82"/>
      <c r="J25" s="82"/>
      <c r="K25" s="82"/>
      <c r="L25" s="154"/>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row>
    <row r="26" spans="1:52" ht="16.5" x14ac:dyDescent="0.3">
      <c r="A26" s="267">
        <f t="shared" si="1"/>
        <v>2040</v>
      </c>
      <c r="B26" s="167">
        <f t="shared" si="0"/>
        <v>181684</v>
      </c>
      <c r="C26" s="168">
        <v>0</v>
      </c>
      <c r="D26" s="169">
        <f t="shared" si="2"/>
        <v>359181</v>
      </c>
      <c r="E26" s="170">
        <f>$E$59*$B$59</f>
        <v>4686400</v>
      </c>
      <c r="F26" s="171">
        <f t="shared" si="3"/>
        <v>-4863897</v>
      </c>
      <c r="G26" s="82"/>
      <c r="H26" s="82"/>
      <c r="I26" s="82"/>
      <c r="J26" s="82"/>
      <c r="K26" s="82"/>
      <c r="L26" s="154"/>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row>
    <row r="27" spans="1:52" ht="16.5" x14ac:dyDescent="0.3">
      <c r="A27" s="267">
        <f t="shared" si="1"/>
        <v>2041</v>
      </c>
      <c r="B27" s="167">
        <f t="shared" si="0"/>
        <v>181684</v>
      </c>
      <c r="C27" s="168">
        <f>($F$51*$B$51)+($F$52*$B$52)</f>
        <v>1362800</v>
      </c>
      <c r="D27" s="169">
        <f t="shared" si="2"/>
        <v>359181</v>
      </c>
      <c r="E27" s="170">
        <v>0</v>
      </c>
      <c r="F27" s="171">
        <f t="shared" si="3"/>
        <v>1185303</v>
      </c>
      <c r="G27" s="82"/>
      <c r="H27" s="82"/>
      <c r="I27" s="82"/>
      <c r="J27" s="82"/>
      <c r="K27" s="82"/>
      <c r="L27" s="154"/>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row>
    <row r="28" spans="1:52" ht="16.5" x14ac:dyDescent="0.3">
      <c r="A28" s="267">
        <f t="shared" si="1"/>
        <v>2042</v>
      </c>
      <c r="B28" s="167">
        <f t="shared" si="0"/>
        <v>181684</v>
      </c>
      <c r="C28" s="168">
        <f>$F$49*$B$49</f>
        <v>2557400</v>
      </c>
      <c r="D28" s="169">
        <f t="shared" si="2"/>
        <v>359181</v>
      </c>
      <c r="E28" s="170">
        <v>0</v>
      </c>
      <c r="F28" s="171">
        <f t="shared" si="3"/>
        <v>2379903</v>
      </c>
      <c r="G28" s="82"/>
      <c r="H28" s="82"/>
      <c r="I28" s="82"/>
      <c r="J28" s="82"/>
      <c r="K28" s="82"/>
      <c r="L28" s="154"/>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row>
    <row r="29" spans="1:52" x14ac:dyDescent="0.2">
      <c r="A29" s="267">
        <f t="shared" si="1"/>
        <v>2043</v>
      </c>
      <c r="B29" s="167">
        <f t="shared" si="0"/>
        <v>181684</v>
      </c>
      <c r="C29" s="168">
        <f>($F$48*$B$48)+($F$53*$B$53)</f>
        <v>1754800</v>
      </c>
      <c r="D29" s="169">
        <f t="shared" si="2"/>
        <v>359181</v>
      </c>
      <c r="E29" s="170">
        <v>0</v>
      </c>
      <c r="F29" s="171">
        <f t="shared" si="3"/>
        <v>1577303</v>
      </c>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row>
    <row r="30" spans="1:52" x14ac:dyDescent="0.2">
      <c r="A30" s="267">
        <f t="shared" si="1"/>
        <v>2044</v>
      </c>
      <c r="B30" s="167">
        <f t="shared" si="0"/>
        <v>181684</v>
      </c>
      <c r="C30" s="168">
        <v>0</v>
      </c>
      <c r="D30" s="169">
        <f t="shared" si="2"/>
        <v>359181</v>
      </c>
      <c r="E30" s="170">
        <v>0</v>
      </c>
      <c r="F30" s="171">
        <f t="shared" si="3"/>
        <v>-177497</v>
      </c>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row>
    <row r="31" spans="1:52" x14ac:dyDescent="0.2">
      <c r="A31" s="267">
        <f t="shared" si="1"/>
        <v>2045</v>
      </c>
      <c r="B31" s="167">
        <f t="shared" si="0"/>
        <v>181684</v>
      </c>
      <c r="C31" s="168">
        <f>$F$50*$B$50</f>
        <v>470400</v>
      </c>
      <c r="D31" s="169">
        <f t="shared" si="2"/>
        <v>359181</v>
      </c>
      <c r="E31" s="170">
        <v>0</v>
      </c>
      <c r="F31" s="171">
        <f t="shared" si="3"/>
        <v>292903</v>
      </c>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row>
    <row r="32" spans="1:52" x14ac:dyDescent="0.2">
      <c r="A32" s="267">
        <f t="shared" si="1"/>
        <v>2046</v>
      </c>
      <c r="B32" s="167">
        <f t="shared" si="0"/>
        <v>181684</v>
      </c>
      <c r="C32" s="168">
        <v>0</v>
      </c>
      <c r="D32" s="169">
        <f t="shared" si="2"/>
        <v>359181</v>
      </c>
      <c r="E32" s="170">
        <v>0</v>
      </c>
      <c r="F32" s="171">
        <f t="shared" si="3"/>
        <v>-177497</v>
      </c>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row>
    <row r="33" spans="1:52" x14ac:dyDescent="0.2">
      <c r="A33" s="267">
        <f t="shared" si="1"/>
        <v>2047</v>
      </c>
      <c r="B33" s="167">
        <f t="shared" si="0"/>
        <v>181684</v>
      </c>
      <c r="C33" s="168">
        <v>0</v>
      </c>
      <c r="D33" s="169">
        <f t="shared" si="2"/>
        <v>359181</v>
      </c>
      <c r="E33" s="170">
        <f>($E$60*$B$60)+($E$59*$B$59)</f>
        <v>5446600</v>
      </c>
      <c r="F33" s="171">
        <f t="shared" si="3"/>
        <v>-5624097</v>
      </c>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row>
    <row r="34" spans="1:52" x14ac:dyDescent="0.2">
      <c r="A34" s="267">
        <f t="shared" si="1"/>
        <v>2048</v>
      </c>
      <c r="B34" s="167">
        <f t="shared" si="0"/>
        <v>181684</v>
      </c>
      <c r="C34" s="168">
        <f>($F$51*$B$51)+($F$52*$B$52)</f>
        <v>1362800</v>
      </c>
      <c r="D34" s="169">
        <f t="shared" si="2"/>
        <v>359181</v>
      </c>
      <c r="E34" s="170">
        <v>0</v>
      </c>
      <c r="F34" s="171">
        <f t="shared" si="3"/>
        <v>1185303</v>
      </c>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row>
    <row r="35" spans="1:52" x14ac:dyDescent="0.2">
      <c r="A35" s="267">
        <f t="shared" si="1"/>
        <v>2049</v>
      </c>
      <c r="B35" s="167">
        <f t="shared" si="0"/>
        <v>181684</v>
      </c>
      <c r="C35" s="168">
        <f>$F$49*$B$49</f>
        <v>2557400</v>
      </c>
      <c r="D35" s="169">
        <f t="shared" si="2"/>
        <v>359181</v>
      </c>
      <c r="E35" s="170">
        <v>0</v>
      </c>
      <c r="F35" s="171">
        <f t="shared" si="3"/>
        <v>2379903</v>
      </c>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row>
    <row r="36" spans="1:52" x14ac:dyDescent="0.2">
      <c r="A36" s="267">
        <f t="shared" si="1"/>
        <v>2050</v>
      </c>
      <c r="B36" s="167">
        <f t="shared" si="0"/>
        <v>181684</v>
      </c>
      <c r="C36" s="168">
        <f>($F$48*$B$48)+($F$53*$B$53)</f>
        <v>1754800</v>
      </c>
      <c r="D36" s="169">
        <f t="shared" si="2"/>
        <v>359181</v>
      </c>
      <c r="E36" s="170">
        <v>0</v>
      </c>
      <c r="F36" s="171">
        <f t="shared" si="3"/>
        <v>1577303</v>
      </c>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row>
    <row r="37" spans="1:52" x14ac:dyDescent="0.2">
      <c r="A37" s="267">
        <f t="shared" si="1"/>
        <v>2051</v>
      </c>
      <c r="B37" s="167">
        <f t="shared" si="0"/>
        <v>181684</v>
      </c>
      <c r="C37" s="168">
        <v>0</v>
      </c>
      <c r="D37" s="169">
        <f t="shared" si="2"/>
        <v>359181</v>
      </c>
      <c r="E37" s="170">
        <v>0</v>
      </c>
      <c r="F37" s="171">
        <f t="shared" si="3"/>
        <v>-177497</v>
      </c>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row>
    <row r="38" spans="1:52" x14ac:dyDescent="0.2">
      <c r="A38" s="267">
        <f t="shared" si="1"/>
        <v>2052</v>
      </c>
      <c r="B38" s="167">
        <f t="shared" si="0"/>
        <v>181684</v>
      </c>
      <c r="C38" s="168">
        <f>$F$50*$B$50</f>
        <v>470400</v>
      </c>
      <c r="D38" s="169">
        <f t="shared" si="2"/>
        <v>359181</v>
      </c>
      <c r="E38" s="170">
        <v>0</v>
      </c>
      <c r="F38" s="171">
        <f t="shared" si="3"/>
        <v>292903</v>
      </c>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row>
    <row r="39" spans="1:52" x14ac:dyDescent="0.2">
      <c r="A39" s="267">
        <f t="shared" si="1"/>
        <v>2053</v>
      </c>
      <c r="B39" s="167">
        <f t="shared" ref="B39:B41" si="4">($F$54*$B$54)</f>
        <v>181684</v>
      </c>
      <c r="C39" s="168">
        <v>0</v>
      </c>
      <c r="D39" s="169">
        <f t="shared" ref="D39:D41" si="5">($B$62*$E$62)+B39</f>
        <v>359181</v>
      </c>
      <c r="E39" s="170">
        <v>0</v>
      </c>
      <c r="F39" s="171">
        <f t="shared" si="3"/>
        <v>-177497</v>
      </c>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row>
    <row r="40" spans="1:52" x14ac:dyDescent="0.2">
      <c r="A40" s="267">
        <f t="shared" si="1"/>
        <v>2054</v>
      </c>
      <c r="B40" s="167">
        <f t="shared" si="4"/>
        <v>181684</v>
      </c>
      <c r="C40" s="168">
        <v>0</v>
      </c>
      <c r="D40" s="169">
        <f t="shared" si="5"/>
        <v>359181</v>
      </c>
      <c r="E40" s="170">
        <f>$F$59*$B$59</f>
        <v>9372800</v>
      </c>
      <c r="F40" s="171">
        <f t="shared" si="3"/>
        <v>-9550297</v>
      </c>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row>
    <row r="41" spans="1:52" x14ac:dyDescent="0.2">
      <c r="A41" s="267">
        <f t="shared" si="1"/>
        <v>2055</v>
      </c>
      <c r="B41" s="167">
        <f t="shared" si="4"/>
        <v>181684</v>
      </c>
      <c r="C41" s="168">
        <f>($F$51*$B$51)+($F$52*$B$52)</f>
        <v>1362800</v>
      </c>
      <c r="D41" s="169">
        <f t="shared" si="5"/>
        <v>359181</v>
      </c>
      <c r="E41" s="170">
        <f t="shared" ref="E41:E42" si="6">F62*B62</f>
        <v>0</v>
      </c>
      <c r="F41" s="171">
        <f t="shared" si="3"/>
        <v>1185303</v>
      </c>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ht="13.5" thickBot="1" x14ac:dyDescent="0.25">
      <c r="A42" s="268">
        <f>A41+1</f>
        <v>2056</v>
      </c>
      <c r="B42" s="172">
        <f>($F$54*$B$54)</f>
        <v>181684</v>
      </c>
      <c r="C42" s="173">
        <f>$F$49*$B$49</f>
        <v>2557400</v>
      </c>
      <c r="D42" s="174">
        <f>($B$62*$E$62)+B42</f>
        <v>359181</v>
      </c>
      <c r="E42" s="175">
        <f t="shared" si="6"/>
        <v>0</v>
      </c>
      <c r="F42" s="174">
        <f t="shared" si="3"/>
        <v>2379903</v>
      </c>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row>
    <row r="43" spans="1:52" ht="13.5" thickTop="1" x14ac:dyDescent="0.2">
      <c r="A43" s="269" t="s">
        <v>0</v>
      </c>
      <c r="B43" s="176">
        <f>SUM(B5:B42)</f>
        <v>6903992</v>
      </c>
      <c r="C43" s="177">
        <f>SUM(C5:C42)</f>
        <v>44161660</v>
      </c>
      <c r="D43" s="176">
        <f>SUM(D5:D42)</f>
        <v>10775430</v>
      </c>
      <c r="E43" s="177">
        <f>SUM(E5:E42)</f>
        <v>24391280</v>
      </c>
      <c r="F43" s="176">
        <f>SUM(F5:F42)</f>
        <v>8300070</v>
      </c>
      <c r="G43" s="82"/>
      <c r="H43" s="314"/>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row>
    <row r="44" spans="1:52" x14ac:dyDescent="0.2">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row>
    <row r="45" spans="1:52" x14ac:dyDescent="0.2">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x14ac:dyDescent="0.2">
      <c r="A46" s="390" t="s">
        <v>219</v>
      </c>
      <c r="B46" s="391"/>
      <c r="C46" s="391"/>
      <c r="D46" s="391"/>
      <c r="E46" s="391"/>
      <c r="F46" s="391"/>
      <c r="G46" s="39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ht="38.25" x14ac:dyDescent="0.2">
      <c r="A47" s="81" t="s">
        <v>210</v>
      </c>
      <c r="B47" s="81" t="s">
        <v>211</v>
      </c>
      <c r="C47" s="81" t="s">
        <v>217</v>
      </c>
      <c r="D47" s="81" t="s">
        <v>220</v>
      </c>
      <c r="E47" s="81" t="s">
        <v>221</v>
      </c>
      <c r="F47" s="81" t="s">
        <v>239</v>
      </c>
      <c r="G47" s="81" t="s">
        <v>241</v>
      </c>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270" t="s">
        <v>213</v>
      </c>
      <c r="B48" s="158">
        <v>7.72</v>
      </c>
      <c r="C48" s="159">
        <v>2036</v>
      </c>
      <c r="D48" s="159">
        <v>7</v>
      </c>
      <c r="E48" s="160"/>
      <c r="F48" s="52">
        <v>190000</v>
      </c>
      <c r="G48" s="52">
        <v>533000</v>
      </c>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2" x14ac:dyDescent="0.2">
      <c r="A49" s="270" t="s">
        <v>214</v>
      </c>
      <c r="B49" s="158">
        <v>13.46</v>
      </c>
      <c r="C49" s="159">
        <v>2035</v>
      </c>
      <c r="D49" s="159">
        <v>7</v>
      </c>
      <c r="E49" s="160"/>
      <c r="F49" s="52">
        <v>190000</v>
      </c>
      <c r="G49" s="52">
        <v>533000</v>
      </c>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2" x14ac:dyDescent="0.2">
      <c r="A50" s="270" t="s">
        <v>215</v>
      </c>
      <c r="B50" s="158">
        <v>2.94</v>
      </c>
      <c r="C50" s="160"/>
      <c r="D50" s="159">
        <v>7</v>
      </c>
      <c r="E50" s="159">
        <v>21</v>
      </c>
      <c r="F50" s="52">
        <v>160000</v>
      </c>
      <c r="G50" s="52">
        <v>320000</v>
      </c>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2" x14ac:dyDescent="0.2">
      <c r="A51" s="270" t="s">
        <v>218</v>
      </c>
      <c r="B51" s="158">
        <v>0.84</v>
      </c>
      <c r="C51" s="159">
        <v>2034</v>
      </c>
      <c r="D51" s="159">
        <v>7</v>
      </c>
      <c r="E51" s="160"/>
      <c r="F51" s="52">
        <v>190000</v>
      </c>
      <c r="G51" s="52">
        <v>533000</v>
      </c>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2" x14ac:dyDescent="0.2">
      <c r="A52" s="270" t="s">
        <v>215</v>
      </c>
      <c r="B52" s="158">
        <v>7.52</v>
      </c>
      <c r="C52" s="160"/>
      <c r="D52" s="159">
        <v>7</v>
      </c>
      <c r="E52" s="159">
        <v>21</v>
      </c>
      <c r="F52" s="52">
        <v>160000</v>
      </c>
      <c r="G52" s="52">
        <v>320000</v>
      </c>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2" x14ac:dyDescent="0.2">
      <c r="A53" s="270" t="s">
        <v>215</v>
      </c>
      <c r="B53" s="158">
        <v>1.8</v>
      </c>
      <c r="C53" s="160"/>
      <c r="D53" s="159">
        <v>7</v>
      </c>
      <c r="E53" s="159">
        <v>21</v>
      </c>
      <c r="F53" s="52">
        <v>160000</v>
      </c>
      <c r="G53" s="52">
        <v>320000</v>
      </c>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2" x14ac:dyDescent="0.2">
      <c r="A54" s="270" t="s">
        <v>216</v>
      </c>
      <c r="B54" s="158">
        <v>34.28</v>
      </c>
      <c r="C54" s="160"/>
      <c r="D54" s="159">
        <v>1</v>
      </c>
      <c r="E54" s="160"/>
      <c r="F54" s="52">
        <v>5300</v>
      </c>
      <c r="G54" s="161"/>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2" x14ac:dyDescent="0.2">
      <c r="A55" s="393" t="s">
        <v>98</v>
      </c>
      <c r="B55" s="394"/>
      <c r="C55" s="394"/>
      <c r="D55" s="394"/>
      <c r="E55" s="394"/>
      <c r="F55" s="394"/>
      <c r="G55" s="395"/>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2" ht="16.5" x14ac:dyDescent="0.3">
      <c r="A56" s="82"/>
      <c r="B56" s="82"/>
      <c r="C56" s="82"/>
      <c r="D56" s="82"/>
      <c r="E56" s="82"/>
      <c r="F56" s="82"/>
      <c r="G56" s="154"/>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2" x14ac:dyDescent="0.2">
      <c r="A57" s="390" t="s">
        <v>222</v>
      </c>
      <c r="B57" s="391"/>
      <c r="C57" s="391"/>
      <c r="D57" s="391"/>
      <c r="E57" s="391"/>
      <c r="F57" s="39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2" ht="25.5" x14ac:dyDescent="0.2">
      <c r="A58" s="149" t="s">
        <v>210</v>
      </c>
      <c r="B58" s="149" t="s">
        <v>211</v>
      </c>
      <c r="C58" s="149" t="s">
        <v>212</v>
      </c>
      <c r="D58" s="149" t="s">
        <v>221</v>
      </c>
      <c r="E58" s="190" t="s">
        <v>239</v>
      </c>
      <c r="F58" s="190" t="s">
        <v>240</v>
      </c>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2" x14ac:dyDescent="0.2">
      <c r="A59" s="270" t="s">
        <v>223</v>
      </c>
      <c r="B59" s="158">
        <v>29.29</v>
      </c>
      <c r="C59" s="159">
        <v>7</v>
      </c>
      <c r="D59" s="159">
        <v>21</v>
      </c>
      <c r="E59" s="52">
        <v>160000</v>
      </c>
      <c r="F59" s="52">
        <v>320000</v>
      </c>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2" x14ac:dyDescent="0.2">
      <c r="A60" s="270" t="s">
        <v>224</v>
      </c>
      <c r="B60" s="158">
        <v>4.2</v>
      </c>
      <c r="C60" s="159">
        <v>20</v>
      </c>
      <c r="D60" s="160"/>
      <c r="E60" s="52">
        <v>181000</v>
      </c>
      <c r="F60" s="161"/>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2" x14ac:dyDescent="0.2">
      <c r="A61" s="270" t="s">
        <v>225</v>
      </c>
      <c r="B61" s="158">
        <v>4.2</v>
      </c>
      <c r="C61" s="159" t="s">
        <v>226</v>
      </c>
      <c r="D61" s="160"/>
      <c r="E61" s="52">
        <v>47400</v>
      </c>
      <c r="F61" s="161"/>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row>
    <row r="62" spans="1:52" x14ac:dyDescent="0.2">
      <c r="A62" s="270" t="s">
        <v>216</v>
      </c>
      <c r="B62" s="158">
        <v>33.49</v>
      </c>
      <c r="C62" s="159">
        <v>1</v>
      </c>
      <c r="D62" s="160"/>
      <c r="E62" s="52">
        <v>5300</v>
      </c>
      <c r="F62" s="161"/>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x14ac:dyDescent="0.2">
      <c r="A63" s="393" t="s">
        <v>98</v>
      </c>
      <c r="B63" s="394"/>
      <c r="C63" s="394"/>
      <c r="D63" s="394"/>
      <c r="E63" s="394"/>
      <c r="F63" s="395"/>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x14ac:dyDescent="0.2">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2" x14ac:dyDescent="0.2">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row>
    <row r="66" spans="1:52" x14ac:dyDescent="0.2">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row>
    <row r="67" spans="1:52" x14ac:dyDescent="0.2">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row>
    <row r="68" spans="1:52" x14ac:dyDescent="0.2">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row>
    <row r="69" spans="1:52" x14ac:dyDescent="0.2">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row>
    <row r="70" spans="1:52" x14ac:dyDescent="0.2">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row>
    <row r="71" spans="1:52" x14ac:dyDescent="0.2">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row>
    <row r="72" spans="1:52" x14ac:dyDescent="0.2">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row>
    <row r="73" spans="1:52" x14ac:dyDescent="0.2">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row>
    <row r="74" spans="1:52" x14ac:dyDescent="0.2">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row>
    <row r="75" spans="1:52" x14ac:dyDescent="0.2">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row>
    <row r="76" spans="1:52" x14ac:dyDescent="0.2">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row>
    <row r="77" spans="1:52"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row>
    <row r="78" spans="1:52" x14ac:dyDescent="0.2">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row>
    <row r="79" spans="1:52" x14ac:dyDescent="0.2">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row>
    <row r="80" spans="1:52" x14ac:dyDescent="0.2">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row>
    <row r="81" spans="1:52" x14ac:dyDescent="0.2">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row>
    <row r="82" spans="1:52" x14ac:dyDescent="0.2">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row>
    <row r="83" spans="1:52" x14ac:dyDescent="0.2">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row>
    <row r="84" spans="1:52" x14ac:dyDescent="0.2">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row>
    <row r="85" spans="1:52" x14ac:dyDescent="0.2">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row>
    <row r="86" spans="1:52" x14ac:dyDescent="0.2">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row>
    <row r="87" spans="1:52" x14ac:dyDescent="0.2">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row>
    <row r="88" spans="1:52" x14ac:dyDescent="0.2">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row>
    <row r="89" spans="1:52" x14ac:dyDescent="0.2">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row>
    <row r="90" spans="1:52" x14ac:dyDescent="0.2">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row>
    <row r="91" spans="1:52" x14ac:dyDescent="0.2">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row>
    <row r="92" spans="1:52" x14ac:dyDescent="0.2">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row>
    <row r="93" spans="1:52" x14ac:dyDescent="0.2">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row>
    <row r="94" spans="1:52" x14ac:dyDescent="0.2">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row>
    <row r="95" spans="1:52" x14ac:dyDescent="0.2">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row>
    <row r="96" spans="1:52" x14ac:dyDescent="0.2">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row>
    <row r="97" spans="1:52" x14ac:dyDescent="0.2">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row>
    <row r="98" spans="1:52" x14ac:dyDescent="0.2">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row>
    <row r="99" spans="1:52" x14ac:dyDescent="0.2">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row>
    <row r="100" spans="1:52" x14ac:dyDescent="0.2">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row>
    <row r="101" spans="1:52" x14ac:dyDescent="0.2">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row>
    <row r="102" spans="1:52" x14ac:dyDescent="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row>
    <row r="103" spans="1:52" x14ac:dyDescent="0.2">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row>
    <row r="104" spans="1:52" x14ac:dyDescent="0.2">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row>
    <row r="105" spans="1:52" x14ac:dyDescent="0.2">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row>
    <row r="106" spans="1:52" x14ac:dyDescent="0.2">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row>
    <row r="107" spans="1:52" x14ac:dyDescent="0.2">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row>
    <row r="108" spans="1:52" x14ac:dyDescent="0.2">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row>
    <row r="109" spans="1:52" x14ac:dyDescent="0.2">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row>
    <row r="110" spans="1:52" x14ac:dyDescent="0.2">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row>
    <row r="111" spans="1:52" x14ac:dyDescent="0.2">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row>
    <row r="112" spans="1:52" x14ac:dyDescent="0.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row>
    <row r="113" spans="1:52" x14ac:dyDescent="0.2">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row>
    <row r="114" spans="1:52" x14ac:dyDescent="0.2">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row>
    <row r="115" spans="1:52" x14ac:dyDescent="0.2">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row>
    <row r="116" spans="1:52" x14ac:dyDescent="0.2">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row>
    <row r="117" spans="1:52" x14ac:dyDescent="0.2">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row>
    <row r="118" spans="1:52" x14ac:dyDescent="0.2">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row>
    <row r="119" spans="1:52" x14ac:dyDescent="0.2">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row>
    <row r="120" spans="1:52" x14ac:dyDescent="0.2">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row>
    <row r="121" spans="1:52" x14ac:dyDescent="0.2">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row>
    <row r="122" spans="1:52" x14ac:dyDescent="0.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row>
    <row r="123" spans="1:52" x14ac:dyDescent="0.2">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row>
    <row r="124" spans="1:52" x14ac:dyDescent="0.2">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row>
    <row r="125" spans="1:52" x14ac:dyDescent="0.2">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row>
    <row r="126" spans="1:52" x14ac:dyDescent="0.2">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row>
    <row r="127" spans="1:52" x14ac:dyDescent="0.2">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row>
    <row r="128" spans="1:52" x14ac:dyDescent="0.2">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row>
    <row r="129" spans="1:52" x14ac:dyDescent="0.2">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row>
    <row r="130" spans="1:52" x14ac:dyDescent="0.2">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row>
    <row r="131" spans="1:52" x14ac:dyDescent="0.2">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row>
    <row r="132" spans="1:52" x14ac:dyDescent="0.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row>
    <row r="133" spans="1:52" x14ac:dyDescent="0.2">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row>
    <row r="134" spans="1:52" x14ac:dyDescent="0.2">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row>
    <row r="135" spans="1:52" x14ac:dyDescent="0.2">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row>
    <row r="136" spans="1:52" x14ac:dyDescent="0.2">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row>
    <row r="137" spans="1:52" x14ac:dyDescent="0.2">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row>
    <row r="138" spans="1:52" x14ac:dyDescent="0.2">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row>
    <row r="139" spans="1:52" x14ac:dyDescent="0.2">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row>
    <row r="140" spans="1:52" x14ac:dyDescent="0.2">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row>
    <row r="141" spans="1:52" x14ac:dyDescent="0.2">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row>
    <row r="142" spans="1:52" x14ac:dyDescent="0.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row>
    <row r="143" spans="1:52" x14ac:dyDescent="0.2">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row>
    <row r="144" spans="1:52" x14ac:dyDescent="0.2">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row>
    <row r="145" spans="1:52" x14ac:dyDescent="0.2">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row>
    <row r="146" spans="1:52" x14ac:dyDescent="0.2">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row>
    <row r="147" spans="1:52" x14ac:dyDescent="0.2">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row>
    <row r="148" spans="1:52" x14ac:dyDescent="0.2">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row>
    <row r="149" spans="1:52" x14ac:dyDescent="0.2">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row>
    <row r="150" spans="1:52" x14ac:dyDescent="0.2">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row>
    <row r="151" spans="1:52" x14ac:dyDescent="0.2">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row>
    <row r="152" spans="1:52" x14ac:dyDescent="0.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row>
    <row r="153" spans="1:52" x14ac:dyDescent="0.2">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row>
    <row r="154" spans="1:52" x14ac:dyDescent="0.2">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row>
    <row r="155" spans="1:52" x14ac:dyDescent="0.2">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row>
    <row r="156" spans="1:52" x14ac:dyDescent="0.2">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row>
    <row r="157" spans="1:52" x14ac:dyDescent="0.2">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row>
    <row r="158" spans="1:52" x14ac:dyDescent="0.2">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row>
    <row r="159" spans="1:52" x14ac:dyDescent="0.2">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row>
    <row r="160" spans="1:52" x14ac:dyDescent="0.2">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row>
    <row r="161" spans="1:52" x14ac:dyDescent="0.2">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row>
    <row r="162" spans="1:52" x14ac:dyDescent="0.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row>
    <row r="163" spans="1:52" x14ac:dyDescent="0.2">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row>
    <row r="164" spans="1:52" x14ac:dyDescent="0.2">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row>
    <row r="165" spans="1:52" x14ac:dyDescent="0.2">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row>
    <row r="166" spans="1:52" x14ac:dyDescent="0.2">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row>
    <row r="167" spans="1:52" x14ac:dyDescent="0.2">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row>
    <row r="168" spans="1:52" x14ac:dyDescent="0.2">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row>
    <row r="169" spans="1:52" x14ac:dyDescent="0.2">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row>
    <row r="170" spans="1:52" x14ac:dyDescent="0.2">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row>
    <row r="171" spans="1:52" x14ac:dyDescent="0.2">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row>
    <row r="172" spans="1:52" x14ac:dyDescent="0.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row>
    <row r="173" spans="1:52" x14ac:dyDescent="0.2">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row>
    <row r="174" spans="1:52" x14ac:dyDescent="0.2">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row>
    <row r="175" spans="1:52" x14ac:dyDescent="0.2">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row>
    <row r="176" spans="1:52" x14ac:dyDescent="0.2">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row>
    <row r="177" spans="1:52" x14ac:dyDescent="0.2">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row>
    <row r="178" spans="1:52" x14ac:dyDescent="0.2">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row>
    <row r="179" spans="1:52" x14ac:dyDescent="0.2">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row>
    <row r="180" spans="1:52" x14ac:dyDescent="0.2">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row>
    <row r="181" spans="1:52" x14ac:dyDescent="0.2">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row>
    <row r="182" spans="1:52" x14ac:dyDescent="0.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row>
    <row r="183" spans="1:52" x14ac:dyDescent="0.2">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row>
    <row r="184" spans="1:52" x14ac:dyDescent="0.2">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row>
    <row r="185" spans="1:52" x14ac:dyDescent="0.2">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row>
    <row r="186" spans="1:52" x14ac:dyDescent="0.2">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row>
    <row r="187" spans="1:52" x14ac:dyDescent="0.2">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row>
    <row r="188" spans="1:52" x14ac:dyDescent="0.2">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row>
    <row r="189" spans="1:52" x14ac:dyDescent="0.2">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row>
    <row r="190" spans="1:52" x14ac:dyDescent="0.2">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row>
    <row r="191" spans="1:52" x14ac:dyDescent="0.2">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row>
    <row r="192" spans="1:52" x14ac:dyDescent="0.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row>
    <row r="193" spans="1:52" x14ac:dyDescent="0.2">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row>
    <row r="194" spans="1:52" x14ac:dyDescent="0.2">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row>
    <row r="195" spans="1:52" x14ac:dyDescent="0.2">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row>
    <row r="196" spans="1:52" x14ac:dyDescent="0.2">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row>
    <row r="197" spans="1:52" x14ac:dyDescent="0.2">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row>
    <row r="198" spans="1:52" x14ac:dyDescent="0.2">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row>
    <row r="199" spans="1:52" x14ac:dyDescent="0.2">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row>
    <row r="200" spans="1:52" x14ac:dyDescent="0.2">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row>
    <row r="201" spans="1:52" x14ac:dyDescent="0.2">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row>
    <row r="202" spans="1:52" x14ac:dyDescent="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row>
    <row r="203" spans="1:52" x14ac:dyDescent="0.2">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row>
    <row r="204" spans="1:52" x14ac:dyDescent="0.2">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row>
    <row r="205" spans="1:52" x14ac:dyDescent="0.2">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row>
    <row r="206" spans="1:52" x14ac:dyDescent="0.2">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row>
    <row r="207" spans="1:52" x14ac:dyDescent="0.2">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row>
    <row r="208" spans="1:52" x14ac:dyDescent="0.2">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row>
    <row r="209" spans="1:52" x14ac:dyDescent="0.2">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row>
    <row r="210" spans="1:52" x14ac:dyDescent="0.2">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row>
    <row r="211" spans="1:52" x14ac:dyDescent="0.2">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row>
    <row r="212" spans="1:52" x14ac:dyDescent="0.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row>
    <row r="213" spans="1:52" x14ac:dyDescent="0.2">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row>
    <row r="214" spans="1:52" x14ac:dyDescent="0.2">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row>
    <row r="215" spans="1:52" x14ac:dyDescent="0.2">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row>
    <row r="216" spans="1:52" x14ac:dyDescent="0.2">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row>
    <row r="217" spans="1:52" x14ac:dyDescent="0.2">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row>
    <row r="218" spans="1:52" x14ac:dyDescent="0.2">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row>
    <row r="219" spans="1:52" x14ac:dyDescent="0.2">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row>
    <row r="220" spans="1:52" x14ac:dyDescent="0.2">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row>
    <row r="221" spans="1:52" x14ac:dyDescent="0.2">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row>
    <row r="222" spans="1:52" x14ac:dyDescent="0.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row>
    <row r="223" spans="1:52" x14ac:dyDescent="0.2">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row>
    <row r="224" spans="1:52" x14ac:dyDescent="0.2">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row>
    <row r="225" spans="1:52" x14ac:dyDescent="0.2">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row>
    <row r="226" spans="1:52" x14ac:dyDescent="0.2">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row>
    <row r="227" spans="1:52" x14ac:dyDescent="0.2">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row>
    <row r="228" spans="1:52" x14ac:dyDescent="0.2">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row>
    <row r="229" spans="1:52" x14ac:dyDescent="0.2">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row>
    <row r="230" spans="1:52" x14ac:dyDescent="0.2">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row>
    <row r="231" spans="1:52" x14ac:dyDescent="0.2">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row>
    <row r="232" spans="1:52" x14ac:dyDescent="0.2">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row>
    <row r="233" spans="1:52" x14ac:dyDescent="0.2">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row>
    <row r="234" spans="1:52" x14ac:dyDescent="0.2">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row>
    <row r="235" spans="1:52" x14ac:dyDescent="0.2">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row>
    <row r="236" spans="1:52" x14ac:dyDescent="0.2">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row>
    <row r="237" spans="1:52" x14ac:dyDescent="0.2">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row>
    <row r="238" spans="1:52" x14ac:dyDescent="0.2">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row>
    <row r="239" spans="1:52" x14ac:dyDescent="0.2">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row>
    <row r="240" spans="1:52" x14ac:dyDescent="0.2">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row>
    <row r="241" spans="1:52" x14ac:dyDescent="0.2">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row>
    <row r="242" spans="1:52" x14ac:dyDescent="0.2">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row>
    <row r="243" spans="1:52" x14ac:dyDescent="0.2">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row>
    <row r="244" spans="1:52" x14ac:dyDescent="0.2">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row>
    <row r="245" spans="1:52" x14ac:dyDescent="0.2">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c r="AU245" s="82"/>
      <c r="AV245" s="82"/>
      <c r="AW245" s="82"/>
      <c r="AX245" s="82"/>
      <c r="AY245" s="82"/>
      <c r="AZ245" s="82"/>
    </row>
    <row r="246" spans="1:52" x14ac:dyDescent="0.2">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c r="AU246" s="82"/>
      <c r="AV246" s="82"/>
      <c r="AW246" s="82"/>
      <c r="AX246" s="82"/>
      <c r="AY246" s="82"/>
      <c r="AZ246" s="82"/>
    </row>
    <row r="247" spans="1:52" x14ac:dyDescent="0.2">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c r="AU247" s="82"/>
      <c r="AV247" s="82"/>
      <c r="AW247" s="82"/>
      <c r="AX247" s="82"/>
      <c r="AY247" s="82"/>
      <c r="AZ247" s="82"/>
    </row>
    <row r="248" spans="1:52" x14ac:dyDescent="0.2">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c r="AU248" s="82"/>
      <c r="AV248" s="82"/>
      <c r="AW248" s="82"/>
      <c r="AX248" s="82"/>
      <c r="AY248" s="82"/>
      <c r="AZ248" s="82"/>
    </row>
    <row r="249" spans="1:52" x14ac:dyDescent="0.2">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c r="AU249" s="82"/>
      <c r="AV249" s="82"/>
      <c r="AW249" s="82"/>
      <c r="AX249" s="82"/>
      <c r="AY249" s="82"/>
      <c r="AZ249" s="82"/>
    </row>
    <row r="250" spans="1:52" x14ac:dyDescent="0.2">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c r="AU250" s="82"/>
      <c r="AV250" s="82"/>
      <c r="AW250" s="82"/>
      <c r="AX250" s="82"/>
      <c r="AY250" s="82"/>
      <c r="AZ250" s="82"/>
    </row>
    <row r="251" spans="1:52" x14ac:dyDescent="0.2">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c r="AW251" s="82"/>
      <c r="AX251" s="82"/>
      <c r="AY251" s="82"/>
      <c r="AZ251" s="82"/>
    </row>
    <row r="252" spans="1:52" x14ac:dyDescent="0.2">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c r="AU252" s="82"/>
      <c r="AV252" s="82"/>
      <c r="AW252" s="82"/>
      <c r="AX252" s="82"/>
      <c r="AY252" s="82"/>
      <c r="AZ252" s="82"/>
    </row>
    <row r="253" spans="1:52" x14ac:dyDescent="0.2">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c r="AV253" s="82"/>
      <c r="AW253" s="82"/>
      <c r="AX253" s="82"/>
      <c r="AY253" s="82"/>
      <c r="AZ253" s="82"/>
    </row>
    <row r="254" spans="1:52" x14ac:dyDescent="0.2">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c r="AW254" s="82"/>
      <c r="AX254" s="82"/>
      <c r="AY254" s="82"/>
      <c r="AZ254" s="82"/>
    </row>
    <row r="255" spans="1:52" x14ac:dyDescent="0.2">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82"/>
      <c r="AX255" s="82"/>
      <c r="AY255" s="82"/>
      <c r="AZ255" s="82"/>
    </row>
    <row r="256" spans="1:52" x14ac:dyDescent="0.2">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c r="AU256" s="82"/>
      <c r="AV256" s="82"/>
      <c r="AW256" s="82"/>
      <c r="AX256" s="82"/>
      <c r="AY256" s="82"/>
      <c r="AZ256" s="82"/>
    </row>
    <row r="257" spans="1:52" x14ac:dyDescent="0.2">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c r="AU257" s="82"/>
      <c r="AV257" s="82"/>
      <c r="AW257" s="82"/>
      <c r="AX257" s="82"/>
      <c r="AY257" s="82"/>
      <c r="AZ257" s="82"/>
    </row>
    <row r="258" spans="1:52" x14ac:dyDescent="0.2">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c r="AU258" s="82"/>
      <c r="AV258" s="82"/>
      <c r="AW258" s="82"/>
      <c r="AX258" s="82"/>
      <c r="AY258" s="82"/>
      <c r="AZ258" s="82"/>
    </row>
    <row r="259" spans="1:52" x14ac:dyDescent="0.2">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c r="AW259" s="82"/>
      <c r="AX259" s="82"/>
      <c r="AY259" s="82"/>
      <c r="AZ259" s="82"/>
    </row>
    <row r="260" spans="1:52" x14ac:dyDescent="0.2">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c r="AU260" s="82"/>
      <c r="AV260" s="82"/>
      <c r="AW260" s="82"/>
      <c r="AX260" s="82"/>
      <c r="AY260" s="82"/>
      <c r="AZ260" s="82"/>
    </row>
    <row r="261" spans="1:52" x14ac:dyDescent="0.2">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c r="AU261" s="82"/>
      <c r="AV261" s="82"/>
      <c r="AW261" s="82"/>
      <c r="AX261" s="82"/>
      <c r="AY261" s="82"/>
      <c r="AZ261" s="82"/>
    </row>
    <row r="262" spans="1:52" x14ac:dyDescent="0.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c r="AW262" s="82"/>
      <c r="AX262" s="82"/>
      <c r="AY262" s="82"/>
      <c r="AZ262" s="82"/>
    </row>
    <row r="263" spans="1:52" x14ac:dyDescent="0.2">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c r="AU263" s="82"/>
      <c r="AV263" s="82"/>
      <c r="AW263" s="82"/>
      <c r="AX263" s="82"/>
      <c r="AY263" s="82"/>
      <c r="AZ263" s="82"/>
    </row>
    <row r="264" spans="1:52" x14ac:dyDescent="0.2">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AY264" s="82"/>
      <c r="AZ264" s="82"/>
    </row>
    <row r="265" spans="1:52" x14ac:dyDescent="0.2">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c r="AU265" s="82"/>
      <c r="AV265" s="82"/>
      <c r="AW265" s="82"/>
      <c r="AX265" s="82"/>
      <c r="AY265" s="82"/>
      <c r="AZ265" s="82"/>
    </row>
    <row r="266" spans="1:52" x14ac:dyDescent="0.2">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c r="AW266" s="82"/>
      <c r="AX266" s="82"/>
      <c r="AY266" s="82"/>
      <c r="AZ266" s="82"/>
    </row>
    <row r="267" spans="1:52" x14ac:dyDescent="0.2">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c r="AV267" s="82"/>
      <c r="AW267" s="82"/>
      <c r="AX267" s="82"/>
      <c r="AY267" s="82"/>
      <c r="AZ267" s="82"/>
    </row>
    <row r="268" spans="1:52" x14ac:dyDescent="0.2">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82"/>
      <c r="AX268" s="82"/>
      <c r="AY268" s="82"/>
      <c r="AZ268" s="82"/>
    </row>
    <row r="269" spans="1:52" x14ac:dyDescent="0.2">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82"/>
      <c r="AX269" s="82"/>
      <c r="AY269" s="82"/>
      <c r="AZ269" s="82"/>
    </row>
    <row r="270" spans="1:52" x14ac:dyDescent="0.2">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row>
    <row r="271" spans="1:52" x14ac:dyDescent="0.2">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c r="AW271" s="82"/>
      <c r="AX271" s="82"/>
      <c r="AY271" s="82"/>
      <c r="AZ271" s="82"/>
    </row>
    <row r="272" spans="1:52" x14ac:dyDescent="0.2">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c r="AW272" s="82"/>
      <c r="AX272" s="82"/>
      <c r="AY272" s="82"/>
      <c r="AZ272" s="82"/>
    </row>
    <row r="273" spans="1:52" x14ac:dyDescent="0.2">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c r="AY273" s="82"/>
      <c r="AZ273" s="82"/>
    </row>
    <row r="274" spans="1:52" x14ac:dyDescent="0.2">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c r="AW274" s="82"/>
      <c r="AX274" s="82"/>
      <c r="AY274" s="82"/>
      <c r="AZ274" s="82"/>
    </row>
    <row r="275" spans="1:52" x14ac:dyDescent="0.2">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c r="AU275" s="82"/>
      <c r="AV275" s="82"/>
      <c r="AW275" s="82"/>
      <c r="AX275" s="82"/>
      <c r="AY275" s="82"/>
      <c r="AZ275" s="82"/>
    </row>
    <row r="276" spans="1:52" x14ac:dyDescent="0.2">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c r="AU276" s="82"/>
      <c r="AV276" s="82"/>
      <c r="AW276" s="82"/>
      <c r="AX276" s="82"/>
      <c r="AY276" s="82"/>
      <c r="AZ276" s="82"/>
    </row>
    <row r="277" spans="1:52" x14ac:dyDescent="0.2">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c r="AW277" s="82"/>
      <c r="AX277" s="82"/>
      <c r="AY277" s="82"/>
      <c r="AZ277" s="82"/>
    </row>
    <row r="278" spans="1:52" x14ac:dyDescent="0.2">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row>
    <row r="279" spans="1:52" x14ac:dyDescent="0.2">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82"/>
      <c r="AX279" s="82"/>
      <c r="AY279" s="82"/>
      <c r="AZ279" s="82"/>
    </row>
    <row r="280" spans="1:52" x14ac:dyDescent="0.2">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82"/>
      <c r="AX280" s="82"/>
      <c r="AY280" s="82"/>
      <c r="AZ280" s="82"/>
    </row>
    <row r="281" spans="1:52" x14ac:dyDescent="0.2">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82"/>
      <c r="AX281" s="82"/>
      <c r="AY281" s="82"/>
      <c r="AZ281" s="82"/>
    </row>
    <row r="282" spans="1:52" x14ac:dyDescent="0.2">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AY282" s="82"/>
      <c r="AZ282" s="82"/>
    </row>
    <row r="283" spans="1:52" x14ac:dyDescent="0.2">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82"/>
      <c r="AX283" s="82"/>
      <c r="AY283" s="82"/>
      <c r="AZ283" s="82"/>
    </row>
    <row r="284" spans="1:52" x14ac:dyDescent="0.2">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c r="AU284" s="82"/>
      <c r="AV284" s="82"/>
      <c r="AW284" s="82"/>
      <c r="AX284" s="82"/>
      <c r="AY284" s="82"/>
      <c r="AZ284" s="82"/>
    </row>
    <row r="285" spans="1:52" x14ac:dyDescent="0.2">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c r="AV285" s="82"/>
      <c r="AW285" s="82"/>
      <c r="AX285" s="82"/>
      <c r="AY285" s="82"/>
      <c r="AZ285" s="82"/>
    </row>
    <row r="286" spans="1:52" x14ac:dyDescent="0.2">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c r="AV286" s="82"/>
      <c r="AW286" s="82"/>
      <c r="AX286" s="82"/>
      <c r="AY286" s="82"/>
      <c r="AZ286" s="82"/>
    </row>
    <row r="287" spans="1:52" x14ac:dyDescent="0.2">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c r="AW287" s="82"/>
      <c r="AX287" s="82"/>
      <c r="AY287" s="82"/>
      <c r="AZ287" s="82"/>
    </row>
    <row r="288" spans="1:52" x14ac:dyDescent="0.2">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c r="AW288" s="82"/>
      <c r="AX288" s="82"/>
      <c r="AY288" s="82"/>
      <c r="AZ288" s="82"/>
    </row>
    <row r="289" spans="1:52" x14ac:dyDescent="0.2">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c r="AU289" s="82"/>
      <c r="AV289" s="82"/>
      <c r="AW289" s="82"/>
      <c r="AX289" s="82"/>
      <c r="AY289" s="82"/>
      <c r="AZ289" s="82"/>
    </row>
    <row r="290" spans="1:52" x14ac:dyDescent="0.2">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c r="AV290" s="82"/>
      <c r="AW290" s="82"/>
      <c r="AX290" s="82"/>
      <c r="AY290" s="82"/>
      <c r="AZ290" s="82"/>
    </row>
    <row r="291" spans="1:52" x14ac:dyDescent="0.2">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c r="AU291" s="82"/>
      <c r="AV291" s="82"/>
      <c r="AW291" s="82"/>
      <c r="AX291" s="82"/>
      <c r="AY291" s="82"/>
      <c r="AZ291" s="82"/>
    </row>
    <row r="292" spans="1:52" x14ac:dyDescent="0.2">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c r="AU292" s="82"/>
      <c r="AV292" s="82"/>
      <c r="AW292" s="82"/>
      <c r="AX292" s="82"/>
      <c r="AY292" s="82"/>
      <c r="AZ292" s="82"/>
    </row>
    <row r="293" spans="1:52" x14ac:dyDescent="0.2">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c r="AW293" s="82"/>
      <c r="AX293" s="82"/>
      <c r="AY293" s="82"/>
      <c r="AZ293" s="82"/>
    </row>
    <row r="294" spans="1:52" x14ac:dyDescent="0.2">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c r="AW294" s="82"/>
      <c r="AX294" s="82"/>
      <c r="AY294" s="82"/>
      <c r="AZ294" s="82"/>
    </row>
    <row r="295" spans="1:52" x14ac:dyDescent="0.2">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c r="AY295" s="82"/>
      <c r="AZ295" s="82"/>
    </row>
    <row r="296" spans="1:52" x14ac:dyDescent="0.2">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c r="AW296" s="82"/>
      <c r="AX296" s="82"/>
      <c r="AY296" s="82"/>
      <c r="AZ296" s="82"/>
    </row>
    <row r="297" spans="1:52" x14ac:dyDescent="0.2">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c r="AW297" s="82"/>
      <c r="AX297" s="82"/>
      <c r="AY297" s="82"/>
      <c r="AZ297" s="82"/>
    </row>
    <row r="298" spans="1:52" x14ac:dyDescent="0.2">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c r="AW298" s="82"/>
      <c r="AX298" s="82"/>
      <c r="AY298" s="82"/>
      <c r="AZ298" s="82"/>
    </row>
    <row r="299" spans="1:52" x14ac:dyDescent="0.2">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c r="AU299" s="82"/>
      <c r="AV299" s="82"/>
      <c r="AW299" s="82"/>
      <c r="AX299" s="82"/>
      <c r="AY299" s="82"/>
      <c r="AZ299" s="82"/>
    </row>
    <row r="300" spans="1:52" x14ac:dyDescent="0.2">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c r="AU300" s="82"/>
      <c r="AV300" s="82"/>
      <c r="AW300" s="82"/>
      <c r="AX300" s="82"/>
      <c r="AY300" s="82"/>
      <c r="AZ300" s="82"/>
    </row>
    <row r="301" spans="1:52" x14ac:dyDescent="0.2">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c r="AU301" s="82"/>
      <c r="AV301" s="82"/>
      <c r="AW301" s="82"/>
      <c r="AX301" s="82"/>
      <c r="AY301" s="82"/>
      <c r="AZ301" s="82"/>
    </row>
    <row r="302" spans="1:52" x14ac:dyDescent="0.2">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c r="AW302" s="82"/>
      <c r="AX302" s="82"/>
      <c r="AY302" s="82"/>
      <c r="AZ302" s="82"/>
    </row>
  </sheetData>
  <mergeCells count="5">
    <mergeCell ref="A46:G46"/>
    <mergeCell ref="A55:G55"/>
    <mergeCell ref="A57:F57"/>
    <mergeCell ref="A63:F63"/>
    <mergeCell ref="A3:F3"/>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IZ700"/>
  <sheetViews>
    <sheetView topLeftCell="A81" zoomScale="70" zoomScaleNormal="70" workbookViewId="0">
      <selection activeCell="H11" sqref="H11"/>
    </sheetView>
  </sheetViews>
  <sheetFormatPr defaultColWidth="8.85546875" defaultRowHeight="12.75" x14ac:dyDescent="0.2"/>
  <cols>
    <col min="1" max="1" width="19.42578125" style="1" customWidth="1"/>
    <col min="2" max="2" width="16.5703125" style="1" customWidth="1"/>
    <col min="3" max="3" width="18.140625" style="1" customWidth="1"/>
    <col min="4" max="4" width="20" style="1" customWidth="1"/>
    <col min="5" max="5" width="15.42578125" style="1" customWidth="1"/>
    <col min="6" max="6" width="11.140625" style="1" customWidth="1"/>
    <col min="7" max="7" width="11" style="1" customWidth="1"/>
    <col min="8" max="8" width="14.42578125" style="1" customWidth="1"/>
    <col min="9" max="9" width="9.140625" style="1" bestFit="1" customWidth="1"/>
    <col min="10" max="10" width="9.7109375" style="1" customWidth="1"/>
    <col min="11" max="11" width="15" style="1" customWidth="1"/>
    <col min="12" max="12" width="16.85546875" style="1" customWidth="1"/>
    <col min="13" max="13" width="6.7109375" style="1" customWidth="1"/>
    <col min="14" max="14" width="13.7109375" style="1" customWidth="1"/>
    <col min="15" max="15" width="14.85546875" style="1" bestFit="1" customWidth="1"/>
    <col min="16" max="16" width="15.42578125" style="1" bestFit="1" customWidth="1"/>
    <col min="17" max="17" width="12.140625" style="1" customWidth="1"/>
    <col min="18" max="18" width="10.85546875" style="1" customWidth="1"/>
    <col min="19" max="19" width="9.85546875" style="1" customWidth="1"/>
    <col min="20" max="20" width="12" style="1" customWidth="1"/>
    <col min="21" max="21" width="15.5703125" style="1" customWidth="1"/>
    <col min="22" max="22" width="9" style="1" customWidth="1"/>
    <col min="23" max="23" width="9.140625" style="1" bestFit="1" customWidth="1"/>
    <col min="24" max="24" width="15.7109375" style="1" bestFit="1" customWidth="1"/>
    <col min="25" max="25" width="9.7109375" style="1" customWidth="1"/>
    <col min="26" max="26" width="18.28515625" style="1" customWidth="1"/>
    <col min="27" max="27" width="13" style="1" customWidth="1"/>
    <col min="28" max="28" width="12.5703125" style="95" customWidth="1"/>
    <col min="29" max="29" width="12.28515625" style="95" customWidth="1"/>
    <col min="30" max="30" width="2.7109375" style="95" bestFit="1" customWidth="1"/>
    <col min="31" max="260" width="8.85546875" style="95"/>
    <col min="261" max="16384" width="8.85546875" style="1"/>
  </cols>
  <sheetData>
    <row r="1" spans="1:27" ht="18" customHeight="1" x14ac:dyDescent="0.2">
      <c r="A1" s="412" t="s">
        <v>87</v>
      </c>
      <c r="B1" s="412"/>
      <c r="C1" s="412"/>
      <c r="D1" s="412"/>
      <c r="E1" s="95"/>
      <c r="F1" s="95"/>
      <c r="G1" s="95"/>
      <c r="H1" s="95"/>
      <c r="I1" s="95"/>
      <c r="J1" s="95"/>
      <c r="K1" s="107"/>
      <c r="L1" s="118"/>
      <c r="M1" s="118"/>
      <c r="N1" s="118"/>
      <c r="O1" s="118"/>
      <c r="P1" s="118"/>
      <c r="Q1" s="118"/>
      <c r="R1" s="118"/>
      <c r="S1" s="118"/>
      <c r="T1" s="118"/>
      <c r="U1" s="116"/>
      <c r="V1" s="107"/>
      <c r="W1" s="95"/>
      <c r="X1" s="95"/>
      <c r="Y1" s="95"/>
      <c r="Z1" s="95"/>
      <c r="AA1" s="95"/>
    </row>
    <row r="2" spans="1:27" ht="18" customHeight="1" x14ac:dyDescent="0.2">
      <c r="A2" s="414" t="s">
        <v>38</v>
      </c>
      <c r="B2" s="414"/>
      <c r="C2" s="413">
        <f>D40</f>
        <v>35987400</v>
      </c>
      <c r="D2" s="413"/>
      <c r="E2" s="95"/>
      <c r="F2" s="95"/>
      <c r="G2" s="95"/>
      <c r="H2" s="95"/>
      <c r="I2" s="95"/>
      <c r="J2" s="107"/>
      <c r="K2" s="118"/>
      <c r="L2" s="118"/>
      <c r="M2" s="118"/>
      <c r="N2" s="118"/>
      <c r="O2" s="118"/>
      <c r="P2" s="118"/>
      <c r="Q2" s="118"/>
      <c r="R2" s="118"/>
      <c r="S2" s="118"/>
      <c r="T2" s="116"/>
      <c r="U2" s="107"/>
      <c r="V2" s="95"/>
      <c r="W2" s="95"/>
      <c r="X2" s="95"/>
      <c r="Y2" s="95"/>
      <c r="Z2" s="95"/>
      <c r="AA2" s="95"/>
    </row>
    <row r="3" spans="1:27" ht="18" customHeight="1" x14ac:dyDescent="0.3">
      <c r="A3" s="414" t="s">
        <v>94</v>
      </c>
      <c r="B3" s="414"/>
      <c r="C3" s="413">
        <f>E40</f>
        <v>8980114.8892694041</v>
      </c>
      <c r="D3" s="413"/>
      <c r="E3" s="95"/>
      <c r="F3" s="139"/>
      <c r="G3" s="139"/>
      <c r="H3" s="95"/>
      <c r="I3" s="95"/>
      <c r="J3" s="107"/>
      <c r="K3" s="118"/>
      <c r="L3" s="118"/>
      <c r="M3" s="118"/>
      <c r="N3" s="118"/>
      <c r="O3" s="118"/>
      <c r="P3" s="118"/>
      <c r="Q3" s="118"/>
      <c r="R3" s="118"/>
      <c r="S3" s="118"/>
      <c r="T3" s="116"/>
      <c r="U3" s="107"/>
      <c r="V3" s="95"/>
      <c r="W3" s="95"/>
      <c r="X3" s="95"/>
      <c r="Y3" s="95"/>
      <c r="Z3" s="95"/>
      <c r="AA3" s="95"/>
    </row>
    <row r="4" spans="1:27" ht="18" customHeight="1" x14ac:dyDescent="0.3">
      <c r="A4" s="139"/>
      <c r="B4" s="139"/>
      <c r="C4" s="95"/>
      <c r="D4" s="95"/>
      <c r="E4" s="95"/>
      <c r="F4" s="139"/>
      <c r="G4" s="139"/>
      <c r="H4" s="95"/>
      <c r="I4" s="95"/>
      <c r="J4" s="107"/>
      <c r="K4" s="118"/>
      <c r="L4" s="118"/>
      <c r="M4" s="118"/>
      <c r="N4" s="118"/>
      <c r="O4" s="118"/>
      <c r="P4" s="118"/>
      <c r="Q4" s="118"/>
      <c r="R4" s="118"/>
      <c r="S4" s="118"/>
      <c r="T4" s="116"/>
      <c r="U4" s="107"/>
      <c r="V4" s="95"/>
      <c r="W4" s="95"/>
      <c r="X4" s="95"/>
      <c r="Y4" s="95"/>
      <c r="Z4" s="95"/>
      <c r="AA4" s="95"/>
    </row>
    <row r="5" spans="1:27" ht="18" customHeight="1" x14ac:dyDescent="0.3">
      <c r="A5" s="139"/>
      <c r="B5" s="139"/>
      <c r="C5" s="95"/>
      <c r="D5" s="95"/>
      <c r="E5" s="95"/>
      <c r="F5" s="139"/>
      <c r="G5" s="139"/>
      <c r="H5" s="95"/>
      <c r="I5" s="95"/>
      <c r="J5" s="107"/>
      <c r="K5" s="118"/>
      <c r="L5" s="118"/>
      <c r="M5" s="118"/>
      <c r="N5" s="118"/>
      <c r="O5" s="118"/>
      <c r="P5" s="118"/>
      <c r="Q5" s="118"/>
      <c r="R5" s="118"/>
      <c r="S5" s="118"/>
      <c r="T5" s="116"/>
      <c r="U5" s="107"/>
      <c r="V5" s="95"/>
      <c r="W5" s="95"/>
      <c r="X5" s="95"/>
      <c r="Y5" s="95"/>
      <c r="Z5" s="95"/>
      <c r="AA5" s="95"/>
    </row>
    <row r="6" spans="1:27" ht="18" customHeight="1" x14ac:dyDescent="0.3">
      <c r="A6" s="412" t="s">
        <v>229</v>
      </c>
      <c r="B6" s="412"/>
      <c r="C6" s="412"/>
      <c r="D6" s="412"/>
      <c r="E6" s="412"/>
      <c r="F6" s="139"/>
      <c r="G6" s="139"/>
      <c r="H6" s="95"/>
      <c r="I6" s="95"/>
      <c r="J6" s="107"/>
      <c r="K6" s="118"/>
      <c r="L6" s="118"/>
      <c r="M6" s="118"/>
      <c r="N6" s="118"/>
      <c r="O6" s="118"/>
      <c r="P6" s="118"/>
      <c r="Q6" s="118"/>
      <c r="R6" s="118"/>
      <c r="S6" s="118"/>
      <c r="T6" s="116"/>
      <c r="U6" s="107"/>
      <c r="V6" s="95"/>
      <c r="W6" s="95"/>
      <c r="X6" s="95"/>
      <c r="Y6" s="95"/>
      <c r="Z6" s="95"/>
      <c r="AA6" s="95"/>
    </row>
    <row r="7" spans="1:27" ht="13.9" customHeight="1" x14ac:dyDescent="0.2">
      <c r="A7" s="398" t="s">
        <v>1</v>
      </c>
      <c r="B7" s="398" t="s">
        <v>31</v>
      </c>
      <c r="C7" s="398"/>
      <c r="D7" s="402" t="s">
        <v>38</v>
      </c>
      <c r="E7" s="402" t="s">
        <v>94</v>
      </c>
      <c r="F7" s="95"/>
      <c r="G7" s="95"/>
      <c r="H7" s="95"/>
      <c r="I7" s="95"/>
      <c r="J7" s="95"/>
      <c r="K7" s="95"/>
      <c r="L7" s="95"/>
      <c r="M7" s="95"/>
      <c r="N7" s="95"/>
      <c r="O7" s="95"/>
      <c r="P7" s="95"/>
      <c r="Q7" s="95"/>
      <c r="R7" s="95"/>
      <c r="S7" s="95"/>
      <c r="T7" s="95"/>
      <c r="U7" s="95"/>
      <c r="V7" s="95"/>
      <c r="W7" s="95"/>
      <c r="X7" s="95"/>
      <c r="Y7" s="95"/>
      <c r="Z7" s="95"/>
      <c r="AA7" s="95"/>
    </row>
    <row r="8" spans="1:27" ht="13.15" customHeight="1" x14ac:dyDescent="0.2">
      <c r="A8" s="398"/>
      <c r="B8" s="402" t="s">
        <v>28</v>
      </c>
      <c r="C8" s="402" t="s">
        <v>41</v>
      </c>
      <c r="D8" s="402"/>
      <c r="E8" s="402"/>
      <c r="F8" s="95"/>
      <c r="G8" s="95"/>
      <c r="H8" s="95"/>
      <c r="I8" s="95"/>
      <c r="J8" s="95"/>
      <c r="K8" s="95"/>
      <c r="L8" s="95"/>
      <c r="M8" s="95"/>
      <c r="N8" s="95"/>
      <c r="O8" s="95"/>
      <c r="P8" s="95"/>
      <c r="Q8" s="95"/>
      <c r="R8" s="95"/>
      <c r="S8" s="95"/>
      <c r="T8" s="95"/>
      <c r="U8" s="95"/>
      <c r="V8" s="95"/>
      <c r="W8" s="95"/>
      <c r="X8" s="95"/>
      <c r="Y8" s="95"/>
      <c r="Z8" s="95"/>
      <c r="AA8" s="95"/>
    </row>
    <row r="9" spans="1:27" ht="13.5" thickBot="1" x14ac:dyDescent="0.25">
      <c r="A9" s="416"/>
      <c r="B9" s="415"/>
      <c r="C9" s="415"/>
      <c r="D9" s="415"/>
      <c r="E9" s="415"/>
      <c r="F9" s="95"/>
      <c r="G9" s="95"/>
      <c r="H9" s="95"/>
      <c r="I9" s="95"/>
      <c r="J9" s="95"/>
      <c r="K9" s="95"/>
      <c r="L9" s="95"/>
      <c r="M9" s="95"/>
      <c r="N9" s="95"/>
      <c r="O9" s="95"/>
      <c r="P9" s="95"/>
      <c r="Q9" s="95"/>
      <c r="R9" s="95"/>
      <c r="S9" s="95"/>
      <c r="T9" s="95"/>
      <c r="U9" s="95"/>
      <c r="V9" s="95"/>
      <c r="W9" s="95"/>
      <c r="X9" s="95"/>
      <c r="Y9" s="95"/>
      <c r="Z9" s="95"/>
      <c r="AA9" s="95"/>
    </row>
    <row r="10" spans="1:27" ht="13.5" thickTop="1" x14ac:dyDescent="0.2">
      <c r="A10" s="83">
        <v>2027</v>
      </c>
      <c r="B10" s="36">
        <f t="shared" ref="B10:B39" si="0">K46</f>
        <v>17927100</v>
      </c>
      <c r="C10" s="5">
        <f>X46</f>
        <v>16628600</v>
      </c>
      <c r="D10" s="287">
        <f>ROUND(B10-C10,0)</f>
        <v>1298500</v>
      </c>
      <c r="E10" s="288">
        <f>D10*NPV!C11</f>
        <v>755738.82227770239</v>
      </c>
      <c r="F10" s="95"/>
      <c r="G10" s="95"/>
      <c r="H10" s="95"/>
      <c r="I10" s="95"/>
      <c r="J10" s="95"/>
      <c r="K10" s="95"/>
      <c r="L10" s="95"/>
      <c r="M10" s="95"/>
      <c r="N10" s="95"/>
      <c r="O10" s="95"/>
      <c r="P10" s="95"/>
      <c r="Q10" s="95"/>
      <c r="R10" s="95"/>
      <c r="S10" s="95"/>
      <c r="T10" s="95"/>
      <c r="U10" s="95"/>
      <c r="V10" s="95"/>
      <c r="W10" s="95"/>
      <c r="X10" s="95"/>
      <c r="Y10" s="95"/>
      <c r="Z10" s="95"/>
      <c r="AA10" s="95"/>
    </row>
    <row r="11" spans="1:27" x14ac:dyDescent="0.2">
      <c r="A11" s="83">
        <f t="shared" ref="A11:A39" si="1">A10+1</f>
        <v>2028</v>
      </c>
      <c r="B11" s="36">
        <f t="shared" si="0"/>
        <v>17944300</v>
      </c>
      <c r="C11" s="5">
        <f t="shared" ref="C11:C39" si="2">X47</f>
        <v>16787800</v>
      </c>
      <c r="D11" s="287">
        <f t="shared" ref="D11:D36" si="3">ROUND(B11-C11,0)</f>
        <v>1156500</v>
      </c>
      <c r="E11" s="288">
        <f>D11*NPV!C12</f>
        <v>629059.37329856725</v>
      </c>
      <c r="F11" s="95"/>
      <c r="G11" s="95"/>
      <c r="H11" s="95"/>
      <c r="I11" s="95"/>
      <c r="J11" s="95"/>
      <c r="K11" s="95"/>
      <c r="L11" s="95"/>
      <c r="M11" s="95"/>
      <c r="N11" s="95"/>
      <c r="O11" s="95"/>
      <c r="P11" s="95"/>
      <c r="Q11" s="95"/>
      <c r="R11" s="95"/>
      <c r="S11" s="95"/>
      <c r="T11" s="95"/>
      <c r="U11" s="95"/>
      <c r="V11" s="95"/>
      <c r="W11" s="95"/>
      <c r="X11" s="95"/>
      <c r="Y11" s="95"/>
      <c r="Z11" s="95"/>
      <c r="AA11" s="95"/>
    </row>
    <row r="12" spans="1:27" x14ac:dyDescent="0.2">
      <c r="A12" s="83">
        <f t="shared" si="1"/>
        <v>2029</v>
      </c>
      <c r="B12" s="36">
        <f t="shared" si="0"/>
        <v>18046700</v>
      </c>
      <c r="C12" s="5">
        <f t="shared" si="2"/>
        <v>16881200</v>
      </c>
      <c r="D12" s="287">
        <f t="shared" si="3"/>
        <v>1165500</v>
      </c>
      <c r="E12" s="288">
        <f>D12*NPV!C13</f>
        <v>592481.09998301358</v>
      </c>
      <c r="F12" s="95"/>
      <c r="G12" s="95"/>
      <c r="H12" s="95"/>
      <c r="I12" s="95"/>
      <c r="J12" s="95"/>
      <c r="K12" s="95"/>
      <c r="L12" s="95"/>
      <c r="M12" s="95"/>
      <c r="N12" s="95"/>
      <c r="O12" s="95"/>
      <c r="P12" s="95"/>
      <c r="Q12" s="95"/>
      <c r="R12" s="95"/>
      <c r="S12" s="95"/>
      <c r="T12" s="95"/>
      <c r="U12" s="95"/>
      <c r="V12" s="95"/>
      <c r="W12" s="95"/>
      <c r="X12" s="95"/>
      <c r="Y12" s="95"/>
      <c r="Z12" s="95"/>
      <c r="AA12" s="95"/>
    </row>
    <row r="13" spans="1:27" x14ac:dyDescent="0.2">
      <c r="A13" s="83">
        <f t="shared" si="1"/>
        <v>2030</v>
      </c>
      <c r="B13" s="36">
        <f t="shared" si="0"/>
        <v>18063100</v>
      </c>
      <c r="C13" s="5">
        <f t="shared" si="2"/>
        <v>16898400</v>
      </c>
      <c r="D13" s="287">
        <f t="shared" si="3"/>
        <v>1164700</v>
      </c>
      <c r="E13" s="288">
        <f>D13*NPV!C14</f>
        <v>553340.57995262218</v>
      </c>
      <c r="F13" s="95"/>
      <c r="G13" s="95"/>
      <c r="H13" s="95"/>
      <c r="I13" s="95"/>
      <c r="J13" s="95"/>
      <c r="K13" s="95"/>
      <c r="L13" s="95"/>
      <c r="M13" s="95"/>
      <c r="N13" s="95"/>
      <c r="O13" s="95"/>
      <c r="P13" s="95"/>
      <c r="Q13" s="95"/>
      <c r="R13" s="95"/>
      <c r="S13" s="95"/>
      <c r="T13" s="95"/>
      <c r="U13" s="95"/>
      <c r="V13" s="95"/>
      <c r="W13" s="95"/>
      <c r="X13" s="95"/>
      <c r="Y13" s="95"/>
      <c r="Z13" s="95"/>
      <c r="AA13" s="95"/>
    </row>
    <row r="14" spans="1:27" x14ac:dyDescent="0.2">
      <c r="A14" s="83">
        <f t="shared" si="1"/>
        <v>2031</v>
      </c>
      <c r="B14" s="36">
        <f t="shared" si="0"/>
        <v>18307500</v>
      </c>
      <c r="C14" s="5">
        <f t="shared" si="2"/>
        <v>16915600</v>
      </c>
      <c r="D14" s="287">
        <f t="shared" si="3"/>
        <v>1391900</v>
      </c>
      <c r="E14" s="288">
        <f>D14*NPV!C15</f>
        <v>618020.24606717948</v>
      </c>
      <c r="F14" s="95"/>
      <c r="G14" s="95"/>
      <c r="H14" s="95"/>
      <c r="I14" s="95"/>
      <c r="J14" s="95"/>
      <c r="K14" s="95"/>
      <c r="L14" s="95"/>
      <c r="M14" s="95"/>
      <c r="N14" s="95"/>
      <c r="O14" s="95"/>
      <c r="P14" s="95"/>
      <c r="Q14" s="95"/>
      <c r="R14" s="95"/>
      <c r="S14" s="95"/>
      <c r="T14" s="95"/>
      <c r="U14" s="95"/>
      <c r="V14" s="95"/>
      <c r="W14" s="95"/>
      <c r="X14" s="95"/>
      <c r="Y14" s="95"/>
      <c r="Z14" s="95"/>
      <c r="AA14" s="95"/>
    </row>
    <row r="15" spans="1:27" x14ac:dyDescent="0.2">
      <c r="A15" s="83">
        <f t="shared" si="1"/>
        <v>2032</v>
      </c>
      <c r="B15" s="36">
        <f t="shared" si="0"/>
        <v>18332900</v>
      </c>
      <c r="C15" s="5">
        <f t="shared" si="2"/>
        <v>17530300</v>
      </c>
      <c r="D15" s="287">
        <f t="shared" si="3"/>
        <v>802600</v>
      </c>
      <c r="E15" s="288">
        <f>D15*NPV!C16</f>
        <v>333050.46587534028</v>
      </c>
      <c r="F15" s="95"/>
      <c r="G15" s="95"/>
      <c r="H15" s="95"/>
      <c r="I15" s="95"/>
      <c r="J15" s="95"/>
      <c r="K15" s="95"/>
      <c r="L15" s="95"/>
      <c r="M15" s="95"/>
      <c r="N15" s="95"/>
      <c r="O15" s="95"/>
      <c r="P15" s="95"/>
      <c r="Q15" s="95"/>
      <c r="R15" s="95"/>
      <c r="S15" s="95"/>
      <c r="T15" s="95"/>
      <c r="U15" s="95"/>
      <c r="V15" s="95"/>
      <c r="W15" s="95"/>
      <c r="X15" s="95"/>
      <c r="Y15" s="95"/>
      <c r="Z15" s="95"/>
      <c r="AA15" s="95"/>
    </row>
    <row r="16" spans="1:27" x14ac:dyDescent="0.2">
      <c r="A16" s="83">
        <f t="shared" si="1"/>
        <v>2033</v>
      </c>
      <c r="B16" s="36">
        <f t="shared" si="0"/>
        <v>18422600</v>
      </c>
      <c r="C16" s="5">
        <f t="shared" si="2"/>
        <v>17555700</v>
      </c>
      <c r="D16" s="287">
        <f t="shared" si="3"/>
        <v>866900</v>
      </c>
      <c r="E16" s="288">
        <f>D16*NPV!C17</f>
        <v>336198.76623791893</v>
      </c>
      <c r="F16" s="95"/>
      <c r="G16" s="95"/>
      <c r="H16" s="95"/>
      <c r="I16" s="95"/>
      <c r="J16" s="95"/>
      <c r="K16" s="95"/>
      <c r="L16" s="95"/>
      <c r="M16" s="95"/>
      <c r="N16" s="95"/>
      <c r="O16" s="95"/>
      <c r="P16" s="95"/>
      <c r="Q16" s="95"/>
      <c r="R16" s="95"/>
      <c r="S16" s="95"/>
      <c r="T16" s="95"/>
      <c r="U16" s="95"/>
      <c r="V16" s="95"/>
      <c r="W16" s="95"/>
      <c r="X16" s="95"/>
      <c r="Y16" s="95"/>
      <c r="Z16" s="95"/>
      <c r="AA16" s="95"/>
    </row>
    <row r="17" spans="1:27" x14ac:dyDescent="0.2">
      <c r="A17" s="83">
        <f t="shared" si="1"/>
        <v>2034</v>
      </c>
      <c r="B17" s="36">
        <f t="shared" si="0"/>
        <v>18451700</v>
      </c>
      <c r="C17" s="5">
        <f t="shared" si="2"/>
        <v>17645400</v>
      </c>
      <c r="D17" s="287">
        <f t="shared" si="3"/>
        <v>806300</v>
      </c>
      <c r="E17" s="288">
        <f>D17*NPV!C18</f>
        <v>292240.22563763458</v>
      </c>
      <c r="F17" s="95"/>
      <c r="G17" s="95"/>
      <c r="H17" s="95"/>
      <c r="I17" s="95"/>
      <c r="J17" s="95"/>
      <c r="K17" s="95"/>
      <c r="L17" s="95"/>
      <c r="M17" s="95"/>
      <c r="N17" s="95"/>
      <c r="O17" s="95"/>
      <c r="P17" s="95"/>
      <c r="Q17" s="95"/>
      <c r="R17" s="95"/>
      <c r="S17" s="95"/>
      <c r="T17" s="95"/>
      <c r="U17" s="95"/>
      <c r="V17" s="95"/>
      <c r="W17" s="95"/>
      <c r="X17" s="95"/>
      <c r="Y17" s="95"/>
      <c r="Z17" s="95"/>
      <c r="AA17" s="95"/>
    </row>
    <row r="18" spans="1:27" x14ac:dyDescent="0.2">
      <c r="A18" s="83">
        <f t="shared" si="1"/>
        <v>2035</v>
      </c>
      <c r="B18" s="36">
        <f t="shared" si="0"/>
        <v>18554100</v>
      </c>
      <c r="C18" s="5">
        <f t="shared" si="2"/>
        <v>17808300</v>
      </c>
      <c r="D18" s="287">
        <f t="shared" si="3"/>
        <v>745800</v>
      </c>
      <c r="E18" s="288">
        <f>D18*NPV!C19</f>
        <v>252628.2630367027</v>
      </c>
      <c r="F18" s="95"/>
      <c r="G18" s="95"/>
      <c r="H18" s="95"/>
      <c r="I18" s="95"/>
      <c r="J18" s="95"/>
      <c r="K18" s="95"/>
      <c r="L18" s="95"/>
      <c r="M18" s="95"/>
      <c r="N18" s="95"/>
      <c r="O18" s="95"/>
      <c r="P18" s="95"/>
      <c r="Q18" s="95"/>
      <c r="R18" s="95"/>
      <c r="S18" s="95"/>
      <c r="T18" s="95"/>
      <c r="U18" s="95"/>
      <c r="V18" s="95"/>
      <c r="W18" s="95"/>
      <c r="X18" s="95"/>
      <c r="Y18" s="95"/>
      <c r="Z18" s="95"/>
      <c r="AA18" s="95"/>
    </row>
    <row r="19" spans="1:27" x14ac:dyDescent="0.2">
      <c r="A19" s="83">
        <f t="shared" si="1"/>
        <v>2036</v>
      </c>
      <c r="B19" s="36">
        <f t="shared" si="0"/>
        <v>18721500</v>
      </c>
      <c r="C19" s="5">
        <f t="shared" si="2"/>
        <v>17906200</v>
      </c>
      <c r="D19" s="287">
        <f t="shared" si="3"/>
        <v>815300</v>
      </c>
      <c r="E19" s="288">
        <f>D19*NPV!C20</f>
        <v>258103.10054538902</v>
      </c>
      <c r="F19" s="95"/>
      <c r="G19" s="95"/>
      <c r="H19" s="95"/>
      <c r="I19" s="95"/>
      <c r="J19" s="95"/>
      <c r="K19" s="95"/>
      <c r="L19" s="95"/>
      <c r="M19" s="95"/>
      <c r="N19" s="95"/>
      <c r="O19" s="95"/>
      <c r="P19" s="95"/>
      <c r="Q19" s="95"/>
      <c r="R19" s="95"/>
      <c r="S19" s="95"/>
      <c r="T19" s="95"/>
      <c r="U19" s="95"/>
      <c r="V19" s="95"/>
      <c r="W19" s="95"/>
      <c r="X19" s="95"/>
      <c r="Y19" s="95"/>
      <c r="Z19" s="95"/>
      <c r="AA19" s="95"/>
    </row>
    <row r="20" spans="1:27" x14ac:dyDescent="0.2">
      <c r="A20" s="83">
        <f t="shared" si="1"/>
        <v>2037</v>
      </c>
      <c r="B20" s="36">
        <f t="shared" si="0"/>
        <v>18738700</v>
      </c>
      <c r="C20" s="5">
        <f t="shared" si="2"/>
        <v>17927100</v>
      </c>
      <c r="D20" s="287">
        <f t="shared" si="3"/>
        <v>811600</v>
      </c>
      <c r="E20" s="288">
        <f>D20*NPV!C21</f>
        <v>240123.15448660913</v>
      </c>
      <c r="F20" s="95"/>
      <c r="G20" s="95"/>
      <c r="H20" s="95"/>
      <c r="I20" s="95"/>
      <c r="J20" s="95"/>
      <c r="K20" s="95"/>
      <c r="L20" s="95"/>
      <c r="M20" s="95"/>
      <c r="N20" s="95"/>
      <c r="O20" s="95"/>
      <c r="P20" s="95"/>
      <c r="Q20" s="95"/>
      <c r="R20" s="95"/>
      <c r="S20" s="95"/>
      <c r="T20" s="95"/>
      <c r="U20" s="95"/>
      <c r="V20" s="95"/>
      <c r="W20" s="95"/>
      <c r="X20" s="95"/>
      <c r="Y20" s="95"/>
      <c r="Z20" s="95"/>
      <c r="AA20" s="95"/>
    </row>
    <row r="21" spans="1:27" x14ac:dyDescent="0.2">
      <c r="A21" s="83">
        <f t="shared" si="1"/>
        <v>2038</v>
      </c>
      <c r="B21" s="36">
        <f t="shared" si="0"/>
        <v>19361600</v>
      </c>
      <c r="C21" s="5">
        <f t="shared" si="2"/>
        <v>17957000</v>
      </c>
      <c r="D21" s="287">
        <f t="shared" si="3"/>
        <v>1404600</v>
      </c>
      <c r="E21" s="288">
        <f>D21*NPV!C22</f>
        <v>388383.60454702517</v>
      </c>
      <c r="F21" s="95"/>
      <c r="G21" s="95"/>
      <c r="H21" s="95"/>
      <c r="I21" s="95"/>
      <c r="J21" s="95"/>
      <c r="K21" s="95"/>
      <c r="L21" s="95"/>
      <c r="M21" s="95"/>
      <c r="N21" s="95"/>
      <c r="O21" s="95"/>
      <c r="P21" s="95"/>
      <c r="Q21" s="95"/>
      <c r="R21" s="95"/>
      <c r="S21" s="95"/>
      <c r="T21" s="95"/>
      <c r="U21" s="95"/>
      <c r="V21" s="95"/>
      <c r="W21" s="95"/>
      <c r="X21" s="95"/>
      <c r="Y21" s="95"/>
      <c r="Z21" s="95"/>
      <c r="AA21" s="95"/>
    </row>
    <row r="22" spans="1:27" x14ac:dyDescent="0.2">
      <c r="A22" s="83">
        <f t="shared" si="1"/>
        <v>2039</v>
      </c>
      <c r="B22" s="36">
        <f t="shared" si="0"/>
        <v>19464000</v>
      </c>
      <c r="C22" s="5">
        <f t="shared" si="2"/>
        <v>18046700</v>
      </c>
      <c r="D22" s="287">
        <f t="shared" si="3"/>
        <v>1417300</v>
      </c>
      <c r="E22" s="288">
        <f>D22*NPV!C23</f>
        <v>366257.25268809614</v>
      </c>
      <c r="F22" s="95"/>
      <c r="G22" s="95"/>
      <c r="H22" s="95"/>
      <c r="I22" s="95"/>
      <c r="J22" s="95"/>
      <c r="K22" s="95"/>
      <c r="L22" s="95"/>
      <c r="M22" s="95"/>
      <c r="N22" s="95"/>
      <c r="O22" s="95"/>
      <c r="P22" s="95"/>
      <c r="Q22" s="95"/>
      <c r="R22" s="95"/>
      <c r="S22" s="95"/>
      <c r="T22" s="95"/>
      <c r="U22" s="95"/>
      <c r="V22" s="95"/>
      <c r="W22" s="95"/>
      <c r="X22" s="95"/>
      <c r="Y22" s="95"/>
      <c r="Z22" s="95"/>
      <c r="AA22" s="95"/>
    </row>
    <row r="23" spans="1:27" x14ac:dyDescent="0.2">
      <c r="A23" s="83">
        <f t="shared" si="1"/>
        <v>2040</v>
      </c>
      <c r="B23" s="36">
        <f t="shared" si="0"/>
        <v>19489400</v>
      </c>
      <c r="C23" s="5">
        <f t="shared" si="2"/>
        <v>18214100</v>
      </c>
      <c r="D23" s="287">
        <f t="shared" si="3"/>
        <v>1275300</v>
      </c>
      <c r="E23" s="288">
        <f>D23*NPV!C24</f>
        <v>308001.63952198764</v>
      </c>
      <c r="F23" s="95"/>
      <c r="G23" s="95"/>
      <c r="H23" s="95"/>
      <c r="I23" s="95"/>
      <c r="J23" s="95"/>
      <c r="K23" s="95"/>
      <c r="L23" s="95"/>
      <c r="M23" s="95"/>
      <c r="N23" s="95"/>
      <c r="O23" s="95"/>
      <c r="P23" s="95"/>
      <c r="Q23" s="95"/>
      <c r="R23" s="95"/>
      <c r="S23" s="95"/>
      <c r="T23" s="95"/>
      <c r="U23" s="95"/>
      <c r="V23" s="95"/>
      <c r="W23" s="95"/>
      <c r="X23" s="95"/>
      <c r="Y23" s="95"/>
      <c r="Z23" s="95"/>
      <c r="AA23" s="95"/>
    </row>
    <row r="24" spans="1:27" x14ac:dyDescent="0.2">
      <c r="A24" s="83">
        <f t="shared" si="1"/>
        <v>2041</v>
      </c>
      <c r="B24" s="36">
        <f t="shared" si="0"/>
        <v>19648600</v>
      </c>
      <c r="C24" s="5">
        <f t="shared" si="2"/>
        <v>18307500</v>
      </c>
      <c r="D24" s="287">
        <f>ROUND(B24-C24,0)</f>
        <v>1341100</v>
      </c>
      <c r="E24" s="288">
        <f>D24*NPV!C25</f>
        <v>302703.92582206248</v>
      </c>
      <c r="F24" s="95"/>
      <c r="G24" s="95"/>
      <c r="H24" s="95"/>
      <c r="I24" s="95"/>
      <c r="J24" s="95"/>
      <c r="K24" s="95"/>
      <c r="L24" s="95"/>
      <c r="M24" s="95"/>
      <c r="N24" s="95"/>
      <c r="O24" s="95"/>
      <c r="P24" s="95"/>
      <c r="Q24" s="95"/>
      <c r="R24" s="95"/>
      <c r="S24" s="95"/>
      <c r="T24" s="95"/>
      <c r="U24" s="95"/>
      <c r="V24" s="95"/>
      <c r="W24" s="95"/>
      <c r="X24" s="95"/>
      <c r="Y24" s="95"/>
      <c r="Z24" s="95"/>
      <c r="AA24" s="95"/>
    </row>
    <row r="25" spans="1:27" x14ac:dyDescent="0.2">
      <c r="A25" s="83">
        <f t="shared" si="1"/>
        <v>2042</v>
      </c>
      <c r="B25" s="36">
        <f t="shared" si="0"/>
        <v>19742000</v>
      </c>
      <c r="C25" s="5">
        <f t="shared" si="2"/>
        <v>18324700</v>
      </c>
      <c r="D25" s="287">
        <f t="shared" si="3"/>
        <v>1417300</v>
      </c>
      <c r="E25" s="288">
        <f>D25*NPV!C26</f>
        <v>298975.01776516915</v>
      </c>
      <c r="F25" s="95"/>
      <c r="G25" s="95"/>
      <c r="H25" s="95"/>
      <c r="I25" s="95"/>
      <c r="J25" s="95"/>
      <c r="K25" s="95"/>
      <c r="L25" s="95"/>
      <c r="M25" s="95"/>
      <c r="N25" s="95"/>
      <c r="O25" s="95"/>
      <c r="P25" s="95"/>
      <c r="Q25" s="95"/>
      <c r="R25" s="95"/>
      <c r="S25" s="95"/>
      <c r="T25" s="95"/>
      <c r="U25" s="95"/>
      <c r="V25" s="95"/>
      <c r="W25" s="95"/>
      <c r="X25" s="95"/>
      <c r="Y25" s="95"/>
      <c r="Z25" s="95"/>
      <c r="AA25" s="95"/>
    </row>
    <row r="26" spans="1:27" x14ac:dyDescent="0.2">
      <c r="A26" s="83">
        <f t="shared" si="1"/>
        <v>2043</v>
      </c>
      <c r="B26" s="36">
        <f t="shared" si="0"/>
        <v>19750200</v>
      </c>
      <c r="C26" s="5">
        <f t="shared" si="2"/>
        <v>18332900</v>
      </c>
      <c r="D26" s="287">
        <f t="shared" si="3"/>
        <v>1417300</v>
      </c>
      <c r="E26" s="288">
        <f>D26*NPV!C27</f>
        <v>279415.9044534291</v>
      </c>
      <c r="F26" s="95"/>
      <c r="G26" s="95"/>
      <c r="H26" s="95"/>
      <c r="I26" s="95"/>
      <c r="J26" s="95"/>
      <c r="K26" s="95"/>
      <c r="L26" s="95"/>
      <c r="M26" s="95"/>
      <c r="N26" s="95"/>
      <c r="O26" s="95"/>
      <c r="P26" s="95"/>
      <c r="Q26" s="95"/>
      <c r="R26" s="95"/>
      <c r="S26" s="95"/>
      <c r="T26" s="95"/>
      <c r="U26" s="95"/>
      <c r="V26" s="95"/>
      <c r="W26" s="95"/>
      <c r="X26" s="95"/>
      <c r="Y26" s="95"/>
      <c r="Z26" s="95"/>
      <c r="AA26" s="95"/>
    </row>
    <row r="27" spans="1:27" x14ac:dyDescent="0.2">
      <c r="A27" s="83">
        <f t="shared" si="1"/>
        <v>2044</v>
      </c>
      <c r="B27" s="36">
        <f t="shared" si="0"/>
        <v>19767400</v>
      </c>
      <c r="C27" s="5">
        <f t="shared" si="2"/>
        <v>18422600</v>
      </c>
      <c r="D27" s="287">
        <f t="shared" si="3"/>
        <v>1344800</v>
      </c>
      <c r="E27" s="288">
        <f>D27*NPV!C28</f>
        <v>247778.29393190777</v>
      </c>
      <c r="F27" s="95"/>
      <c r="G27" s="95"/>
      <c r="H27" s="95"/>
      <c r="I27" s="95"/>
      <c r="J27" s="95"/>
      <c r="K27" s="95"/>
      <c r="L27" s="95"/>
      <c r="M27" s="95"/>
      <c r="N27" s="95"/>
      <c r="O27" s="95"/>
      <c r="P27" s="95"/>
      <c r="Q27" s="95"/>
      <c r="R27" s="95"/>
      <c r="S27" s="95"/>
      <c r="T27" s="95"/>
      <c r="U27" s="95"/>
      <c r="V27" s="95"/>
      <c r="W27" s="95"/>
      <c r="X27" s="95"/>
      <c r="Y27" s="95"/>
      <c r="Z27" s="95"/>
      <c r="AA27" s="95"/>
    </row>
    <row r="28" spans="1:27" x14ac:dyDescent="0.2">
      <c r="A28" s="83">
        <f t="shared" si="1"/>
        <v>2045</v>
      </c>
      <c r="B28" s="36">
        <f t="shared" si="0"/>
        <v>19857100</v>
      </c>
      <c r="C28" s="5">
        <f t="shared" si="2"/>
        <v>18435300</v>
      </c>
      <c r="D28" s="287">
        <f t="shared" si="3"/>
        <v>1421800</v>
      </c>
      <c r="E28" s="288">
        <f>D28*NPV!C29</f>
        <v>244827.55196366381</v>
      </c>
      <c r="F28" s="95"/>
      <c r="G28" s="95"/>
      <c r="H28" s="95"/>
      <c r="I28" s="95"/>
      <c r="J28" s="95"/>
      <c r="K28" s="95"/>
      <c r="L28" s="95"/>
      <c r="M28" s="95"/>
      <c r="N28" s="95"/>
      <c r="O28" s="95"/>
      <c r="P28" s="95"/>
      <c r="Q28" s="95"/>
      <c r="R28" s="95"/>
      <c r="S28" s="95"/>
      <c r="T28" s="95"/>
      <c r="U28" s="95"/>
      <c r="V28" s="95"/>
      <c r="W28" s="95"/>
      <c r="X28" s="95"/>
      <c r="Y28" s="95"/>
      <c r="Z28" s="95"/>
      <c r="AA28" s="95"/>
    </row>
    <row r="29" spans="1:27" x14ac:dyDescent="0.2">
      <c r="A29" s="83">
        <f t="shared" si="1"/>
        <v>2046</v>
      </c>
      <c r="B29" s="36">
        <f t="shared" si="0"/>
        <v>19878000</v>
      </c>
      <c r="C29" s="5">
        <f t="shared" si="2"/>
        <v>18451700</v>
      </c>
      <c r="D29" s="287">
        <f t="shared" si="3"/>
        <v>1426300</v>
      </c>
      <c r="E29" s="288">
        <f>D29*NPV!C30</f>
        <v>229534.98288057497</v>
      </c>
      <c r="F29" s="95"/>
      <c r="G29" s="95"/>
      <c r="H29" s="95"/>
      <c r="I29" s="95"/>
      <c r="J29" s="95"/>
      <c r="K29" s="95"/>
      <c r="L29" s="95"/>
      <c r="M29" s="95"/>
      <c r="N29" s="95"/>
      <c r="O29" s="95"/>
      <c r="P29" s="95"/>
      <c r="Q29" s="95"/>
      <c r="R29" s="95"/>
      <c r="S29" s="95"/>
      <c r="T29" s="95"/>
      <c r="U29" s="95"/>
      <c r="V29" s="95"/>
      <c r="W29" s="95"/>
      <c r="X29" s="95"/>
      <c r="Y29" s="95"/>
      <c r="Z29" s="95"/>
      <c r="AA29" s="95"/>
    </row>
    <row r="30" spans="1:27" x14ac:dyDescent="0.2">
      <c r="A30" s="83">
        <f t="shared" si="1"/>
        <v>2047</v>
      </c>
      <c r="B30" s="36">
        <f t="shared" si="0"/>
        <v>19890700</v>
      </c>
      <c r="C30" s="5">
        <f t="shared" si="2"/>
        <v>18460700</v>
      </c>
      <c r="D30" s="287">
        <f t="shared" si="3"/>
        <v>1430000</v>
      </c>
      <c r="E30" s="288">
        <f>D30*NPV!C31</f>
        <v>215075.16377531452</v>
      </c>
      <c r="F30" s="95"/>
      <c r="G30" s="95"/>
      <c r="H30" s="95"/>
      <c r="I30" s="95"/>
      <c r="J30" s="95"/>
      <c r="K30" s="95"/>
      <c r="L30" s="95"/>
      <c r="M30" s="95"/>
      <c r="N30" s="95"/>
      <c r="O30" s="95"/>
      <c r="P30" s="95"/>
      <c r="Q30" s="95"/>
      <c r="R30" s="95"/>
      <c r="S30" s="95"/>
      <c r="T30" s="95"/>
      <c r="U30" s="95"/>
      <c r="V30" s="95"/>
      <c r="W30" s="95"/>
      <c r="X30" s="95"/>
      <c r="Y30" s="95"/>
      <c r="Z30" s="95"/>
      <c r="AA30" s="95"/>
    </row>
    <row r="31" spans="1:27" x14ac:dyDescent="0.2">
      <c r="A31" s="83">
        <f t="shared" si="1"/>
        <v>2048</v>
      </c>
      <c r="B31" s="36">
        <f t="shared" si="0"/>
        <v>19980400</v>
      </c>
      <c r="C31" s="5">
        <f t="shared" si="2"/>
        <v>18554100</v>
      </c>
      <c r="D31" s="287">
        <f t="shared" si="3"/>
        <v>1426300</v>
      </c>
      <c r="E31" s="288">
        <f>D31*NPV!C32</f>
        <v>200484.74354142285</v>
      </c>
      <c r="F31" s="95"/>
      <c r="G31" s="95"/>
      <c r="H31" s="95"/>
      <c r="I31" s="95"/>
      <c r="J31" s="95"/>
      <c r="K31" s="95"/>
      <c r="L31" s="95"/>
      <c r="M31" s="95"/>
      <c r="N31" s="95"/>
      <c r="O31" s="95"/>
      <c r="P31" s="95"/>
      <c r="Q31" s="95"/>
      <c r="R31" s="95"/>
      <c r="S31" s="95"/>
      <c r="T31" s="95"/>
      <c r="U31" s="95"/>
      <c r="V31" s="95"/>
      <c r="W31" s="95"/>
      <c r="X31" s="95"/>
      <c r="Y31" s="95"/>
      <c r="Z31" s="95"/>
      <c r="AA31" s="95"/>
    </row>
    <row r="32" spans="1:27" x14ac:dyDescent="0.2">
      <c r="A32" s="83">
        <f t="shared" si="1"/>
        <v>2049</v>
      </c>
      <c r="B32" s="36">
        <f t="shared" si="0"/>
        <v>20143300</v>
      </c>
      <c r="C32" s="5">
        <f t="shared" si="2"/>
        <v>18713300</v>
      </c>
      <c r="D32" s="287">
        <f t="shared" si="3"/>
        <v>1430000</v>
      </c>
      <c r="E32" s="288">
        <f>D32*NPV!C33</f>
        <v>187854.97753106343</v>
      </c>
      <c r="F32" s="95"/>
      <c r="G32" s="95"/>
      <c r="H32" s="95"/>
      <c r="I32" s="95"/>
      <c r="J32" s="95"/>
      <c r="K32" s="95"/>
      <c r="L32" s="95"/>
      <c r="M32" s="95"/>
      <c r="N32" s="95"/>
      <c r="O32" s="95"/>
      <c r="P32" s="95"/>
      <c r="Q32" s="95"/>
      <c r="R32" s="95"/>
      <c r="S32" s="95"/>
      <c r="T32" s="95"/>
      <c r="U32" s="95"/>
      <c r="V32" s="95"/>
      <c r="W32" s="95"/>
      <c r="X32" s="95"/>
      <c r="Y32" s="95"/>
      <c r="Z32" s="95"/>
      <c r="AA32" s="95"/>
    </row>
    <row r="33" spans="1:27" x14ac:dyDescent="0.2">
      <c r="A33" s="83">
        <f t="shared" si="1"/>
        <v>2050</v>
      </c>
      <c r="B33" s="36">
        <f t="shared" si="0"/>
        <v>20156000</v>
      </c>
      <c r="C33" s="5">
        <f t="shared" si="2"/>
        <v>18721500</v>
      </c>
      <c r="D33" s="287">
        <f t="shared" si="3"/>
        <v>1434500</v>
      </c>
      <c r="E33" s="288">
        <f>D33*NPV!C34</f>
        <v>176117.87809183088</v>
      </c>
      <c r="F33" s="95"/>
      <c r="G33" s="95"/>
      <c r="H33" s="95"/>
      <c r="I33" s="95"/>
      <c r="J33" s="95"/>
      <c r="K33" s="95"/>
      <c r="L33" s="95"/>
      <c r="M33" s="95"/>
      <c r="N33" s="95"/>
      <c r="O33" s="95"/>
      <c r="P33" s="95"/>
      <c r="Q33" s="95"/>
      <c r="R33" s="95"/>
      <c r="S33" s="95"/>
      <c r="T33" s="95"/>
      <c r="U33" s="95"/>
      <c r="V33" s="95"/>
      <c r="W33" s="95"/>
      <c r="X33" s="95"/>
      <c r="Y33" s="95"/>
      <c r="Z33" s="95"/>
      <c r="AA33" s="95"/>
    </row>
    <row r="34" spans="1:27" x14ac:dyDescent="0.2">
      <c r="A34" s="83">
        <f t="shared" si="1"/>
        <v>2051</v>
      </c>
      <c r="B34" s="36">
        <f t="shared" si="0"/>
        <v>20245700</v>
      </c>
      <c r="C34" s="5">
        <f t="shared" si="2"/>
        <v>18738700</v>
      </c>
      <c r="D34" s="287">
        <f t="shared" si="3"/>
        <v>1507000</v>
      </c>
      <c r="E34" s="288">
        <f>D34*NPV!C35</f>
        <v>172914.87951084532</v>
      </c>
      <c r="F34" s="95"/>
      <c r="G34" s="95"/>
      <c r="H34" s="95"/>
      <c r="I34" s="95"/>
      <c r="J34" s="95"/>
      <c r="K34" s="95"/>
      <c r="L34" s="95"/>
      <c r="M34" s="95"/>
      <c r="N34" s="95"/>
      <c r="O34" s="95"/>
      <c r="P34" s="95"/>
      <c r="Q34" s="95"/>
      <c r="R34" s="95"/>
      <c r="S34" s="95"/>
      <c r="T34" s="95"/>
      <c r="U34" s="95"/>
      <c r="V34" s="95"/>
      <c r="W34" s="95"/>
      <c r="X34" s="95"/>
      <c r="Y34" s="95"/>
      <c r="Z34" s="95"/>
      <c r="AA34" s="95"/>
    </row>
    <row r="35" spans="1:27" x14ac:dyDescent="0.2">
      <c r="A35" s="83">
        <f t="shared" si="1"/>
        <v>2052</v>
      </c>
      <c r="B35" s="36">
        <f t="shared" si="0"/>
        <v>20266600</v>
      </c>
      <c r="C35" s="5">
        <f t="shared" si="2"/>
        <v>18823900</v>
      </c>
      <c r="D35" s="287">
        <f t="shared" si="3"/>
        <v>1442700</v>
      </c>
      <c r="E35" s="288">
        <f>D35*NPV!C36</f>
        <v>154707.49999708313</v>
      </c>
      <c r="F35" s="95"/>
      <c r="G35" s="95"/>
      <c r="H35" s="95"/>
      <c r="I35" s="95"/>
      <c r="J35" s="95"/>
      <c r="K35" s="95"/>
      <c r="L35" s="95"/>
      <c r="M35" s="95"/>
      <c r="N35" s="95"/>
      <c r="O35" s="95"/>
      <c r="P35" s="95"/>
      <c r="Q35" s="95"/>
      <c r="R35" s="95"/>
      <c r="S35" s="95"/>
      <c r="T35" s="95"/>
      <c r="U35" s="95"/>
      <c r="V35" s="95"/>
      <c r="W35" s="95"/>
      <c r="X35" s="95"/>
      <c r="Y35" s="95"/>
      <c r="Z35" s="95"/>
      <c r="AA35" s="95"/>
    </row>
    <row r="36" spans="1:27" x14ac:dyDescent="0.2">
      <c r="A36" s="83">
        <f t="shared" si="1"/>
        <v>2053</v>
      </c>
      <c r="B36" s="36">
        <f t="shared" si="0"/>
        <v>20283800</v>
      </c>
      <c r="C36" s="5">
        <f t="shared" si="2"/>
        <v>19361600</v>
      </c>
      <c r="D36" s="287">
        <f t="shared" si="3"/>
        <v>922200</v>
      </c>
      <c r="E36" s="288">
        <f>D36*NPV!C37</f>
        <v>92422.279680240041</v>
      </c>
      <c r="F36" s="95"/>
      <c r="G36" s="95"/>
      <c r="H36" s="95"/>
      <c r="I36" s="95"/>
      <c r="J36" s="95"/>
      <c r="K36" s="95"/>
      <c r="L36" s="95"/>
      <c r="M36" s="95"/>
      <c r="N36" s="95"/>
      <c r="O36" s="95"/>
      <c r="P36" s="95"/>
      <c r="Q36" s="95"/>
      <c r="R36" s="95"/>
      <c r="S36" s="95"/>
      <c r="T36" s="95"/>
      <c r="U36" s="95"/>
      <c r="V36" s="95"/>
      <c r="W36" s="95"/>
      <c r="X36" s="95"/>
      <c r="Y36" s="95"/>
      <c r="Z36" s="95"/>
      <c r="AA36" s="95"/>
    </row>
    <row r="37" spans="1:27" x14ac:dyDescent="0.2">
      <c r="A37" s="83">
        <f t="shared" si="1"/>
        <v>2054</v>
      </c>
      <c r="B37" s="36">
        <f t="shared" si="0"/>
        <v>20296500</v>
      </c>
      <c r="C37" s="5">
        <f t="shared" si="2"/>
        <v>19378800</v>
      </c>
      <c r="D37" s="287">
        <f t="shared" ref="D37:D39" si="4">ROUND(B37-C37,0)</f>
        <v>917700</v>
      </c>
      <c r="E37" s="288">
        <f>D37*NPV!C38</f>
        <v>85954.479092617068</v>
      </c>
      <c r="F37" s="95"/>
      <c r="G37" s="95"/>
      <c r="H37" s="95"/>
      <c r="I37" s="95"/>
      <c r="J37" s="95"/>
      <c r="K37" s="95"/>
      <c r="L37" s="95"/>
      <c r="M37" s="95"/>
      <c r="N37" s="95"/>
      <c r="O37" s="95"/>
      <c r="P37" s="95"/>
      <c r="Q37" s="95"/>
      <c r="R37" s="95"/>
      <c r="S37" s="95"/>
      <c r="T37" s="95"/>
      <c r="U37" s="95"/>
      <c r="V37" s="95"/>
      <c r="W37" s="95"/>
      <c r="X37" s="95"/>
      <c r="Y37" s="95"/>
      <c r="Z37" s="95"/>
      <c r="AA37" s="95"/>
    </row>
    <row r="38" spans="1:27" x14ac:dyDescent="0.2">
      <c r="A38" s="83">
        <f t="shared" si="1"/>
        <v>2055</v>
      </c>
      <c r="B38" s="36">
        <f t="shared" si="0"/>
        <v>20386200</v>
      </c>
      <c r="C38" s="5">
        <f t="shared" si="2"/>
        <v>19464000</v>
      </c>
      <c r="D38" s="287">
        <f t="shared" si="4"/>
        <v>922200</v>
      </c>
      <c r="E38" s="288">
        <f>D38*NPV!C39</f>
        <v>80725.198428019939</v>
      </c>
      <c r="F38" s="95"/>
      <c r="G38" s="95"/>
      <c r="H38" s="95"/>
      <c r="I38" s="95"/>
      <c r="J38" s="95"/>
      <c r="K38" s="95"/>
      <c r="L38" s="95"/>
      <c r="M38" s="95"/>
      <c r="N38" s="95"/>
      <c r="O38" s="95"/>
      <c r="P38" s="95"/>
      <c r="Q38" s="95"/>
      <c r="R38" s="95"/>
      <c r="S38" s="95"/>
      <c r="T38" s="95"/>
      <c r="U38" s="95"/>
      <c r="V38" s="95"/>
      <c r="W38" s="95"/>
      <c r="X38" s="95"/>
      <c r="Y38" s="95"/>
      <c r="Z38" s="95"/>
      <c r="AA38" s="95"/>
    </row>
    <row r="39" spans="1:27" ht="13.5" thickBot="1" x14ac:dyDescent="0.25">
      <c r="A39" s="83">
        <f t="shared" si="1"/>
        <v>2056</v>
      </c>
      <c r="B39" s="58">
        <f t="shared" si="0"/>
        <v>20544600</v>
      </c>
      <c r="C39" s="59">
        <f t="shared" si="2"/>
        <v>19481200</v>
      </c>
      <c r="D39" s="289">
        <f t="shared" si="4"/>
        <v>1063400</v>
      </c>
      <c r="E39" s="290">
        <f>D39*NPV!C40</f>
        <v>86995.518648372745</v>
      </c>
      <c r="F39" s="95"/>
      <c r="G39" s="95"/>
      <c r="H39" s="95"/>
      <c r="I39" s="95"/>
      <c r="J39" s="95"/>
      <c r="K39" s="95"/>
      <c r="L39" s="95"/>
      <c r="M39" s="95"/>
      <c r="N39" s="95"/>
      <c r="O39" s="95"/>
      <c r="P39" s="95"/>
      <c r="Q39" s="95"/>
      <c r="R39" s="95"/>
      <c r="S39" s="95"/>
      <c r="T39" s="95"/>
      <c r="U39" s="95"/>
      <c r="V39" s="95"/>
      <c r="W39" s="95"/>
      <c r="X39" s="95"/>
      <c r="Y39" s="95"/>
      <c r="Z39" s="95"/>
      <c r="AA39" s="95"/>
    </row>
    <row r="40" spans="1:27" ht="13.5" thickTop="1" x14ac:dyDescent="0.2">
      <c r="A40" s="73" t="s">
        <v>0</v>
      </c>
      <c r="B40" s="47">
        <f>SUM(B10:B39)</f>
        <v>580662300</v>
      </c>
      <c r="C40" s="53">
        <f>SUM(C10:C39)</f>
        <v>544674900</v>
      </c>
      <c r="D40" s="291">
        <f>SUM(D10:D39)</f>
        <v>35987400</v>
      </c>
      <c r="E40" s="292">
        <f>SUM(E10:E39)</f>
        <v>8980114.8892694041</v>
      </c>
      <c r="F40" s="95"/>
      <c r="G40" s="95"/>
      <c r="H40" s="95"/>
      <c r="I40" s="95"/>
      <c r="J40" s="95"/>
      <c r="K40" s="95"/>
      <c r="L40" s="95"/>
      <c r="M40" s="95"/>
      <c r="N40" s="95"/>
      <c r="O40" s="95"/>
      <c r="P40" s="95"/>
      <c r="Q40" s="95"/>
      <c r="R40" s="95"/>
      <c r="S40" s="95"/>
      <c r="T40" s="95"/>
      <c r="U40" s="95"/>
      <c r="V40" s="95"/>
      <c r="W40" s="95"/>
      <c r="X40" s="95"/>
      <c r="Y40" s="95"/>
      <c r="Z40" s="95"/>
      <c r="AA40" s="95"/>
    </row>
    <row r="41" spans="1:27" ht="18" customHeight="1" x14ac:dyDescent="0.3">
      <c r="A41" s="139"/>
      <c r="B41" s="139"/>
      <c r="C41" s="95"/>
      <c r="D41" s="95"/>
      <c r="E41" s="95"/>
      <c r="F41" s="139"/>
      <c r="G41" s="139"/>
      <c r="H41" s="95"/>
      <c r="I41" s="95"/>
      <c r="J41" s="107"/>
      <c r="K41" s="118"/>
      <c r="L41" s="118"/>
      <c r="M41" s="118"/>
      <c r="N41" s="118"/>
      <c r="O41" s="118"/>
      <c r="P41" s="118"/>
      <c r="Q41" s="118"/>
      <c r="R41" s="118"/>
      <c r="S41" s="118"/>
      <c r="T41" s="116"/>
      <c r="U41" s="107"/>
      <c r="V41" s="95"/>
      <c r="W41" s="95"/>
      <c r="X41" s="95"/>
      <c r="Y41" s="95"/>
      <c r="Z41" s="95"/>
      <c r="AA41" s="95"/>
    </row>
    <row r="42" spans="1:27" ht="16.5" x14ac:dyDescent="0.3">
      <c r="A42" s="140"/>
      <c r="B42" s="95"/>
      <c r="C42" s="95"/>
      <c r="D42" s="95"/>
      <c r="E42" s="95"/>
      <c r="F42" s="95"/>
      <c r="G42" s="95"/>
      <c r="H42" s="95"/>
      <c r="I42" s="95"/>
      <c r="J42" s="95"/>
      <c r="K42" s="107"/>
      <c r="L42" s="118"/>
      <c r="M42" s="118"/>
      <c r="N42" s="118"/>
      <c r="O42" s="118"/>
      <c r="P42" s="118"/>
      <c r="Q42" s="118"/>
      <c r="R42" s="118"/>
      <c r="S42" s="118"/>
      <c r="T42" s="118"/>
      <c r="U42" s="116"/>
      <c r="V42" s="107"/>
      <c r="W42" s="95"/>
      <c r="X42" s="95"/>
      <c r="Y42" s="95"/>
      <c r="Z42" s="95"/>
      <c r="AA42" s="95"/>
    </row>
    <row r="43" spans="1:27" ht="13.9" customHeight="1" x14ac:dyDescent="0.2">
      <c r="A43" s="406" t="s">
        <v>1</v>
      </c>
      <c r="B43" s="406" t="s">
        <v>72</v>
      </c>
      <c r="C43" s="374" t="s">
        <v>29</v>
      </c>
      <c r="D43" s="375"/>
      <c r="E43" s="375"/>
      <c r="F43" s="375"/>
      <c r="G43" s="375"/>
      <c r="H43" s="375"/>
      <c r="I43" s="375"/>
      <c r="J43" s="375"/>
      <c r="K43" s="376"/>
      <c r="L43" s="105"/>
      <c r="M43" s="406" t="s">
        <v>1</v>
      </c>
      <c r="N43" s="406" t="s">
        <v>236</v>
      </c>
      <c r="O43" s="406" t="s">
        <v>237</v>
      </c>
      <c r="P43" s="374" t="s">
        <v>37</v>
      </c>
      <c r="Q43" s="375"/>
      <c r="R43" s="375"/>
      <c r="S43" s="375"/>
      <c r="T43" s="375"/>
      <c r="U43" s="375"/>
      <c r="V43" s="375"/>
      <c r="W43" s="375"/>
      <c r="X43" s="376"/>
      <c r="Y43" s="95"/>
      <c r="Z43" s="95"/>
      <c r="AA43" s="95"/>
    </row>
    <row r="44" spans="1:27" ht="13.15" customHeight="1" x14ac:dyDescent="0.2">
      <c r="A44" s="407"/>
      <c r="B44" s="407"/>
      <c r="C44" s="417" t="s">
        <v>42</v>
      </c>
      <c r="D44" s="417" t="s">
        <v>43</v>
      </c>
      <c r="E44" s="417" t="s">
        <v>44</v>
      </c>
      <c r="F44" s="399" t="s">
        <v>283</v>
      </c>
      <c r="G44" s="420"/>
      <c r="H44" s="420"/>
      <c r="I44" s="420"/>
      <c r="J44" s="400"/>
      <c r="K44" s="417" t="s">
        <v>31</v>
      </c>
      <c r="L44" s="105"/>
      <c r="M44" s="407"/>
      <c r="N44" s="407"/>
      <c r="O44" s="407"/>
      <c r="P44" s="417" t="s">
        <v>42</v>
      </c>
      <c r="Q44" s="417" t="s">
        <v>43</v>
      </c>
      <c r="R44" s="417" t="s">
        <v>44</v>
      </c>
      <c r="S44" s="399" t="s">
        <v>283</v>
      </c>
      <c r="T44" s="420"/>
      <c r="U44" s="420"/>
      <c r="V44" s="420"/>
      <c r="W44" s="400"/>
      <c r="X44" s="417" t="s">
        <v>31</v>
      </c>
      <c r="Y44" s="95"/>
      <c r="Z44" s="95"/>
      <c r="AA44" s="95"/>
    </row>
    <row r="45" spans="1:27" ht="26.25" thickBot="1" x14ac:dyDescent="0.25">
      <c r="A45" s="408"/>
      <c r="B45" s="408"/>
      <c r="C45" s="418"/>
      <c r="D45" s="418"/>
      <c r="E45" s="418"/>
      <c r="F45" s="316" t="s">
        <v>284</v>
      </c>
      <c r="G45" s="316" t="s">
        <v>45</v>
      </c>
      <c r="H45" s="316" t="s">
        <v>46</v>
      </c>
      <c r="I45" s="316" t="s">
        <v>75</v>
      </c>
      <c r="J45" s="315" t="s">
        <v>8</v>
      </c>
      <c r="K45" s="418"/>
      <c r="L45" s="126"/>
      <c r="M45" s="408"/>
      <c r="N45" s="408"/>
      <c r="O45" s="408"/>
      <c r="P45" s="418"/>
      <c r="Q45" s="418"/>
      <c r="R45" s="418"/>
      <c r="S45" s="316" t="s">
        <v>284</v>
      </c>
      <c r="T45" s="7" t="s">
        <v>45</v>
      </c>
      <c r="U45" s="7" t="s">
        <v>46</v>
      </c>
      <c r="V45" s="7" t="s">
        <v>75</v>
      </c>
      <c r="W45" s="6" t="s">
        <v>8</v>
      </c>
      <c r="X45" s="424"/>
      <c r="Y45" s="95"/>
      <c r="Z45" s="95"/>
      <c r="AA45" s="95"/>
    </row>
    <row r="46" spans="1:27" ht="13.5" thickTop="1" x14ac:dyDescent="0.2">
      <c r="A46" s="83">
        <v>2027</v>
      </c>
      <c r="B46" s="12">
        <f>'Travel Time'!B187</f>
        <v>14795</v>
      </c>
      <c r="C46" s="13">
        <f>ROUND(B46*$B$122,0)</f>
        <v>154</v>
      </c>
      <c r="D46" s="34">
        <f>ROUND(C46*$B$118,0)</f>
        <v>310</v>
      </c>
      <c r="E46" s="3">
        <f>ROUND(C46*$I$89*$B$118,0)</f>
        <v>224</v>
      </c>
      <c r="F46" s="13">
        <f>ROUND(C46*$I$89,0)</f>
        <v>112</v>
      </c>
      <c r="G46" s="3">
        <f>ROUND(C46*$I$87,0)</f>
        <v>27</v>
      </c>
      <c r="H46" s="35">
        <f>ROUND(C46*$I$85,0)</f>
        <v>11</v>
      </c>
      <c r="I46" s="4">
        <f>ROUND(C46*$I$83,0)</f>
        <v>4</v>
      </c>
      <c r="J46" s="37">
        <f>ROUND(C46*$I$81,0)</f>
        <v>1</v>
      </c>
      <c r="K46" s="181">
        <f>ROUND((E46*$B$97)+(F46*$B$102)+(G46*$B$103)+(H46*$B$104)+(I46*$B$105)+(J46*$B$106),0)</f>
        <v>17927100</v>
      </c>
      <c r="L46" s="95"/>
      <c r="M46" s="271">
        <f t="shared" ref="M46:M75" si="5">A46</f>
        <v>2027</v>
      </c>
      <c r="N46" s="84">
        <f>'Travel Time'!E187</f>
        <v>6819</v>
      </c>
      <c r="O46" s="13">
        <f>'Travel Time'!F187</f>
        <v>10311</v>
      </c>
      <c r="P46" s="84">
        <f>ROUND((O46*$B$122)+(('Travel Time'!Q187/100000000)*Safety!$B$126),0)</f>
        <v>132</v>
      </c>
      <c r="Q46" s="13">
        <f>ROUND(P46*$B$118,0)</f>
        <v>265</v>
      </c>
      <c r="R46" s="35">
        <f>ROUND(P46*$I$89*$B$118,0)</f>
        <v>192</v>
      </c>
      <c r="S46" s="84">
        <f>ROUND(P46*$I$89,0)</f>
        <v>96</v>
      </c>
      <c r="T46" s="35">
        <f>ROUND(P46*$I$87,0)</f>
        <v>23</v>
      </c>
      <c r="U46" s="184">
        <f>ROUND(P46*$I$85,0)</f>
        <v>9</v>
      </c>
      <c r="V46" s="37">
        <f>ROUND(P46*$I$83,0)</f>
        <v>3</v>
      </c>
      <c r="W46" s="180">
        <f>ROUND(P46*$I$81,0)</f>
        <v>1</v>
      </c>
      <c r="X46" s="36">
        <f t="shared" ref="X46:X70" si="6">ROUND((R46*$B$97)+(S46*$B$102)+(T46*$B$103)+(U46*$B$104)+(V46*$B$105)+(W46*$B$106),0)</f>
        <v>16628600</v>
      </c>
      <c r="Y46" s="138"/>
      <c r="Z46" s="95"/>
      <c r="AA46" s="95"/>
    </row>
    <row r="47" spans="1:27" x14ac:dyDescent="0.2">
      <c r="A47" s="83">
        <f t="shared" ref="A47:A75" si="7">A46+1</f>
        <v>2028</v>
      </c>
      <c r="B47" s="12">
        <f>'Travel Time'!B188</f>
        <v>15032</v>
      </c>
      <c r="C47" s="13">
        <f t="shared" ref="C47:C70" si="8">ROUND(B47*$B$122,0)</f>
        <v>156</v>
      </c>
      <c r="D47" s="34">
        <f t="shared" ref="D47:D70" si="9">ROUND(C47*$B$118,0)</f>
        <v>314</v>
      </c>
      <c r="E47" s="3">
        <f t="shared" ref="E47:E75" si="10">ROUND(C47*$I$89*$B$118,0)</f>
        <v>227</v>
      </c>
      <c r="F47" s="13">
        <f t="shared" ref="F47:F75" si="11">ROUND(C47*$I$89,0)</f>
        <v>113</v>
      </c>
      <c r="G47" s="3">
        <f t="shared" ref="G47:G75" si="12">ROUND(C47*$I$87,0)</f>
        <v>27</v>
      </c>
      <c r="H47" s="35">
        <f t="shared" ref="H47:H75" si="13">ROUND(C47*$I$85,0)</f>
        <v>11</v>
      </c>
      <c r="I47" s="4">
        <f t="shared" ref="I47:I75" si="14">ROUND(C47*$I$83,0)</f>
        <v>4</v>
      </c>
      <c r="J47" s="37">
        <f t="shared" ref="J47:J75" si="15">ROUND(C47*$I$81,0)</f>
        <v>1</v>
      </c>
      <c r="K47" s="181">
        <f t="shared" ref="K47:K70" si="16">ROUND((E47*$B$97)+(F47*$B$102)+(G47*$B$103)+(H47*$B$104)+(I47*$B$105)+(J47*$B$106),0)</f>
        <v>17944300</v>
      </c>
      <c r="L47" s="95"/>
      <c r="M47" s="271">
        <f t="shared" si="5"/>
        <v>2028</v>
      </c>
      <c r="N47" s="84">
        <f>'Travel Time'!E188</f>
        <v>6928</v>
      </c>
      <c r="O47" s="13">
        <f>'Travel Time'!F188</f>
        <v>10476</v>
      </c>
      <c r="P47" s="84">
        <f>ROUND((O47*$B$122)+(('Travel Time'!Q188/100000000)*Safety!$B$126),0)</f>
        <v>134</v>
      </c>
      <c r="Q47" s="13">
        <f t="shared" ref="Q47:Q70" si="17">ROUND(P47*$B$118,0)</f>
        <v>269</v>
      </c>
      <c r="R47" s="35">
        <f t="shared" ref="R47:R75" si="18">ROUND(P47*$I$89*$B$118,0)</f>
        <v>195</v>
      </c>
      <c r="S47" s="84">
        <f t="shared" ref="S47:S75" si="19">ROUND(P47*$I$89,0)</f>
        <v>97</v>
      </c>
      <c r="T47" s="35">
        <f t="shared" ref="T47:T75" si="20">ROUND(P47*$I$87,0)</f>
        <v>23</v>
      </c>
      <c r="U47" s="184">
        <f t="shared" ref="U47:U75" si="21">ROUND(P47*$I$85,0)</f>
        <v>10</v>
      </c>
      <c r="V47" s="37">
        <f t="shared" ref="V47:V75" si="22">ROUND(P47*$I$83,0)</f>
        <v>3</v>
      </c>
      <c r="W47" s="180">
        <f t="shared" ref="W47:W75" si="23">ROUND(P47*$I$81,0)</f>
        <v>1</v>
      </c>
      <c r="X47" s="36">
        <f>ROUND((R47*$B$97)+(S47*$B$102)+(T47*$B$103)+(U47*$B$104)+(V47*$B$105)+(W47*$B$106),0)</f>
        <v>16787800</v>
      </c>
      <c r="Y47" s="138"/>
      <c r="Z47" s="95"/>
      <c r="AA47" s="95"/>
    </row>
    <row r="48" spans="1:27" x14ac:dyDescent="0.2">
      <c r="A48" s="83">
        <f t="shared" si="7"/>
        <v>2029</v>
      </c>
      <c r="B48" s="12">
        <f>'Travel Time'!B189</f>
        <v>15273</v>
      </c>
      <c r="C48" s="13">
        <f t="shared" si="8"/>
        <v>159</v>
      </c>
      <c r="D48" s="34">
        <f t="shared" si="9"/>
        <v>320</v>
      </c>
      <c r="E48" s="3">
        <f t="shared" si="10"/>
        <v>232</v>
      </c>
      <c r="F48" s="13">
        <f t="shared" si="11"/>
        <v>115</v>
      </c>
      <c r="G48" s="3">
        <f>ROUND(C48*$I$87,0)</f>
        <v>28</v>
      </c>
      <c r="H48" s="35">
        <f t="shared" si="13"/>
        <v>11</v>
      </c>
      <c r="I48" s="4">
        <f t="shared" si="14"/>
        <v>4</v>
      </c>
      <c r="J48" s="37">
        <f t="shared" si="15"/>
        <v>1</v>
      </c>
      <c r="K48" s="181">
        <f t="shared" si="16"/>
        <v>18046700</v>
      </c>
      <c r="L48" s="95"/>
      <c r="M48" s="271">
        <f t="shared" si="5"/>
        <v>2029</v>
      </c>
      <c r="N48" s="84">
        <f>'Travel Time'!E189</f>
        <v>7039</v>
      </c>
      <c r="O48" s="13">
        <f>'Travel Time'!F189</f>
        <v>10644</v>
      </c>
      <c r="P48" s="84">
        <f>ROUND((O48*$B$122)+(('Travel Time'!Q189/100000000)*Safety!$B$126),0)</f>
        <v>136</v>
      </c>
      <c r="Q48" s="13">
        <f t="shared" si="17"/>
        <v>273</v>
      </c>
      <c r="R48" s="35">
        <f t="shared" si="18"/>
        <v>198</v>
      </c>
      <c r="S48" s="84">
        <f t="shared" si="19"/>
        <v>99</v>
      </c>
      <c r="T48" s="35">
        <f t="shared" si="20"/>
        <v>24</v>
      </c>
      <c r="U48" s="184">
        <f t="shared" si="21"/>
        <v>10</v>
      </c>
      <c r="V48" s="37">
        <f t="shared" si="22"/>
        <v>3</v>
      </c>
      <c r="W48" s="180">
        <f t="shared" si="23"/>
        <v>1</v>
      </c>
      <c r="X48" s="36">
        <f t="shared" si="6"/>
        <v>16881200</v>
      </c>
      <c r="Y48" s="138"/>
      <c r="Z48" s="95"/>
      <c r="AA48" s="95"/>
    </row>
    <row r="49" spans="1:27" x14ac:dyDescent="0.2">
      <c r="A49" s="83">
        <f t="shared" si="7"/>
        <v>2030</v>
      </c>
      <c r="B49" s="12">
        <f>'Travel Time'!B190</f>
        <v>15517</v>
      </c>
      <c r="C49" s="13">
        <f t="shared" si="8"/>
        <v>161</v>
      </c>
      <c r="D49" s="34">
        <f t="shared" si="9"/>
        <v>324</v>
      </c>
      <c r="E49" s="3">
        <f t="shared" si="10"/>
        <v>234</v>
      </c>
      <c r="F49" s="13">
        <f t="shared" si="11"/>
        <v>117</v>
      </c>
      <c r="G49" s="3">
        <f t="shared" si="12"/>
        <v>28</v>
      </c>
      <c r="H49" s="35">
        <f t="shared" si="13"/>
        <v>11</v>
      </c>
      <c r="I49" s="4">
        <f t="shared" si="14"/>
        <v>4</v>
      </c>
      <c r="J49" s="37">
        <f t="shared" si="15"/>
        <v>1</v>
      </c>
      <c r="K49" s="181">
        <f t="shared" si="16"/>
        <v>18063100</v>
      </c>
      <c r="L49" s="95"/>
      <c r="M49" s="271">
        <f t="shared" si="5"/>
        <v>2030</v>
      </c>
      <c r="N49" s="84">
        <f>'Travel Time'!E190</f>
        <v>7152</v>
      </c>
      <c r="O49" s="13">
        <f>'Travel Time'!F190</f>
        <v>10814</v>
      </c>
      <c r="P49" s="84">
        <f>ROUND((O49*$B$122)+(('Travel Time'!Q190/100000000)*Safety!$B$126),0)</f>
        <v>138</v>
      </c>
      <c r="Q49" s="13">
        <f t="shared" si="17"/>
        <v>277</v>
      </c>
      <c r="R49" s="35">
        <f t="shared" si="18"/>
        <v>201</v>
      </c>
      <c r="S49" s="84">
        <f t="shared" si="19"/>
        <v>100</v>
      </c>
      <c r="T49" s="35">
        <f t="shared" si="20"/>
        <v>24</v>
      </c>
      <c r="U49" s="184">
        <f>ROUND(P49*$I$85,0)</f>
        <v>10</v>
      </c>
      <c r="V49" s="37">
        <f t="shared" si="22"/>
        <v>3</v>
      </c>
      <c r="W49" s="180">
        <f t="shared" si="23"/>
        <v>1</v>
      </c>
      <c r="X49" s="36">
        <f t="shared" si="6"/>
        <v>16898400</v>
      </c>
      <c r="Y49" s="138"/>
      <c r="Z49" s="95"/>
      <c r="AA49" s="95"/>
    </row>
    <row r="50" spans="1:27" x14ac:dyDescent="0.2">
      <c r="A50" s="83">
        <f t="shared" si="7"/>
        <v>2031</v>
      </c>
      <c r="B50" s="12">
        <f>'Travel Time'!B191</f>
        <v>15765</v>
      </c>
      <c r="C50" s="13">
        <f t="shared" si="8"/>
        <v>164</v>
      </c>
      <c r="D50" s="34">
        <f t="shared" si="9"/>
        <v>330</v>
      </c>
      <c r="E50" s="3">
        <f t="shared" si="10"/>
        <v>239</v>
      </c>
      <c r="F50" s="13">
        <f t="shared" si="11"/>
        <v>119</v>
      </c>
      <c r="G50" s="3">
        <f t="shared" si="12"/>
        <v>29</v>
      </c>
      <c r="H50" s="35">
        <f t="shared" si="13"/>
        <v>12</v>
      </c>
      <c r="I50" s="4">
        <f t="shared" si="14"/>
        <v>4</v>
      </c>
      <c r="J50" s="37">
        <f t="shared" si="15"/>
        <v>1</v>
      </c>
      <c r="K50" s="181">
        <f t="shared" si="16"/>
        <v>18307500</v>
      </c>
      <c r="L50" s="95"/>
      <c r="M50" s="271">
        <f t="shared" si="5"/>
        <v>2031</v>
      </c>
      <c r="N50" s="84">
        <f>'Travel Time'!E191</f>
        <v>7266</v>
      </c>
      <c r="O50" s="13">
        <f>'Travel Time'!F191</f>
        <v>10987</v>
      </c>
      <c r="P50" s="84">
        <f>ROUND((O50*$B$122)+(('Travel Time'!Q191/100000000)*Safety!$B$126),0)</f>
        <v>140</v>
      </c>
      <c r="Q50" s="13">
        <f t="shared" si="17"/>
        <v>281</v>
      </c>
      <c r="R50" s="35">
        <f t="shared" si="18"/>
        <v>204</v>
      </c>
      <c r="S50" s="84">
        <f t="shared" si="19"/>
        <v>101</v>
      </c>
      <c r="T50" s="35">
        <f t="shared" si="20"/>
        <v>24</v>
      </c>
      <c r="U50" s="184">
        <f t="shared" si="21"/>
        <v>10</v>
      </c>
      <c r="V50" s="37">
        <f t="shared" si="22"/>
        <v>3</v>
      </c>
      <c r="W50" s="180">
        <f t="shared" si="23"/>
        <v>1</v>
      </c>
      <c r="X50" s="36">
        <f t="shared" si="6"/>
        <v>16915600</v>
      </c>
      <c r="Y50" s="138"/>
      <c r="Z50" s="95"/>
      <c r="AA50" s="95"/>
    </row>
    <row r="51" spans="1:27" x14ac:dyDescent="0.2">
      <c r="A51" s="83">
        <f t="shared" si="7"/>
        <v>2032</v>
      </c>
      <c r="B51" s="12">
        <f>'Travel Time'!B192</f>
        <v>16018</v>
      </c>
      <c r="C51" s="13">
        <f t="shared" si="8"/>
        <v>167</v>
      </c>
      <c r="D51" s="34">
        <f t="shared" si="9"/>
        <v>336</v>
      </c>
      <c r="E51" s="3">
        <f t="shared" si="10"/>
        <v>243</v>
      </c>
      <c r="F51" s="13">
        <f t="shared" si="11"/>
        <v>121</v>
      </c>
      <c r="G51" s="3">
        <f t="shared" si="12"/>
        <v>29</v>
      </c>
      <c r="H51" s="35">
        <f t="shared" si="13"/>
        <v>12</v>
      </c>
      <c r="I51" s="4">
        <f t="shared" si="14"/>
        <v>4</v>
      </c>
      <c r="J51" s="37">
        <f t="shared" si="15"/>
        <v>1</v>
      </c>
      <c r="K51" s="181">
        <f t="shared" si="16"/>
        <v>18332900</v>
      </c>
      <c r="L51" s="95"/>
      <c r="M51" s="271">
        <f t="shared" si="5"/>
        <v>2032</v>
      </c>
      <c r="N51" s="84">
        <f>'Travel Time'!E192</f>
        <v>7382</v>
      </c>
      <c r="O51" s="13">
        <f>'Travel Time'!F192</f>
        <v>11163</v>
      </c>
      <c r="P51" s="84">
        <f>ROUND((O51*$B$122)+(('Travel Time'!Q192/100000000)*Safety!$B$126),0)</f>
        <v>142</v>
      </c>
      <c r="Q51" s="13">
        <f t="shared" si="17"/>
        <v>285</v>
      </c>
      <c r="R51" s="35">
        <f t="shared" si="18"/>
        <v>207</v>
      </c>
      <c r="S51" s="84">
        <f t="shared" si="19"/>
        <v>103</v>
      </c>
      <c r="T51" s="35">
        <f t="shared" si="20"/>
        <v>25</v>
      </c>
      <c r="U51" s="184">
        <f t="shared" si="21"/>
        <v>10</v>
      </c>
      <c r="V51" s="37">
        <f t="shared" si="22"/>
        <v>4</v>
      </c>
      <c r="W51" s="180">
        <f t="shared" si="23"/>
        <v>1</v>
      </c>
      <c r="X51" s="36">
        <f t="shared" si="6"/>
        <v>17530300</v>
      </c>
      <c r="Y51" s="138"/>
      <c r="Z51" s="95"/>
      <c r="AA51" s="95"/>
    </row>
    <row r="52" spans="1:27" x14ac:dyDescent="0.2">
      <c r="A52" s="83">
        <f t="shared" si="7"/>
        <v>2033</v>
      </c>
      <c r="B52" s="12">
        <f>'Travel Time'!B193</f>
        <v>16274</v>
      </c>
      <c r="C52" s="13">
        <f t="shared" si="8"/>
        <v>169</v>
      </c>
      <c r="D52" s="34">
        <f t="shared" si="9"/>
        <v>340</v>
      </c>
      <c r="E52" s="3">
        <f t="shared" si="10"/>
        <v>246</v>
      </c>
      <c r="F52" s="13">
        <f t="shared" si="11"/>
        <v>122</v>
      </c>
      <c r="G52" s="3">
        <f t="shared" si="12"/>
        <v>30</v>
      </c>
      <c r="H52" s="35">
        <f t="shared" si="13"/>
        <v>12</v>
      </c>
      <c r="I52" s="4">
        <f t="shared" si="14"/>
        <v>4</v>
      </c>
      <c r="J52" s="37">
        <f t="shared" si="15"/>
        <v>1</v>
      </c>
      <c r="K52" s="181">
        <f t="shared" si="16"/>
        <v>18422600</v>
      </c>
      <c r="L52" s="95"/>
      <c r="M52" s="271">
        <f t="shared" si="5"/>
        <v>2033</v>
      </c>
      <c r="N52" s="84">
        <f>'Travel Time'!E193</f>
        <v>7501</v>
      </c>
      <c r="O52" s="13">
        <f>'Travel Time'!F193</f>
        <v>11341</v>
      </c>
      <c r="P52" s="84">
        <f>ROUND((O52*$B$122)+(('Travel Time'!Q193/100000000)*Safety!$B$126),0)</f>
        <v>145</v>
      </c>
      <c r="Q52" s="13">
        <f t="shared" si="17"/>
        <v>291</v>
      </c>
      <c r="R52" s="35">
        <f t="shared" si="18"/>
        <v>211</v>
      </c>
      <c r="S52" s="84">
        <f t="shared" si="19"/>
        <v>105</v>
      </c>
      <c r="T52" s="35">
        <f t="shared" si="20"/>
        <v>25</v>
      </c>
      <c r="U52" s="184">
        <f t="shared" si="21"/>
        <v>10</v>
      </c>
      <c r="V52" s="37">
        <f t="shared" si="22"/>
        <v>4</v>
      </c>
      <c r="W52" s="180">
        <f t="shared" si="23"/>
        <v>1</v>
      </c>
      <c r="X52" s="36">
        <f t="shared" si="6"/>
        <v>17555700</v>
      </c>
      <c r="Y52" s="138"/>
      <c r="Z52" s="95"/>
      <c r="AA52" s="95"/>
    </row>
    <row r="53" spans="1:27" x14ac:dyDescent="0.2">
      <c r="A53" s="83">
        <f t="shared" si="7"/>
        <v>2034</v>
      </c>
      <c r="B53" s="12">
        <f>'Travel Time'!B194</f>
        <v>16534</v>
      </c>
      <c r="C53" s="13">
        <f t="shared" si="8"/>
        <v>172</v>
      </c>
      <c r="D53" s="34">
        <f t="shared" si="9"/>
        <v>346</v>
      </c>
      <c r="E53" s="3">
        <f t="shared" si="10"/>
        <v>250</v>
      </c>
      <c r="F53" s="13">
        <f t="shared" si="11"/>
        <v>125</v>
      </c>
      <c r="G53" s="3">
        <f t="shared" si="12"/>
        <v>30</v>
      </c>
      <c r="H53" s="35">
        <f t="shared" si="13"/>
        <v>12</v>
      </c>
      <c r="I53" s="4">
        <f t="shared" si="14"/>
        <v>4</v>
      </c>
      <c r="J53" s="37">
        <f t="shared" si="15"/>
        <v>1</v>
      </c>
      <c r="K53" s="181">
        <f t="shared" si="16"/>
        <v>18451700</v>
      </c>
      <c r="L53" s="95"/>
      <c r="M53" s="271">
        <f t="shared" si="5"/>
        <v>2034</v>
      </c>
      <c r="N53" s="84">
        <f>'Travel Time'!E194</f>
        <v>7621</v>
      </c>
      <c r="O53" s="13">
        <f>'Travel Time'!F194</f>
        <v>11523</v>
      </c>
      <c r="P53" s="84">
        <f>ROUND((O53*$B$122)+(('Travel Time'!Q194/100000000)*Safety!$B$126),0)</f>
        <v>147</v>
      </c>
      <c r="Q53" s="13">
        <f t="shared" si="17"/>
        <v>295</v>
      </c>
      <c r="R53" s="35">
        <f t="shared" si="18"/>
        <v>214</v>
      </c>
      <c r="S53" s="84">
        <f t="shared" si="19"/>
        <v>106</v>
      </c>
      <c r="T53" s="35">
        <f t="shared" si="20"/>
        <v>26</v>
      </c>
      <c r="U53" s="184">
        <f t="shared" si="21"/>
        <v>10</v>
      </c>
      <c r="V53" s="37">
        <f t="shared" si="22"/>
        <v>4</v>
      </c>
      <c r="W53" s="180">
        <f t="shared" si="23"/>
        <v>1</v>
      </c>
      <c r="X53" s="36">
        <f t="shared" si="6"/>
        <v>17645400</v>
      </c>
      <c r="Y53" s="138"/>
      <c r="Z53" s="95"/>
      <c r="AA53" s="95"/>
    </row>
    <row r="54" spans="1:27" x14ac:dyDescent="0.2">
      <c r="A54" s="83">
        <f t="shared" si="7"/>
        <v>2035</v>
      </c>
      <c r="B54" s="12">
        <f>'Travel Time'!B195</f>
        <v>16799</v>
      </c>
      <c r="C54" s="13">
        <f t="shared" si="8"/>
        <v>175</v>
      </c>
      <c r="D54" s="34">
        <f t="shared" si="9"/>
        <v>352</v>
      </c>
      <c r="E54" s="3">
        <f t="shared" si="10"/>
        <v>255</v>
      </c>
      <c r="F54" s="13">
        <f t="shared" si="11"/>
        <v>127</v>
      </c>
      <c r="G54" s="3">
        <f t="shared" si="12"/>
        <v>31</v>
      </c>
      <c r="H54" s="35">
        <f t="shared" si="13"/>
        <v>12</v>
      </c>
      <c r="I54" s="4">
        <f t="shared" si="14"/>
        <v>4</v>
      </c>
      <c r="J54" s="37">
        <f t="shared" si="15"/>
        <v>1</v>
      </c>
      <c r="K54" s="181">
        <f t="shared" si="16"/>
        <v>18554100</v>
      </c>
      <c r="L54" s="95"/>
      <c r="M54" s="271">
        <f t="shared" si="5"/>
        <v>2035</v>
      </c>
      <c r="N54" s="84">
        <f>'Travel Time'!E195</f>
        <v>7742</v>
      </c>
      <c r="O54" s="13">
        <f>'Travel Time'!F195</f>
        <v>11707</v>
      </c>
      <c r="P54" s="84">
        <f>ROUND((O54*$B$122)+(('Travel Time'!Q195/100000000)*Safety!$B$126),0)</f>
        <v>149</v>
      </c>
      <c r="Q54" s="13">
        <f t="shared" si="17"/>
        <v>299</v>
      </c>
      <c r="R54" s="35">
        <f t="shared" si="18"/>
        <v>217</v>
      </c>
      <c r="S54" s="84">
        <f t="shared" si="19"/>
        <v>108</v>
      </c>
      <c r="T54" s="35">
        <f t="shared" si="20"/>
        <v>26</v>
      </c>
      <c r="U54" s="184">
        <f t="shared" si="21"/>
        <v>11</v>
      </c>
      <c r="V54" s="37">
        <f>ROUND(P54*$I$83,0)</f>
        <v>4</v>
      </c>
      <c r="W54" s="180">
        <f t="shared" si="23"/>
        <v>1</v>
      </c>
      <c r="X54" s="36">
        <f t="shared" si="6"/>
        <v>17808300</v>
      </c>
      <c r="Y54" s="138"/>
      <c r="Z54" s="95"/>
      <c r="AA54" s="95"/>
    </row>
    <row r="55" spans="1:27" x14ac:dyDescent="0.2">
      <c r="A55" s="83">
        <f t="shared" si="7"/>
        <v>2036</v>
      </c>
      <c r="B55" s="12">
        <f>'Travel Time'!B196</f>
        <v>17068</v>
      </c>
      <c r="C55" s="13">
        <f t="shared" si="8"/>
        <v>178</v>
      </c>
      <c r="D55" s="34">
        <f t="shared" si="9"/>
        <v>358</v>
      </c>
      <c r="E55" s="3">
        <f t="shared" si="10"/>
        <v>259</v>
      </c>
      <c r="F55" s="13">
        <f t="shared" si="11"/>
        <v>129</v>
      </c>
      <c r="G55" s="3">
        <f t="shared" si="12"/>
        <v>31</v>
      </c>
      <c r="H55" s="35">
        <f t="shared" si="13"/>
        <v>13</v>
      </c>
      <c r="I55" s="4">
        <f t="shared" si="14"/>
        <v>4</v>
      </c>
      <c r="J55" s="37">
        <f t="shared" si="15"/>
        <v>1</v>
      </c>
      <c r="K55" s="181">
        <f>ROUND((E55*$B$97)+(F55*$B$102)+(G55*$B$103)+(H55*$B$104)+(I55*$B$105)+(J55*$B$106),0)</f>
        <v>18721500</v>
      </c>
      <c r="L55" s="95"/>
      <c r="M55" s="271">
        <f t="shared" si="5"/>
        <v>2036</v>
      </c>
      <c r="N55" s="84">
        <f>'Travel Time'!E196</f>
        <v>7866</v>
      </c>
      <c r="O55" s="13">
        <f>'Travel Time'!F196</f>
        <v>11894</v>
      </c>
      <c r="P55" s="84">
        <f>ROUND((O55*$B$122)+(('Travel Time'!Q196/100000000)*Safety!$B$126),0)</f>
        <v>152</v>
      </c>
      <c r="Q55" s="13">
        <f t="shared" si="17"/>
        <v>306</v>
      </c>
      <c r="R55" s="35">
        <f t="shared" si="18"/>
        <v>221</v>
      </c>
      <c r="S55" s="84">
        <f t="shared" si="19"/>
        <v>110</v>
      </c>
      <c r="T55" s="35">
        <f t="shared" si="20"/>
        <v>27</v>
      </c>
      <c r="U55" s="184">
        <f t="shared" si="21"/>
        <v>11</v>
      </c>
      <c r="V55" s="37">
        <f t="shared" si="22"/>
        <v>4</v>
      </c>
      <c r="W55" s="180">
        <f t="shared" si="23"/>
        <v>1</v>
      </c>
      <c r="X55" s="36">
        <f t="shared" si="6"/>
        <v>17906200</v>
      </c>
      <c r="Y55" s="138"/>
      <c r="Z55" s="95"/>
      <c r="AA55" s="95"/>
    </row>
    <row r="56" spans="1:27" x14ac:dyDescent="0.2">
      <c r="A56" s="83">
        <f t="shared" si="7"/>
        <v>2037</v>
      </c>
      <c r="B56" s="12">
        <f>'Travel Time'!B197</f>
        <v>17341</v>
      </c>
      <c r="C56" s="13">
        <f t="shared" si="8"/>
        <v>180</v>
      </c>
      <c r="D56" s="34">
        <f t="shared" si="9"/>
        <v>362</v>
      </c>
      <c r="E56" s="3">
        <f t="shared" si="10"/>
        <v>262</v>
      </c>
      <c r="F56" s="13">
        <f t="shared" si="11"/>
        <v>130</v>
      </c>
      <c r="G56" s="3">
        <f t="shared" si="12"/>
        <v>31</v>
      </c>
      <c r="H56" s="35">
        <f t="shared" si="13"/>
        <v>13</v>
      </c>
      <c r="I56" s="4">
        <f>ROUND(C56*$I$83,0)</f>
        <v>4</v>
      </c>
      <c r="J56" s="37">
        <f>ROUND(C56*$I$81,0)</f>
        <v>1</v>
      </c>
      <c r="K56" s="181">
        <f t="shared" si="16"/>
        <v>18738700</v>
      </c>
      <c r="L56" s="95"/>
      <c r="M56" s="271">
        <f t="shared" si="5"/>
        <v>2037</v>
      </c>
      <c r="N56" s="84">
        <f>'Travel Time'!E197</f>
        <v>7992</v>
      </c>
      <c r="O56" s="13">
        <f>'Travel Time'!F197</f>
        <v>12085</v>
      </c>
      <c r="P56" s="84">
        <f>ROUND((O56*$B$122)+(('Travel Time'!Q197/100000000)*Safety!$B$126),0)</f>
        <v>154</v>
      </c>
      <c r="Q56" s="13">
        <f t="shared" si="17"/>
        <v>310</v>
      </c>
      <c r="R56" s="35">
        <f t="shared" si="18"/>
        <v>224</v>
      </c>
      <c r="S56" s="84">
        <f t="shared" si="19"/>
        <v>112</v>
      </c>
      <c r="T56" s="35">
        <f t="shared" si="20"/>
        <v>27</v>
      </c>
      <c r="U56" s="184">
        <f t="shared" si="21"/>
        <v>11</v>
      </c>
      <c r="V56" s="37">
        <f t="shared" si="22"/>
        <v>4</v>
      </c>
      <c r="W56" s="180">
        <f t="shared" si="23"/>
        <v>1</v>
      </c>
      <c r="X56" s="36">
        <f t="shared" si="6"/>
        <v>17927100</v>
      </c>
      <c r="Y56" s="138"/>
      <c r="Z56" s="95"/>
      <c r="AA56" s="95"/>
    </row>
    <row r="57" spans="1:27" x14ac:dyDescent="0.2">
      <c r="A57" s="83">
        <f t="shared" si="7"/>
        <v>2038</v>
      </c>
      <c r="B57" s="12">
        <f>'Travel Time'!B198</f>
        <v>17618</v>
      </c>
      <c r="C57" s="13">
        <f t="shared" si="8"/>
        <v>183</v>
      </c>
      <c r="D57" s="34">
        <f t="shared" si="9"/>
        <v>368</v>
      </c>
      <c r="E57" s="3">
        <f t="shared" si="10"/>
        <v>266</v>
      </c>
      <c r="F57" s="13">
        <f t="shared" si="11"/>
        <v>133</v>
      </c>
      <c r="G57" s="3">
        <f t="shared" si="12"/>
        <v>32</v>
      </c>
      <c r="H57" s="35">
        <f t="shared" si="13"/>
        <v>13</v>
      </c>
      <c r="I57" s="4">
        <f t="shared" si="14"/>
        <v>5</v>
      </c>
      <c r="J57" s="37">
        <f t="shared" si="15"/>
        <v>1</v>
      </c>
      <c r="K57" s="181">
        <f t="shared" si="16"/>
        <v>19361600</v>
      </c>
      <c r="L57" s="95"/>
      <c r="M57" s="271">
        <f t="shared" si="5"/>
        <v>2038</v>
      </c>
      <c r="N57" s="84">
        <f>'Travel Time'!E198</f>
        <v>8120</v>
      </c>
      <c r="O57" s="13">
        <f>'Travel Time'!F198</f>
        <v>12278</v>
      </c>
      <c r="P57" s="84">
        <f>ROUND((O57*$B$122)+(('Travel Time'!Q198/100000000)*Safety!$B$126),0)</f>
        <v>157</v>
      </c>
      <c r="Q57" s="13">
        <f t="shared" si="17"/>
        <v>316</v>
      </c>
      <c r="R57" s="35">
        <f t="shared" si="18"/>
        <v>229</v>
      </c>
      <c r="S57" s="84">
        <f t="shared" si="19"/>
        <v>114</v>
      </c>
      <c r="T57" s="35">
        <f t="shared" si="20"/>
        <v>27</v>
      </c>
      <c r="U57" s="184">
        <f t="shared" si="21"/>
        <v>11</v>
      </c>
      <c r="V57" s="37">
        <f t="shared" si="22"/>
        <v>4</v>
      </c>
      <c r="W57" s="180">
        <f t="shared" si="23"/>
        <v>1</v>
      </c>
      <c r="X57" s="36">
        <f t="shared" si="6"/>
        <v>17957000</v>
      </c>
      <c r="Y57" s="138"/>
      <c r="Z57" s="95"/>
      <c r="AA57" s="95"/>
    </row>
    <row r="58" spans="1:27" x14ac:dyDescent="0.2">
      <c r="A58" s="83">
        <f t="shared" si="7"/>
        <v>2039</v>
      </c>
      <c r="B58" s="12">
        <f>'Travel Time'!B199</f>
        <v>17900</v>
      </c>
      <c r="C58" s="13">
        <f t="shared" si="8"/>
        <v>186</v>
      </c>
      <c r="D58" s="34">
        <f t="shared" si="9"/>
        <v>374</v>
      </c>
      <c r="E58" s="3">
        <f t="shared" si="10"/>
        <v>271</v>
      </c>
      <c r="F58" s="13">
        <f t="shared" si="11"/>
        <v>135</v>
      </c>
      <c r="G58" s="3">
        <f t="shared" si="12"/>
        <v>33</v>
      </c>
      <c r="H58" s="35">
        <f t="shared" si="13"/>
        <v>13</v>
      </c>
      <c r="I58" s="4">
        <f t="shared" si="14"/>
        <v>5</v>
      </c>
      <c r="J58" s="37">
        <f t="shared" si="15"/>
        <v>1</v>
      </c>
      <c r="K58" s="181">
        <f t="shared" si="16"/>
        <v>19464000</v>
      </c>
      <c r="L58" s="95"/>
      <c r="M58" s="271">
        <f t="shared" si="5"/>
        <v>2039</v>
      </c>
      <c r="N58" s="84">
        <f>'Travel Time'!E199</f>
        <v>8250</v>
      </c>
      <c r="O58" s="13">
        <f>'Travel Time'!F199</f>
        <v>12475</v>
      </c>
      <c r="P58" s="84">
        <f>ROUND((O58*$B$122)+(('Travel Time'!Q199/100000000)*Safety!$B$126),0)</f>
        <v>159</v>
      </c>
      <c r="Q58" s="13">
        <f t="shared" si="17"/>
        <v>320</v>
      </c>
      <c r="R58" s="35">
        <f t="shared" si="18"/>
        <v>232</v>
      </c>
      <c r="S58" s="84">
        <f t="shared" si="19"/>
        <v>115</v>
      </c>
      <c r="T58" s="35">
        <f t="shared" si="20"/>
        <v>28</v>
      </c>
      <c r="U58" s="184">
        <f t="shared" si="21"/>
        <v>11</v>
      </c>
      <c r="V58" s="37">
        <f t="shared" si="22"/>
        <v>4</v>
      </c>
      <c r="W58" s="180">
        <f>ROUND(P58*$I$81,0)</f>
        <v>1</v>
      </c>
      <c r="X58" s="36">
        <f t="shared" si="6"/>
        <v>18046700</v>
      </c>
      <c r="Y58" s="138"/>
      <c r="Z58" s="95"/>
      <c r="AA58" s="95"/>
    </row>
    <row r="59" spans="1:27" x14ac:dyDescent="0.2">
      <c r="A59" s="83">
        <f t="shared" si="7"/>
        <v>2040</v>
      </c>
      <c r="B59" s="12">
        <f>'Travel Time'!B200</f>
        <v>18186</v>
      </c>
      <c r="C59" s="13">
        <f t="shared" si="8"/>
        <v>189</v>
      </c>
      <c r="D59" s="34">
        <f t="shared" si="9"/>
        <v>380</v>
      </c>
      <c r="E59" s="3">
        <f t="shared" si="10"/>
        <v>275</v>
      </c>
      <c r="F59" s="13">
        <f t="shared" si="11"/>
        <v>137</v>
      </c>
      <c r="G59" s="3">
        <f t="shared" si="12"/>
        <v>33</v>
      </c>
      <c r="H59" s="35">
        <f>ROUND(C59*$I$85,0)</f>
        <v>13</v>
      </c>
      <c r="I59" s="4">
        <f t="shared" si="14"/>
        <v>5</v>
      </c>
      <c r="J59" s="37">
        <f t="shared" si="15"/>
        <v>1</v>
      </c>
      <c r="K59" s="181">
        <f t="shared" si="16"/>
        <v>19489400</v>
      </c>
      <c r="L59" s="95"/>
      <c r="M59" s="271">
        <f t="shared" si="5"/>
        <v>2040</v>
      </c>
      <c r="N59" s="84">
        <f>'Travel Time'!E200</f>
        <v>8382</v>
      </c>
      <c r="O59" s="13">
        <f>'Travel Time'!F200</f>
        <v>12674</v>
      </c>
      <c r="P59" s="84">
        <f>ROUND((O59*$B$122)+(('Travel Time'!Q200/100000000)*Safety!$B$126),0)</f>
        <v>162</v>
      </c>
      <c r="Q59" s="13">
        <f t="shared" si="17"/>
        <v>326</v>
      </c>
      <c r="R59" s="35">
        <f t="shared" si="18"/>
        <v>236</v>
      </c>
      <c r="S59" s="84">
        <f t="shared" si="19"/>
        <v>117</v>
      </c>
      <c r="T59" s="35">
        <f t="shared" si="20"/>
        <v>28</v>
      </c>
      <c r="U59" s="184">
        <f t="shared" si="21"/>
        <v>12</v>
      </c>
      <c r="V59" s="37">
        <f t="shared" si="22"/>
        <v>4</v>
      </c>
      <c r="W59" s="180">
        <f t="shared" si="23"/>
        <v>1</v>
      </c>
      <c r="X59" s="36">
        <f t="shared" si="6"/>
        <v>18214100</v>
      </c>
      <c r="Y59" s="138"/>
      <c r="Z59" s="95"/>
      <c r="AA59" s="95"/>
    </row>
    <row r="60" spans="1:27" x14ac:dyDescent="0.2">
      <c r="A60" s="83">
        <f t="shared" si="7"/>
        <v>2041</v>
      </c>
      <c r="B60" s="12">
        <f>'Travel Time'!B201</f>
        <v>18350</v>
      </c>
      <c r="C60" s="13">
        <f t="shared" si="8"/>
        <v>191</v>
      </c>
      <c r="D60" s="34">
        <f t="shared" si="9"/>
        <v>384</v>
      </c>
      <c r="E60" s="3">
        <f t="shared" si="10"/>
        <v>278</v>
      </c>
      <c r="F60" s="13">
        <f t="shared" si="11"/>
        <v>138</v>
      </c>
      <c r="G60" s="3">
        <f t="shared" si="12"/>
        <v>33</v>
      </c>
      <c r="H60" s="35">
        <f t="shared" si="13"/>
        <v>14</v>
      </c>
      <c r="I60" s="4">
        <f t="shared" si="14"/>
        <v>5</v>
      </c>
      <c r="J60" s="37">
        <f t="shared" si="15"/>
        <v>1</v>
      </c>
      <c r="K60" s="181">
        <f t="shared" si="16"/>
        <v>19648600</v>
      </c>
      <c r="L60" s="95"/>
      <c r="M60" s="271">
        <f t="shared" si="5"/>
        <v>2041</v>
      </c>
      <c r="N60" s="84">
        <f>'Travel Time'!E201</f>
        <v>8516</v>
      </c>
      <c r="O60" s="13">
        <f>'Travel Time'!F201</f>
        <v>12877</v>
      </c>
      <c r="P60" s="84">
        <f>ROUND((O60*$B$122)+(('Travel Time'!Q201/100000000)*Safety!$B$126),0)</f>
        <v>164</v>
      </c>
      <c r="Q60" s="13">
        <f t="shared" si="17"/>
        <v>330</v>
      </c>
      <c r="R60" s="35">
        <f t="shared" si="18"/>
        <v>239</v>
      </c>
      <c r="S60" s="84">
        <f t="shared" si="19"/>
        <v>119</v>
      </c>
      <c r="T60" s="35">
        <f t="shared" si="20"/>
        <v>29</v>
      </c>
      <c r="U60" s="184">
        <f t="shared" si="21"/>
        <v>12</v>
      </c>
      <c r="V60" s="37">
        <f t="shared" si="22"/>
        <v>4</v>
      </c>
      <c r="W60" s="180">
        <f t="shared" si="23"/>
        <v>1</v>
      </c>
      <c r="X60" s="36">
        <f t="shared" si="6"/>
        <v>18307500</v>
      </c>
      <c r="Y60" s="138"/>
      <c r="Z60" s="95"/>
      <c r="AA60" s="95"/>
    </row>
    <row r="61" spans="1:27" x14ac:dyDescent="0.2">
      <c r="A61" s="83">
        <f t="shared" si="7"/>
        <v>2042</v>
      </c>
      <c r="B61" s="12">
        <f>'Travel Time'!B202</f>
        <v>18515</v>
      </c>
      <c r="C61" s="13">
        <f t="shared" si="8"/>
        <v>193</v>
      </c>
      <c r="D61" s="34">
        <f t="shared" si="9"/>
        <v>388</v>
      </c>
      <c r="E61" s="3">
        <f t="shared" si="10"/>
        <v>281</v>
      </c>
      <c r="F61" s="13">
        <f t="shared" si="11"/>
        <v>140</v>
      </c>
      <c r="G61" s="3">
        <f t="shared" si="12"/>
        <v>34</v>
      </c>
      <c r="H61" s="35">
        <f t="shared" si="13"/>
        <v>14</v>
      </c>
      <c r="I61" s="4">
        <f t="shared" si="14"/>
        <v>5</v>
      </c>
      <c r="J61" s="37">
        <f t="shared" si="15"/>
        <v>1</v>
      </c>
      <c r="K61" s="181">
        <f t="shared" si="16"/>
        <v>19742000</v>
      </c>
      <c r="L61" s="95"/>
      <c r="M61" s="271">
        <f t="shared" si="5"/>
        <v>2042</v>
      </c>
      <c r="N61" s="84">
        <f>'Travel Time'!E202</f>
        <v>8592</v>
      </c>
      <c r="O61" s="13">
        <f>'Travel Time'!F202</f>
        <v>12993</v>
      </c>
      <c r="P61" s="84">
        <f>ROUND((O61*$B$122)+(('Travel Time'!Q202/100000000)*Safety!$B$126),0)</f>
        <v>166</v>
      </c>
      <c r="Q61" s="13">
        <f t="shared" si="17"/>
        <v>334</v>
      </c>
      <c r="R61" s="35">
        <f t="shared" si="18"/>
        <v>242</v>
      </c>
      <c r="S61" s="84">
        <f t="shared" si="19"/>
        <v>120</v>
      </c>
      <c r="T61" s="35">
        <f t="shared" si="20"/>
        <v>29</v>
      </c>
      <c r="U61" s="184">
        <f t="shared" si="21"/>
        <v>12</v>
      </c>
      <c r="V61" s="37">
        <f t="shared" si="22"/>
        <v>4</v>
      </c>
      <c r="W61" s="180">
        <f t="shared" si="23"/>
        <v>1</v>
      </c>
      <c r="X61" s="36">
        <f t="shared" si="6"/>
        <v>18324700</v>
      </c>
      <c r="Y61" s="138"/>
      <c r="Z61" s="95"/>
      <c r="AA61" s="95"/>
    </row>
    <row r="62" spans="1:27" x14ac:dyDescent="0.2">
      <c r="A62" s="83">
        <f t="shared" si="7"/>
        <v>2043</v>
      </c>
      <c r="B62" s="12">
        <f>'Travel Time'!B203</f>
        <v>18681</v>
      </c>
      <c r="C62" s="13">
        <f t="shared" si="8"/>
        <v>194</v>
      </c>
      <c r="D62" s="34">
        <f t="shared" si="9"/>
        <v>390</v>
      </c>
      <c r="E62" s="3">
        <f t="shared" si="10"/>
        <v>282</v>
      </c>
      <c r="F62" s="13">
        <f t="shared" si="11"/>
        <v>141</v>
      </c>
      <c r="G62" s="3">
        <f t="shared" si="12"/>
        <v>34</v>
      </c>
      <c r="H62" s="35">
        <f t="shared" si="13"/>
        <v>14</v>
      </c>
      <c r="I62" s="4">
        <f t="shared" si="14"/>
        <v>5</v>
      </c>
      <c r="J62" s="37">
        <f t="shared" si="15"/>
        <v>1</v>
      </c>
      <c r="K62" s="181">
        <f t="shared" si="16"/>
        <v>19750200</v>
      </c>
      <c r="L62" s="95"/>
      <c r="M62" s="271">
        <f t="shared" si="5"/>
        <v>2043</v>
      </c>
      <c r="N62" s="84">
        <f>'Travel Time'!E203</f>
        <v>8670</v>
      </c>
      <c r="O62" s="13">
        <f>'Travel Time'!F203</f>
        <v>13110</v>
      </c>
      <c r="P62" s="84">
        <f>ROUND((O62*$B$122)+(('Travel Time'!Q203/100000000)*Safety!$B$126),0)</f>
        <v>167</v>
      </c>
      <c r="Q62" s="13">
        <f t="shared" si="17"/>
        <v>336</v>
      </c>
      <c r="R62" s="35">
        <f t="shared" si="18"/>
        <v>243</v>
      </c>
      <c r="S62" s="84">
        <f t="shared" si="19"/>
        <v>121</v>
      </c>
      <c r="T62" s="35">
        <f t="shared" si="20"/>
        <v>29</v>
      </c>
      <c r="U62" s="184">
        <f t="shared" si="21"/>
        <v>12</v>
      </c>
      <c r="V62" s="37">
        <f t="shared" si="22"/>
        <v>4</v>
      </c>
      <c r="W62" s="180">
        <f t="shared" si="23"/>
        <v>1</v>
      </c>
      <c r="X62" s="36">
        <f t="shared" si="6"/>
        <v>18332900</v>
      </c>
      <c r="Y62" s="138"/>
      <c r="Z62" s="95"/>
      <c r="AA62" s="95"/>
    </row>
    <row r="63" spans="1:27" x14ac:dyDescent="0.2">
      <c r="A63" s="83">
        <f t="shared" si="7"/>
        <v>2044</v>
      </c>
      <c r="B63" s="12">
        <f>'Travel Time'!B204</f>
        <v>18850</v>
      </c>
      <c r="C63" s="13">
        <f t="shared" si="8"/>
        <v>196</v>
      </c>
      <c r="D63" s="34">
        <f t="shared" si="9"/>
        <v>394</v>
      </c>
      <c r="E63" s="3">
        <f t="shared" si="10"/>
        <v>285</v>
      </c>
      <c r="F63" s="13">
        <f t="shared" si="11"/>
        <v>142</v>
      </c>
      <c r="G63" s="3">
        <f t="shared" si="12"/>
        <v>34</v>
      </c>
      <c r="H63" s="35">
        <f t="shared" si="13"/>
        <v>14</v>
      </c>
      <c r="I63" s="4">
        <f t="shared" si="14"/>
        <v>5</v>
      </c>
      <c r="J63" s="37">
        <f t="shared" si="15"/>
        <v>1</v>
      </c>
      <c r="K63" s="181">
        <f t="shared" si="16"/>
        <v>19767400</v>
      </c>
      <c r="L63" s="95"/>
      <c r="M63" s="271">
        <f t="shared" si="5"/>
        <v>2044</v>
      </c>
      <c r="N63" s="84">
        <f>'Travel Time'!E204</f>
        <v>8748</v>
      </c>
      <c r="O63" s="13">
        <f>'Travel Time'!F204</f>
        <v>13228</v>
      </c>
      <c r="P63" s="84">
        <f>ROUND((O63*$B$122)+(('Travel Time'!Q204/100000000)*Safety!$B$126),0)</f>
        <v>169</v>
      </c>
      <c r="Q63" s="13">
        <f t="shared" si="17"/>
        <v>340</v>
      </c>
      <c r="R63" s="35">
        <f t="shared" si="18"/>
        <v>246</v>
      </c>
      <c r="S63" s="84">
        <f t="shared" si="19"/>
        <v>122</v>
      </c>
      <c r="T63" s="35">
        <f t="shared" si="20"/>
        <v>30</v>
      </c>
      <c r="U63" s="184">
        <f t="shared" si="21"/>
        <v>12</v>
      </c>
      <c r="V63" s="37">
        <f t="shared" si="22"/>
        <v>4</v>
      </c>
      <c r="W63" s="180">
        <f t="shared" si="23"/>
        <v>1</v>
      </c>
      <c r="X63" s="36">
        <f t="shared" si="6"/>
        <v>18422600</v>
      </c>
      <c r="Y63" s="138"/>
      <c r="Z63" s="95"/>
      <c r="AA63" s="95"/>
    </row>
    <row r="64" spans="1:27" x14ac:dyDescent="0.2">
      <c r="A64" s="83">
        <f t="shared" si="7"/>
        <v>2045</v>
      </c>
      <c r="B64" s="12">
        <f>'Travel Time'!B205</f>
        <v>19019</v>
      </c>
      <c r="C64" s="13">
        <f t="shared" si="8"/>
        <v>198</v>
      </c>
      <c r="D64" s="34">
        <f t="shared" si="9"/>
        <v>398</v>
      </c>
      <c r="E64" s="3">
        <f t="shared" si="10"/>
        <v>288</v>
      </c>
      <c r="F64" s="13">
        <f t="shared" si="11"/>
        <v>143</v>
      </c>
      <c r="G64" s="3">
        <f t="shared" si="12"/>
        <v>35</v>
      </c>
      <c r="H64" s="35">
        <f t="shared" si="13"/>
        <v>14</v>
      </c>
      <c r="I64" s="4">
        <f t="shared" si="14"/>
        <v>5</v>
      </c>
      <c r="J64" s="37">
        <f t="shared" si="15"/>
        <v>1</v>
      </c>
      <c r="K64" s="181">
        <f t="shared" si="16"/>
        <v>19857100</v>
      </c>
      <c r="L64" s="95"/>
      <c r="M64" s="271">
        <f t="shared" si="5"/>
        <v>2045</v>
      </c>
      <c r="N64" s="84">
        <f>'Travel Time'!E205</f>
        <v>8826</v>
      </c>
      <c r="O64" s="13">
        <f>'Travel Time'!F205</f>
        <v>13347</v>
      </c>
      <c r="P64" s="84">
        <f>ROUND((O64*$B$122)+(('Travel Time'!Q205/100000000)*Safety!$B$126),0)</f>
        <v>170</v>
      </c>
      <c r="Q64" s="13">
        <f t="shared" si="17"/>
        <v>342</v>
      </c>
      <c r="R64" s="35">
        <f t="shared" si="18"/>
        <v>248</v>
      </c>
      <c r="S64" s="84">
        <f t="shared" si="19"/>
        <v>123</v>
      </c>
      <c r="T64" s="35">
        <f t="shared" si="20"/>
        <v>30</v>
      </c>
      <c r="U64" s="184">
        <f t="shared" si="21"/>
        <v>12</v>
      </c>
      <c r="V64" s="37">
        <f t="shared" si="22"/>
        <v>4</v>
      </c>
      <c r="W64" s="180">
        <f t="shared" si="23"/>
        <v>1</v>
      </c>
      <c r="X64" s="36">
        <f t="shared" si="6"/>
        <v>18435300</v>
      </c>
      <c r="Y64" s="138"/>
      <c r="Z64" s="95"/>
      <c r="AA64" s="95"/>
    </row>
    <row r="65" spans="1:33" x14ac:dyDescent="0.2">
      <c r="A65" s="83">
        <f t="shared" si="7"/>
        <v>2046</v>
      </c>
      <c r="B65" s="12">
        <f>'Travel Time'!B206</f>
        <v>19190</v>
      </c>
      <c r="C65" s="13">
        <f t="shared" si="8"/>
        <v>200</v>
      </c>
      <c r="D65" s="34">
        <f t="shared" si="9"/>
        <v>402</v>
      </c>
      <c r="E65" s="3">
        <f t="shared" si="10"/>
        <v>291</v>
      </c>
      <c r="F65" s="13">
        <f t="shared" si="11"/>
        <v>145</v>
      </c>
      <c r="G65" s="3">
        <f t="shared" si="12"/>
        <v>35</v>
      </c>
      <c r="H65" s="35">
        <f t="shared" si="13"/>
        <v>14</v>
      </c>
      <c r="I65" s="4">
        <f t="shared" si="14"/>
        <v>5</v>
      </c>
      <c r="J65" s="37">
        <f t="shared" si="15"/>
        <v>1</v>
      </c>
      <c r="K65" s="181">
        <f t="shared" si="16"/>
        <v>19878000</v>
      </c>
      <c r="L65" s="95"/>
      <c r="M65" s="271">
        <f t="shared" si="5"/>
        <v>2046</v>
      </c>
      <c r="N65" s="84">
        <f>'Travel Time'!E206</f>
        <v>8906</v>
      </c>
      <c r="O65" s="13">
        <f>'Travel Time'!F206</f>
        <v>13467</v>
      </c>
      <c r="P65" s="84">
        <f>ROUND((O65*$B$122)+(('Travel Time'!Q206/100000000)*Safety!$B$126),0)</f>
        <v>172</v>
      </c>
      <c r="Q65" s="13">
        <f t="shared" si="17"/>
        <v>346</v>
      </c>
      <c r="R65" s="35">
        <f t="shared" si="18"/>
        <v>250</v>
      </c>
      <c r="S65" s="84">
        <f t="shared" si="19"/>
        <v>125</v>
      </c>
      <c r="T65" s="35">
        <f t="shared" si="20"/>
        <v>30</v>
      </c>
      <c r="U65" s="184">
        <f t="shared" si="21"/>
        <v>12</v>
      </c>
      <c r="V65" s="37">
        <f t="shared" si="22"/>
        <v>4</v>
      </c>
      <c r="W65" s="180">
        <f t="shared" si="23"/>
        <v>1</v>
      </c>
      <c r="X65" s="36">
        <f t="shared" si="6"/>
        <v>18451700</v>
      </c>
      <c r="Y65" s="138"/>
      <c r="Z65" s="95"/>
      <c r="AA65" s="95"/>
    </row>
    <row r="66" spans="1:33" x14ac:dyDescent="0.2">
      <c r="A66" s="83">
        <f t="shared" si="7"/>
        <v>2047</v>
      </c>
      <c r="B66" s="12">
        <f>'Travel Time'!B207</f>
        <v>19363</v>
      </c>
      <c r="C66" s="13">
        <f t="shared" si="8"/>
        <v>201</v>
      </c>
      <c r="D66" s="34">
        <f t="shared" si="9"/>
        <v>404</v>
      </c>
      <c r="E66" s="3">
        <f t="shared" si="10"/>
        <v>293</v>
      </c>
      <c r="F66" s="13">
        <f t="shared" si="11"/>
        <v>146</v>
      </c>
      <c r="G66" s="3">
        <f t="shared" si="12"/>
        <v>35</v>
      </c>
      <c r="H66" s="35">
        <f t="shared" si="13"/>
        <v>14</v>
      </c>
      <c r="I66" s="4">
        <f t="shared" si="14"/>
        <v>5</v>
      </c>
      <c r="J66" s="37">
        <f t="shared" si="15"/>
        <v>1</v>
      </c>
      <c r="K66" s="181">
        <f t="shared" si="16"/>
        <v>19890700</v>
      </c>
      <c r="L66" s="95"/>
      <c r="M66" s="271">
        <f t="shared" si="5"/>
        <v>2047</v>
      </c>
      <c r="N66" s="84">
        <f>'Travel Time'!E207</f>
        <v>8986</v>
      </c>
      <c r="O66" s="13">
        <f>'Travel Time'!F207</f>
        <v>13589</v>
      </c>
      <c r="P66" s="84">
        <f>ROUND((O66*$B$122)+(('Travel Time'!Q207/100000000)*Safety!$B$126),0)</f>
        <v>173</v>
      </c>
      <c r="Q66" s="13">
        <f t="shared" si="17"/>
        <v>348</v>
      </c>
      <c r="R66" s="35">
        <f t="shared" si="18"/>
        <v>252</v>
      </c>
      <c r="S66" s="84">
        <f t="shared" si="19"/>
        <v>125</v>
      </c>
      <c r="T66" s="35">
        <f t="shared" si="20"/>
        <v>30</v>
      </c>
      <c r="U66" s="184">
        <f t="shared" si="21"/>
        <v>12</v>
      </c>
      <c r="V66" s="37">
        <f t="shared" si="22"/>
        <v>4</v>
      </c>
      <c r="W66" s="180">
        <f t="shared" si="23"/>
        <v>1</v>
      </c>
      <c r="X66" s="36">
        <f t="shared" si="6"/>
        <v>18460700</v>
      </c>
      <c r="Y66" s="138"/>
      <c r="Z66" s="95"/>
      <c r="AA66" s="95"/>
    </row>
    <row r="67" spans="1:33" x14ac:dyDescent="0.2">
      <c r="A67" s="83">
        <f t="shared" si="7"/>
        <v>2048</v>
      </c>
      <c r="B67" s="12">
        <f>'Travel Time'!B208</f>
        <v>19537</v>
      </c>
      <c r="C67" s="13">
        <f t="shared" si="8"/>
        <v>203</v>
      </c>
      <c r="D67" s="34">
        <f t="shared" si="9"/>
        <v>408</v>
      </c>
      <c r="E67" s="3">
        <f t="shared" si="10"/>
        <v>296</v>
      </c>
      <c r="F67" s="13">
        <f t="shared" si="11"/>
        <v>147</v>
      </c>
      <c r="G67" s="3">
        <f t="shared" si="12"/>
        <v>36</v>
      </c>
      <c r="H67" s="35">
        <f t="shared" si="13"/>
        <v>14</v>
      </c>
      <c r="I67" s="4">
        <f t="shared" si="14"/>
        <v>5</v>
      </c>
      <c r="J67" s="37">
        <f t="shared" si="15"/>
        <v>1</v>
      </c>
      <c r="K67" s="181">
        <f t="shared" si="16"/>
        <v>19980400</v>
      </c>
      <c r="L67" s="95"/>
      <c r="M67" s="271">
        <f t="shared" si="5"/>
        <v>2048</v>
      </c>
      <c r="N67" s="84">
        <f>'Travel Time'!E208</f>
        <v>9067</v>
      </c>
      <c r="O67" s="13">
        <f>'Travel Time'!F208</f>
        <v>13711</v>
      </c>
      <c r="P67" s="84">
        <f>ROUND((O67*$B$122)+(('Travel Time'!Q208/100000000)*Safety!$B$126),0)</f>
        <v>175</v>
      </c>
      <c r="Q67" s="13">
        <f t="shared" si="17"/>
        <v>352</v>
      </c>
      <c r="R67" s="35">
        <f t="shared" si="18"/>
        <v>255</v>
      </c>
      <c r="S67" s="84">
        <f t="shared" si="19"/>
        <v>127</v>
      </c>
      <c r="T67" s="35">
        <f t="shared" si="20"/>
        <v>31</v>
      </c>
      <c r="U67" s="184">
        <f t="shared" si="21"/>
        <v>12</v>
      </c>
      <c r="V67" s="37">
        <f t="shared" si="22"/>
        <v>4</v>
      </c>
      <c r="W67" s="180">
        <f t="shared" si="23"/>
        <v>1</v>
      </c>
      <c r="X67" s="36">
        <f t="shared" si="6"/>
        <v>18554100</v>
      </c>
      <c r="Y67" s="138"/>
      <c r="Z67" s="95"/>
      <c r="AA67" s="95"/>
    </row>
    <row r="68" spans="1:33" x14ac:dyDescent="0.2">
      <c r="A68" s="83">
        <f t="shared" si="7"/>
        <v>2049</v>
      </c>
      <c r="B68" s="12">
        <f>'Travel Time'!B209</f>
        <v>19713</v>
      </c>
      <c r="C68" s="13">
        <f t="shared" si="8"/>
        <v>205</v>
      </c>
      <c r="D68" s="34">
        <f t="shared" si="9"/>
        <v>412</v>
      </c>
      <c r="E68" s="3">
        <f t="shared" si="10"/>
        <v>299</v>
      </c>
      <c r="F68" s="13">
        <f t="shared" si="11"/>
        <v>149</v>
      </c>
      <c r="G68" s="3">
        <f t="shared" si="12"/>
        <v>36</v>
      </c>
      <c r="H68" s="35">
        <f t="shared" si="13"/>
        <v>15</v>
      </c>
      <c r="I68" s="4">
        <f t="shared" si="14"/>
        <v>5</v>
      </c>
      <c r="J68" s="37">
        <f t="shared" si="15"/>
        <v>1</v>
      </c>
      <c r="K68" s="181">
        <f t="shared" si="16"/>
        <v>20143300</v>
      </c>
      <c r="L68" s="95"/>
      <c r="M68" s="271">
        <f t="shared" si="5"/>
        <v>2049</v>
      </c>
      <c r="N68" s="84">
        <f>'Travel Time'!E209</f>
        <v>9149</v>
      </c>
      <c r="O68" s="13">
        <f>'Travel Time'!F209</f>
        <v>13834</v>
      </c>
      <c r="P68" s="84">
        <f>ROUND((O68*$B$122)+(('Travel Time'!Q209/100000000)*Safety!$B$126),0)</f>
        <v>177</v>
      </c>
      <c r="Q68" s="13">
        <f t="shared" si="17"/>
        <v>356</v>
      </c>
      <c r="R68" s="35">
        <f t="shared" si="18"/>
        <v>258</v>
      </c>
      <c r="S68" s="84">
        <f t="shared" si="19"/>
        <v>128</v>
      </c>
      <c r="T68" s="35">
        <f t="shared" si="20"/>
        <v>31</v>
      </c>
      <c r="U68" s="184">
        <f t="shared" si="21"/>
        <v>13</v>
      </c>
      <c r="V68" s="37">
        <f t="shared" si="22"/>
        <v>4</v>
      </c>
      <c r="W68" s="180">
        <f t="shared" si="23"/>
        <v>1</v>
      </c>
      <c r="X68" s="36">
        <f t="shared" si="6"/>
        <v>18713300</v>
      </c>
      <c r="Y68" s="138"/>
      <c r="Z68" s="95"/>
      <c r="AA68" s="95"/>
    </row>
    <row r="69" spans="1:33" x14ac:dyDescent="0.2">
      <c r="A69" s="83">
        <f t="shared" si="7"/>
        <v>2050</v>
      </c>
      <c r="B69" s="12">
        <f>'Travel Time'!B210</f>
        <v>19891</v>
      </c>
      <c r="C69" s="13">
        <f t="shared" si="8"/>
        <v>207</v>
      </c>
      <c r="D69" s="34">
        <f t="shared" si="9"/>
        <v>416</v>
      </c>
      <c r="E69" s="3">
        <f t="shared" si="10"/>
        <v>301</v>
      </c>
      <c r="F69" s="13">
        <f t="shared" si="11"/>
        <v>150</v>
      </c>
      <c r="G69" s="3">
        <f t="shared" si="12"/>
        <v>36</v>
      </c>
      <c r="H69" s="35">
        <f t="shared" si="13"/>
        <v>15</v>
      </c>
      <c r="I69" s="4">
        <f t="shared" si="14"/>
        <v>5</v>
      </c>
      <c r="J69" s="37">
        <f t="shared" si="15"/>
        <v>1</v>
      </c>
      <c r="K69" s="181">
        <f t="shared" si="16"/>
        <v>20156000</v>
      </c>
      <c r="L69" s="105"/>
      <c r="M69" s="271">
        <f t="shared" si="5"/>
        <v>2050</v>
      </c>
      <c r="N69" s="84">
        <f>'Travel Time'!E210</f>
        <v>9231</v>
      </c>
      <c r="O69" s="13">
        <f>'Travel Time'!F210</f>
        <v>13959</v>
      </c>
      <c r="P69" s="84">
        <f>ROUND((O69*$B$122)+(('Travel Time'!Q210/100000000)*Safety!$B$126),0)</f>
        <v>178</v>
      </c>
      <c r="Q69" s="13">
        <f t="shared" si="17"/>
        <v>358</v>
      </c>
      <c r="R69" s="35">
        <f t="shared" si="18"/>
        <v>259</v>
      </c>
      <c r="S69" s="84">
        <f t="shared" si="19"/>
        <v>129</v>
      </c>
      <c r="T69" s="35">
        <f t="shared" si="20"/>
        <v>31</v>
      </c>
      <c r="U69" s="184">
        <f t="shared" si="21"/>
        <v>13</v>
      </c>
      <c r="V69" s="37">
        <f t="shared" si="22"/>
        <v>4</v>
      </c>
      <c r="W69" s="180">
        <f t="shared" si="23"/>
        <v>1</v>
      </c>
      <c r="X69" s="36">
        <f t="shared" si="6"/>
        <v>18721500</v>
      </c>
      <c r="Y69" s="138"/>
      <c r="Z69" s="95"/>
      <c r="AA69" s="95"/>
    </row>
    <row r="70" spans="1:33" x14ac:dyDescent="0.2">
      <c r="A70" s="83">
        <f t="shared" si="7"/>
        <v>2051</v>
      </c>
      <c r="B70" s="12">
        <f>'Travel Time'!B211</f>
        <v>20070</v>
      </c>
      <c r="C70" s="13">
        <f t="shared" si="8"/>
        <v>209</v>
      </c>
      <c r="D70" s="34">
        <f t="shared" si="9"/>
        <v>420</v>
      </c>
      <c r="E70" s="3">
        <f t="shared" si="10"/>
        <v>304</v>
      </c>
      <c r="F70" s="13">
        <f t="shared" si="11"/>
        <v>151</v>
      </c>
      <c r="G70" s="3">
        <f t="shared" si="12"/>
        <v>37</v>
      </c>
      <c r="H70" s="35">
        <f t="shared" si="13"/>
        <v>15</v>
      </c>
      <c r="I70" s="4">
        <f t="shared" si="14"/>
        <v>5</v>
      </c>
      <c r="J70" s="37">
        <f t="shared" si="15"/>
        <v>1</v>
      </c>
      <c r="K70" s="181">
        <f t="shared" si="16"/>
        <v>20245700</v>
      </c>
      <c r="L70" s="105"/>
      <c r="M70" s="271">
        <f t="shared" si="5"/>
        <v>2051</v>
      </c>
      <c r="N70" s="84">
        <f>'Travel Time'!E211</f>
        <v>9314</v>
      </c>
      <c r="O70" s="13">
        <f>'Travel Time'!F211</f>
        <v>14084</v>
      </c>
      <c r="P70" s="84">
        <f>ROUND((O70*$B$122)+(('Travel Time'!Q211/100000000)*Safety!$B$126),0)</f>
        <v>180</v>
      </c>
      <c r="Q70" s="13">
        <f t="shared" si="17"/>
        <v>362</v>
      </c>
      <c r="R70" s="35">
        <f t="shared" si="18"/>
        <v>262</v>
      </c>
      <c r="S70" s="84">
        <f t="shared" si="19"/>
        <v>130</v>
      </c>
      <c r="T70" s="35">
        <f t="shared" si="20"/>
        <v>31</v>
      </c>
      <c r="U70" s="184">
        <f t="shared" si="21"/>
        <v>13</v>
      </c>
      <c r="V70" s="37">
        <f t="shared" si="22"/>
        <v>4</v>
      </c>
      <c r="W70" s="180">
        <f t="shared" si="23"/>
        <v>1</v>
      </c>
      <c r="X70" s="36">
        <f t="shared" si="6"/>
        <v>18738700</v>
      </c>
      <c r="Y70" s="138"/>
      <c r="Z70" s="95"/>
      <c r="AA70" s="95"/>
    </row>
    <row r="71" spans="1:33" x14ac:dyDescent="0.2">
      <c r="A71" s="83">
        <f t="shared" si="7"/>
        <v>2052</v>
      </c>
      <c r="B71" s="12">
        <f>'Travel Time'!B212</f>
        <v>20250</v>
      </c>
      <c r="C71" s="13">
        <f t="shared" ref="C71:C73" si="24">ROUND(B71*$B$122,0)</f>
        <v>211</v>
      </c>
      <c r="D71" s="34">
        <f t="shared" ref="D71:D73" si="25">ROUND(C71*$B$118,0)</f>
        <v>424</v>
      </c>
      <c r="E71" s="3">
        <f t="shared" si="10"/>
        <v>307</v>
      </c>
      <c r="F71" s="13">
        <f t="shared" si="11"/>
        <v>153</v>
      </c>
      <c r="G71" s="3">
        <f t="shared" si="12"/>
        <v>37</v>
      </c>
      <c r="H71" s="35">
        <f t="shared" si="13"/>
        <v>15</v>
      </c>
      <c r="I71" s="4">
        <f t="shared" si="14"/>
        <v>5</v>
      </c>
      <c r="J71" s="37">
        <f t="shared" si="15"/>
        <v>1</v>
      </c>
      <c r="K71" s="181">
        <f>ROUND((E71*$B$97)+(F71*$B$102)+(G71*$B$103)+(H71*$B$104)+(I71*$B$105)+(J71*$B$106),0)</f>
        <v>20266600</v>
      </c>
      <c r="L71" s="105"/>
      <c r="M71" s="271">
        <f t="shared" si="5"/>
        <v>2052</v>
      </c>
      <c r="N71" s="84">
        <f>'Travel Time'!E212</f>
        <v>9398</v>
      </c>
      <c r="O71" s="13">
        <f>'Travel Time'!F212</f>
        <v>14211</v>
      </c>
      <c r="P71" s="84">
        <f>ROUND((O71*$B$122)+(('Travel Time'!Q212/100000000)*Safety!$B$126),0)</f>
        <v>181</v>
      </c>
      <c r="Q71" s="13">
        <f t="shared" ref="Q71:Q73" si="26">ROUND(P71*$B$118,0)</f>
        <v>364</v>
      </c>
      <c r="R71" s="35">
        <f t="shared" si="18"/>
        <v>264</v>
      </c>
      <c r="S71" s="84">
        <f t="shared" si="19"/>
        <v>131</v>
      </c>
      <c r="T71" s="35">
        <f t="shared" si="20"/>
        <v>32</v>
      </c>
      <c r="U71" s="184">
        <f t="shared" si="21"/>
        <v>13</v>
      </c>
      <c r="V71" s="37">
        <f t="shared" si="22"/>
        <v>4</v>
      </c>
      <c r="W71" s="180">
        <f t="shared" si="23"/>
        <v>1</v>
      </c>
      <c r="X71" s="36">
        <f t="shared" ref="X71:X73" si="27">ROUND((R71*$B$97)+(S71*$B$102)+(T71*$B$103)+(U71*$B$104)+(V71*$B$105)+(W71*$B$106),0)</f>
        <v>18823900</v>
      </c>
      <c r="Y71" s="138"/>
      <c r="Z71" s="95"/>
      <c r="AA71" s="95"/>
    </row>
    <row r="72" spans="1:33" x14ac:dyDescent="0.2">
      <c r="A72" s="83">
        <f t="shared" si="7"/>
        <v>2053</v>
      </c>
      <c r="B72" s="12">
        <f>'Travel Time'!B213</f>
        <v>20433</v>
      </c>
      <c r="C72" s="13">
        <f t="shared" si="24"/>
        <v>213</v>
      </c>
      <c r="D72" s="34">
        <f t="shared" si="25"/>
        <v>428</v>
      </c>
      <c r="E72" s="3">
        <f t="shared" si="10"/>
        <v>310</v>
      </c>
      <c r="F72" s="13">
        <f t="shared" si="11"/>
        <v>154</v>
      </c>
      <c r="G72" s="3">
        <f t="shared" si="12"/>
        <v>37</v>
      </c>
      <c r="H72" s="35">
        <f t="shared" si="13"/>
        <v>15</v>
      </c>
      <c r="I72" s="4">
        <f t="shared" si="14"/>
        <v>5</v>
      </c>
      <c r="J72" s="37">
        <f t="shared" si="15"/>
        <v>1</v>
      </c>
      <c r="K72" s="181">
        <f t="shared" ref="K72:K73" si="28">ROUND((E72*$B$97)+(F72*$B$102)+(G72*$B$103)+(H72*$B$104)+(I72*$B$105)+(J72*$B$106),0)</f>
        <v>20283800</v>
      </c>
      <c r="L72" s="105"/>
      <c r="M72" s="271">
        <f t="shared" si="5"/>
        <v>2053</v>
      </c>
      <c r="N72" s="84">
        <f>'Travel Time'!E213</f>
        <v>9482</v>
      </c>
      <c r="O72" s="13">
        <f>'Travel Time'!F213</f>
        <v>14339</v>
      </c>
      <c r="P72" s="84">
        <f>ROUND((O72*$B$122)+(('Travel Time'!Q213/100000000)*Safety!$B$126),0)</f>
        <v>183</v>
      </c>
      <c r="Q72" s="13">
        <f t="shared" si="26"/>
        <v>368</v>
      </c>
      <c r="R72" s="35">
        <f t="shared" si="18"/>
        <v>266</v>
      </c>
      <c r="S72" s="84">
        <f t="shared" si="19"/>
        <v>133</v>
      </c>
      <c r="T72" s="35">
        <f t="shared" si="20"/>
        <v>32</v>
      </c>
      <c r="U72" s="184">
        <f t="shared" si="21"/>
        <v>13</v>
      </c>
      <c r="V72" s="37">
        <f t="shared" si="22"/>
        <v>5</v>
      </c>
      <c r="W72" s="180">
        <f t="shared" si="23"/>
        <v>1</v>
      </c>
      <c r="X72" s="36">
        <f t="shared" si="27"/>
        <v>19361600</v>
      </c>
      <c r="Y72" s="138"/>
      <c r="Z72" s="95"/>
      <c r="AA72" s="95"/>
    </row>
    <row r="73" spans="1:33" x14ac:dyDescent="0.2">
      <c r="A73" s="83">
        <f t="shared" si="7"/>
        <v>2054</v>
      </c>
      <c r="B73" s="12">
        <f>'Travel Time'!B214</f>
        <v>20616</v>
      </c>
      <c r="C73" s="13">
        <f t="shared" si="24"/>
        <v>214</v>
      </c>
      <c r="D73" s="34">
        <f t="shared" si="25"/>
        <v>430</v>
      </c>
      <c r="E73" s="3">
        <f t="shared" si="10"/>
        <v>312</v>
      </c>
      <c r="F73" s="13">
        <f t="shared" si="11"/>
        <v>155</v>
      </c>
      <c r="G73" s="3">
        <f t="shared" si="12"/>
        <v>37</v>
      </c>
      <c r="H73" s="35">
        <f t="shared" si="13"/>
        <v>15</v>
      </c>
      <c r="I73" s="4">
        <f t="shared" si="14"/>
        <v>5</v>
      </c>
      <c r="J73" s="37">
        <f t="shared" si="15"/>
        <v>1</v>
      </c>
      <c r="K73" s="181">
        <f t="shared" si="28"/>
        <v>20296500</v>
      </c>
      <c r="L73" s="105"/>
      <c r="M73" s="271">
        <f t="shared" si="5"/>
        <v>2054</v>
      </c>
      <c r="N73" s="84">
        <f>'Travel Time'!E214</f>
        <v>9568</v>
      </c>
      <c r="O73" s="13">
        <f>'Travel Time'!F214</f>
        <v>14468</v>
      </c>
      <c r="P73" s="84">
        <f>ROUND((O73*$B$122)+(('Travel Time'!Q214/100000000)*Safety!$B$126),0)</f>
        <v>185</v>
      </c>
      <c r="Q73" s="13">
        <f t="shared" si="26"/>
        <v>372</v>
      </c>
      <c r="R73" s="35">
        <f t="shared" si="18"/>
        <v>269</v>
      </c>
      <c r="S73" s="84">
        <f t="shared" si="19"/>
        <v>134</v>
      </c>
      <c r="T73" s="35">
        <f t="shared" si="20"/>
        <v>32</v>
      </c>
      <c r="U73" s="184">
        <f t="shared" si="21"/>
        <v>13</v>
      </c>
      <c r="V73" s="37">
        <f t="shared" si="22"/>
        <v>5</v>
      </c>
      <c r="W73" s="180">
        <f t="shared" si="23"/>
        <v>1</v>
      </c>
      <c r="X73" s="36">
        <f t="shared" si="27"/>
        <v>19378800</v>
      </c>
      <c r="Y73" s="138"/>
      <c r="Z73" s="95"/>
      <c r="AA73" s="95"/>
    </row>
    <row r="74" spans="1:33" x14ac:dyDescent="0.2">
      <c r="A74" s="83">
        <f t="shared" si="7"/>
        <v>2055</v>
      </c>
      <c r="B74" s="12">
        <f>'Travel Time'!B215</f>
        <v>20802</v>
      </c>
      <c r="C74" s="13">
        <f>ROUND(B74*$B$122,0)</f>
        <v>216</v>
      </c>
      <c r="D74" s="34">
        <f>ROUND(C74*$B$118,0)</f>
        <v>434</v>
      </c>
      <c r="E74" s="3">
        <f t="shared" si="10"/>
        <v>315</v>
      </c>
      <c r="F74" s="13">
        <f t="shared" si="11"/>
        <v>156</v>
      </c>
      <c r="G74" s="3">
        <f t="shared" si="12"/>
        <v>38</v>
      </c>
      <c r="H74" s="35">
        <f t="shared" si="13"/>
        <v>15</v>
      </c>
      <c r="I74" s="4">
        <f t="shared" si="14"/>
        <v>5</v>
      </c>
      <c r="J74" s="37">
        <f t="shared" si="15"/>
        <v>1</v>
      </c>
      <c r="K74" s="181">
        <f>ROUND((E74*$B$97)+(F74*$B$102)+(G74*$B$103)+(H74*$B$104)+(I74*$B$105)+(J74*$B$106),0)</f>
        <v>20386200</v>
      </c>
      <c r="L74" s="95"/>
      <c r="M74" s="271">
        <f t="shared" si="5"/>
        <v>2055</v>
      </c>
      <c r="N74" s="84">
        <f>'Travel Time'!E215</f>
        <v>9653.8366336633662</v>
      </c>
      <c r="O74" s="13">
        <f>'Travel Time'!F215</f>
        <v>14598.317241379311</v>
      </c>
      <c r="P74" s="84">
        <f>ROUND((O74*$B$122)+(('Travel Time'!Q215/100000000)*Safety!$B$126),0)</f>
        <v>186</v>
      </c>
      <c r="Q74" s="13">
        <f>ROUND(P74*$B$118,0)</f>
        <v>374</v>
      </c>
      <c r="R74" s="35">
        <f t="shared" si="18"/>
        <v>271</v>
      </c>
      <c r="S74" s="84">
        <f t="shared" si="19"/>
        <v>135</v>
      </c>
      <c r="T74" s="35">
        <f t="shared" si="20"/>
        <v>33</v>
      </c>
      <c r="U74" s="184">
        <f t="shared" si="21"/>
        <v>13</v>
      </c>
      <c r="V74" s="37">
        <f t="shared" si="22"/>
        <v>5</v>
      </c>
      <c r="W74" s="180">
        <f t="shared" si="23"/>
        <v>1</v>
      </c>
      <c r="X74" s="36">
        <f>ROUND((R74*$B$97)+(S74*$B$102)+(T74*$B$103)+(U74*$B$104)+(V74*$B$105)+(W74*$B$106),0)</f>
        <v>19464000</v>
      </c>
      <c r="Y74" s="138"/>
      <c r="Z74" s="95"/>
      <c r="AA74" s="95"/>
    </row>
    <row r="75" spans="1:33" ht="13.5" thickBot="1" x14ac:dyDescent="0.25">
      <c r="A75" s="268">
        <f t="shared" si="7"/>
        <v>2056</v>
      </c>
      <c r="B75" s="12">
        <f>'Travel Time'!B216</f>
        <v>20989</v>
      </c>
      <c r="C75" s="55">
        <f>ROUND(B75*$B$122,0)</f>
        <v>218</v>
      </c>
      <c r="D75" s="54">
        <f>ROUND(C75*$B$118,0)</f>
        <v>438</v>
      </c>
      <c r="E75" s="56">
        <f t="shared" si="10"/>
        <v>317</v>
      </c>
      <c r="F75" s="13">
        <f t="shared" si="11"/>
        <v>158</v>
      </c>
      <c r="G75" s="3">
        <f t="shared" si="12"/>
        <v>38</v>
      </c>
      <c r="H75" s="35">
        <f t="shared" si="13"/>
        <v>16</v>
      </c>
      <c r="I75" s="4">
        <f t="shared" si="14"/>
        <v>5</v>
      </c>
      <c r="J75" s="37">
        <f t="shared" si="15"/>
        <v>1</v>
      </c>
      <c r="K75" s="182">
        <f>ROUND((E75*$B$97)+(F75*$B$102)+(G75*$B$103)+(H75*$B$104)+(I75*$B$105)+(J75*$B$106),0)</f>
        <v>20544600</v>
      </c>
      <c r="L75" s="95"/>
      <c r="M75" s="272">
        <f t="shared" si="5"/>
        <v>2056</v>
      </c>
      <c r="N75" s="84">
        <f>'Travel Time'!E216</f>
        <v>9741</v>
      </c>
      <c r="O75" s="13">
        <f>'Travel Time'!F216</f>
        <v>14730</v>
      </c>
      <c r="P75" s="84">
        <f>ROUND((O75*$B$122)+(('Travel Time'!Q216/100000000)*Safety!$B$126),0)</f>
        <v>188</v>
      </c>
      <c r="Q75" s="55">
        <f>ROUND(P75*$B$118,0)</f>
        <v>378</v>
      </c>
      <c r="R75" s="57">
        <f t="shared" si="18"/>
        <v>274</v>
      </c>
      <c r="S75" s="84">
        <f t="shared" si="19"/>
        <v>136</v>
      </c>
      <c r="T75" s="35">
        <f t="shared" si="20"/>
        <v>33</v>
      </c>
      <c r="U75" s="184">
        <f t="shared" si="21"/>
        <v>13</v>
      </c>
      <c r="V75" s="37">
        <f t="shared" si="22"/>
        <v>5</v>
      </c>
      <c r="W75" s="180">
        <f t="shared" si="23"/>
        <v>1</v>
      </c>
      <c r="X75" s="58">
        <f>ROUND((R75*$B$97)+(S75*$B$102)+(T75*$B$103)+(U75*$B$104)+(V75*$B$105)+(W75*$B$106),0)</f>
        <v>19481200</v>
      </c>
      <c r="Y75" s="138"/>
      <c r="Z75" s="95"/>
      <c r="AA75" s="95"/>
    </row>
    <row r="76" spans="1:33" ht="13.5" thickTop="1" x14ac:dyDescent="0.2">
      <c r="A76" s="421" t="s">
        <v>0</v>
      </c>
      <c r="B76" s="422"/>
      <c r="C76" s="422"/>
      <c r="D76" s="422"/>
      <c r="E76" s="422"/>
      <c r="F76" s="422"/>
      <c r="G76" s="422"/>
      <c r="H76" s="422"/>
      <c r="I76" s="422"/>
      <c r="J76" s="423"/>
      <c r="K76" s="183">
        <f>SUM(K46:K75)</f>
        <v>580662300</v>
      </c>
      <c r="L76" s="102"/>
      <c r="M76" s="421" t="s">
        <v>0</v>
      </c>
      <c r="N76" s="422"/>
      <c r="O76" s="422"/>
      <c r="P76" s="422"/>
      <c r="Q76" s="422"/>
      <c r="R76" s="422"/>
      <c r="S76" s="422"/>
      <c r="T76" s="422"/>
      <c r="U76" s="422"/>
      <c r="V76" s="422"/>
      <c r="W76" s="423"/>
      <c r="X76" s="185">
        <f>SUM(X46:X75)</f>
        <v>544674900</v>
      </c>
      <c r="Y76" s="138"/>
      <c r="Z76" s="95"/>
      <c r="AA76" s="95"/>
    </row>
    <row r="77" spans="1:33" x14ac:dyDescent="0.2">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D77" s="138"/>
    </row>
    <row r="78" spans="1:33" x14ac:dyDescent="0.2">
      <c r="A78" s="387" t="s">
        <v>54</v>
      </c>
      <c r="B78" s="388"/>
      <c r="C78" s="388"/>
      <c r="D78" s="388"/>
      <c r="E78" s="388"/>
      <c r="F78" s="388"/>
      <c r="G78" s="388"/>
      <c r="H78" s="388"/>
      <c r="I78" s="389"/>
      <c r="J78" s="95"/>
      <c r="K78" s="107"/>
      <c r="L78" s="116"/>
      <c r="M78" s="116"/>
      <c r="N78" s="117"/>
      <c r="O78" s="117"/>
      <c r="P78" s="117"/>
      <c r="Q78" s="117"/>
      <c r="R78" s="117"/>
      <c r="S78" s="117"/>
      <c r="T78" s="117"/>
      <c r="U78" s="118"/>
      <c r="V78" s="107"/>
      <c r="W78" s="95"/>
      <c r="X78" s="95"/>
      <c r="Y78" s="119"/>
      <c r="Z78" s="119"/>
      <c r="AA78" s="119"/>
      <c r="AB78" s="119"/>
      <c r="AC78" s="107"/>
      <c r="AD78" s="107"/>
      <c r="AE78" s="107"/>
      <c r="AF78" s="107"/>
      <c r="AG78" s="107"/>
    </row>
    <row r="79" spans="1:33" x14ac:dyDescent="0.2">
      <c r="A79" s="387" t="s">
        <v>15</v>
      </c>
      <c r="B79" s="388"/>
      <c r="C79" s="388"/>
      <c r="D79" s="388"/>
      <c r="E79" s="388"/>
      <c r="F79" s="388"/>
      <c r="G79" s="388"/>
      <c r="H79" s="388"/>
      <c r="I79" s="389"/>
      <c r="J79" s="95"/>
      <c r="K79" s="107"/>
      <c r="L79" s="120"/>
      <c r="M79" s="120"/>
      <c r="N79" s="121"/>
      <c r="O79" s="122"/>
      <c r="P79" s="123"/>
      <c r="Q79" s="123"/>
      <c r="R79" s="123"/>
      <c r="S79" s="123"/>
      <c r="T79" s="124"/>
      <c r="U79" s="125"/>
      <c r="V79" s="126"/>
      <c r="W79" s="95"/>
      <c r="X79" s="95"/>
      <c r="Y79" s="126"/>
      <c r="Z79" s="126"/>
      <c r="AA79" s="126"/>
      <c r="AB79" s="126"/>
      <c r="AC79" s="126"/>
      <c r="AD79" s="126"/>
      <c r="AE79" s="126"/>
      <c r="AF79" s="126"/>
      <c r="AG79" s="126"/>
    </row>
    <row r="80" spans="1:33" x14ac:dyDescent="0.2">
      <c r="A80" s="370"/>
      <c r="B80" s="370"/>
      <c r="C80" s="20">
        <v>2014</v>
      </c>
      <c r="D80" s="21">
        <v>2015</v>
      </c>
      <c r="E80" s="21">
        <v>2016</v>
      </c>
      <c r="F80" s="21">
        <v>2017</v>
      </c>
      <c r="G80" s="21">
        <v>2018</v>
      </c>
      <c r="H80" s="398" t="s">
        <v>30</v>
      </c>
      <c r="I80" s="398"/>
      <c r="J80" s="95"/>
      <c r="K80" s="107"/>
      <c r="L80" s="127"/>
      <c r="M80" s="127"/>
      <c r="N80" s="121"/>
      <c r="O80" s="128"/>
      <c r="P80" s="128"/>
      <c r="Q80" s="128"/>
      <c r="R80" s="128"/>
      <c r="S80" s="123"/>
      <c r="T80" s="124"/>
      <c r="U80" s="129"/>
      <c r="V80" s="130"/>
      <c r="W80" s="95"/>
      <c r="X80" s="95"/>
      <c r="Y80" s="114"/>
      <c r="Z80" s="114"/>
      <c r="AA80" s="141"/>
      <c r="AB80" s="104"/>
      <c r="AC80" s="104"/>
      <c r="AD80" s="104"/>
      <c r="AE80" s="104"/>
      <c r="AF80" s="130"/>
      <c r="AG80" s="130"/>
    </row>
    <row r="81" spans="1:260" x14ac:dyDescent="0.2">
      <c r="A81" s="409" t="s">
        <v>8</v>
      </c>
      <c r="B81" s="85" t="s">
        <v>13</v>
      </c>
      <c r="C81" s="14">
        <v>0</v>
      </c>
      <c r="D81" s="30">
        <v>1</v>
      </c>
      <c r="E81" s="14">
        <v>0</v>
      </c>
      <c r="F81" s="30">
        <v>1</v>
      </c>
      <c r="G81" s="14">
        <v>1</v>
      </c>
      <c r="H81" s="30">
        <f>SUM(C81:G81)</f>
        <v>3</v>
      </c>
      <c r="I81" s="15">
        <f>H81/$H$91</f>
        <v>4.6439628482972135E-3</v>
      </c>
      <c r="J81" s="95"/>
      <c r="K81" s="107"/>
      <c r="L81" s="127"/>
      <c r="M81" s="127"/>
      <c r="N81" s="121"/>
      <c r="O81" s="128"/>
      <c r="P81" s="128"/>
      <c r="Q81" s="128"/>
      <c r="R81" s="128"/>
      <c r="S81" s="123"/>
      <c r="T81" s="124"/>
      <c r="U81" s="129"/>
      <c r="V81" s="131"/>
      <c r="W81" s="95"/>
      <c r="X81" s="95"/>
      <c r="Y81" s="105"/>
      <c r="Z81" s="107"/>
      <c r="AA81" s="103"/>
      <c r="AB81" s="103"/>
      <c r="AC81" s="103"/>
      <c r="AD81" s="103"/>
      <c r="AE81" s="103"/>
      <c r="AF81" s="134"/>
      <c r="AG81" s="131"/>
    </row>
    <row r="82" spans="1:260" x14ac:dyDescent="0.2">
      <c r="A82" s="409"/>
      <c r="B82" s="86" t="s">
        <v>14</v>
      </c>
      <c r="C82" s="16"/>
      <c r="D82" s="31"/>
      <c r="E82" s="16"/>
      <c r="F82" s="31"/>
      <c r="G82" s="16"/>
      <c r="H82" s="31"/>
      <c r="I82" s="17"/>
      <c r="J82" s="95"/>
      <c r="K82" s="107"/>
      <c r="L82" s="127"/>
      <c r="M82" s="127"/>
      <c r="N82" s="121"/>
      <c r="O82" s="128"/>
      <c r="P82" s="128"/>
      <c r="Q82" s="128"/>
      <c r="R82" s="128"/>
      <c r="S82" s="123"/>
      <c r="T82" s="124"/>
      <c r="U82" s="129"/>
      <c r="V82" s="131"/>
      <c r="W82" s="95"/>
      <c r="X82" s="95"/>
      <c r="Y82" s="105"/>
      <c r="Z82" s="107"/>
      <c r="AA82" s="103"/>
      <c r="AB82" s="103"/>
      <c r="AC82" s="103"/>
      <c r="AD82" s="103"/>
      <c r="AE82" s="103"/>
      <c r="AF82" s="134"/>
      <c r="AG82" s="131"/>
    </row>
    <row r="83" spans="1:260" x14ac:dyDescent="0.2">
      <c r="A83" s="409" t="s">
        <v>74</v>
      </c>
      <c r="B83" s="85" t="s">
        <v>13</v>
      </c>
      <c r="C83" s="14">
        <v>5</v>
      </c>
      <c r="D83" s="30">
        <v>1</v>
      </c>
      <c r="E83" s="14">
        <v>6</v>
      </c>
      <c r="F83" s="30">
        <v>2</v>
      </c>
      <c r="G83" s="14">
        <v>2</v>
      </c>
      <c r="H83" s="30">
        <f>SUM(C83:G83)</f>
        <v>16</v>
      </c>
      <c r="I83" s="15">
        <f>H83/$H$91</f>
        <v>2.4767801857585141E-2</v>
      </c>
      <c r="J83" s="95"/>
      <c r="K83" s="107"/>
      <c r="L83" s="127"/>
      <c r="M83" s="127"/>
      <c r="N83" s="127"/>
      <c r="O83" s="132"/>
      <c r="P83" s="128"/>
      <c r="Q83" s="128"/>
      <c r="R83" s="128"/>
      <c r="S83" s="128"/>
      <c r="T83" s="133"/>
      <c r="U83" s="129"/>
      <c r="V83" s="131"/>
      <c r="W83" s="95"/>
      <c r="X83" s="95"/>
      <c r="Y83" s="105"/>
      <c r="Z83" s="107"/>
      <c r="AA83" s="103"/>
      <c r="AB83" s="103"/>
      <c r="AC83" s="103"/>
      <c r="AD83" s="103"/>
      <c r="AE83" s="103"/>
      <c r="AF83" s="134"/>
      <c r="AG83" s="131"/>
    </row>
    <row r="84" spans="1:260" x14ac:dyDescent="0.2">
      <c r="A84" s="409"/>
      <c r="B84" s="86" t="s">
        <v>14</v>
      </c>
      <c r="C84" s="16"/>
      <c r="D84" s="31"/>
      <c r="E84" s="16"/>
      <c r="F84" s="31"/>
      <c r="G84" s="16"/>
      <c r="H84" s="31"/>
      <c r="I84" s="17"/>
      <c r="J84" s="95"/>
      <c r="K84" s="107"/>
      <c r="L84" s="105"/>
      <c r="M84" s="105"/>
      <c r="N84" s="107"/>
      <c r="O84" s="103"/>
      <c r="P84" s="107"/>
      <c r="Q84" s="107"/>
      <c r="R84" s="107"/>
      <c r="S84" s="107"/>
      <c r="T84" s="107"/>
      <c r="U84" s="134"/>
      <c r="V84" s="131"/>
      <c r="W84" s="95"/>
      <c r="X84" s="95"/>
      <c r="Y84" s="105"/>
      <c r="Z84" s="107"/>
      <c r="AA84" s="103"/>
      <c r="AB84" s="103"/>
      <c r="AC84" s="103"/>
      <c r="AD84" s="103"/>
      <c r="AE84" s="103"/>
      <c r="AF84" s="134"/>
      <c r="AG84" s="131"/>
    </row>
    <row r="85" spans="1:260" x14ac:dyDescent="0.2">
      <c r="A85" s="409" t="s">
        <v>10</v>
      </c>
      <c r="B85" s="85" t="s">
        <v>13</v>
      </c>
      <c r="C85" s="14">
        <v>13</v>
      </c>
      <c r="D85" s="30">
        <v>9</v>
      </c>
      <c r="E85" s="14">
        <v>13</v>
      </c>
      <c r="F85" s="30">
        <v>7</v>
      </c>
      <c r="G85" s="14">
        <v>4</v>
      </c>
      <c r="H85" s="30">
        <f>SUM(C85:G85)</f>
        <v>46</v>
      </c>
      <c r="I85" s="15">
        <f>H85/$H$91</f>
        <v>7.1207430340557279E-2</v>
      </c>
      <c r="J85" s="135"/>
      <c r="K85" s="130"/>
      <c r="L85" s="130"/>
      <c r="M85" s="130"/>
      <c r="N85" s="130"/>
      <c r="O85" s="130"/>
      <c r="P85" s="130"/>
      <c r="Q85" s="130"/>
      <c r="R85" s="130"/>
      <c r="S85" s="130"/>
      <c r="T85" s="130"/>
      <c r="U85" s="130"/>
      <c r="V85" s="131"/>
      <c r="W85" s="95"/>
      <c r="X85" s="95"/>
      <c r="Y85" s="105"/>
      <c r="Z85" s="107"/>
      <c r="AA85" s="103"/>
      <c r="AB85" s="103"/>
      <c r="AC85" s="103"/>
      <c r="AD85" s="103"/>
      <c r="AE85" s="103"/>
      <c r="AF85" s="134"/>
      <c r="AG85" s="131"/>
    </row>
    <row r="86" spans="1:260" x14ac:dyDescent="0.2">
      <c r="A86" s="409"/>
      <c r="B86" s="86" t="s">
        <v>14</v>
      </c>
      <c r="C86" s="16"/>
      <c r="D86" s="31"/>
      <c r="E86" s="16"/>
      <c r="F86" s="31"/>
      <c r="G86" s="16"/>
      <c r="H86" s="31"/>
      <c r="I86" s="17"/>
      <c r="J86" s="135"/>
      <c r="K86" s="136"/>
      <c r="L86" s="136"/>
      <c r="M86" s="136"/>
      <c r="N86" s="136"/>
      <c r="O86" s="136"/>
      <c r="P86" s="136"/>
      <c r="Q86" s="136"/>
      <c r="R86" s="136"/>
      <c r="S86" s="136"/>
      <c r="T86" s="136"/>
      <c r="U86" s="136"/>
      <c r="V86" s="131"/>
      <c r="W86" s="95"/>
      <c r="X86" s="95"/>
      <c r="Y86" s="105"/>
      <c r="Z86" s="107"/>
      <c r="AA86" s="103"/>
      <c r="AB86" s="103"/>
      <c r="AC86" s="103"/>
      <c r="AD86" s="103"/>
      <c r="AE86" s="103"/>
      <c r="AF86" s="134"/>
      <c r="AG86" s="131"/>
    </row>
    <row r="87" spans="1:260" x14ac:dyDescent="0.2">
      <c r="A87" s="409" t="s">
        <v>11</v>
      </c>
      <c r="B87" s="85" t="s">
        <v>13</v>
      </c>
      <c r="C87" s="14">
        <v>30</v>
      </c>
      <c r="D87" s="30">
        <v>15</v>
      </c>
      <c r="E87" s="14">
        <v>30</v>
      </c>
      <c r="F87" s="30">
        <v>22</v>
      </c>
      <c r="G87" s="14">
        <v>16</v>
      </c>
      <c r="H87" s="30">
        <f>SUM(C87:G87)</f>
        <v>113</v>
      </c>
      <c r="I87" s="15">
        <f>H87/$H$91</f>
        <v>0.17492260061919504</v>
      </c>
      <c r="J87" s="135"/>
      <c r="K87" s="136"/>
      <c r="L87" s="136"/>
      <c r="M87" s="136"/>
      <c r="N87" s="136"/>
      <c r="O87" s="136"/>
      <c r="P87" s="136"/>
      <c r="Q87" s="136"/>
      <c r="R87" s="136"/>
      <c r="S87" s="136"/>
      <c r="T87" s="136"/>
      <c r="U87" s="136"/>
      <c r="V87" s="131"/>
      <c r="W87" s="95"/>
      <c r="X87" s="95"/>
      <c r="Y87" s="105"/>
      <c r="Z87" s="107"/>
      <c r="AA87" s="103"/>
      <c r="AB87" s="103"/>
      <c r="AC87" s="103"/>
      <c r="AD87" s="103"/>
      <c r="AE87" s="103"/>
      <c r="AF87" s="134"/>
      <c r="AG87" s="131"/>
    </row>
    <row r="88" spans="1:260" x14ac:dyDescent="0.2">
      <c r="A88" s="409"/>
      <c r="B88" s="86" t="s">
        <v>14</v>
      </c>
      <c r="C88" s="16"/>
      <c r="D88" s="31"/>
      <c r="E88" s="16"/>
      <c r="F88" s="31"/>
      <c r="G88" s="16"/>
      <c r="H88" s="31"/>
      <c r="I88" s="17"/>
      <c r="J88" s="135"/>
      <c r="K88" s="136"/>
      <c r="L88" s="136"/>
      <c r="M88" s="136"/>
      <c r="N88" s="136"/>
      <c r="O88" s="136"/>
      <c r="P88" s="136"/>
      <c r="Q88" s="136"/>
      <c r="R88" s="136"/>
      <c r="S88" s="136"/>
      <c r="T88" s="136"/>
      <c r="U88" s="136"/>
      <c r="V88" s="131"/>
      <c r="W88" s="95"/>
      <c r="X88" s="95"/>
      <c r="Y88" s="105"/>
      <c r="Z88" s="107"/>
      <c r="AA88" s="103"/>
      <c r="AB88" s="103"/>
      <c r="AC88" s="103"/>
      <c r="AD88" s="103"/>
      <c r="AE88" s="103"/>
      <c r="AF88" s="134"/>
      <c r="AG88" s="131"/>
    </row>
    <row r="89" spans="1:260" x14ac:dyDescent="0.2">
      <c r="A89" s="409" t="s">
        <v>12</v>
      </c>
      <c r="B89" s="85" t="s">
        <v>13</v>
      </c>
      <c r="C89" s="14">
        <v>93</v>
      </c>
      <c r="D89" s="30">
        <v>108</v>
      </c>
      <c r="E89" s="14">
        <v>87</v>
      </c>
      <c r="F89" s="30">
        <v>89</v>
      </c>
      <c r="G89" s="14">
        <v>91</v>
      </c>
      <c r="H89" s="30">
        <f>SUM(C89:G89)</f>
        <v>468</v>
      </c>
      <c r="I89" s="15">
        <f>H89/$H$91</f>
        <v>0.72445820433436536</v>
      </c>
      <c r="J89" s="95"/>
      <c r="K89" s="107"/>
      <c r="L89" s="105"/>
      <c r="M89" s="105"/>
      <c r="N89" s="107"/>
      <c r="O89" s="103"/>
      <c r="P89" s="103"/>
      <c r="Q89" s="103"/>
      <c r="R89" s="103"/>
      <c r="S89" s="103"/>
      <c r="T89" s="103"/>
      <c r="U89" s="134"/>
      <c r="V89" s="131"/>
      <c r="W89" s="95"/>
      <c r="X89" s="95"/>
      <c r="Y89" s="105"/>
      <c r="Z89" s="107"/>
      <c r="AA89" s="103"/>
      <c r="AB89" s="103"/>
      <c r="AC89" s="103"/>
      <c r="AD89" s="103"/>
      <c r="AE89" s="103"/>
      <c r="AF89" s="134"/>
      <c r="AG89" s="131"/>
    </row>
    <row r="90" spans="1:260" x14ac:dyDescent="0.2">
      <c r="A90" s="409"/>
      <c r="B90" s="86" t="s">
        <v>14</v>
      </c>
      <c r="C90" s="16"/>
      <c r="D90" s="31"/>
      <c r="E90" s="16"/>
      <c r="F90" s="31"/>
      <c r="G90" s="16"/>
      <c r="H90" s="31"/>
      <c r="I90" s="17"/>
      <c r="J90" s="137"/>
      <c r="K90" s="107"/>
      <c r="L90" s="105"/>
      <c r="M90" s="105"/>
      <c r="N90" s="107"/>
      <c r="O90" s="103"/>
      <c r="P90" s="103"/>
      <c r="Q90" s="103"/>
      <c r="R90" s="103"/>
      <c r="S90" s="103"/>
      <c r="T90" s="103"/>
      <c r="U90" s="134"/>
      <c r="V90" s="131"/>
      <c r="W90" s="95"/>
      <c r="X90" s="95"/>
      <c r="Y90" s="105"/>
      <c r="Z90" s="107"/>
      <c r="AA90" s="103"/>
      <c r="AB90" s="103"/>
      <c r="AC90" s="103"/>
      <c r="AD90" s="103"/>
      <c r="AE90" s="103"/>
      <c r="AF90" s="134"/>
      <c r="AG90" s="131"/>
    </row>
    <row r="91" spans="1:260" x14ac:dyDescent="0.2">
      <c r="A91" s="409" t="s">
        <v>0</v>
      </c>
      <c r="B91" s="85" t="s">
        <v>13</v>
      </c>
      <c r="C91" s="18">
        <f>SUM(C81,C83,C85,C87,C89)</f>
        <v>141</v>
      </c>
      <c r="D91" s="32">
        <f>SUM(D81,D83,D85,D87,D89)</f>
        <v>134</v>
      </c>
      <c r="E91" s="18">
        <f>SUM(E81,E83,E85,E87,E89)</f>
        <v>136</v>
      </c>
      <c r="F91" s="32">
        <f>SUM(F81,F83,F85,F87,F89)</f>
        <v>121</v>
      </c>
      <c r="G91" s="18">
        <f>SUM(G81,G83,G85,G87,G89)</f>
        <v>114</v>
      </c>
      <c r="H91" s="30">
        <f>SUM(C91:G91)</f>
        <v>646</v>
      </c>
      <c r="I91" s="15">
        <f>H91/$H$91</f>
        <v>1</v>
      </c>
      <c r="J91" s="95"/>
      <c r="K91" s="107"/>
      <c r="L91" s="105"/>
      <c r="M91" s="105"/>
      <c r="N91" s="107"/>
      <c r="O91" s="103"/>
      <c r="P91" s="103"/>
      <c r="Q91" s="103"/>
      <c r="R91" s="103"/>
      <c r="S91" s="103"/>
      <c r="T91" s="103"/>
      <c r="U91" s="134"/>
      <c r="V91" s="131"/>
      <c r="W91" s="95"/>
      <c r="X91" s="95"/>
      <c r="Y91" s="105"/>
      <c r="Z91" s="107"/>
      <c r="AA91" s="103"/>
      <c r="AB91" s="103"/>
      <c r="AC91" s="103"/>
      <c r="AD91" s="103"/>
      <c r="AE91" s="103"/>
      <c r="AF91" s="134"/>
      <c r="AG91" s="131"/>
    </row>
    <row r="92" spans="1:260" x14ac:dyDescent="0.2">
      <c r="A92" s="410"/>
      <c r="B92" s="273" t="s">
        <v>14</v>
      </c>
      <c r="C92" s="19"/>
      <c r="D92" s="33"/>
      <c r="E92" s="19"/>
      <c r="F92" s="33"/>
      <c r="G92" s="19"/>
      <c r="H92" s="31"/>
      <c r="I92" s="17"/>
      <c r="J92" s="95"/>
      <c r="K92" s="107"/>
      <c r="L92" s="105"/>
      <c r="M92" s="105"/>
      <c r="N92" s="107"/>
      <c r="O92" s="103"/>
      <c r="P92" s="103"/>
      <c r="Q92" s="103"/>
      <c r="R92" s="103"/>
      <c r="S92" s="103"/>
      <c r="T92" s="103"/>
      <c r="U92" s="134"/>
      <c r="V92" s="131"/>
      <c r="W92" s="107"/>
      <c r="X92" s="95"/>
      <c r="Y92" s="105"/>
      <c r="Z92" s="107"/>
      <c r="AA92" s="103"/>
      <c r="AB92" s="103"/>
      <c r="AC92" s="103"/>
      <c r="AD92" s="103"/>
      <c r="AE92" s="103"/>
      <c r="AF92" s="134"/>
      <c r="AG92" s="131"/>
    </row>
    <row r="93" spans="1:260" x14ac:dyDescent="0.2">
      <c r="A93" s="396" t="s">
        <v>238</v>
      </c>
      <c r="B93" s="411"/>
      <c r="C93" s="411"/>
      <c r="D93" s="411"/>
      <c r="E93" s="411"/>
      <c r="F93" s="411"/>
      <c r="G93" s="411"/>
      <c r="H93" s="411"/>
      <c r="I93" s="397"/>
      <c r="J93" s="95"/>
      <c r="K93" s="107"/>
      <c r="L93" s="126"/>
      <c r="M93" s="126"/>
      <c r="N93" s="126"/>
      <c r="O93" s="126"/>
      <c r="P93" s="126"/>
      <c r="Q93" s="126"/>
      <c r="R93" s="126"/>
      <c r="S93" s="126"/>
      <c r="T93" s="126"/>
      <c r="U93" s="126"/>
      <c r="V93" s="126"/>
      <c r="W93" s="107"/>
      <c r="X93" s="95"/>
      <c r="Y93" s="126"/>
      <c r="Z93" s="126"/>
      <c r="AA93" s="126"/>
      <c r="AB93" s="126"/>
      <c r="AC93" s="126"/>
      <c r="AD93" s="126"/>
      <c r="AE93" s="126"/>
      <c r="AF93" s="126"/>
      <c r="AG93" s="126"/>
    </row>
    <row r="94" spans="1:260" x14ac:dyDescent="0.2">
      <c r="A94" s="98"/>
      <c r="B94" s="98"/>
      <c r="C94" s="98"/>
      <c r="D94" s="98"/>
      <c r="E94" s="82"/>
      <c r="F94" s="82"/>
      <c r="G94" s="82"/>
      <c r="H94" s="82"/>
      <c r="I94" s="98"/>
      <c r="J94" s="98"/>
      <c r="K94" s="95"/>
      <c r="L94" s="107"/>
      <c r="M94" s="107"/>
      <c r="N94" s="107"/>
      <c r="O94" s="107"/>
      <c r="P94" s="107"/>
      <c r="Q94" s="107"/>
      <c r="R94" s="107"/>
      <c r="S94" s="98"/>
      <c r="T94" s="98"/>
      <c r="U94" s="98"/>
      <c r="V94" s="107"/>
      <c r="W94" s="107"/>
      <c r="X94" s="95"/>
      <c r="Y94" s="95"/>
      <c r="Z94" s="95"/>
      <c r="AA94" s="95"/>
    </row>
    <row r="95" spans="1:260" x14ac:dyDescent="0.2">
      <c r="A95" s="419" t="s">
        <v>26</v>
      </c>
      <c r="B95" s="419"/>
      <c r="C95" s="95"/>
      <c r="D95" s="110"/>
      <c r="E95" s="99"/>
      <c r="F95" s="82"/>
      <c r="G95" s="82"/>
      <c r="H95" s="82"/>
      <c r="I95" s="95"/>
      <c r="J95" s="95"/>
      <c r="K95" s="95"/>
      <c r="L95" s="107"/>
      <c r="M95" s="107"/>
      <c r="N95" s="107"/>
      <c r="O95" s="107"/>
      <c r="P95" s="107"/>
      <c r="Q95" s="107"/>
      <c r="R95" s="107"/>
      <c r="S95" s="107"/>
      <c r="T95" s="107"/>
      <c r="U95" s="107"/>
      <c r="V95" s="107"/>
      <c r="W95" s="107"/>
      <c r="X95" s="95"/>
      <c r="Y95" s="95"/>
      <c r="Z95" s="95"/>
      <c r="AA95" s="95"/>
    </row>
    <row r="96" spans="1:260" s="2" customFormat="1" ht="17.45" customHeight="1" x14ac:dyDescent="0.2">
      <c r="A96" s="22"/>
      <c r="B96" s="330" t="s">
        <v>285</v>
      </c>
      <c r="C96" s="102"/>
      <c r="D96" s="111"/>
      <c r="E96" s="100"/>
      <c r="F96" s="100"/>
      <c r="G96" s="101"/>
      <c r="H96" s="101"/>
      <c r="I96" s="102"/>
      <c r="J96" s="102"/>
      <c r="K96" s="102"/>
      <c r="L96" s="114"/>
      <c r="M96" s="114"/>
      <c r="N96" s="114"/>
      <c r="O96" s="114"/>
      <c r="P96" s="114"/>
      <c r="Q96" s="114"/>
      <c r="R96" s="114"/>
      <c r="S96" s="114"/>
      <c r="T96" s="114"/>
      <c r="U96" s="114"/>
      <c r="V96" s="114"/>
      <c r="W96" s="114"/>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c r="EA96" s="102"/>
      <c r="EB96" s="102"/>
      <c r="EC96" s="102"/>
      <c r="ED96" s="102"/>
      <c r="EE96" s="102"/>
      <c r="EF96" s="102"/>
      <c r="EG96" s="102"/>
      <c r="EH96" s="102"/>
      <c r="EI96" s="102"/>
      <c r="EJ96" s="102"/>
      <c r="EK96" s="102"/>
      <c r="EL96" s="102"/>
      <c r="EM96" s="102"/>
      <c r="EN96" s="102"/>
      <c r="EO96" s="102"/>
      <c r="EP96" s="102"/>
      <c r="EQ96" s="102"/>
      <c r="ER96" s="102"/>
      <c r="ES96" s="102"/>
      <c r="ET96" s="102"/>
      <c r="EU96" s="102"/>
      <c r="EV96" s="102"/>
      <c r="EW96" s="102"/>
      <c r="EX96" s="102"/>
      <c r="EY96" s="102"/>
      <c r="EZ96" s="102"/>
      <c r="FA96" s="102"/>
      <c r="FB96" s="102"/>
      <c r="FC96" s="102"/>
      <c r="FD96" s="102"/>
      <c r="FE96" s="102"/>
      <c r="FF96" s="102"/>
      <c r="FG96" s="102"/>
      <c r="FH96" s="102"/>
      <c r="FI96" s="102"/>
      <c r="FJ96" s="102"/>
      <c r="FK96" s="102"/>
      <c r="FL96" s="102"/>
      <c r="FM96" s="102"/>
      <c r="FN96" s="102"/>
      <c r="FO96" s="102"/>
      <c r="FP96" s="102"/>
      <c r="FQ96" s="102"/>
      <c r="FR96" s="102"/>
      <c r="FS96" s="102"/>
      <c r="FT96" s="102"/>
      <c r="FU96" s="102"/>
      <c r="FV96" s="102"/>
      <c r="FW96" s="102"/>
      <c r="FX96" s="102"/>
      <c r="FY96" s="102"/>
      <c r="FZ96" s="102"/>
      <c r="GA96" s="102"/>
      <c r="GB96" s="102"/>
      <c r="GC96" s="102"/>
      <c r="GD96" s="102"/>
      <c r="GE96" s="102"/>
      <c r="GF96" s="102"/>
      <c r="GG96" s="102"/>
      <c r="GH96" s="102"/>
      <c r="GI96" s="102"/>
      <c r="GJ96" s="102"/>
      <c r="GK96" s="102"/>
      <c r="GL96" s="102"/>
      <c r="GM96" s="102"/>
      <c r="GN96" s="102"/>
      <c r="GO96" s="102"/>
      <c r="GP96" s="102"/>
      <c r="GQ96" s="102"/>
      <c r="GR96" s="102"/>
      <c r="GS96" s="102"/>
      <c r="GT96" s="102"/>
      <c r="GU96" s="102"/>
      <c r="GV96" s="102"/>
      <c r="GW96" s="102"/>
      <c r="GX96" s="102"/>
      <c r="GY96" s="102"/>
      <c r="GZ96" s="102"/>
      <c r="HA96" s="102"/>
      <c r="HB96" s="102"/>
      <c r="HC96" s="102"/>
      <c r="HD96" s="102"/>
      <c r="HE96" s="102"/>
      <c r="HF96" s="102"/>
      <c r="HG96" s="102"/>
      <c r="HH96" s="102"/>
      <c r="HI96" s="102"/>
      <c r="HJ96" s="102"/>
      <c r="HK96" s="102"/>
      <c r="HL96" s="102"/>
      <c r="HM96" s="102"/>
      <c r="HN96" s="102"/>
      <c r="HO96" s="102"/>
      <c r="HP96" s="102"/>
      <c r="HQ96" s="102"/>
      <c r="HR96" s="102"/>
      <c r="HS96" s="102"/>
      <c r="HT96" s="102"/>
      <c r="HU96" s="102"/>
      <c r="HV96" s="102"/>
      <c r="HW96" s="102"/>
      <c r="HX96" s="102"/>
      <c r="HY96" s="102"/>
      <c r="HZ96" s="102"/>
      <c r="IA96" s="102"/>
      <c r="IB96" s="102"/>
      <c r="IC96" s="102"/>
      <c r="ID96" s="102"/>
      <c r="IE96" s="102"/>
      <c r="IF96" s="102"/>
      <c r="IG96" s="102"/>
      <c r="IH96" s="102"/>
      <c r="II96" s="102"/>
      <c r="IJ96" s="102"/>
      <c r="IK96" s="102"/>
      <c r="IL96" s="102"/>
      <c r="IM96" s="102"/>
      <c r="IN96" s="102"/>
      <c r="IO96" s="102"/>
      <c r="IP96" s="102"/>
      <c r="IQ96" s="102"/>
      <c r="IR96" s="102"/>
      <c r="IS96" s="102"/>
      <c r="IT96" s="102"/>
      <c r="IU96" s="102"/>
      <c r="IV96" s="102"/>
      <c r="IW96" s="102"/>
      <c r="IX96" s="102"/>
      <c r="IY96" s="102"/>
      <c r="IZ96" s="102"/>
    </row>
    <row r="97" spans="1:27" x14ac:dyDescent="0.2">
      <c r="A97" s="274" t="s">
        <v>27</v>
      </c>
      <c r="B97" s="46">
        <v>4500</v>
      </c>
      <c r="C97" s="95"/>
      <c r="D97" s="112"/>
      <c r="E97" s="99"/>
      <c r="F97" s="82"/>
      <c r="G97" s="82"/>
      <c r="H97" s="82"/>
      <c r="I97" s="95"/>
      <c r="J97" s="95"/>
      <c r="K97" s="95"/>
      <c r="L97" s="107"/>
      <c r="M97" s="107"/>
      <c r="N97" s="107"/>
      <c r="O97" s="107"/>
      <c r="P97" s="107"/>
      <c r="Q97" s="107"/>
      <c r="R97" s="107"/>
      <c r="S97" s="107"/>
      <c r="T97" s="107"/>
      <c r="U97" s="107"/>
      <c r="V97" s="107"/>
      <c r="W97" s="107"/>
      <c r="X97" s="95"/>
      <c r="Y97" s="95"/>
      <c r="Z97" s="95"/>
      <c r="AA97" s="95"/>
    </row>
    <row r="98" spans="1:27" ht="13.9" customHeight="1" x14ac:dyDescent="0.2">
      <c r="A98" s="401" t="s">
        <v>286</v>
      </c>
      <c r="B98" s="401"/>
      <c r="C98" s="95"/>
      <c r="D98" s="112"/>
      <c r="E98" s="103"/>
      <c r="F98" s="104"/>
      <c r="G98" s="105"/>
      <c r="H98" s="105"/>
      <c r="I98" s="95"/>
      <c r="J98" s="95"/>
      <c r="K98" s="95"/>
      <c r="L98" s="107"/>
      <c r="M98" s="107"/>
      <c r="N98" s="107"/>
      <c r="O98" s="107"/>
      <c r="P98" s="107"/>
      <c r="Q98" s="107"/>
      <c r="R98" s="107"/>
      <c r="S98" s="107"/>
      <c r="T98" s="107"/>
      <c r="U98" s="107"/>
      <c r="V98" s="107"/>
      <c r="W98" s="107"/>
      <c r="X98" s="95"/>
      <c r="Y98" s="95"/>
      <c r="Z98" s="95"/>
      <c r="AA98" s="95"/>
    </row>
    <row r="99" spans="1:27" x14ac:dyDescent="0.2">
      <c r="A99" s="94"/>
      <c r="B99" s="94"/>
      <c r="C99" s="95"/>
      <c r="D99" s="112"/>
      <c r="E99" s="103"/>
      <c r="F99" s="104"/>
      <c r="G99" s="105"/>
      <c r="H99" s="105"/>
      <c r="I99" s="95"/>
      <c r="J99" s="95"/>
      <c r="K99" s="95"/>
      <c r="L99" s="107"/>
      <c r="M99" s="107"/>
      <c r="N99" s="107"/>
      <c r="O99" s="107"/>
      <c r="P99" s="107"/>
      <c r="Q99" s="107"/>
      <c r="R99" s="107"/>
      <c r="S99" s="107"/>
      <c r="T99" s="107"/>
      <c r="U99" s="107"/>
      <c r="V99" s="107"/>
      <c r="W99" s="107"/>
      <c r="X99" s="95"/>
      <c r="Y99" s="95"/>
      <c r="Z99" s="95"/>
      <c r="AA99" s="95"/>
    </row>
    <row r="100" spans="1:27" x14ac:dyDescent="0.2">
      <c r="A100" s="387" t="s">
        <v>16</v>
      </c>
      <c r="B100" s="389"/>
      <c r="C100" s="95"/>
      <c r="D100" s="112"/>
      <c r="E100" s="103"/>
      <c r="F100" s="104"/>
      <c r="G100" s="105"/>
      <c r="H100" s="105"/>
      <c r="I100" s="95"/>
      <c r="J100" s="95"/>
      <c r="K100" s="95"/>
      <c r="L100" s="107"/>
      <c r="M100" s="107"/>
      <c r="N100" s="107"/>
      <c r="O100" s="107"/>
      <c r="P100" s="107"/>
      <c r="Q100" s="107"/>
      <c r="R100" s="107"/>
      <c r="S100" s="107"/>
      <c r="T100" s="107"/>
      <c r="U100" s="107"/>
      <c r="V100" s="107"/>
      <c r="W100" s="107"/>
      <c r="X100" s="95"/>
      <c r="Y100" s="95"/>
      <c r="Z100" s="95"/>
      <c r="AA100" s="95"/>
    </row>
    <row r="101" spans="1:27" x14ac:dyDescent="0.2">
      <c r="A101" s="22" t="s">
        <v>17</v>
      </c>
      <c r="B101" s="22" t="s">
        <v>18</v>
      </c>
      <c r="C101" s="95"/>
      <c r="D101" s="113"/>
      <c r="E101" s="103"/>
      <c r="F101" s="103"/>
      <c r="G101" s="106"/>
      <c r="H101" s="106"/>
      <c r="I101" s="95"/>
      <c r="J101" s="95"/>
      <c r="K101" s="95"/>
      <c r="L101" s="107"/>
      <c r="M101" s="107"/>
      <c r="N101" s="107"/>
      <c r="O101" s="107"/>
      <c r="P101" s="107"/>
      <c r="Q101" s="107"/>
      <c r="R101" s="107"/>
      <c r="S101" s="107"/>
      <c r="T101" s="107"/>
      <c r="U101" s="107"/>
      <c r="V101" s="107"/>
      <c r="W101" s="107"/>
      <c r="X101" s="95"/>
      <c r="Y101" s="95"/>
      <c r="Z101" s="95"/>
      <c r="AA101" s="95"/>
    </row>
    <row r="102" spans="1:27" x14ac:dyDescent="0.2">
      <c r="A102" s="275" t="s">
        <v>19</v>
      </c>
      <c r="B102" s="48">
        <v>3700</v>
      </c>
      <c r="C102" s="95"/>
      <c r="D102" s="114"/>
      <c r="E102" s="107"/>
      <c r="F102" s="107"/>
      <c r="G102" s="107"/>
      <c r="H102" s="107"/>
      <c r="I102" s="95"/>
      <c r="J102" s="95"/>
      <c r="K102" s="95"/>
      <c r="L102" s="107"/>
      <c r="M102" s="107"/>
      <c r="N102" s="107"/>
      <c r="O102" s="107"/>
      <c r="P102" s="107"/>
      <c r="Q102" s="107"/>
      <c r="R102" s="107"/>
      <c r="S102" s="107"/>
      <c r="T102" s="107"/>
      <c r="U102" s="107"/>
      <c r="V102" s="107"/>
      <c r="W102" s="107"/>
      <c r="X102" s="95"/>
      <c r="Y102" s="95"/>
      <c r="Z102" s="95"/>
      <c r="AA102" s="95"/>
    </row>
    <row r="103" spans="1:27" x14ac:dyDescent="0.2">
      <c r="A103" s="276" t="s">
        <v>20</v>
      </c>
      <c r="B103" s="49">
        <v>72500</v>
      </c>
      <c r="C103" s="95"/>
      <c r="D103" s="95"/>
      <c r="E103" s="95"/>
      <c r="F103" s="95"/>
      <c r="G103" s="95"/>
      <c r="H103" s="95"/>
      <c r="I103" s="95"/>
      <c r="J103" s="95"/>
      <c r="K103" s="95"/>
      <c r="L103" s="107"/>
      <c r="M103" s="107"/>
      <c r="N103" s="107"/>
      <c r="O103" s="107"/>
      <c r="P103" s="107"/>
      <c r="Q103" s="107"/>
      <c r="R103" s="107"/>
      <c r="S103" s="107"/>
      <c r="T103" s="107"/>
      <c r="U103" s="107"/>
      <c r="V103" s="107"/>
      <c r="W103" s="107"/>
      <c r="X103" s="95"/>
      <c r="Y103" s="95"/>
      <c r="Z103" s="95"/>
      <c r="AA103" s="95"/>
    </row>
    <row r="104" spans="1:27" x14ac:dyDescent="0.2">
      <c r="A104" s="276" t="s">
        <v>21</v>
      </c>
      <c r="B104" s="49">
        <v>142000</v>
      </c>
      <c r="C104" s="95"/>
      <c r="D104" s="95"/>
      <c r="E104" s="95"/>
      <c r="F104" s="95"/>
      <c r="G104" s="95"/>
      <c r="H104" s="95"/>
      <c r="I104" s="95"/>
      <c r="J104" s="95"/>
      <c r="K104" s="95"/>
      <c r="L104" s="107"/>
      <c r="M104" s="107"/>
      <c r="N104" s="107"/>
      <c r="O104" s="107"/>
      <c r="P104" s="107"/>
      <c r="Q104" s="107"/>
      <c r="R104" s="107"/>
      <c r="S104" s="107"/>
      <c r="T104" s="107"/>
      <c r="U104" s="107"/>
      <c r="V104" s="107"/>
      <c r="W104" s="107"/>
      <c r="X104" s="95"/>
      <c r="Y104" s="95"/>
      <c r="Z104" s="95"/>
      <c r="AA104" s="95"/>
    </row>
    <row r="105" spans="1:27" x14ac:dyDescent="0.2">
      <c r="A105" s="276" t="s">
        <v>22</v>
      </c>
      <c r="B105" s="49">
        <v>521300</v>
      </c>
      <c r="C105" s="95"/>
      <c r="D105" s="95"/>
      <c r="E105" s="95"/>
      <c r="F105" s="95"/>
      <c r="G105" s="95"/>
      <c r="H105" s="95"/>
      <c r="I105" s="95"/>
      <c r="J105" s="95"/>
      <c r="K105" s="95"/>
      <c r="L105" s="107"/>
      <c r="M105" s="107"/>
      <c r="N105" s="107"/>
      <c r="O105" s="107"/>
      <c r="P105" s="107"/>
      <c r="Q105" s="107"/>
      <c r="R105" s="107"/>
      <c r="S105" s="107"/>
      <c r="T105" s="107"/>
      <c r="U105" s="107"/>
      <c r="V105" s="107"/>
      <c r="W105" s="107"/>
      <c r="X105" s="95"/>
      <c r="Y105" s="95"/>
      <c r="Z105" s="95"/>
      <c r="AA105" s="95"/>
    </row>
    <row r="106" spans="1:27" x14ac:dyDescent="0.2">
      <c r="A106" s="276" t="s">
        <v>23</v>
      </c>
      <c r="B106" s="49">
        <v>10900000</v>
      </c>
      <c r="C106" s="95"/>
      <c r="D106" s="95"/>
      <c r="E106" s="95"/>
      <c r="F106" s="95"/>
      <c r="G106" s="95"/>
      <c r="H106" s="95"/>
      <c r="I106" s="95"/>
      <c r="J106" s="95"/>
      <c r="K106" s="95"/>
      <c r="L106" s="107"/>
      <c r="M106" s="107"/>
      <c r="N106" s="107"/>
      <c r="O106" s="107"/>
      <c r="P106" s="107"/>
      <c r="Q106" s="107"/>
      <c r="R106" s="107"/>
      <c r="S106" s="107"/>
      <c r="T106" s="107"/>
      <c r="U106" s="107"/>
      <c r="V106" s="107"/>
      <c r="W106" s="107"/>
      <c r="X106" s="95"/>
      <c r="Y106" s="95"/>
      <c r="Z106" s="95"/>
      <c r="AA106" s="95"/>
    </row>
    <row r="107" spans="1:27" ht="25.5" x14ac:dyDescent="0.2">
      <c r="A107" s="277" t="s">
        <v>24</v>
      </c>
      <c r="B107" s="50">
        <v>197600</v>
      </c>
      <c r="C107" s="95"/>
      <c r="D107" s="95"/>
      <c r="E107" s="95"/>
      <c r="F107" s="95"/>
      <c r="G107" s="95"/>
      <c r="H107" s="95"/>
      <c r="I107" s="95"/>
      <c r="J107" s="95"/>
      <c r="K107" s="95"/>
      <c r="L107" s="107"/>
      <c r="M107" s="107"/>
      <c r="N107" s="107"/>
      <c r="O107" s="107"/>
      <c r="P107" s="107"/>
      <c r="Q107" s="107"/>
      <c r="R107" s="107"/>
      <c r="S107" s="107"/>
      <c r="T107" s="107"/>
      <c r="U107" s="107"/>
      <c r="V107" s="107"/>
      <c r="W107" s="107"/>
      <c r="X107" s="95"/>
      <c r="Y107" s="95"/>
      <c r="Z107" s="95"/>
      <c r="AA107" s="95"/>
    </row>
    <row r="108" spans="1:27" ht="38.25" x14ac:dyDescent="0.2">
      <c r="A108" s="278" t="s">
        <v>25</v>
      </c>
      <c r="B108" s="51">
        <v>150200</v>
      </c>
      <c r="C108" s="95"/>
      <c r="D108" s="95"/>
      <c r="E108" s="95"/>
      <c r="F108" s="95"/>
      <c r="G108" s="95"/>
      <c r="H108" s="95"/>
      <c r="I108" s="95"/>
      <c r="J108" s="95"/>
      <c r="K108" s="95"/>
      <c r="L108" s="107"/>
      <c r="M108" s="107"/>
      <c r="N108" s="107"/>
      <c r="O108" s="107"/>
      <c r="P108" s="107"/>
      <c r="Q108" s="107"/>
      <c r="R108" s="107"/>
      <c r="S108" s="107"/>
      <c r="T108" s="107"/>
      <c r="U108" s="107"/>
      <c r="V108" s="107"/>
      <c r="W108" s="107"/>
      <c r="X108" s="95"/>
      <c r="Y108" s="95"/>
      <c r="Z108" s="95"/>
      <c r="AA108" s="95"/>
    </row>
    <row r="109" spans="1:27" ht="13.9" customHeight="1" x14ac:dyDescent="0.2">
      <c r="A109" s="401" t="s">
        <v>286</v>
      </c>
      <c r="B109" s="401"/>
      <c r="C109" s="95"/>
      <c r="D109" s="95"/>
      <c r="E109" s="95"/>
      <c r="F109" s="95"/>
      <c r="G109" s="95"/>
      <c r="H109" s="95"/>
      <c r="I109" s="95"/>
      <c r="J109" s="95"/>
      <c r="K109" s="95"/>
      <c r="L109" s="107"/>
      <c r="M109" s="107"/>
      <c r="N109" s="107"/>
      <c r="O109" s="107"/>
      <c r="P109" s="107"/>
      <c r="Q109" s="107"/>
      <c r="R109" s="107"/>
      <c r="S109" s="107"/>
      <c r="T109" s="107"/>
      <c r="U109" s="107"/>
      <c r="V109" s="107"/>
      <c r="W109" s="107"/>
      <c r="X109" s="95"/>
      <c r="Y109" s="95"/>
      <c r="Z109" s="95"/>
      <c r="AA109" s="95"/>
    </row>
    <row r="110" spans="1:27" x14ac:dyDescent="0.2">
      <c r="A110" s="94"/>
      <c r="B110" s="94"/>
      <c r="C110" s="95"/>
      <c r="D110" s="95"/>
      <c r="E110" s="95"/>
      <c r="F110" s="95"/>
      <c r="G110" s="95"/>
      <c r="H110" s="95"/>
      <c r="I110" s="95"/>
      <c r="J110" s="95"/>
      <c r="K110" s="95"/>
      <c r="L110" s="107"/>
      <c r="M110" s="107"/>
      <c r="N110" s="107"/>
      <c r="O110" s="107"/>
      <c r="P110" s="107"/>
      <c r="Q110" s="107"/>
      <c r="R110" s="107"/>
      <c r="S110" s="107"/>
      <c r="T110" s="107"/>
      <c r="U110" s="107"/>
      <c r="V110" s="107"/>
      <c r="W110" s="107"/>
      <c r="X110" s="95"/>
      <c r="Y110" s="95"/>
      <c r="Z110" s="95"/>
      <c r="AA110" s="95"/>
    </row>
    <row r="111" spans="1:27" ht="13.9" customHeight="1" x14ac:dyDescent="0.2">
      <c r="A111" s="402" t="s">
        <v>32</v>
      </c>
      <c r="B111" s="402"/>
      <c r="C111" s="95"/>
      <c r="D111" s="95"/>
      <c r="E111" s="95"/>
      <c r="F111" s="95"/>
      <c r="G111" s="95"/>
      <c r="H111" s="95"/>
      <c r="I111" s="95"/>
      <c r="J111" s="95"/>
      <c r="K111" s="95"/>
      <c r="L111" s="107"/>
      <c r="M111" s="107"/>
      <c r="N111" s="107"/>
      <c r="O111" s="107"/>
      <c r="P111" s="107"/>
      <c r="Q111" s="107"/>
      <c r="R111" s="107"/>
      <c r="S111" s="107"/>
      <c r="T111" s="107"/>
      <c r="U111" s="107"/>
      <c r="V111" s="107"/>
      <c r="W111" s="107"/>
      <c r="X111" s="95"/>
      <c r="Y111" s="95"/>
      <c r="Z111" s="95"/>
      <c r="AA111" s="95"/>
    </row>
    <row r="112" spans="1:27" x14ac:dyDescent="0.2">
      <c r="A112" s="23" t="s">
        <v>33</v>
      </c>
      <c r="B112" s="23" t="s">
        <v>36</v>
      </c>
      <c r="C112" s="95"/>
      <c r="D112" s="95"/>
      <c r="E112" s="95"/>
      <c r="F112" s="95"/>
      <c r="G112" s="95"/>
      <c r="H112" s="95"/>
      <c r="I112" s="95"/>
      <c r="J112" s="95"/>
      <c r="K112" s="95"/>
      <c r="L112" s="107"/>
      <c r="M112" s="107"/>
      <c r="N112" s="107"/>
      <c r="O112" s="107"/>
      <c r="P112" s="107"/>
      <c r="Q112" s="107"/>
      <c r="R112" s="107"/>
      <c r="S112" s="107"/>
      <c r="T112" s="107"/>
      <c r="U112" s="107"/>
      <c r="V112" s="107"/>
      <c r="W112" s="107"/>
      <c r="X112" s="95"/>
      <c r="Y112" s="95"/>
      <c r="Z112" s="95"/>
      <c r="AA112" s="95"/>
    </row>
    <row r="113" spans="1:27" x14ac:dyDescent="0.2">
      <c r="A113" s="279" t="s">
        <v>34</v>
      </c>
      <c r="B113" s="331">
        <v>1.67</v>
      </c>
      <c r="C113" s="95"/>
      <c r="D113" s="95"/>
      <c r="E113" s="95"/>
      <c r="F113" s="95"/>
      <c r="G113" s="95"/>
      <c r="H113" s="95"/>
      <c r="I113" s="95"/>
      <c r="J113" s="95"/>
      <c r="K113" s="95"/>
      <c r="L113" s="107"/>
      <c r="M113" s="107"/>
      <c r="N113" s="107"/>
      <c r="O113" s="107"/>
      <c r="P113" s="107"/>
      <c r="Q113" s="107"/>
      <c r="R113" s="107"/>
      <c r="S113" s="107"/>
      <c r="T113" s="107"/>
      <c r="U113" s="107"/>
      <c r="V113" s="107"/>
      <c r="W113" s="107"/>
      <c r="X113" s="95"/>
      <c r="Y113" s="95"/>
      <c r="Z113" s="95"/>
      <c r="AA113" s="95"/>
    </row>
    <row r="114" spans="1:27" x14ac:dyDescent="0.2">
      <c r="A114" s="280" t="s">
        <v>35</v>
      </c>
      <c r="B114" s="29">
        <v>1</v>
      </c>
      <c r="C114" s="95"/>
      <c r="D114" s="95"/>
      <c r="E114" s="95"/>
      <c r="F114" s="95"/>
      <c r="G114" s="95"/>
      <c r="H114" s="95"/>
      <c r="I114" s="95"/>
      <c r="J114" s="95"/>
      <c r="K114" s="95"/>
      <c r="L114" s="107"/>
      <c r="M114" s="107"/>
      <c r="N114" s="107"/>
      <c r="O114" s="107"/>
      <c r="P114" s="107"/>
      <c r="Q114" s="107"/>
      <c r="R114" s="107"/>
      <c r="S114" s="107"/>
      <c r="T114" s="107"/>
      <c r="U114" s="107"/>
      <c r="V114" s="107"/>
      <c r="W114" s="107"/>
      <c r="X114" s="95"/>
      <c r="Y114" s="95"/>
      <c r="Z114" s="95"/>
      <c r="AA114" s="95"/>
    </row>
    <row r="115" spans="1:27" ht="13.9" customHeight="1" x14ac:dyDescent="0.2">
      <c r="A115" s="401" t="s">
        <v>286</v>
      </c>
      <c r="B115" s="401"/>
      <c r="C115" s="95"/>
      <c r="D115" s="95"/>
      <c r="E115" s="95"/>
      <c r="F115" s="95"/>
      <c r="G115" s="95"/>
      <c r="H115" s="95"/>
      <c r="I115" s="95"/>
      <c r="J115" s="95"/>
      <c r="K115" s="95"/>
      <c r="L115" s="95"/>
      <c r="M115" s="95"/>
      <c r="N115" s="95"/>
      <c r="O115" s="95"/>
      <c r="P115" s="95"/>
      <c r="Q115" s="108"/>
      <c r="R115" s="108"/>
      <c r="S115" s="95"/>
      <c r="T115" s="95"/>
      <c r="U115" s="95"/>
      <c r="V115" s="95"/>
      <c r="W115" s="95"/>
      <c r="X115" s="95"/>
      <c r="Y115" s="95"/>
      <c r="Z115" s="95"/>
      <c r="AA115" s="95"/>
    </row>
    <row r="116" spans="1:27" x14ac:dyDescent="0.2">
      <c r="A116" s="95"/>
      <c r="B116" s="95"/>
      <c r="C116" s="95"/>
      <c r="D116" s="95"/>
      <c r="E116" s="95"/>
      <c r="F116" s="95"/>
      <c r="G116" s="95"/>
      <c r="H116" s="95"/>
      <c r="I116" s="95"/>
      <c r="J116" s="95"/>
      <c r="K116" s="95"/>
      <c r="L116" s="95"/>
      <c r="M116" s="95"/>
      <c r="N116" s="95"/>
      <c r="O116" s="95"/>
      <c r="P116" s="95"/>
      <c r="Q116" s="108"/>
      <c r="R116" s="108"/>
      <c r="S116" s="95"/>
      <c r="T116" s="95"/>
      <c r="U116" s="95"/>
      <c r="V116" s="95"/>
      <c r="W116" s="95"/>
      <c r="X116" s="95"/>
      <c r="Y116" s="95"/>
      <c r="Z116" s="95"/>
      <c r="AA116" s="95"/>
    </row>
    <row r="117" spans="1:27" x14ac:dyDescent="0.2">
      <c r="A117" s="402" t="s">
        <v>287</v>
      </c>
      <c r="B117" s="402"/>
      <c r="C117" s="95"/>
      <c r="D117" s="95"/>
      <c r="E117" s="95"/>
      <c r="F117" s="95"/>
      <c r="G117" s="95"/>
      <c r="H117" s="95"/>
      <c r="I117" s="95"/>
      <c r="J117" s="95"/>
      <c r="K117" s="95"/>
      <c r="L117" s="95"/>
      <c r="M117" s="95"/>
      <c r="N117" s="95"/>
      <c r="O117" s="95"/>
      <c r="P117" s="95"/>
      <c r="Q117" s="108"/>
      <c r="R117" s="108"/>
      <c r="S117" s="95"/>
      <c r="T117" s="95"/>
      <c r="U117" s="95"/>
      <c r="V117" s="95"/>
      <c r="W117" s="95"/>
      <c r="X117" s="95"/>
      <c r="Y117" s="95"/>
      <c r="Z117" s="95"/>
      <c r="AA117" s="95"/>
    </row>
    <row r="118" spans="1:27" x14ac:dyDescent="0.2">
      <c r="A118" s="281" t="s">
        <v>39</v>
      </c>
      <c r="B118" s="28">
        <v>2.0099999999999998</v>
      </c>
      <c r="C118" s="95"/>
      <c r="D118" s="95"/>
      <c r="E118" s="95"/>
      <c r="F118" s="95"/>
      <c r="G118" s="95"/>
      <c r="H118" s="95"/>
      <c r="I118" s="95"/>
      <c r="J118" s="95"/>
      <c r="K118" s="95"/>
      <c r="L118" s="95"/>
      <c r="M118" s="95"/>
      <c r="N118" s="95"/>
      <c r="O118" s="95"/>
      <c r="P118" s="95"/>
      <c r="Q118" s="108"/>
      <c r="R118" s="108"/>
      <c r="S118" s="95"/>
      <c r="T118" s="95"/>
      <c r="U118" s="95"/>
      <c r="V118" s="95"/>
      <c r="W118" s="95"/>
      <c r="X118" s="95"/>
      <c r="Y118" s="95"/>
      <c r="Z118" s="95"/>
      <c r="AA118" s="95"/>
    </row>
    <row r="119" spans="1:27" x14ac:dyDescent="0.2">
      <c r="A119" s="403" t="s">
        <v>238</v>
      </c>
      <c r="B119" s="403"/>
      <c r="C119" s="95"/>
      <c r="D119" s="95"/>
      <c r="E119" s="95"/>
      <c r="F119" s="95"/>
      <c r="G119" s="95"/>
      <c r="H119" s="95"/>
      <c r="I119" s="95"/>
      <c r="J119" s="95"/>
      <c r="K119" s="95"/>
      <c r="L119" s="95"/>
      <c r="M119" s="95"/>
      <c r="N119" s="95"/>
      <c r="O119" s="95"/>
      <c r="P119" s="95"/>
      <c r="Q119" s="108"/>
      <c r="R119" s="108"/>
      <c r="S119" s="95"/>
      <c r="T119" s="95"/>
      <c r="U119" s="95"/>
      <c r="V119" s="95"/>
      <c r="W119" s="95"/>
      <c r="X119" s="95"/>
      <c r="Y119" s="95"/>
      <c r="Z119" s="95"/>
      <c r="AA119" s="95"/>
    </row>
    <row r="120" spans="1:27" x14ac:dyDescent="0.2">
      <c r="A120" s="104"/>
      <c r="B120" s="104"/>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row>
    <row r="121" spans="1:27" x14ac:dyDescent="0.2">
      <c r="A121" s="399" t="s">
        <v>40</v>
      </c>
      <c r="B121" s="400"/>
      <c r="C121" s="95"/>
      <c r="D121" s="95"/>
      <c r="E121" s="95"/>
      <c r="F121" s="95"/>
      <c r="G121" s="95"/>
      <c r="H121" s="95"/>
      <c r="I121" s="95"/>
      <c r="J121" s="95"/>
      <c r="K121" s="95"/>
      <c r="L121" s="95"/>
      <c r="M121" s="95"/>
      <c r="N121" s="95"/>
      <c r="O121" s="95"/>
      <c r="P121" s="109"/>
      <c r="Q121" s="95"/>
      <c r="R121" s="95"/>
      <c r="S121" s="95"/>
      <c r="T121" s="95"/>
      <c r="U121" s="95"/>
      <c r="V121" s="95"/>
      <c r="W121" s="95"/>
      <c r="X121" s="95"/>
      <c r="Y121" s="95"/>
      <c r="Z121" s="95"/>
      <c r="AA121" s="95"/>
    </row>
    <row r="122" spans="1:27" ht="25.5" x14ac:dyDescent="0.2">
      <c r="A122" s="279" t="s">
        <v>232</v>
      </c>
      <c r="B122" s="27">
        <f>(H91/5)/AVERAGE(B130:B134)</f>
        <v>1.0403749214887344E-2</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row>
    <row r="123" spans="1:27" x14ac:dyDescent="0.2">
      <c r="A123" s="404" t="s">
        <v>98</v>
      </c>
      <c r="B123" s="405"/>
      <c r="C123" s="95"/>
      <c r="D123" s="102"/>
      <c r="E123" s="102"/>
      <c r="F123" s="102"/>
      <c r="G123" s="102"/>
      <c r="H123" s="102"/>
      <c r="I123" s="95"/>
      <c r="J123" s="95"/>
      <c r="K123" s="95"/>
      <c r="L123" s="95"/>
      <c r="M123" s="95"/>
      <c r="N123" s="95"/>
      <c r="O123" s="95"/>
      <c r="P123" s="95"/>
      <c r="Q123" s="95"/>
      <c r="R123" s="95"/>
      <c r="S123" s="95"/>
      <c r="T123" s="95"/>
      <c r="U123" s="95"/>
      <c r="V123" s="95"/>
      <c r="W123" s="95"/>
      <c r="X123" s="95"/>
      <c r="Y123" s="95"/>
      <c r="Z123" s="95"/>
      <c r="AA123" s="95"/>
    </row>
    <row r="124" spans="1:27" x14ac:dyDescent="0.2">
      <c r="A124" s="94"/>
      <c r="B124" s="94"/>
      <c r="C124" s="95"/>
      <c r="D124" s="102"/>
      <c r="E124" s="102"/>
      <c r="F124" s="102"/>
      <c r="G124" s="102"/>
      <c r="H124" s="102"/>
      <c r="I124" s="95"/>
      <c r="J124" s="95"/>
      <c r="K124" s="95"/>
      <c r="L124" s="95"/>
      <c r="M124" s="95"/>
      <c r="N124" s="95"/>
      <c r="O124" s="95"/>
      <c r="P124" s="95"/>
      <c r="Q124" s="95"/>
      <c r="R124" s="95"/>
      <c r="S124" s="95"/>
      <c r="T124" s="95"/>
      <c r="U124" s="95"/>
      <c r="V124" s="95"/>
      <c r="W124" s="95"/>
      <c r="X124" s="95"/>
      <c r="Y124" s="95"/>
      <c r="Z124" s="95"/>
      <c r="AA124" s="95"/>
    </row>
    <row r="125" spans="1:27" x14ac:dyDescent="0.2">
      <c r="A125" s="399" t="s">
        <v>233</v>
      </c>
      <c r="B125" s="400"/>
      <c r="C125" s="95"/>
      <c r="D125" s="102"/>
      <c r="E125" s="102"/>
      <c r="F125" s="102"/>
      <c r="G125" s="102"/>
      <c r="H125" s="102"/>
      <c r="I125" s="95"/>
      <c r="J125" s="95"/>
      <c r="K125" s="95"/>
      <c r="L125" s="95"/>
      <c r="M125" s="95"/>
      <c r="N125" s="95"/>
      <c r="O125" s="95"/>
      <c r="P125" s="95"/>
      <c r="Q125" s="95"/>
      <c r="R125" s="95"/>
      <c r="S125" s="95"/>
      <c r="T125" s="95"/>
      <c r="U125" s="95"/>
      <c r="V125" s="95"/>
      <c r="W125" s="95"/>
      <c r="X125" s="95"/>
      <c r="Y125" s="95"/>
      <c r="Z125" s="95"/>
      <c r="AA125" s="95"/>
    </row>
    <row r="126" spans="1:27" x14ac:dyDescent="0.2">
      <c r="A126" s="24" t="s">
        <v>234</v>
      </c>
      <c r="B126" s="28">
        <v>120.98</v>
      </c>
      <c r="C126" s="95"/>
      <c r="D126" s="102"/>
      <c r="E126" s="102"/>
      <c r="F126" s="102"/>
      <c r="G126" s="102"/>
      <c r="H126" s="102"/>
      <c r="I126" s="95"/>
      <c r="J126" s="95"/>
      <c r="K126" s="95"/>
      <c r="L126" s="95"/>
      <c r="M126" s="95"/>
      <c r="N126" s="95"/>
      <c r="O126" s="95"/>
      <c r="P126" s="95"/>
      <c r="Q126" s="95"/>
      <c r="R126" s="95"/>
      <c r="S126" s="95"/>
      <c r="T126" s="95"/>
      <c r="U126" s="95"/>
      <c r="V126" s="95"/>
      <c r="W126" s="95"/>
      <c r="X126" s="95"/>
      <c r="Y126" s="95"/>
      <c r="Z126" s="95"/>
      <c r="AA126" s="95"/>
    </row>
    <row r="127" spans="1:27" x14ac:dyDescent="0.2">
      <c r="A127" s="404" t="s">
        <v>235</v>
      </c>
      <c r="B127" s="405"/>
      <c r="C127" s="95"/>
      <c r="D127" s="102"/>
      <c r="E127" s="102"/>
      <c r="F127" s="102"/>
      <c r="G127" s="102"/>
      <c r="H127" s="102"/>
      <c r="I127" s="95"/>
      <c r="J127" s="95"/>
      <c r="K127" s="95"/>
      <c r="L127" s="95"/>
      <c r="M127" s="95"/>
      <c r="N127" s="95"/>
      <c r="O127" s="95"/>
      <c r="P127" s="95"/>
      <c r="Q127" s="95"/>
      <c r="R127" s="95"/>
      <c r="S127" s="95"/>
      <c r="T127" s="95"/>
      <c r="U127" s="95"/>
      <c r="V127" s="95"/>
      <c r="W127" s="95"/>
      <c r="X127" s="95"/>
      <c r="Y127" s="95"/>
      <c r="Z127" s="95"/>
      <c r="AA127" s="95"/>
    </row>
    <row r="128" spans="1:27" x14ac:dyDescent="0.2">
      <c r="A128" s="115"/>
      <c r="B128" s="94"/>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row>
    <row r="129" spans="1:27" x14ac:dyDescent="0.2">
      <c r="A129" s="387" t="s">
        <v>95</v>
      </c>
      <c r="B129" s="389"/>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row>
    <row r="130" spans="1:27" x14ac:dyDescent="0.2">
      <c r="A130" s="282">
        <v>2014</v>
      </c>
      <c r="B130" s="25">
        <f t="shared" ref="B130:B133" si="29">ROUND($B$135*(1-$B$136)^($A$135-A130),0)</f>
        <v>12021</v>
      </c>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row>
    <row r="131" spans="1:27" x14ac:dyDescent="0.2">
      <c r="A131" s="282">
        <v>2015</v>
      </c>
      <c r="B131" s="25">
        <f>ROUND($B$135*(1-$B$136)^($A$135-A131),0)</f>
        <v>12217</v>
      </c>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row>
    <row r="132" spans="1:27" x14ac:dyDescent="0.2">
      <c r="A132" s="282">
        <v>2016</v>
      </c>
      <c r="B132" s="25">
        <f t="shared" si="29"/>
        <v>12415</v>
      </c>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row>
    <row r="133" spans="1:27" x14ac:dyDescent="0.2">
      <c r="A133" s="282">
        <v>2017</v>
      </c>
      <c r="B133" s="25">
        <f t="shared" si="29"/>
        <v>12617</v>
      </c>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row>
    <row r="134" spans="1:27" x14ac:dyDescent="0.2">
      <c r="A134" s="282">
        <v>2018</v>
      </c>
      <c r="B134" s="25">
        <f>ROUND($B$135*(1-$B$136)^($A$135-A134),0)</f>
        <v>12823</v>
      </c>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row>
    <row r="135" spans="1:27" x14ac:dyDescent="0.2">
      <c r="A135" s="282">
        <v>2019</v>
      </c>
      <c r="B135" s="25">
        <f>'Travel Time'!B179</f>
        <v>13031.030303030302</v>
      </c>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row>
    <row r="136" spans="1:27" x14ac:dyDescent="0.2">
      <c r="A136" s="283" t="s">
        <v>197</v>
      </c>
      <c r="B136" s="26">
        <v>1.6E-2</v>
      </c>
      <c r="C136" s="95"/>
      <c r="D136" s="95"/>
      <c r="E136" s="95"/>
      <c r="F136" s="95"/>
      <c r="G136" s="95"/>
      <c r="H136" s="95"/>
      <c r="I136" s="95"/>
      <c r="J136" s="95"/>
      <c r="K136" s="95"/>
      <c r="L136" s="95"/>
      <c r="M136" s="95"/>
      <c r="N136" s="95"/>
      <c r="O136" s="95"/>
      <c r="P136" s="95"/>
      <c r="Q136" s="97"/>
      <c r="R136" s="95"/>
      <c r="S136" s="95"/>
      <c r="T136" s="95"/>
      <c r="U136" s="95"/>
      <c r="V136" s="95"/>
      <c r="W136" s="95"/>
      <c r="X136" s="95"/>
      <c r="Y136" s="95"/>
      <c r="Z136" s="95"/>
      <c r="AA136" s="95"/>
    </row>
    <row r="137" spans="1:27" x14ac:dyDescent="0.2">
      <c r="A137" s="283" t="s">
        <v>270</v>
      </c>
      <c r="B137" s="26">
        <v>8.9999999999999993E-3</v>
      </c>
      <c r="C137" s="95"/>
      <c r="D137" s="95"/>
      <c r="E137" s="95"/>
      <c r="F137" s="95"/>
      <c r="G137" s="95"/>
      <c r="H137" s="95"/>
      <c r="I137" s="95"/>
      <c r="J137" s="95"/>
      <c r="K137" s="95"/>
      <c r="L137" s="95"/>
      <c r="M137" s="95"/>
      <c r="N137" s="95"/>
      <c r="O137" s="95"/>
      <c r="P137" s="95"/>
      <c r="Q137" s="97"/>
      <c r="R137" s="95"/>
      <c r="S137" s="95"/>
      <c r="T137" s="95"/>
      <c r="U137" s="95"/>
      <c r="V137" s="95"/>
      <c r="W137" s="95"/>
      <c r="X137" s="95"/>
      <c r="Y137" s="95"/>
      <c r="Z137" s="95"/>
      <c r="AA137" s="95"/>
    </row>
    <row r="138" spans="1:27" x14ac:dyDescent="0.2">
      <c r="A138" s="396" t="s">
        <v>98</v>
      </c>
      <c r="B138" s="397"/>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row>
    <row r="139" spans="1:27" x14ac:dyDescent="0.2">
      <c r="A139" s="93"/>
      <c r="B139" s="94"/>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row>
    <row r="140" spans="1:27" x14ac:dyDescent="0.2">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row>
    <row r="141" spans="1:27" x14ac:dyDescent="0.2">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row>
    <row r="142" spans="1:27" s="95" customFormat="1" x14ac:dyDescent="0.2"/>
    <row r="143" spans="1:27" s="95" customFormat="1" x14ac:dyDescent="0.2"/>
    <row r="144" spans="1:27" s="95" customFormat="1" x14ac:dyDescent="0.2"/>
    <row r="145" spans="14:30" s="95" customFormat="1" x14ac:dyDescent="0.2"/>
    <row r="146" spans="14:30" s="95" customFormat="1" x14ac:dyDescent="0.2">
      <c r="AD146" s="138"/>
    </row>
    <row r="147" spans="14:30" s="95" customFormat="1" x14ac:dyDescent="0.2">
      <c r="Y147" s="96"/>
      <c r="AD147" s="138"/>
    </row>
    <row r="148" spans="14:30" s="95" customFormat="1" x14ac:dyDescent="0.2"/>
    <row r="149" spans="14:30" s="95" customFormat="1" x14ac:dyDescent="0.2">
      <c r="Q149" s="96"/>
    </row>
    <row r="150" spans="14:30" s="95" customFormat="1" x14ac:dyDescent="0.2">
      <c r="N150" s="96"/>
      <c r="Q150" s="96"/>
    </row>
    <row r="151" spans="14:30" s="95" customFormat="1" x14ac:dyDescent="0.2"/>
    <row r="152" spans="14:30" s="95" customFormat="1" x14ac:dyDescent="0.2"/>
    <row r="153" spans="14:30" s="95" customFormat="1" x14ac:dyDescent="0.2"/>
    <row r="154" spans="14:30" s="95" customFormat="1" x14ac:dyDescent="0.2"/>
    <row r="155" spans="14:30" s="95" customFormat="1" x14ac:dyDescent="0.2"/>
    <row r="156" spans="14:30" s="95" customFormat="1" x14ac:dyDescent="0.2"/>
    <row r="157" spans="14:30" s="95" customFormat="1" x14ac:dyDescent="0.2"/>
    <row r="158" spans="14:30" s="95" customFormat="1" x14ac:dyDescent="0.2"/>
    <row r="159" spans="14:30" s="95" customFormat="1" x14ac:dyDescent="0.2"/>
    <row r="160" spans="14:30" s="95" customFormat="1" x14ac:dyDescent="0.2"/>
    <row r="161" s="95" customFormat="1" x14ac:dyDescent="0.2"/>
    <row r="162" s="95" customFormat="1" x14ac:dyDescent="0.2"/>
    <row r="163" s="95" customFormat="1" x14ac:dyDescent="0.2"/>
    <row r="164" s="95" customFormat="1" x14ac:dyDescent="0.2"/>
    <row r="165" s="95" customFormat="1" x14ac:dyDescent="0.2"/>
    <row r="166" s="95" customFormat="1" x14ac:dyDescent="0.2"/>
    <row r="167" s="95" customFormat="1" x14ac:dyDescent="0.2"/>
    <row r="168" s="95" customFormat="1" x14ac:dyDescent="0.2"/>
    <row r="169" s="95" customFormat="1" x14ac:dyDescent="0.2"/>
    <row r="170" s="95" customFormat="1" x14ac:dyDescent="0.2"/>
    <row r="171" s="95" customFormat="1" x14ac:dyDescent="0.2"/>
    <row r="172" s="95" customFormat="1" x14ac:dyDescent="0.2"/>
    <row r="173" s="95" customFormat="1" x14ac:dyDescent="0.2"/>
    <row r="174" s="95" customFormat="1" x14ac:dyDescent="0.2"/>
    <row r="175" s="95" customFormat="1" x14ac:dyDescent="0.2"/>
    <row r="176" s="95" customFormat="1" x14ac:dyDescent="0.2"/>
    <row r="177" s="95" customFormat="1" x14ac:dyDescent="0.2"/>
    <row r="178" s="95" customFormat="1" x14ac:dyDescent="0.2"/>
    <row r="179" s="95" customFormat="1" x14ac:dyDescent="0.2"/>
    <row r="180" s="95" customFormat="1" x14ac:dyDescent="0.2"/>
    <row r="181" s="95" customFormat="1" x14ac:dyDescent="0.2"/>
    <row r="182" s="95" customFormat="1" x14ac:dyDescent="0.2"/>
    <row r="183" s="95" customFormat="1" x14ac:dyDescent="0.2"/>
    <row r="184" s="95" customFormat="1" x14ac:dyDescent="0.2"/>
    <row r="185" s="95" customFormat="1" x14ac:dyDescent="0.2"/>
    <row r="186" s="95" customFormat="1" x14ac:dyDescent="0.2"/>
    <row r="187" s="95" customFormat="1" x14ac:dyDescent="0.2"/>
    <row r="188" s="95" customFormat="1" x14ac:dyDescent="0.2"/>
    <row r="189" s="95" customFormat="1" x14ac:dyDescent="0.2"/>
    <row r="190" s="95" customFormat="1" x14ac:dyDescent="0.2"/>
    <row r="191" s="95" customFormat="1" x14ac:dyDescent="0.2"/>
    <row r="192" s="95" customFormat="1" x14ac:dyDescent="0.2"/>
    <row r="193" s="95" customFormat="1" x14ac:dyDescent="0.2"/>
    <row r="194" s="95" customFormat="1" x14ac:dyDescent="0.2"/>
    <row r="195" s="95" customFormat="1" x14ac:dyDescent="0.2"/>
    <row r="196" s="95" customFormat="1" x14ac:dyDescent="0.2"/>
    <row r="197" s="95" customFormat="1" x14ac:dyDescent="0.2"/>
    <row r="198" s="95" customFormat="1" x14ac:dyDescent="0.2"/>
    <row r="199" s="95" customFormat="1" x14ac:dyDescent="0.2"/>
    <row r="200" s="95" customFormat="1" x14ac:dyDescent="0.2"/>
    <row r="201" s="95" customFormat="1" x14ac:dyDescent="0.2"/>
    <row r="202" s="95" customFormat="1" x14ac:dyDescent="0.2"/>
    <row r="203" s="95" customFormat="1" x14ac:dyDescent="0.2"/>
    <row r="204" s="95" customFormat="1" x14ac:dyDescent="0.2"/>
    <row r="205" s="95" customFormat="1" x14ac:dyDescent="0.2"/>
    <row r="206" s="95" customFormat="1" x14ac:dyDescent="0.2"/>
    <row r="207" s="95" customFormat="1" x14ac:dyDescent="0.2"/>
    <row r="208" s="95" customFormat="1" x14ac:dyDescent="0.2"/>
    <row r="209" s="95" customFormat="1" x14ac:dyDescent="0.2"/>
    <row r="210" s="95" customFormat="1" x14ac:dyDescent="0.2"/>
    <row r="211" s="95" customFormat="1" x14ac:dyDescent="0.2"/>
    <row r="212" s="95" customFormat="1" x14ac:dyDescent="0.2"/>
    <row r="213" s="95" customFormat="1" x14ac:dyDescent="0.2"/>
    <row r="214" s="95" customFormat="1" x14ac:dyDescent="0.2"/>
    <row r="215" s="95" customFormat="1" x14ac:dyDescent="0.2"/>
    <row r="216" s="95" customFormat="1" x14ac:dyDescent="0.2"/>
    <row r="217" s="95" customFormat="1" x14ac:dyDescent="0.2"/>
    <row r="218" s="95" customFormat="1" x14ac:dyDescent="0.2"/>
    <row r="219" s="95" customFormat="1" x14ac:dyDescent="0.2"/>
    <row r="220" s="95" customFormat="1" x14ac:dyDescent="0.2"/>
    <row r="221" s="95" customFormat="1" x14ac:dyDescent="0.2"/>
    <row r="222" s="95" customFormat="1" x14ac:dyDescent="0.2"/>
    <row r="223" s="95" customFormat="1" x14ac:dyDescent="0.2"/>
    <row r="224" s="95" customFormat="1" x14ac:dyDescent="0.2"/>
    <row r="225" s="95" customFormat="1" x14ac:dyDescent="0.2"/>
    <row r="226" s="95" customFormat="1" x14ac:dyDescent="0.2"/>
    <row r="227" s="95" customFormat="1" x14ac:dyDescent="0.2"/>
    <row r="228" s="95" customFormat="1" x14ac:dyDescent="0.2"/>
    <row r="229" s="95" customFormat="1" x14ac:dyDescent="0.2"/>
    <row r="230" s="95" customFormat="1" x14ac:dyDescent="0.2"/>
    <row r="231" s="95" customFormat="1" x14ac:dyDescent="0.2"/>
    <row r="232" s="95" customFormat="1" x14ac:dyDescent="0.2"/>
    <row r="233" s="95" customFormat="1" x14ac:dyDescent="0.2"/>
    <row r="234" s="95" customFormat="1" x14ac:dyDescent="0.2"/>
    <row r="235" s="95" customFormat="1" x14ac:dyDescent="0.2"/>
    <row r="236" s="95" customFormat="1" x14ac:dyDescent="0.2"/>
    <row r="237" s="95" customFormat="1" x14ac:dyDescent="0.2"/>
    <row r="238" s="95" customFormat="1" x14ac:dyDescent="0.2"/>
    <row r="239" s="95" customFormat="1" x14ac:dyDescent="0.2"/>
    <row r="240" s="95" customFormat="1" x14ac:dyDescent="0.2"/>
    <row r="241" s="95" customFormat="1" x14ac:dyDescent="0.2"/>
    <row r="242" s="95" customFormat="1" x14ac:dyDescent="0.2"/>
    <row r="243" s="95" customFormat="1" x14ac:dyDescent="0.2"/>
    <row r="244" s="95" customFormat="1" x14ac:dyDescent="0.2"/>
    <row r="245" s="95" customFormat="1" x14ac:dyDescent="0.2"/>
    <row r="246" s="95" customFormat="1" x14ac:dyDescent="0.2"/>
    <row r="247" s="95" customFormat="1" x14ac:dyDescent="0.2"/>
    <row r="248" s="95" customFormat="1" x14ac:dyDescent="0.2"/>
    <row r="249" s="95" customFormat="1" x14ac:dyDescent="0.2"/>
    <row r="250" s="95" customFormat="1" x14ac:dyDescent="0.2"/>
    <row r="251" s="95" customFormat="1" x14ac:dyDescent="0.2"/>
    <row r="252" s="95" customFormat="1" x14ac:dyDescent="0.2"/>
    <row r="253" s="95" customFormat="1" x14ac:dyDescent="0.2"/>
    <row r="254" s="95" customFormat="1" x14ac:dyDescent="0.2"/>
    <row r="255" s="95" customFormat="1" x14ac:dyDescent="0.2"/>
    <row r="256" s="95" customFormat="1" x14ac:dyDescent="0.2"/>
    <row r="257" s="95" customFormat="1" x14ac:dyDescent="0.2"/>
    <row r="258" s="95" customFormat="1" x14ac:dyDescent="0.2"/>
    <row r="259" s="95" customFormat="1" x14ac:dyDescent="0.2"/>
    <row r="260" s="95" customFormat="1" x14ac:dyDescent="0.2"/>
    <row r="261" s="95" customFormat="1" x14ac:dyDescent="0.2"/>
    <row r="262" s="95" customFormat="1" x14ac:dyDescent="0.2"/>
    <row r="263" s="95" customFormat="1" x14ac:dyDescent="0.2"/>
    <row r="264" s="95" customFormat="1" x14ac:dyDescent="0.2"/>
    <row r="265" s="95" customFormat="1" x14ac:dyDescent="0.2"/>
    <row r="266" s="95" customFormat="1" x14ac:dyDescent="0.2"/>
    <row r="267" s="95" customFormat="1" x14ac:dyDescent="0.2"/>
    <row r="268" s="95" customFormat="1" x14ac:dyDescent="0.2"/>
    <row r="269" s="95" customFormat="1" x14ac:dyDescent="0.2"/>
    <row r="270" s="95" customFormat="1" x14ac:dyDescent="0.2"/>
    <row r="271" s="95" customFormat="1" x14ac:dyDescent="0.2"/>
    <row r="272" s="95" customFormat="1" x14ac:dyDescent="0.2"/>
    <row r="273" s="95" customFormat="1" x14ac:dyDescent="0.2"/>
    <row r="274" s="95" customFormat="1" x14ac:dyDescent="0.2"/>
    <row r="275" s="95" customFormat="1" x14ac:dyDescent="0.2"/>
    <row r="276" s="95" customFormat="1" x14ac:dyDescent="0.2"/>
    <row r="277" s="95" customFormat="1" x14ac:dyDescent="0.2"/>
    <row r="278" s="95" customFormat="1" x14ac:dyDescent="0.2"/>
    <row r="279" s="95" customFormat="1" x14ac:dyDescent="0.2"/>
    <row r="280" s="95" customFormat="1" x14ac:dyDescent="0.2"/>
    <row r="281" s="95" customFormat="1" x14ac:dyDescent="0.2"/>
    <row r="282" s="95" customFormat="1" x14ac:dyDescent="0.2"/>
    <row r="283" s="95" customFormat="1" x14ac:dyDescent="0.2"/>
    <row r="284" s="95" customFormat="1" x14ac:dyDescent="0.2"/>
    <row r="285" s="95" customFormat="1" x14ac:dyDescent="0.2"/>
    <row r="286" s="95" customFormat="1" x14ac:dyDescent="0.2"/>
    <row r="287" s="95" customFormat="1" x14ac:dyDescent="0.2"/>
    <row r="288" s="95" customFormat="1" x14ac:dyDescent="0.2"/>
    <row r="289" s="95" customFormat="1" x14ac:dyDescent="0.2"/>
    <row r="290" s="95" customFormat="1" x14ac:dyDescent="0.2"/>
    <row r="291" s="95" customFormat="1" x14ac:dyDescent="0.2"/>
    <row r="292" s="95" customFormat="1" x14ac:dyDescent="0.2"/>
    <row r="293" s="95" customFormat="1" x14ac:dyDescent="0.2"/>
    <row r="294" s="95" customFormat="1" x14ac:dyDescent="0.2"/>
    <row r="295" s="95" customFormat="1" x14ac:dyDescent="0.2"/>
    <row r="296" s="95" customFormat="1" x14ac:dyDescent="0.2"/>
    <row r="297" s="95" customFormat="1" x14ac:dyDescent="0.2"/>
    <row r="298" s="95" customFormat="1" x14ac:dyDescent="0.2"/>
    <row r="299" s="95" customFormat="1" x14ac:dyDescent="0.2"/>
    <row r="300" s="95" customFormat="1" x14ac:dyDescent="0.2"/>
    <row r="301" s="95" customFormat="1" x14ac:dyDescent="0.2"/>
    <row r="302" s="95" customFormat="1" x14ac:dyDescent="0.2"/>
    <row r="303" s="95" customFormat="1" x14ac:dyDescent="0.2"/>
    <row r="304" s="95" customFormat="1" x14ac:dyDescent="0.2"/>
    <row r="305" s="95" customFormat="1" x14ac:dyDescent="0.2"/>
    <row r="306" s="95" customFormat="1" x14ac:dyDescent="0.2"/>
    <row r="307" s="95" customFormat="1" x14ac:dyDescent="0.2"/>
    <row r="308" s="95" customFormat="1" x14ac:dyDescent="0.2"/>
    <row r="309" s="95" customFormat="1" x14ac:dyDescent="0.2"/>
    <row r="310" s="95" customFormat="1" x14ac:dyDescent="0.2"/>
    <row r="311" s="95" customFormat="1" x14ac:dyDescent="0.2"/>
    <row r="312" s="95" customFormat="1" x14ac:dyDescent="0.2"/>
    <row r="313" s="95" customFormat="1" x14ac:dyDescent="0.2"/>
    <row r="314" s="95" customFormat="1" x14ac:dyDescent="0.2"/>
    <row r="315" s="95" customFormat="1" x14ac:dyDescent="0.2"/>
    <row r="316" s="95" customFormat="1" x14ac:dyDescent="0.2"/>
    <row r="317" s="95" customFormat="1" x14ac:dyDescent="0.2"/>
    <row r="318" s="95" customFormat="1" x14ac:dyDescent="0.2"/>
    <row r="319" s="95" customFormat="1" x14ac:dyDescent="0.2"/>
    <row r="320" s="95" customFormat="1" x14ac:dyDescent="0.2"/>
    <row r="321" s="95" customFormat="1" x14ac:dyDescent="0.2"/>
    <row r="322" s="95" customFormat="1" x14ac:dyDescent="0.2"/>
    <row r="323" s="95" customFormat="1" x14ac:dyDescent="0.2"/>
    <row r="324" s="95" customFormat="1" x14ac:dyDescent="0.2"/>
    <row r="325" s="95" customFormat="1" x14ac:dyDescent="0.2"/>
    <row r="326" s="95" customFormat="1" x14ac:dyDescent="0.2"/>
    <row r="327" s="95" customFormat="1" x14ac:dyDescent="0.2"/>
    <row r="328" s="95" customFormat="1" x14ac:dyDescent="0.2"/>
    <row r="329" s="95" customFormat="1" x14ac:dyDescent="0.2"/>
    <row r="330" s="95" customFormat="1" x14ac:dyDescent="0.2"/>
    <row r="331" s="95" customFormat="1" x14ac:dyDescent="0.2"/>
    <row r="332" s="95" customFormat="1" x14ac:dyDescent="0.2"/>
    <row r="333" s="95" customFormat="1" x14ac:dyDescent="0.2"/>
    <row r="334" s="95" customFormat="1" x14ac:dyDescent="0.2"/>
    <row r="335" s="95" customFormat="1" x14ac:dyDescent="0.2"/>
    <row r="336" s="95" customFormat="1" x14ac:dyDescent="0.2"/>
    <row r="337" s="95" customFormat="1" x14ac:dyDescent="0.2"/>
    <row r="338" s="95" customFormat="1" x14ac:dyDescent="0.2"/>
    <row r="339" s="95" customFormat="1" x14ac:dyDescent="0.2"/>
    <row r="340" s="95" customFormat="1" x14ac:dyDescent="0.2"/>
    <row r="341" s="95" customFormat="1" x14ac:dyDescent="0.2"/>
    <row r="342" s="95" customFormat="1" x14ac:dyDescent="0.2"/>
    <row r="343" s="95" customFormat="1" x14ac:dyDescent="0.2"/>
    <row r="344" s="95" customFormat="1" x14ac:dyDescent="0.2"/>
    <row r="345" s="95" customFormat="1" x14ac:dyDescent="0.2"/>
    <row r="346" s="95" customFormat="1" x14ac:dyDescent="0.2"/>
    <row r="347" s="95" customFormat="1" x14ac:dyDescent="0.2"/>
    <row r="348" s="95" customFormat="1" x14ac:dyDescent="0.2"/>
    <row r="349" s="95" customFormat="1" x14ac:dyDescent="0.2"/>
    <row r="350" s="95" customFormat="1" x14ac:dyDescent="0.2"/>
    <row r="351" s="95" customFormat="1" x14ac:dyDescent="0.2"/>
    <row r="352" s="95" customFormat="1" x14ac:dyDescent="0.2"/>
    <row r="353" s="95" customFormat="1" x14ac:dyDescent="0.2"/>
    <row r="354" s="95" customFormat="1" x14ac:dyDescent="0.2"/>
    <row r="355" s="95" customFormat="1" x14ac:dyDescent="0.2"/>
    <row r="356" s="95" customFormat="1" x14ac:dyDescent="0.2"/>
    <row r="357" s="95" customFormat="1" x14ac:dyDescent="0.2"/>
    <row r="358" s="95" customFormat="1" x14ac:dyDescent="0.2"/>
    <row r="359" s="95" customFormat="1" x14ac:dyDescent="0.2"/>
    <row r="360" s="95" customFormat="1" x14ac:dyDescent="0.2"/>
    <row r="361" s="95" customFormat="1" x14ac:dyDescent="0.2"/>
    <row r="362" s="95" customFormat="1" x14ac:dyDescent="0.2"/>
    <row r="363" s="95" customFormat="1" x14ac:dyDescent="0.2"/>
    <row r="364" s="95" customFormat="1" x14ac:dyDescent="0.2"/>
    <row r="365" s="95" customFormat="1" x14ac:dyDescent="0.2"/>
    <row r="366" s="95" customFormat="1" x14ac:dyDescent="0.2"/>
    <row r="367" s="95" customFormat="1" x14ac:dyDescent="0.2"/>
    <row r="368" s="95" customFormat="1" x14ac:dyDescent="0.2"/>
    <row r="369" s="95" customFormat="1" x14ac:dyDescent="0.2"/>
    <row r="370" s="95" customFormat="1" x14ac:dyDescent="0.2"/>
    <row r="371" s="95" customFormat="1" x14ac:dyDescent="0.2"/>
    <row r="372" s="95" customFormat="1" x14ac:dyDescent="0.2"/>
    <row r="373" s="95" customFormat="1" x14ac:dyDescent="0.2"/>
    <row r="374" s="95" customFormat="1" x14ac:dyDescent="0.2"/>
    <row r="375" s="95" customFormat="1" x14ac:dyDescent="0.2"/>
    <row r="376" s="95" customFormat="1" x14ac:dyDescent="0.2"/>
    <row r="377" s="95" customFormat="1" x14ac:dyDescent="0.2"/>
    <row r="378" s="95" customFormat="1" x14ac:dyDescent="0.2"/>
    <row r="379" s="95" customFormat="1" x14ac:dyDescent="0.2"/>
    <row r="380" s="95" customFormat="1" x14ac:dyDescent="0.2"/>
    <row r="381" s="95" customFormat="1" x14ac:dyDescent="0.2"/>
    <row r="382" s="95" customFormat="1" x14ac:dyDescent="0.2"/>
    <row r="383" s="95" customFormat="1" x14ac:dyDescent="0.2"/>
    <row r="384" s="95" customFormat="1" x14ac:dyDescent="0.2"/>
    <row r="385" s="95" customFormat="1" x14ac:dyDescent="0.2"/>
    <row r="386" s="95" customFormat="1" x14ac:dyDescent="0.2"/>
    <row r="387" s="95" customFormat="1" x14ac:dyDescent="0.2"/>
    <row r="388" s="95" customFormat="1" x14ac:dyDescent="0.2"/>
    <row r="389" s="95" customFormat="1" x14ac:dyDescent="0.2"/>
    <row r="390" s="95" customFormat="1" x14ac:dyDescent="0.2"/>
    <row r="391" s="95" customFormat="1" x14ac:dyDescent="0.2"/>
    <row r="392" s="95" customFormat="1" x14ac:dyDescent="0.2"/>
    <row r="393" s="95" customFormat="1" x14ac:dyDescent="0.2"/>
    <row r="394" s="95" customFormat="1" x14ac:dyDescent="0.2"/>
    <row r="395" s="95" customFormat="1" x14ac:dyDescent="0.2"/>
    <row r="396" s="95" customFormat="1" x14ac:dyDescent="0.2"/>
    <row r="397" s="95" customFormat="1" x14ac:dyDescent="0.2"/>
    <row r="398" s="95" customFormat="1" x14ac:dyDescent="0.2"/>
    <row r="399" s="95" customFormat="1" x14ac:dyDescent="0.2"/>
    <row r="400" s="95" customFormat="1" x14ac:dyDescent="0.2"/>
    <row r="401" s="95" customFormat="1" x14ac:dyDescent="0.2"/>
    <row r="402" s="95" customFormat="1" x14ac:dyDescent="0.2"/>
    <row r="403" s="95" customFormat="1" x14ac:dyDescent="0.2"/>
    <row r="404" s="95" customFormat="1" x14ac:dyDescent="0.2"/>
    <row r="405" s="95" customFormat="1" x14ac:dyDescent="0.2"/>
    <row r="406" s="95" customFormat="1" x14ac:dyDescent="0.2"/>
    <row r="407" s="95" customFormat="1" x14ac:dyDescent="0.2"/>
    <row r="408" s="95" customFormat="1" x14ac:dyDescent="0.2"/>
    <row r="409" s="95" customFormat="1" x14ac:dyDescent="0.2"/>
    <row r="410" s="95" customFormat="1" x14ac:dyDescent="0.2"/>
    <row r="411" s="95" customFormat="1" x14ac:dyDescent="0.2"/>
    <row r="412" s="95" customFormat="1" x14ac:dyDescent="0.2"/>
    <row r="413" s="95" customFormat="1" x14ac:dyDescent="0.2"/>
    <row r="414" s="95" customFormat="1" x14ac:dyDescent="0.2"/>
    <row r="415" s="95" customFormat="1" x14ac:dyDescent="0.2"/>
    <row r="416" s="95" customFormat="1" x14ac:dyDescent="0.2"/>
    <row r="417" s="95" customFormat="1" x14ac:dyDescent="0.2"/>
    <row r="418" s="95" customFormat="1" x14ac:dyDescent="0.2"/>
    <row r="419" s="95" customFormat="1" x14ac:dyDescent="0.2"/>
    <row r="420" s="95" customFormat="1" x14ac:dyDescent="0.2"/>
    <row r="421" s="95" customFormat="1" x14ac:dyDescent="0.2"/>
    <row r="422" s="95" customFormat="1" x14ac:dyDescent="0.2"/>
    <row r="423" s="95" customFormat="1" x14ac:dyDescent="0.2"/>
    <row r="424" s="95" customFormat="1" x14ac:dyDescent="0.2"/>
    <row r="425" s="95" customFormat="1" x14ac:dyDescent="0.2"/>
    <row r="426" s="95" customFormat="1" x14ac:dyDescent="0.2"/>
    <row r="427" s="95" customFormat="1" x14ac:dyDescent="0.2"/>
    <row r="428" s="95" customFormat="1" x14ac:dyDescent="0.2"/>
    <row r="429" s="95" customFormat="1" x14ac:dyDescent="0.2"/>
    <row r="430" s="95" customFormat="1" x14ac:dyDescent="0.2"/>
    <row r="431" s="95" customFormat="1" x14ac:dyDescent="0.2"/>
    <row r="432" s="95" customFormat="1" x14ac:dyDescent="0.2"/>
    <row r="433" s="95" customFormat="1" x14ac:dyDescent="0.2"/>
    <row r="434" s="95" customFormat="1" x14ac:dyDescent="0.2"/>
    <row r="435" s="95" customFormat="1" x14ac:dyDescent="0.2"/>
    <row r="436" s="95" customFormat="1" x14ac:dyDescent="0.2"/>
    <row r="437" s="95" customFormat="1" x14ac:dyDescent="0.2"/>
    <row r="438" s="95" customFormat="1" x14ac:dyDescent="0.2"/>
    <row r="439" s="95" customFormat="1" x14ac:dyDescent="0.2"/>
    <row r="440" s="95" customFormat="1" x14ac:dyDescent="0.2"/>
    <row r="441" s="95" customFormat="1" x14ac:dyDescent="0.2"/>
    <row r="442" s="95" customFormat="1" x14ac:dyDescent="0.2"/>
    <row r="443" s="95" customFormat="1" x14ac:dyDescent="0.2"/>
    <row r="444" s="95" customFormat="1" x14ac:dyDescent="0.2"/>
    <row r="445" s="95" customFormat="1" x14ac:dyDescent="0.2"/>
    <row r="446" s="95" customFormat="1" x14ac:dyDescent="0.2"/>
    <row r="447" s="95" customFormat="1" x14ac:dyDescent="0.2"/>
    <row r="448" s="95" customFormat="1" x14ac:dyDescent="0.2"/>
    <row r="449" s="95" customFormat="1" x14ac:dyDescent="0.2"/>
    <row r="450" s="95" customFormat="1" x14ac:dyDescent="0.2"/>
    <row r="451" s="95" customFormat="1" x14ac:dyDescent="0.2"/>
    <row r="452" s="95" customFormat="1" x14ac:dyDescent="0.2"/>
    <row r="453" s="95" customFormat="1" x14ac:dyDescent="0.2"/>
    <row r="454" s="95" customFormat="1" x14ac:dyDescent="0.2"/>
    <row r="455" s="95" customFormat="1" x14ac:dyDescent="0.2"/>
    <row r="456" s="95" customFormat="1" x14ac:dyDescent="0.2"/>
    <row r="457" s="95" customFormat="1" x14ac:dyDescent="0.2"/>
    <row r="458" s="95" customFormat="1" x14ac:dyDescent="0.2"/>
    <row r="459" s="95" customFormat="1" x14ac:dyDescent="0.2"/>
    <row r="460" s="95" customFormat="1" x14ac:dyDescent="0.2"/>
    <row r="461" s="95" customFormat="1" x14ac:dyDescent="0.2"/>
    <row r="462" s="95" customFormat="1" x14ac:dyDescent="0.2"/>
    <row r="463" s="95" customFormat="1" x14ac:dyDescent="0.2"/>
    <row r="464" s="95" customFormat="1" x14ac:dyDescent="0.2"/>
    <row r="465" s="95" customFormat="1" x14ac:dyDescent="0.2"/>
    <row r="466" s="95" customFormat="1" x14ac:dyDescent="0.2"/>
    <row r="467" s="95" customFormat="1" x14ac:dyDescent="0.2"/>
    <row r="468" s="95" customFormat="1" x14ac:dyDescent="0.2"/>
    <row r="469" s="95" customFormat="1" x14ac:dyDescent="0.2"/>
    <row r="470" s="95" customFormat="1" x14ac:dyDescent="0.2"/>
    <row r="471" s="95" customFormat="1" x14ac:dyDescent="0.2"/>
    <row r="472" s="95" customFormat="1" x14ac:dyDescent="0.2"/>
    <row r="473" s="95" customFormat="1" x14ac:dyDescent="0.2"/>
    <row r="474" s="95" customFormat="1" x14ac:dyDescent="0.2"/>
    <row r="475" s="95" customFormat="1" x14ac:dyDescent="0.2"/>
    <row r="476" s="95" customFormat="1" x14ac:dyDescent="0.2"/>
    <row r="477" s="95" customFormat="1" x14ac:dyDescent="0.2"/>
    <row r="478" s="95" customFormat="1" x14ac:dyDescent="0.2"/>
    <row r="479" s="95" customFormat="1" x14ac:dyDescent="0.2"/>
    <row r="480" s="95" customFormat="1" x14ac:dyDescent="0.2"/>
    <row r="481" s="95" customFormat="1" x14ac:dyDescent="0.2"/>
    <row r="482" s="95" customFormat="1" x14ac:dyDescent="0.2"/>
    <row r="483" s="95" customFormat="1" x14ac:dyDescent="0.2"/>
    <row r="484" s="95" customFormat="1" x14ac:dyDescent="0.2"/>
    <row r="485" s="95" customFormat="1" x14ac:dyDescent="0.2"/>
    <row r="486" s="95" customFormat="1" x14ac:dyDescent="0.2"/>
    <row r="487" s="95" customFormat="1" x14ac:dyDescent="0.2"/>
    <row r="488" s="95" customFormat="1" x14ac:dyDescent="0.2"/>
    <row r="489" s="95" customFormat="1" x14ac:dyDescent="0.2"/>
    <row r="490" s="95" customFormat="1" x14ac:dyDescent="0.2"/>
    <row r="491" s="95" customFormat="1" x14ac:dyDescent="0.2"/>
    <row r="492" s="95" customFormat="1" x14ac:dyDescent="0.2"/>
    <row r="493" s="95" customFormat="1" x14ac:dyDescent="0.2"/>
    <row r="494" s="95" customFormat="1" x14ac:dyDescent="0.2"/>
    <row r="495" s="95" customFormat="1" x14ac:dyDescent="0.2"/>
    <row r="496" s="95" customFormat="1" x14ac:dyDescent="0.2"/>
    <row r="497" s="95" customFormat="1" x14ac:dyDescent="0.2"/>
    <row r="498" s="95" customFormat="1" x14ac:dyDescent="0.2"/>
    <row r="499" s="95" customFormat="1" x14ac:dyDescent="0.2"/>
    <row r="500" s="95" customFormat="1" x14ac:dyDescent="0.2"/>
    <row r="501" s="95" customFormat="1" x14ac:dyDescent="0.2"/>
    <row r="502" s="95" customFormat="1" x14ac:dyDescent="0.2"/>
    <row r="503" s="95" customFormat="1" x14ac:dyDescent="0.2"/>
    <row r="504" s="95" customFormat="1" x14ac:dyDescent="0.2"/>
    <row r="505" s="95" customFormat="1" x14ac:dyDescent="0.2"/>
    <row r="506" s="95" customFormat="1" x14ac:dyDescent="0.2"/>
    <row r="507" s="95" customFormat="1" x14ac:dyDescent="0.2"/>
    <row r="508" s="95" customFormat="1" x14ac:dyDescent="0.2"/>
    <row r="509" s="95" customFormat="1" x14ac:dyDescent="0.2"/>
    <row r="510" s="95" customFormat="1" x14ac:dyDescent="0.2"/>
    <row r="511" s="95" customFormat="1" x14ac:dyDescent="0.2"/>
    <row r="512" s="95" customFormat="1" x14ac:dyDescent="0.2"/>
    <row r="513" s="95" customFormat="1" x14ac:dyDescent="0.2"/>
    <row r="514" s="95" customFormat="1" x14ac:dyDescent="0.2"/>
    <row r="515" s="95" customFormat="1" x14ac:dyDescent="0.2"/>
    <row r="516" s="95" customFormat="1" x14ac:dyDescent="0.2"/>
    <row r="517" s="95" customFormat="1" x14ac:dyDescent="0.2"/>
    <row r="518" s="95" customFormat="1" x14ac:dyDescent="0.2"/>
    <row r="519" s="95" customFormat="1" x14ac:dyDescent="0.2"/>
    <row r="520" s="95" customFormat="1" x14ac:dyDescent="0.2"/>
    <row r="521" s="95" customFormat="1" x14ac:dyDescent="0.2"/>
    <row r="522" s="95" customFormat="1" x14ac:dyDescent="0.2"/>
    <row r="523" s="95" customFormat="1" x14ac:dyDescent="0.2"/>
    <row r="524" s="95" customFormat="1" x14ac:dyDescent="0.2"/>
    <row r="525" s="95" customFormat="1" x14ac:dyDescent="0.2"/>
    <row r="526" s="95" customFormat="1" x14ac:dyDescent="0.2"/>
    <row r="527" s="95" customFormat="1" x14ac:dyDescent="0.2"/>
    <row r="528" s="95" customFormat="1" x14ac:dyDescent="0.2"/>
    <row r="529" s="95" customFormat="1" x14ac:dyDescent="0.2"/>
    <row r="530" s="95" customFormat="1" x14ac:dyDescent="0.2"/>
    <row r="531" s="95" customFormat="1" x14ac:dyDescent="0.2"/>
    <row r="532" s="95" customFormat="1" x14ac:dyDescent="0.2"/>
    <row r="533" s="95" customFormat="1" x14ac:dyDescent="0.2"/>
    <row r="534" s="95" customFormat="1" x14ac:dyDescent="0.2"/>
    <row r="535" s="95" customFormat="1" x14ac:dyDescent="0.2"/>
    <row r="536" s="95" customFormat="1" x14ac:dyDescent="0.2"/>
    <row r="537" s="95" customFormat="1" x14ac:dyDescent="0.2"/>
    <row r="538" s="95" customFormat="1" x14ac:dyDescent="0.2"/>
    <row r="539" s="95" customFormat="1" x14ac:dyDescent="0.2"/>
    <row r="540" s="95" customFormat="1" x14ac:dyDescent="0.2"/>
    <row r="541" s="95" customFormat="1" x14ac:dyDescent="0.2"/>
    <row r="542" s="95" customFormat="1" x14ac:dyDescent="0.2"/>
    <row r="543" s="95" customFormat="1" x14ac:dyDescent="0.2"/>
    <row r="544" s="95" customFormat="1" x14ac:dyDescent="0.2"/>
    <row r="545" s="95" customFormat="1" x14ac:dyDescent="0.2"/>
    <row r="546" s="95" customFormat="1" x14ac:dyDescent="0.2"/>
    <row r="547" s="95" customFormat="1" x14ac:dyDescent="0.2"/>
    <row r="548" s="95" customFormat="1" x14ac:dyDescent="0.2"/>
    <row r="549" s="95" customFormat="1" x14ac:dyDescent="0.2"/>
    <row r="550" s="95" customFormat="1" x14ac:dyDescent="0.2"/>
    <row r="551" s="95" customFormat="1" x14ac:dyDescent="0.2"/>
    <row r="552" s="95" customFormat="1" x14ac:dyDescent="0.2"/>
    <row r="553" s="95" customFormat="1" x14ac:dyDescent="0.2"/>
    <row r="554" s="95" customFormat="1" x14ac:dyDescent="0.2"/>
    <row r="555" s="95" customFormat="1" x14ac:dyDescent="0.2"/>
    <row r="556" s="95" customFormat="1" x14ac:dyDescent="0.2"/>
    <row r="557" s="95" customFormat="1" x14ac:dyDescent="0.2"/>
    <row r="558" s="95" customFormat="1" x14ac:dyDescent="0.2"/>
    <row r="559" s="95" customFormat="1" x14ac:dyDescent="0.2"/>
    <row r="560" s="95" customFormat="1" x14ac:dyDescent="0.2"/>
    <row r="561" s="95" customFormat="1" x14ac:dyDescent="0.2"/>
    <row r="562" s="95" customFormat="1" x14ac:dyDescent="0.2"/>
    <row r="563" s="95" customFormat="1" x14ac:dyDescent="0.2"/>
    <row r="564" s="95" customFormat="1" x14ac:dyDescent="0.2"/>
    <row r="565" s="95" customFormat="1" x14ac:dyDescent="0.2"/>
    <row r="566" s="95" customFormat="1" x14ac:dyDescent="0.2"/>
    <row r="567" s="95" customFormat="1" x14ac:dyDescent="0.2"/>
    <row r="568" s="95" customFormat="1" x14ac:dyDescent="0.2"/>
    <row r="569" s="95" customFormat="1" x14ac:dyDescent="0.2"/>
    <row r="570" s="95" customFormat="1" x14ac:dyDescent="0.2"/>
    <row r="571" s="95" customFormat="1" x14ac:dyDescent="0.2"/>
    <row r="572" s="95" customFormat="1" x14ac:dyDescent="0.2"/>
    <row r="573" s="95" customFormat="1" x14ac:dyDescent="0.2"/>
    <row r="574" s="95" customFormat="1" x14ac:dyDescent="0.2"/>
    <row r="575" s="95" customFormat="1" x14ac:dyDescent="0.2"/>
    <row r="576" s="95" customFormat="1" x14ac:dyDescent="0.2"/>
    <row r="577" s="95" customFormat="1" x14ac:dyDescent="0.2"/>
    <row r="578" s="95" customFormat="1" x14ac:dyDescent="0.2"/>
    <row r="579" s="95" customFormat="1" x14ac:dyDescent="0.2"/>
    <row r="580" s="95" customFormat="1" x14ac:dyDescent="0.2"/>
    <row r="581" s="95" customFormat="1" x14ac:dyDescent="0.2"/>
    <row r="582" s="95" customFormat="1" x14ac:dyDescent="0.2"/>
    <row r="583" s="95" customFormat="1" x14ac:dyDescent="0.2"/>
    <row r="584" s="95" customFormat="1" x14ac:dyDescent="0.2"/>
    <row r="585" s="95" customFormat="1" x14ac:dyDescent="0.2"/>
    <row r="586" s="95" customFormat="1" x14ac:dyDescent="0.2"/>
    <row r="587" s="95" customFormat="1" x14ac:dyDescent="0.2"/>
    <row r="588" s="95" customFormat="1" x14ac:dyDescent="0.2"/>
    <row r="589" s="95" customFormat="1" x14ac:dyDescent="0.2"/>
    <row r="590" s="95" customFormat="1" x14ac:dyDescent="0.2"/>
    <row r="591" s="95" customFormat="1" x14ac:dyDescent="0.2"/>
    <row r="592" s="95" customFormat="1" x14ac:dyDescent="0.2"/>
    <row r="593" s="95" customFormat="1" x14ac:dyDescent="0.2"/>
    <row r="594" s="95" customFormat="1" x14ac:dyDescent="0.2"/>
    <row r="595" s="95" customFormat="1" x14ac:dyDescent="0.2"/>
    <row r="596" s="95" customFormat="1" x14ac:dyDescent="0.2"/>
    <row r="597" s="95" customFormat="1" x14ac:dyDescent="0.2"/>
    <row r="598" s="95" customFormat="1" x14ac:dyDescent="0.2"/>
    <row r="599" s="95" customFormat="1" x14ac:dyDescent="0.2"/>
    <row r="600" s="95" customFormat="1" x14ac:dyDescent="0.2"/>
    <row r="601" s="95" customFormat="1" x14ac:dyDescent="0.2"/>
    <row r="602" s="95" customFormat="1" x14ac:dyDescent="0.2"/>
    <row r="603" s="95" customFormat="1" x14ac:dyDescent="0.2"/>
    <row r="604" s="95" customFormat="1" x14ac:dyDescent="0.2"/>
    <row r="605" s="95" customFormat="1" x14ac:dyDescent="0.2"/>
    <row r="606" s="95" customFormat="1" x14ac:dyDescent="0.2"/>
    <row r="607" s="95" customFormat="1" x14ac:dyDescent="0.2"/>
    <row r="608" s="95" customFormat="1" x14ac:dyDescent="0.2"/>
    <row r="609" s="95" customFormat="1" x14ac:dyDescent="0.2"/>
    <row r="610" s="95" customFormat="1" x14ac:dyDescent="0.2"/>
    <row r="611" s="95" customFormat="1" x14ac:dyDescent="0.2"/>
    <row r="612" s="95" customFormat="1" x14ac:dyDescent="0.2"/>
    <row r="613" s="95" customFormat="1" x14ac:dyDescent="0.2"/>
    <row r="614" s="95" customFormat="1" x14ac:dyDescent="0.2"/>
    <row r="615" s="95" customFormat="1" x14ac:dyDescent="0.2"/>
    <row r="616" s="95" customFormat="1" x14ac:dyDescent="0.2"/>
    <row r="617" s="95" customFormat="1" x14ac:dyDescent="0.2"/>
    <row r="618" s="95" customFormat="1" x14ac:dyDescent="0.2"/>
    <row r="619" s="95" customFormat="1" x14ac:dyDescent="0.2"/>
    <row r="620" s="95" customFormat="1" x14ac:dyDescent="0.2"/>
    <row r="621" s="95" customFormat="1" x14ac:dyDescent="0.2"/>
    <row r="622" s="95" customFormat="1" x14ac:dyDescent="0.2"/>
    <row r="623" s="95" customFormat="1" x14ac:dyDescent="0.2"/>
    <row r="624" s="95" customFormat="1" x14ac:dyDescent="0.2"/>
    <row r="625" s="95" customFormat="1" x14ac:dyDescent="0.2"/>
    <row r="626" s="95" customFormat="1" x14ac:dyDescent="0.2"/>
    <row r="627" s="95" customFormat="1" x14ac:dyDescent="0.2"/>
    <row r="628" s="95" customFormat="1" x14ac:dyDescent="0.2"/>
    <row r="629" s="95" customFormat="1" x14ac:dyDescent="0.2"/>
    <row r="630" s="95" customFormat="1" x14ac:dyDescent="0.2"/>
    <row r="631" s="95" customFormat="1" x14ac:dyDescent="0.2"/>
    <row r="632" s="95" customFormat="1" x14ac:dyDescent="0.2"/>
    <row r="633" s="95" customFormat="1" x14ac:dyDescent="0.2"/>
    <row r="634" s="95" customFormat="1" x14ac:dyDescent="0.2"/>
    <row r="635" s="95" customFormat="1" x14ac:dyDescent="0.2"/>
    <row r="636" s="95" customFormat="1" x14ac:dyDescent="0.2"/>
    <row r="637" s="95" customFormat="1" x14ac:dyDescent="0.2"/>
    <row r="638" s="95" customFormat="1" x14ac:dyDescent="0.2"/>
    <row r="639" s="95" customFormat="1" x14ac:dyDescent="0.2"/>
    <row r="640" s="95" customFormat="1" x14ac:dyDescent="0.2"/>
    <row r="641" s="95" customFormat="1" x14ac:dyDescent="0.2"/>
    <row r="642" s="95" customFormat="1" x14ac:dyDescent="0.2"/>
    <row r="643" s="95" customFormat="1" x14ac:dyDescent="0.2"/>
    <row r="644" s="95" customFormat="1" x14ac:dyDescent="0.2"/>
    <row r="645" s="95" customFormat="1" x14ac:dyDescent="0.2"/>
    <row r="646" s="95" customFormat="1" x14ac:dyDescent="0.2"/>
    <row r="647" s="95" customFormat="1" x14ac:dyDescent="0.2"/>
    <row r="648" s="95" customFormat="1" x14ac:dyDescent="0.2"/>
    <row r="649" s="95" customFormat="1" x14ac:dyDescent="0.2"/>
    <row r="650" s="95" customFormat="1" x14ac:dyDescent="0.2"/>
    <row r="651" s="95" customFormat="1" x14ac:dyDescent="0.2"/>
    <row r="652" s="95" customFormat="1" x14ac:dyDescent="0.2"/>
    <row r="653" s="95" customFormat="1" x14ac:dyDescent="0.2"/>
    <row r="654" s="95" customFormat="1" x14ac:dyDescent="0.2"/>
    <row r="655" s="95" customFormat="1" x14ac:dyDescent="0.2"/>
    <row r="656" s="95" customFormat="1" x14ac:dyDescent="0.2"/>
    <row r="657" s="95" customFormat="1" x14ac:dyDescent="0.2"/>
    <row r="658" s="95" customFormat="1" x14ac:dyDescent="0.2"/>
    <row r="659" s="95" customFormat="1" x14ac:dyDescent="0.2"/>
    <row r="660" s="95" customFormat="1" x14ac:dyDescent="0.2"/>
    <row r="661" s="95" customFormat="1" x14ac:dyDescent="0.2"/>
    <row r="662" s="95" customFormat="1" x14ac:dyDescent="0.2"/>
    <row r="663" s="95" customFormat="1" x14ac:dyDescent="0.2"/>
    <row r="664" s="95" customFormat="1" x14ac:dyDescent="0.2"/>
    <row r="665" s="95" customFormat="1" x14ac:dyDescent="0.2"/>
    <row r="666" s="95" customFormat="1" x14ac:dyDescent="0.2"/>
    <row r="667" s="95" customFormat="1" x14ac:dyDescent="0.2"/>
    <row r="668" s="95" customFormat="1" x14ac:dyDescent="0.2"/>
    <row r="669" s="95" customFormat="1" x14ac:dyDescent="0.2"/>
    <row r="670" s="95" customFormat="1" x14ac:dyDescent="0.2"/>
    <row r="671" s="95" customFormat="1" x14ac:dyDescent="0.2"/>
    <row r="672" s="95" customFormat="1" x14ac:dyDescent="0.2"/>
    <row r="673" s="95" customFormat="1" x14ac:dyDescent="0.2"/>
    <row r="674" s="95" customFormat="1" x14ac:dyDescent="0.2"/>
    <row r="675" s="95" customFormat="1" x14ac:dyDescent="0.2"/>
    <row r="676" s="95" customFormat="1" x14ac:dyDescent="0.2"/>
    <row r="677" s="95" customFormat="1" x14ac:dyDescent="0.2"/>
    <row r="678" s="95" customFormat="1" x14ac:dyDescent="0.2"/>
    <row r="679" s="95" customFormat="1" x14ac:dyDescent="0.2"/>
    <row r="680" s="95" customFormat="1" x14ac:dyDescent="0.2"/>
    <row r="681" s="95" customFormat="1" x14ac:dyDescent="0.2"/>
    <row r="682" s="95" customFormat="1" x14ac:dyDescent="0.2"/>
    <row r="683" s="95" customFormat="1" x14ac:dyDescent="0.2"/>
    <row r="684" s="95" customFormat="1" x14ac:dyDescent="0.2"/>
    <row r="685" s="95" customFormat="1" x14ac:dyDescent="0.2"/>
    <row r="686" s="95" customFormat="1" x14ac:dyDescent="0.2"/>
    <row r="687" s="95" customFormat="1" x14ac:dyDescent="0.2"/>
    <row r="688" s="95" customFormat="1" x14ac:dyDescent="0.2"/>
    <row r="689" s="95" customFormat="1" x14ac:dyDescent="0.2"/>
    <row r="690" s="95" customFormat="1" x14ac:dyDescent="0.2"/>
    <row r="691" s="95" customFormat="1" x14ac:dyDescent="0.2"/>
    <row r="692" s="95" customFormat="1" x14ac:dyDescent="0.2"/>
    <row r="693" s="95" customFormat="1" x14ac:dyDescent="0.2"/>
    <row r="694" s="95" customFormat="1" x14ac:dyDescent="0.2"/>
    <row r="695" s="95" customFormat="1" x14ac:dyDescent="0.2"/>
    <row r="696" s="95" customFormat="1" x14ac:dyDescent="0.2"/>
    <row r="697" s="95" customFormat="1" x14ac:dyDescent="0.2"/>
    <row r="698" s="95" customFormat="1" x14ac:dyDescent="0.2"/>
    <row r="699" s="95" customFormat="1" x14ac:dyDescent="0.2"/>
    <row r="700" s="95" customFormat="1" x14ac:dyDescent="0.2"/>
  </sheetData>
  <mergeCells count="56">
    <mergeCell ref="A100:B100"/>
    <mergeCell ref="F44:J44"/>
    <mergeCell ref="S44:W44"/>
    <mergeCell ref="M76:W76"/>
    <mergeCell ref="C43:K43"/>
    <mergeCell ref="P43:X43"/>
    <mergeCell ref="O43:O45"/>
    <mergeCell ref="C44:C45"/>
    <mergeCell ref="D44:D45"/>
    <mergeCell ref="E44:E45"/>
    <mergeCell ref="X44:X45"/>
    <mergeCell ref="M43:M45"/>
    <mergeCell ref="A76:J76"/>
    <mergeCell ref="A127:B127"/>
    <mergeCell ref="N43:N45"/>
    <mergeCell ref="R44:R45"/>
    <mergeCell ref="A95:B95"/>
    <mergeCell ref="A98:B98"/>
    <mergeCell ref="H80:I80"/>
    <mergeCell ref="A80:B80"/>
    <mergeCell ref="A81:A82"/>
    <mergeCell ref="A83:A84"/>
    <mergeCell ref="A85:A86"/>
    <mergeCell ref="A87:A88"/>
    <mergeCell ref="A89:A90"/>
    <mergeCell ref="A78:I78"/>
    <mergeCell ref="K44:K45"/>
    <mergeCell ref="Q44:Q45"/>
    <mergeCell ref="P44:P45"/>
    <mergeCell ref="A6:E6"/>
    <mergeCell ref="B8:B9"/>
    <mergeCell ref="C8:C9"/>
    <mergeCell ref="D7:D9"/>
    <mergeCell ref="E7:E9"/>
    <mergeCell ref="A7:A9"/>
    <mergeCell ref="A1:D1"/>
    <mergeCell ref="C2:D2"/>
    <mergeCell ref="C3:D3"/>
    <mergeCell ref="A2:B2"/>
    <mergeCell ref="A3:B3"/>
    <mergeCell ref="A138:B138"/>
    <mergeCell ref="A129:B129"/>
    <mergeCell ref="B7:C7"/>
    <mergeCell ref="A121:B121"/>
    <mergeCell ref="A109:B109"/>
    <mergeCell ref="A117:B117"/>
    <mergeCell ref="A111:B111"/>
    <mergeCell ref="A115:B115"/>
    <mergeCell ref="A119:B119"/>
    <mergeCell ref="A123:B123"/>
    <mergeCell ref="A43:A45"/>
    <mergeCell ref="B43:B45"/>
    <mergeCell ref="A79:I79"/>
    <mergeCell ref="A91:A92"/>
    <mergeCell ref="A93:I93"/>
    <mergeCell ref="A125:B125"/>
  </mergeCells>
  <pageMargins left="0.25" right="0.25"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AF9C1-7ACB-4B37-9664-FA0AE41C20C2}">
  <sheetPr>
    <tabColor theme="6"/>
    <pageSetUpPr fitToPage="1"/>
  </sheetPr>
  <dimension ref="A1:CZ508"/>
  <sheetViews>
    <sheetView topLeftCell="A21" zoomScale="70" zoomScaleNormal="70" workbookViewId="0">
      <selection activeCell="K47" sqref="K47:K76"/>
    </sheetView>
  </sheetViews>
  <sheetFormatPr defaultColWidth="8.85546875" defaultRowHeight="12.75" x14ac:dyDescent="0.2"/>
  <cols>
    <col min="1" max="1" width="11.5703125" style="61" customWidth="1"/>
    <col min="2" max="2" width="14" style="61" customWidth="1"/>
    <col min="3" max="3" width="11.5703125" style="61" customWidth="1"/>
    <col min="4" max="4" width="14" style="61" customWidth="1"/>
    <col min="5" max="5" width="10.5703125" style="61" customWidth="1"/>
    <col min="6" max="6" width="13.7109375" style="61" customWidth="1"/>
    <col min="7" max="7" width="11.5703125" style="61" customWidth="1"/>
    <col min="8" max="8" width="15.5703125" style="61" customWidth="1"/>
    <col min="9" max="9" width="9.7109375" style="61" customWidth="1"/>
    <col min="10" max="10" width="13" style="61" customWidth="1"/>
    <col min="11" max="11" width="14.85546875" style="61" customWidth="1"/>
    <col min="12" max="12" width="18.42578125" style="61" customWidth="1"/>
    <col min="13" max="13" width="18.5703125" style="61" customWidth="1"/>
    <col min="14" max="14" width="14.140625" style="61" customWidth="1"/>
    <col min="15" max="15" width="11" style="61" bestFit="1" customWidth="1"/>
    <col min="16" max="16" width="14.42578125" style="61" customWidth="1"/>
    <col min="17" max="17" width="11" style="61" bestFit="1" customWidth="1"/>
    <col min="18" max="19" width="19.28515625" style="61" customWidth="1"/>
    <col min="20" max="20" width="12.85546875" style="61" customWidth="1"/>
    <col min="21" max="21" width="13.42578125" style="61" customWidth="1"/>
    <col min="22" max="23" width="11.7109375" style="61" customWidth="1"/>
    <col min="24" max="24" width="11.5703125" style="61" customWidth="1"/>
    <col min="25" max="25" width="13.140625" style="61" customWidth="1"/>
    <col min="26" max="26" width="12.42578125" style="61" customWidth="1"/>
    <col min="27" max="27" width="10.7109375" style="61" customWidth="1"/>
    <col min="28" max="28" width="16.140625" style="61" customWidth="1"/>
    <col min="29" max="31" width="15.7109375" style="61" customWidth="1"/>
    <col min="32" max="78" width="8.85546875" style="61"/>
    <col min="79" max="104" width="8.85546875" style="142"/>
    <col min="105" max="16384" width="8.85546875" style="61"/>
  </cols>
  <sheetData>
    <row r="1" spans="1:78" ht="18" customHeight="1" x14ac:dyDescent="0.2">
      <c r="A1" s="472" t="s">
        <v>86</v>
      </c>
      <c r="B1" s="473"/>
      <c r="C1" s="473"/>
      <c r="D1" s="473"/>
      <c r="E1" s="473"/>
      <c r="F1" s="474"/>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row>
    <row r="2" spans="1:78" ht="18" customHeight="1" x14ac:dyDescent="0.2">
      <c r="A2" s="412" t="s">
        <v>83</v>
      </c>
      <c r="B2" s="412"/>
      <c r="C2" s="412" t="s">
        <v>56</v>
      </c>
      <c r="D2" s="412"/>
      <c r="E2" s="472" t="s">
        <v>88</v>
      </c>
      <c r="F2" s="474"/>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row>
    <row r="3" spans="1:78" ht="18" customHeight="1" x14ac:dyDescent="0.3">
      <c r="A3" s="414" t="s">
        <v>92</v>
      </c>
      <c r="B3" s="414"/>
      <c r="C3" s="413">
        <f>R41</f>
        <v>3273956302.1784983</v>
      </c>
      <c r="D3" s="413"/>
      <c r="E3" s="475">
        <f>L77</f>
        <v>-62593694.654181503</v>
      </c>
      <c r="F3" s="476"/>
      <c r="G3" s="142"/>
      <c r="H3" s="261"/>
      <c r="I3" s="261"/>
      <c r="J3" s="261"/>
      <c r="K3" s="261"/>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ht="16.5" x14ac:dyDescent="0.3">
      <c r="A4" s="414" t="s">
        <v>93</v>
      </c>
      <c r="B4" s="414"/>
      <c r="C4" s="413">
        <f>S41</f>
        <v>374554075.40250713</v>
      </c>
      <c r="D4" s="413"/>
      <c r="E4" s="475">
        <f>M77</f>
        <v>-14833890.419363204</v>
      </c>
      <c r="F4" s="476"/>
      <c r="G4" s="142"/>
      <c r="H4" s="261"/>
      <c r="I4" s="261"/>
      <c r="J4" s="261"/>
      <c r="K4" s="261"/>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x14ac:dyDescent="0.2">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ht="18" x14ac:dyDescent="0.25">
      <c r="A6" s="211" t="s">
        <v>56</v>
      </c>
      <c r="B6" s="142"/>
      <c r="C6" s="148"/>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row>
    <row r="7" spans="1:78" x14ac:dyDescent="0.2">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78" ht="13.15" customHeight="1" x14ac:dyDescent="0.2">
      <c r="A8" s="455" t="s">
        <v>1</v>
      </c>
      <c r="B8" s="390" t="s">
        <v>79</v>
      </c>
      <c r="C8" s="391"/>
      <c r="D8" s="391"/>
      <c r="E8" s="391"/>
      <c r="F8" s="391"/>
      <c r="G8" s="391"/>
      <c r="H8" s="391"/>
      <c r="I8" s="391"/>
      <c r="J8" s="391"/>
      <c r="K8" s="392"/>
      <c r="L8" s="390" t="s">
        <v>41</v>
      </c>
      <c r="M8" s="391"/>
      <c r="N8" s="391"/>
      <c r="O8" s="392"/>
      <c r="P8" s="457" t="s">
        <v>80</v>
      </c>
      <c r="Q8" s="458"/>
      <c r="R8" s="461" t="s">
        <v>81</v>
      </c>
      <c r="S8" s="461" t="s">
        <v>89</v>
      </c>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ht="26.45" customHeight="1" x14ac:dyDescent="0.2">
      <c r="A9" s="470"/>
      <c r="B9" s="426" t="s">
        <v>245</v>
      </c>
      <c r="C9" s="428"/>
      <c r="D9" s="426" t="s">
        <v>303</v>
      </c>
      <c r="E9" s="428"/>
      <c r="F9" s="454" t="s">
        <v>176</v>
      </c>
      <c r="G9" s="454"/>
      <c r="H9" s="454" t="s">
        <v>201</v>
      </c>
      <c r="I9" s="454"/>
      <c r="J9" s="457" t="s">
        <v>177</v>
      </c>
      <c r="K9" s="458"/>
      <c r="L9" s="426" t="s">
        <v>245</v>
      </c>
      <c r="M9" s="428"/>
      <c r="N9" s="426" t="s">
        <v>303</v>
      </c>
      <c r="O9" s="428"/>
      <c r="P9" s="459"/>
      <c r="Q9" s="460"/>
      <c r="R9" s="462"/>
      <c r="S9" s="46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ht="40.5" customHeight="1" thickBot="1" x14ac:dyDescent="0.25">
      <c r="A10" s="471"/>
      <c r="B10" s="62" t="s">
        <v>34</v>
      </c>
      <c r="C10" s="62" t="s">
        <v>35</v>
      </c>
      <c r="D10" s="62" t="s">
        <v>34</v>
      </c>
      <c r="E10" s="62" t="s">
        <v>35</v>
      </c>
      <c r="F10" s="62" t="s">
        <v>34</v>
      </c>
      <c r="G10" s="62" t="s">
        <v>35</v>
      </c>
      <c r="H10" s="62" t="s">
        <v>34</v>
      </c>
      <c r="I10" s="62" t="s">
        <v>35</v>
      </c>
      <c r="J10" s="62" t="s">
        <v>34</v>
      </c>
      <c r="K10" s="62" t="s">
        <v>35</v>
      </c>
      <c r="L10" s="62" t="s">
        <v>34</v>
      </c>
      <c r="M10" s="212" t="s">
        <v>35</v>
      </c>
      <c r="N10" s="62" t="s">
        <v>34</v>
      </c>
      <c r="O10" s="62" t="s">
        <v>35</v>
      </c>
      <c r="P10" s="204" t="s">
        <v>34</v>
      </c>
      <c r="Q10" s="204" t="s">
        <v>35</v>
      </c>
      <c r="R10" s="463"/>
      <c r="S10" s="463"/>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row>
    <row r="11" spans="1:78" ht="13.5" thickTop="1" x14ac:dyDescent="0.2">
      <c r="A11" s="65">
        <v>2027</v>
      </c>
      <c r="B11" s="213">
        <f t="shared" ref="B11:B40" si="0">D187</f>
        <v>12280</v>
      </c>
      <c r="C11" s="64">
        <f t="shared" ref="C11:C40" si="1">C187</f>
        <v>2515</v>
      </c>
      <c r="D11" s="213">
        <f t="shared" ref="D11:D40" si="2">L187</f>
        <v>2894.5360714285712</v>
      </c>
      <c r="E11" s="64">
        <f t="shared" ref="E11:E40" si="3">K187</f>
        <v>592.85678571428571</v>
      </c>
      <c r="F11" s="213">
        <f>N92</f>
        <v>346501.46017096564</v>
      </c>
      <c r="G11" s="64">
        <f>O92</f>
        <v>74329.39725837177</v>
      </c>
      <c r="H11" s="213">
        <f t="shared" ref="H11:H40" si="4">P143</f>
        <v>1145.1444845096603</v>
      </c>
      <c r="I11" s="64">
        <f t="shared" ref="I11:I40" si="5">Q143</f>
        <v>214.38266054579663</v>
      </c>
      <c r="J11" s="213">
        <f>SUM(D11,F11,H11)</f>
        <v>350541.14072690386</v>
      </c>
      <c r="K11" s="64">
        <f>SUM(E11,G11,I11)</f>
        <v>75136.636704631863</v>
      </c>
      <c r="L11" s="213">
        <f>H187</f>
        <v>14118</v>
      </c>
      <c r="M11" s="64">
        <f t="shared" ref="M11:M40" si="6">G187</f>
        <v>3012</v>
      </c>
      <c r="N11" s="213">
        <f>N187</f>
        <v>2458.9090276707534</v>
      </c>
      <c r="O11" s="64">
        <f t="shared" ref="O11:O40" si="7">M187</f>
        <v>524.59512617540076</v>
      </c>
      <c r="P11" s="213">
        <f>J11-N11</f>
        <v>348082.23169923312</v>
      </c>
      <c r="Q11" s="66">
        <f t="shared" ref="Q11:Q40" si="8">K11-O11</f>
        <v>74612.041578456468</v>
      </c>
      <c r="R11" s="306">
        <f t="shared" ref="R11:R40" si="9">(P11*$A$299)+(Q11*$A$298)</f>
        <v>8528722.828032732</v>
      </c>
      <c r="S11" s="307">
        <f>R11*NPV!C11</f>
        <v>4963794.3362267325</v>
      </c>
      <c r="T11" s="147"/>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row>
    <row r="12" spans="1:78" x14ac:dyDescent="0.2">
      <c r="A12" s="65">
        <f t="shared" ref="A12:A32" si="10">A11+1</f>
        <v>2028</v>
      </c>
      <c r="B12" s="213">
        <f t="shared" si="0"/>
        <v>12477</v>
      </c>
      <c r="C12" s="64">
        <f t="shared" si="1"/>
        <v>2555</v>
      </c>
      <c r="D12" s="213">
        <f t="shared" si="2"/>
        <v>2940.9034285714283</v>
      </c>
      <c r="E12" s="64">
        <f t="shared" si="3"/>
        <v>602.35371428571432</v>
      </c>
      <c r="F12" s="213">
        <f t="shared" ref="F12:G12" si="11">N93</f>
        <v>364056.29687872529</v>
      </c>
      <c r="G12" s="64">
        <f t="shared" si="11"/>
        <v>78252.188846858538</v>
      </c>
      <c r="H12" s="213">
        <f t="shared" si="4"/>
        <v>1166.4403322542983</v>
      </c>
      <c r="I12" s="64">
        <f t="shared" si="5"/>
        <v>218.02088122112781</v>
      </c>
      <c r="J12" s="213">
        <f t="shared" ref="J12:J40" si="12">SUM(D12,F12,H12)</f>
        <v>368163.64063955098</v>
      </c>
      <c r="K12" s="64">
        <f t="shared" ref="K12:K40" si="13">SUM(E12,G12,I12)</f>
        <v>79072.563442365383</v>
      </c>
      <c r="L12" s="213">
        <f t="shared" ref="L12:L40" si="14">H188</f>
        <v>14344</v>
      </c>
      <c r="M12" s="64">
        <f t="shared" si="6"/>
        <v>3060</v>
      </c>
      <c r="N12" s="213">
        <f t="shared" ref="N12:N40" si="15">N188</f>
        <v>2498.2760050007455</v>
      </c>
      <c r="O12" s="64">
        <f t="shared" si="7"/>
        <v>532.95625873551876</v>
      </c>
      <c r="P12" s="213">
        <f t="shared" ref="P12:P40" si="16">J12-N12</f>
        <v>365665.36463455023</v>
      </c>
      <c r="Q12" s="66">
        <f t="shared" si="8"/>
        <v>78539.607183629865</v>
      </c>
      <c r="R12" s="306">
        <f t="shared" si="9"/>
        <v>8964429.9282142483</v>
      </c>
      <c r="S12" s="307">
        <f>R12*NPV!C12</f>
        <v>4876055.9209869215</v>
      </c>
      <c r="T12" s="147"/>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row>
    <row r="13" spans="1:78" x14ac:dyDescent="0.2">
      <c r="A13" s="65">
        <f t="shared" si="10"/>
        <v>2029</v>
      </c>
      <c r="B13" s="213">
        <f t="shared" si="0"/>
        <v>12677</v>
      </c>
      <c r="C13" s="64">
        <f t="shared" si="1"/>
        <v>2596</v>
      </c>
      <c r="D13" s="213">
        <f t="shared" si="2"/>
        <v>2988.0533571428568</v>
      </c>
      <c r="E13" s="64">
        <f t="shared" si="3"/>
        <v>612.01092857142862</v>
      </c>
      <c r="F13" s="213">
        <f t="shared" ref="F13:G13" si="17">N94</f>
        <v>383370.5724605291</v>
      </c>
      <c r="G13" s="64">
        <f t="shared" si="17"/>
        <v>82574.248474944543</v>
      </c>
      <c r="H13" s="213">
        <f t="shared" si="4"/>
        <v>1188.1886841548094</v>
      </c>
      <c r="I13" s="64">
        <f t="shared" si="5"/>
        <v>221.7244399849647</v>
      </c>
      <c r="J13" s="213">
        <f t="shared" si="12"/>
        <v>387546.81450182677</v>
      </c>
      <c r="K13" s="64">
        <f t="shared" si="13"/>
        <v>83407.98384350093</v>
      </c>
      <c r="L13" s="213">
        <f t="shared" si="14"/>
        <v>14574</v>
      </c>
      <c r="M13" s="64">
        <f t="shared" si="6"/>
        <v>3109</v>
      </c>
      <c r="N13" s="213">
        <f t="shared" si="15"/>
        <v>2538.3389982382037</v>
      </c>
      <c r="O13" s="64">
        <f t="shared" si="7"/>
        <v>541.49141934421402</v>
      </c>
      <c r="P13" s="213">
        <f t="shared" si="16"/>
        <v>385008.47550358856</v>
      </c>
      <c r="Q13" s="66">
        <f t="shared" si="8"/>
        <v>82866.492424156721</v>
      </c>
      <c r="R13" s="306">
        <f t="shared" si="9"/>
        <v>9443939.678178262</v>
      </c>
      <c r="S13" s="307">
        <f>R13*NPV!C13</f>
        <v>4800820.0503648939</v>
      </c>
      <c r="T13" s="147"/>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row>
    <row r="14" spans="1:78" x14ac:dyDescent="0.2">
      <c r="A14" s="65">
        <f t="shared" si="10"/>
        <v>2030</v>
      </c>
      <c r="B14" s="213">
        <f t="shared" si="0"/>
        <v>12879</v>
      </c>
      <c r="C14" s="64">
        <f t="shared" si="1"/>
        <v>2638</v>
      </c>
      <c r="D14" s="213">
        <f t="shared" si="2"/>
        <v>3035.7902142857138</v>
      </c>
      <c r="E14" s="64">
        <f t="shared" si="3"/>
        <v>621.78835714285719</v>
      </c>
      <c r="F14" s="213">
        <f t="shared" ref="F14:G14" si="18">N95</f>
        <v>404732.81392042158</v>
      </c>
      <c r="G14" s="64">
        <f t="shared" si="18"/>
        <v>87361.222972288815</v>
      </c>
      <c r="H14" s="213">
        <f t="shared" si="4"/>
        <v>2723.4029005349526</v>
      </c>
      <c r="I14" s="64">
        <f t="shared" si="5"/>
        <v>507.36292557101353</v>
      </c>
      <c r="J14" s="213">
        <f t="shared" si="12"/>
        <v>410492.00703524228</v>
      </c>
      <c r="K14" s="64">
        <f t="shared" si="13"/>
        <v>88490.37425500268</v>
      </c>
      <c r="L14" s="213">
        <f t="shared" si="14"/>
        <v>14807</v>
      </c>
      <c r="M14" s="64">
        <f t="shared" si="6"/>
        <v>3159</v>
      </c>
      <c r="N14" s="213">
        <f t="shared" si="15"/>
        <v>2578.8966622350154</v>
      </c>
      <c r="O14" s="64">
        <f t="shared" si="7"/>
        <v>550.1948102924573</v>
      </c>
      <c r="P14" s="213">
        <f t="shared" si="16"/>
        <v>407913.11037300725</v>
      </c>
      <c r="Q14" s="66">
        <f t="shared" si="8"/>
        <v>87940.179444710229</v>
      </c>
      <c r="R14" s="306">
        <f t="shared" si="9"/>
        <v>10010202.202573905</v>
      </c>
      <c r="S14" s="307">
        <f>R14*NPV!C14</f>
        <v>4755774.9568260154</v>
      </c>
      <c r="T14" s="147"/>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row>
    <row r="15" spans="1:78" x14ac:dyDescent="0.2">
      <c r="A15" s="65">
        <f t="shared" si="10"/>
        <v>2031</v>
      </c>
      <c r="B15" s="213">
        <f t="shared" si="0"/>
        <v>13085</v>
      </c>
      <c r="C15" s="64">
        <f t="shared" si="1"/>
        <v>2680</v>
      </c>
      <c r="D15" s="213">
        <f t="shared" si="2"/>
        <v>3084.3096428571425</v>
      </c>
      <c r="E15" s="64">
        <f t="shared" si="3"/>
        <v>631.72607142857146</v>
      </c>
      <c r="F15" s="213">
        <f t="shared" ref="F15:G15" si="19">N96</f>
        <v>428498.81745727954</v>
      </c>
      <c r="G15" s="64">
        <f t="shared" si="19"/>
        <v>92694.068556940052</v>
      </c>
      <c r="H15" s="213">
        <f t="shared" si="4"/>
        <v>2774.4531380474345</v>
      </c>
      <c r="I15" s="64">
        <f t="shared" si="5"/>
        <v>515.99877472791195</v>
      </c>
      <c r="J15" s="213">
        <f t="shared" si="12"/>
        <v>434357.58023818408</v>
      </c>
      <c r="K15" s="64">
        <f t="shared" si="13"/>
        <v>93841.793403096526</v>
      </c>
      <c r="L15" s="213">
        <f t="shared" si="14"/>
        <v>15044</v>
      </c>
      <c r="M15" s="64">
        <f t="shared" si="6"/>
        <v>3209</v>
      </c>
      <c r="N15" s="213">
        <f t="shared" si="15"/>
        <v>2620.1914359090752</v>
      </c>
      <c r="O15" s="64">
        <f t="shared" si="7"/>
        <v>558.90682782718841</v>
      </c>
      <c r="P15" s="213">
        <f t="shared" si="16"/>
        <v>431737.388802275</v>
      </c>
      <c r="Q15" s="66">
        <f t="shared" si="8"/>
        <v>93282.886575269338</v>
      </c>
      <c r="R15" s="306">
        <f t="shared" si="9"/>
        <v>10601212.166079018</v>
      </c>
      <c r="S15" s="307">
        <f>R15*NPV!C15</f>
        <v>4707064.9841874642</v>
      </c>
      <c r="T15" s="147"/>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row>
    <row r="16" spans="1:78" x14ac:dyDescent="0.2">
      <c r="A16" s="65">
        <f t="shared" si="10"/>
        <v>2032</v>
      </c>
      <c r="B16" s="213">
        <f t="shared" si="0"/>
        <v>13295</v>
      </c>
      <c r="C16" s="64">
        <f t="shared" si="1"/>
        <v>2723</v>
      </c>
      <c r="D16" s="213">
        <f t="shared" si="2"/>
        <v>3133.8072857142856</v>
      </c>
      <c r="E16" s="64">
        <f t="shared" si="3"/>
        <v>641.86414285714284</v>
      </c>
      <c r="F16" s="213">
        <f t="shared" ref="F16:G16" si="20">N97</f>
        <v>455112.48406812118</v>
      </c>
      <c r="G16" s="64">
        <f t="shared" si="20"/>
        <v>98673.792771235705</v>
      </c>
      <c r="H16" s="213">
        <f t="shared" si="4"/>
        <v>2826.6034668146308</v>
      </c>
      <c r="I16" s="64">
        <f t="shared" si="5"/>
        <v>524.79059197060826</v>
      </c>
      <c r="J16" s="213">
        <f t="shared" si="12"/>
        <v>461072.89482065011</v>
      </c>
      <c r="K16" s="64">
        <f t="shared" si="13"/>
        <v>99840.447506063458</v>
      </c>
      <c r="L16" s="213">
        <f t="shared" si="14"/>
        <v>15284</v>
      </c>
      <c r="M16" s="64">
        <f t="shared" si="6"/>
        <v>3261</v>
      </c>
      <c r="N16" s="213">
        <f t="shared" si="15"/>
        <v>2662.0080567055484</v>
      </c>
      <c r="O16" s="64">
        <f t="shared" si="7"/>
        <v>567.96704219555056</v>
      </c>
      <c r="P16" s="213">
        <f t="shared" si="16"/>
        <v>458410.88676394458</v>
      </c>
      <c r="Q16" s="66">
        <f t="shared" si="8"/>
        <v>99272.480463867905</v>
      </c>
      <c r="R16" s="306">
        <f t="shared" si="9"/>
        <v>11263147.271361738</v>
      </c>
      <c r="S16" s="307">
        <f>R16*NPV!C16</f>
        <v>4673805.6889479123</v>
      </c>
      <c r="T16" s="147"/>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row>
    <row r="17" spans="1:78" x14ac:dyDescent="0.2">
      <c r="A17" s="65">
        <f t="shared" si="10"/>
        <v>2033</v>
      </c>
      <c r="B17" s="213">
        <f t="shared" si="0"/>
        <v>13507</v>
      </c>
      <c r="C17" s="64">
        <f t="shared" si="1"/>
        <v>2767</v>
      </c>
      <c r="D17" s="213">
        <f t="shared" si="2"/>
        <v>3183.8918571428567</v>
      </c>
      <c r="E17" s="64">
        <f t="shared" si="3"/>
        <v>652.1224285714286</v>
      </c>
      <c r="F17" s="213">
        <f t="shared" ref="F17:G17" si="21">N98</f>
        <v>485134.91126687033</v>
      </c>
      <c r="G17" s="64">
        <f t="shared" si="21"/>
        <v>105428.07541334712</v>
      </c>
      <c r="H17" s="213">
        <f t="shared" si="4"/>
        <v>2879.8830477582883</v>
      </c>
      <c r="I17" s="64">
        <f t="shared" si="5"/>
        <v>533.74150315398094</v>
      </c>
      <c r="J17" s="213">
        <f t="shared" si="12"/>
        <v>491198.68617177149</v>
      </c>
      <c r="K17" s="64">
        <f t="shared" si="13"/>
        <v>106613.93934507253</v>
      </c>
      <c r="L17" s="213">
        <f t="shared" si="14"/>
        <v>15529</v>
      </c>
      <c r="M17" s="64">
        <f t="shared" si="6"/>
        <v>3313</v>
      </c>
      <c r="N17" s="213">
        <f t="shared" si="15"/>
        <v>2704.6265921573386</v>
      </c>
      <c r="O17" s="64">
        <f t="shared" si="7"/>
        <v>577.01255069980448</v>
      </c>
      <c r="P17" s="213">
        <f t="shared" si="16"/>
        <v>488494.05957961414</v>
      </c>
      <c r="Q17" s="66">
        <f t="shared" si="8"/>
        <v>106036.92679437273</v>
      </c>
      <c r="R17" s="306">
        <f t="shared" si="9"/>
        <v>12009981.011741772</v>
      </c>
      <c r="S17" s="307">
        <f>R17*NPV!C17</f>
        <v>4657677.7006441541</v>
      </c>
      <c r="T17" s="147"/>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row>
    <row r="18" spans="1:78" x14ac:dyDescent="0.2">
      <c r="A18" s="65">
        <f t="shared" si="10"/>
        <v>2034</v>
      </c>
      <c r="B18" s="213">
        <f t="shared" si="0"/>
        <v>13723</v>
      </c>
      <c r="C18" s="64">
        <f t="shared" si="1"/>
        <v>2811</v>
      </c>
      <c r="D18" s="213">
        <f t="shared" si="2"/>
        <v>3234.7589999999996</v>
      </c>
      <c r="E18" s="64">
        <f t="shared" si="3"/>
        <v>662.54100000000005</v>
      </c>
      <c r="F18" s="213">
        <f t="shared" ref="F18:G18" si="22">N99</f>
        <v>519285.82755608758</v>
      </c>
      <c r="G18" s="64">
        <f t="shared" si="22"/>
        <v>113120.69853557189</v>
      </c>
      <c r="H18" s="213">
        <f t="shared" si="4"/>
        <v>2934.3220277019782</v>
      </c>
      <c r="I18" s="64">
        <f t="shared" si="5"/>
        <v>542.85470747397346</v>
      </c>
      <c r="J18" s="213">
        <f t="shared" si="12"/>
        <v>525454.9085837896</v>
      </c>
      <c r="K18" s="64">
        <f t="shared" si="13"/>
        <v>114326.09424304587</v>
      </c>
      <c r="L18" s="213">
        <f t="shared" si="14"/>
        <v>15778</v>
      </c>
      <c r="M18" s="64">
        <f t="shared" si="6"/>
        <v>3366</v>
      </c>
      <c r="N18" s="213">
        <f t="shared" si="15"/>
        <v>2748.0094133048315</v>
      </c>
      <c r="O18" s="64">
        <f t="shared" si="7"/>
        <v>586.24665262923452</v>
      </c>
      <c r="P18" s="213">
        <f t="shared" si="16"/>
        <v>522706.89917048474</v>
      </c>
      <c r="Q18" s="66">
        <f t="shared" si="8"/>
        <v>113739.84759041663</v>
      </c>
      <c r="R18" s="306">
        <f t="shared" si="9"/>
        <v>12859640.800936509</v>
      </c>
      <c r="S18" s="307">
        <f>R18*NPV!C18</f>
        <v>4660925.6223299243</v>
      </c>
      <c r="T18" s="147"/>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row>
    <row r="19" spans="1:78" x14ac:dyDescent="0.2">
      <c r="A19" s="65">
        <f t="shared" si="10"/>
        <v>2035</v>
      </c>
      <c r="B19" s="213">
        <f t="shared" si="0"/>
        <v>13943</v>
      </c>
      <c r="C19" s="64">
        <f t="shared" si="1"/>
        <v>2856</v>
      </c>
      <c r="D19" s="213">
        <f t="shared" si="2"/>
        <v>3286.6043571428568</v>
      </c>
      <c r="E19" s="64">
        <f t="shared" si="3"/>
        <v>673.15992857142862</v>
      </c>
      <c r="F19" s="213">
        <f t="shared" ref="F19:G19" si="23">N100</f>
        <v>558503.94398967584</v>
      </c>
      <c r="G19" s="64">
        <f t="shared" si="23"/>
        <v>121965.28175213376</v>
      </c>
      <c r="H19" s="213">
        <f t="shared" si="4"/>
        <v>2989.9515813250423</v>
      </c>
      <c r="I19" s="64">
        <f t="shared" si="5"/>
        <v>552.13347955690472</v>
      </c>
      <c r="J19" s="213">
        <f t="shared" si="12"/>
        <v>564780.49992814369</v>
      </c>
      <c r="K19" s="64">
        <f t="shared" si="13"/>
        <v>123190.57516026209</v>
      </c>
      <c r="L19" s="213">
        <f t="shared" si="14"/>
        <v>16029</v>
      </c>
      <c r="M19" s="64">
        <f t="shared" si="6"/>
        <v>3420</v>
      </c>
      <c r="N19" s="213">
        <f t="shared" si="15"/>
        <v>2791.7538307661798</v>
      </c>
      <c r="O19" s="64">
        <f t="shared" si="7"/>
        <v>595.65775165140269</v>
      </c>
      <c r="P19" s="213">
        <f t="shared" si="16"/>
        <v>561988.7460973775</v>
      </c>
      <c r="Q19" s="66">
        <f t="shared" si="8"/>
        <v>122594.91740861068</v>
      </c>
      <c r="R19" s="306">
        <f t="shared" si="9"/>
        <v>13835522.011328265</v>
      </c>
      <c r="S19" s="307">
        <f>R19*NPV!C19</f>
        <v>4686569.983813257</v>
      </c>
      <c r="T19" s="147"/>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row>
    <row r="20" spans="1:78" x14ac:dyDescent="0.2">
      <c r="A20" s="65">
        <f t="shared" si="10"/>
        <v>2036</v>
      </c>
      <c r="B20" s="213">
        <f t="shared" si="0"/>
        <v>14166</v>
      </c>
      <c r="C20" s="64">
        <f t="shared" si="1"/>
        <v>2902</v>
      </c>
      <c r="D20" s="213">
        <f t="shared" si="2"/>
        <v>3339.2322857142854</v>
      </c>
      <c r="E20" s="64">
        <f t="shared" si="3"/>
        <v>683.93914285714288</v>
      </c>
      <c r="F20" s="213">
        <f t="shared" ref="F20:G20" si="24">N101</f>
        <v>604037.12883613759</v>
      </c>
      <c r="G20" s="64">
        <f t="shared" si="24"/>
        <v>132245.80493725147</v>
      </c>
      <c r="H20" s="213">
        <f t="shared" si="4"/>
        <v>3046.8039552849436</v>
      </c>
      <c r="I20" s="64">
        <f t="shared" si="5"/>
        <v>561.58117162098165</v>
      </c>
      <c r="J20" s="213">
        <f t="shared" si="12"/>
        <v>610423.16507713683</v>
      </c>
      <c r="K20" s="64">
        <f t="shared" si="13"/>
        <v>133491.32525172961</v>
      </c>
      <c r="L20" s="213">
        <f t="shared" si="14"/>
        <v>16286</v>
      </c>
      <c r="M20" s="64">
        <f t="shared" si="6"/>
        <v>3474</v>
      </c>
      <c r="N20" s="213">
        <f t="shared" si="15"/>
        <v>2836.5015072696538</v>
      </c>
      <c r="O20" s="64">
        <f t="shared" si="7"/>
        <v>605.05994327979715</v>
      </c>
      <c r="P20" s="213">
        <f t="shared" si="16"/>
        <v>607586.66356986715</v>
      </c>
      <c r="Q20" s="66">
        <f t="shared" si="8"/>
        <v>132886.2653084498</v>
      </c>
      <c r="R20" s="306">
        <f t="shared" si="9"/>
        <v>14968698.249400875</v>
      </c>
      <c r="S20" s="307">
        <f>R20*NPV!C20</f>
        <v>4738706.524345275</v>
      </c>
      <c r="T20" s="147"/>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row>
    <row r="21" spans="1:78" x14ac:dyDescent="0.2">
      <c r="A21" s="65">
        <f t="shared" si="10"/>
        <v>2037</v>
      </c>
      <c r="B21" s="213">
        <f t="shared" si="0"/>
        <v>14393</v>
      </c>
      <c r="C21" s="64">
        <f t="shared" si="1"/>
        <v>2948</v>
      </c>
      <c r="D21" s="213">
        <f t="shared" si="2"/>
        <v>3392.6427857142858</v>
      </c>
      <c r="E21" s="64">
        <f t="shared" si="3"/>
        <v>694.87864285714295</v>
      </c>
      <c r="F21" s="213">
        <f t="shared" ref="F21:G21" si="25">N102</f>
        <v>657581.14198331616</v>
      </c>
      <c r="G21" s="64">
        <f t="shared" si="25"/>
        <v>144348.18255473248</v>
      </c>
      <c r="H21" s="213">
        <f t="shared" si="4"/>
        <v>3104.9125146400006</v>
      </c>
      <c r="I21" s="64">
        <f t="shared" si="5"/>
        <v>571.20121571295942</v>
      </c>
      <c r="J21" s="213">
        <f t="shared" si="12"/>
        <v>664078.69728367042</v>
      </c>
      <c r="K21" s="64">
        <f t="shared" si="13"/>
        <v>145614.26241330258</v>
      </c>
      <c r="L21" s="213">
        <f t="shared" si="14"/>
        <v>16547</v>
      </c>
      <c r="M21" s="64">
        <f t="shared" si="6"/>
        <v>3530</v>
      </c>
      <c r="N21" s="213">
        <f t="shared" si="15"/>
        <v>2881.972376371848</v>
      </c>
      <c r="O21" s="64">
        <f t="shared" si="7"/>
        <v>614.81612912265803</v>
      </c>
      <c r="P21" s="213">
        <f t="shared" si="16"/>
        <v>661196.72490729857</v>
      </c>
      <c r="Q21" s="66">
        <f t="shared" si="8"/>
        <v>144999.44628417992</v>
      </c>
      <c r="R21" s="306">
        <f t="shared" si="9"/>
        <v>16301404.321393386</v>
      </c>
      <c r="S21" s="307">
        <f>R21*NPV!C21</f>
        <v>4822997.3240692727</v>
      </c>
      <c r="T21" s="147"/>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row>
    <row r="22" spans="1:78" x14ac:dyDescent="0.2">
      <c r="A22" s="65">
        <f t="shared" si="10"/>
        <v>2038</v>
      </c>
      <c r="B22" s="213">
        <f t="shared" si="0"/>
        <v>14623</v>
      </c>
      <c r="C22" s="64">
        <f t="shared" si="1"/>
        <v>2995</v>
      </c>
      <c r="D22" s="213">
        <f t="shared" si="2"/>
        <v>3446.8358571428571</v>
      </c>
      <c r="E22" s="64">
        <f t="shared" si="3"/>
        <v>705.97842857142859</v>
      </c>
      <c r="F22" s="213">
        <f t="shared" ref="F22:G22" si="26">N103</f>
        <v>721500.44532234001</v>
      </c>
      <c r="G22" s="64">
        <f t="shared" si="26"/>
        <v>158810.51752444691</v>
      </c>
      <c r="H22" s="213">
        <f t="shared" si="4"/>
        <v>3164.3117917137729</v>
      </c>
      <c r="I22" s="64">
        <f t="shared" si="5"/>
        <v>580.99712602304078</v>
      </c>
      <c r="J22" s="213">
        <f t="shared" si="12"/>
        <v>728111.59297119663</v>
      </c>
      <c r="K22" s="64">
        <f t="shared" si="13"/>
        <v>160097.49307904139</v>
      </c>
      <c r="L22" s="213">
        <f t="shared" si="14"/>
        <v>16811</v>
      </c>
      <c r="M22" s="64">
        <f t="shared" si="6"/>
        <v>3587</v>
      </c>
      <c r="N22" s="213">
        <f t="shared" si="15"/>
        <v>2927.9379163115541</v>
      </c>
      <c r="O22" s="64">
        <f t="shared" si="7"/>
        <v>624.74054522690767</v>
      </c>
      <c r="P22" s="213">
        <f t="shared" si="16"/>
        <v>725183.65505488508</v>
      </c>
      <c r="Q22" s="66">
        <f t="shared" si="8"/>
        <v>159472.75253381449</v>
      </c>
      <c r="R22" s="306">
        <f t="shared" si="9"/>
        <v>17892548.20352393</v>
      </c>
      <c r="S22" s="307">
        <f>R22*NPV!C22</f>
        <v>4947438.6770724924</v>
      </c>
      <c r="T22" s="147"/>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row>
    <row r="23" spans="1:78" x14ac:dyDescent="0.2">
      <c r="A23" s="65">
        <f t="shared" si="10"/>
        <v>2039</v>
      </c>
      <c r="B23" s="213">
        <f t="shared" si="0"/>
        <v>14857</v>
      </c>
      <c r="C23" s="64">
        <f t="shared" si="1"/>
        <v>3043</v>
      </c>
      <c r="D23" s="213">
        <f t="shared" si="2"/>
        <v>3502.0071428571423</v>
      </c>
      <c r="E23" s="64">
        <f t="shared" si="3"/>
        <v>717.27857142857135</v>
      </c>
      <c r="F23" s="213">
        <f t="shared" ref="F23:G23" si="27">N104</f>
        <v>799193.93514121615</v>
      </c>
      <c r="G23" s="64">
        <f t="shared" si="27"/>
        <v>176406.33765026656</v>
      </c>
      <c r="H23" s="213">
        <f t="shared" si="4"/>
        <v>3225.0375375523172</v>
      </c>
      <c r="I23" s="64">
        <f t="shared" si="5"/>
        <v>590.97250128124745</v>
      </c>
      <c r="J23" s="213">
        <f t="shared" si="12"/>
        <v>805920.97982162563</v>
      </c>
      <c r="K23" s="64">
        <f t="shared" si="13"/>
        <v>177714.58872297639</v>
      </c>
      <c r="L23" s="213">
        <f t="shared" si="14"/>
        <v>17081</v>
      </c>
      <c r="M23" s="64">
        <f t="shared" si="6"/>
        <v>3644</v>
      </c>
      <c r="N23" s="213">
        <f t="shared" si="15"/>
        <v>2974.974985219847</v>
      </c>
      <c r="O23" s="64">
        <f t="shared" si="7"/>
        <v>634.67061917575802</v>
      </c>
      <c r="P23" s="213">
        <f t="shared" si="16"/>
        <v>802946.00483640574</v>
      </c>
      <c r="Q23" s="66">
        <f t="shared" si="8"/>
        <v>177079.91810380062</v>
      </c>
      <c r="R23" s="306">
        <f t="shared" si="9"/>
        <v>19826794.96416872</v>
      </c>
      <c r="S23" s="307">
        <f>R23*NPV!C23</f>
        <v>5123620.5836355146</v>
      </c>
      <c r="T23" s="147"/>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row>
    <row r="24" spans="1:78" x14ac:dyDescent="0.2">
      <c r="A24" s="65">
        <f t="shared" si="10"/>
        <v>2040</v>
      </c>
      <c r="B24" s="213">
        <f t="shared" si="0"/>
        <v>15094</v>
      </c>
      <c r="C24" s="64">
        <f t="shared" si="1"/>
        <v>3092</v>
      </c>
      <c r="D24" s="213">
        <f t="shared" si="2"/>
        <v>3557.9609999999998</v>
      </c>
      <c r="E24" s="64">
        <f t="shared" si="3"/>
        <v>728.73900000000003</v>
      </c>
      <c r="F24" s="213">
        <f t="shared" ref="F24:G24" si="28">N105</f>
        <v>895730.19331909833</v>
      </c>
      <c r="G24" s="64">
        <f t="shared" si="28"/>
        <v>198289.171387979</v>
      </c>
      <c r="H24" s="213">
        <f t="shared" si="4"/>
        <v>5843.7809353535713</v>
      </c>
      <c r="I24" s="64">
        <f t="shared" si="5"/>
        <v>1068.6773817576038</v>
      </c>
      <c r="J24" s="213">
        <f t="shared" si="12"/>
        <v>905131.93525445194</v>
      </c>
      <c r="K24" s="64">
        <f t="shared" si="13"/>
        <v>200086.58776973662</v>
      </c>
      <c r="L24" s="213">
        <f t="shared" si="14"/>
        <v>17354</v>
      </c>
      <c r="M24" s="64">
        <f t="shared" si="6"/>
        <v>3702</v>
      </c>
      <c r="N24" s="213">
        <f t="shared" si="15"/>
        <v>3022.5067249949898</v>
      </c>
      <c r="O24" s="64">
        <f t="shared" si="7"/>
        <v>644.76892335665866</v>
      </c>
      <c r="P24" s="213">
        <f t="shared" si="16"/>
        <v>902109.42852945696</v>
      </c>
      <c r="Q24" s="66">
        <f t="shared" si="8"/>
        <v>199441.81884637996</v>
      </c>
      <c r="R24" s="306">
        <f t="shared" si="9"/>
        <v>22290566.791145779</v>
      </c>
      <c r="S24" s="307">
        <f>R24*NPV!C24</f>
        <v>5383463.59095685</v>
      </c>
      <c r="T24" s="147"/>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row>
    <row r="25" spans="1:78" x14ac:dyDescent="0.2">
      <c r="A25" s="65">
        <f t="shared" si="10"/>
        <v>2041</v>
      </c>
      <c r="B25" s="213">
        <f t="shared" si="0"/>
        <v>15230</v>
      </c>
      <c r="C25" s="64">
        <f t="shared" si="1"/>
        <v>3120</v>
      </c>
      <c r="D25" s="213">
        <f t="shared" si="2"/>
        <v>3590.0464285714288</v>
      </c>
      <c r="E25" s="64">
        <f t="shared" si="3"/>
        <v>735.31071428571443</v>
      </c>
      <c r="F25" s="213">
        <f t="shared" ref="F25:G25" si="29">N106</f>
        <v>961352.74243227509</v>
      </c>
      <c r="G25" s="64">
        <f t="shared" si="29"/>
        <v>213173.98199174189</v>
      </c>
      <c r="H25" s="213">
        <f t="shared" si="4"/>
        <v>5907.1815162019384</v>
      </c>
      <c r="I25" s="64">
        <f t="shared" si="5"/>
        <v>1079.0174462815903</v>
      </c>
      <c r="J25" s="213">
        <f t="shared" si="12"/>
        <v>970849.97037704848</v>
      </c>
      <c r="K25" s="64">
        <f t="shared" si="13"/>
        <v>214988.31015230919</v>
      </c>
      <c r="L25" s="213">
        <f t="shared" si="14"/>
        <v>17632</v>
      </c>
      <c r="M25" s="64">
        <f t="shared" si="6"/>
        <v>3761</v>
      </c>
      <c r="N25" s="213">
        <f t="shared" si="15"/>
        <v>3070.9358259551882</v>
      </c>
      <c r="O25" s="64">
        <f t="shared" si="7"/>
        <v>655.04705316569095</v>
      </c>
      <c r="P25" s="213">
        <f t="shared" si="16"/>
        <v>967779.03455109324</v>
      </c>
      <c r="Q25" s="66">
        <f t="shared" si="8"/>
        <v>214333.26309914349</v>
      </c>
      <c r="R25" s="306">
        <f t="shared" si="9"/>
        <v>23924709.221918188</v>
      </c>
      <c r="S25" s="307">
        <f>R25*NPV!C25</f>
        <v>5400121.8444753839</v>
      </c>
      <c r="T25" s="147"/>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row>
    <row r="26" spans="1:78" x14ac:dyDescent="0.2">
      <c r="A26" s="65">
        <f t="shared" si="10"/>
        <v>2042</v>
      </c>
      <c r="B26" s="213">
        <f t="shared" si="0"/>
        <v>15367</v>
      </c>
      <c r="C26" s="64">
        <f t="shared" si="1"/>
        <v>3148</v>
      </c>
      <c r="D26" s="213">
        <f t="shared" si="2"/>
        <v>3622.3274999999999</v>
      </c>
      <c r="E26" s="64">
        <f t="shared" si="3"/>
        <v>741.92250000000001</v>
      </c>
      <c r="F26" s="213">
        <f t="shared" ref="F26:G26" si="30">N107</f>
        <v>1037445.2187986932</v>
      </c>
      <c r="G26" s="64">
        <f t="shared" si="30"/>
        <v>230441.17504376933</v>
      </c>
      <c r="H26" s="213">
        <f t="shared" si="4"/>
        <v>5971.3886796004927</v>
      </c>
      <c r="I26" s="64">
        <f t="shared" si="5"/>
        <v>1089.4646146504674</v>
      </c>
      <c r="J26" s="213">
        <f t="shared" si="12"/>
        <v>1047038.9349782936</v>
      </c>
      <c r="K26" s="64">
        <f t="shared" si="13"/>
        <v>232272.56215841978</v>
      </c>
      <c r="L26" s="213">
        <f t="shared" si="14"/>
        <v>17790</v>
      </c>
      <c r="M26" s="64">
        <f t="shared" si="6"/>
        <v>3795</v>
      </c>
      <c r="N26" s="213">
        <f t="shared" si="15"/>
        <v>3098.4837932630262</v>
      </c>
      <c r="O26" s="64">
        <f t="shared" si="7"/>
        <v>660.97504190180916</v>
      </c>
      <c r="P26" s="213">
        <f t="shared" si="16"/>
        <v>1043940.4511850306</v>
      </c>
      <c r="Q26" s="66">
        <f t="shared" si="8"/>
        <v>231611.58711651797</v>
      </c>
      <c r="R26" s="306">
        <f t="shared" si="9"/>
        <v>25820170.959400803</v>
      </c>
      <c r="S26" s="307">
        <f>R26*NPV!C26</f>
        <v>5446684.5913261548</v>
      </c>
      <c r="T26" s="147"/>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row>
    <row r="27" spans="1:78" x14ac:dyDescent="0.2">
      <c r="A27" s="65">
        <f t="shared" si="10"/>
        <v>2043</v>
      </c>
      <c r="B27" s="213">
        <f t="shared" si="0"/>
        <v>15505</v>
      </c>
      <c r="C27" s="64">
        <f t="shared" si="1"/>
        <v>3176</v>
      </c>
      <c r="D27" s="213">
        <f t="shared" si="2"/>
        <v>3654.8042142857144</v>
      </c>
      <c r="E27" s="64">
        <f t="shared" si="3"/>
        <v>748.57435714285714</v>
      </c>
      <c r="F27" s="213">
        <f t="shared" ref="F27:G27" si="31">N108</f>
        <v>1126755.369843987</v>
      </c>
      <c r="G27" s="64">
        <f t="shared" si="31"/>
        <v>250716.10179675714</v>
      </c>
      <c r="H27" s="213">
        <f t="shared" si="4"/>
        <v>6036.415289310431</v>
      </c>
      <c r="I27" s="64">
        <f t="shared" si="5"/>
        <v>1100.0201337315639</v>
      </c>
      <c r="J27" s="213">
        <f t="shared" si="12"/>
        <v>1136446.5893475832</v>
      </c>
      <c r="K27" s="64">
        <f t="shared" si="13"/>
        <v>252564.69628763155</v>
      </c>
      <c r="L27" s="213">
        <f t="shared" si="14"/>
        <v>17950</v>
      </c>
      <c r="M27" s="64">
        <f t="shared" si="6"/>
        <v>3830</v>
      </c>
      <c r="N27" s="213">
        <f t="shared" si="15"/>
        <v>3126.3250855205401</v>
      </c>
      <c r="O27" s="64">
        <f t="shared" si="7"/>
        <v>667.06546393000951</v>
      </c>
      <c r="P27" s="213">
        <f t="shared" si="16"/>
        <v>1133320.2642620627</v>
      </c>
      <c r="Q27" s="66">
        <f t="shared" si="8"/>
        <v>251897.63082370153</v>
      </c>
      <c r="R27" s="306">
        <f t="shared" si="9"/>
        <v>28044879.759660926</v>
      </c>
      <c r="S27" s="307">
        <f>R27*NPV!C27</f>
        <v>5528953.2514875643</v>
      </c>
      <c r="T27" s="147"/>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row>
    <row r="28" spans="1:78" x14ac:dyDescent="0.2">
      <c r="A28" s="65">
        <f t="shared" si="10"/>
        <v>2044</v>
      </c>
      <c r="B28" s="213">
        <f t="shared" si="0"/>
        <v>15645</v>
      </c>
      <c r="C28" s="64">
        <f t="shared" si="1"/>
        <v>3205</v>
      </c>
      <c r="D28" s="213">
        <f t="shared" si="2"/>
        <v>3687.8678571428568</v>
      </c>
      <c r="E28" s="64">
        <f t="shared" si="3"/>
        <v>755.34642857142853</v>
      </c>
      <c r="F28" s="213">
        <f t="shared" ref="F28:G28" si="32">N109</f>
        <v>1233085.2707028049</v>
      </c>
      <c r="G28" s="64">
        <f t="shared" si="32"/>
        <v>274864.06617411837</v>
      </c>
      <c r="H28" s="213">
        <f t="shared" si="4"/>
        <v>6102.2744729180713</v>
      </c>
      <c r="I28" s="64">
        <f t="shared" si="5"/>
        <v>1110.6852676013143</v>
      </c>
      <c r="J28" s="213">
        <f t="shared" si="12"/>
        <v>1242875.4130328659</v>
      </c>
      <c r="K28" s="64">
        <f t="shared" si="13"/>
        <v>276730.09787029115</v>
      </c>
      <c r="L28" s="213">
        <f t="shared" si="14"/>
        <v>18112</v>
      </c>
      <c r="M28" s="64">
        <f t="shared" si="6"/>
        <v>3864</v>
      </c>
      <c r="N28" s="213">
        <f t="shared" si="15"/>
        <v>3154.5418917100374</v>
      </c>
      <c r="O28" s="64">
        <f t="shared" si="7"/>
        <v>672.98751488336939</v>
      </c>
      <c r="P28" s="213">
        <f t="shared" si="16"/>
        <v>1239720.8711411557</v>
      </c>
      <c r="Q28" s="66">
        <f t="shared" si="8"/>
        <v>276057.11035540776</v>
      </c>
      <c r="R28" s="306">
        <f t="shared" si="9"/>
        <v>30693562.592373244</v>
      </c>
      <c r="S28" s="307">
        <f>R28*NPV!C28</f>
        <v>5655263.6628721496</v>
      </c>
      <c r="T28" s="147"/>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row>
    <row r="29" spans="1:78" x14ac:dyDescent="0.2">
      <c r="A29" s="65">
        <f t="shared" si="10"/>
        <v>2045</v>
      </c>
      <c r="B29" s="213">
        <f t="shared" si="0"/>
        <v>15786</v>
      </c>
      <c r="C29" s="64">
        <f t="shared" si="1"/>
        <v>3233</v>
      </c>
      <c r="D29" s="213">
        <f t="shared" si="2"/>
        <v>3720.9315000000001</v>
      </c>
      <c r="E29" s="64">
        <f t="shared" si="3"/>
        <v>762.11850000000004</v>
      </c>
      <c r="F29" s="213">
        <f t="shared" ref="F29:G29" si="33">N110</f>
        <v>1361850.6828983659</v>
      </c>
      <c r="G29" s="64">
        <f t="shared" si="33"/>
        <v>304117.62829050276</v>
      </c>
      <c r="H29" s="213">
        <f t="shared" si="4"/>
        <v>6168.9796286336623</v>
      </c>
      <c r="I29" s="64">
        <f t="shared" si="5"/>
        <v>1121.461297835393</v>
      </c>
      <c r="J29" s="213">
        <f t="shared" si="12"/>
        <v>1371740.5940269995</v>
      </c>
      <c r="K29" s="64">
        <f t="shared" si="13"/>
        <v>306001.20808833814</v>
      </c>
      <c r="L29" s="213">
        <f t="shared" si="14"/>
        <v>18274</v>
      </c>
      <c r="M29" s="64">
        <f t="shared" si="6"/>
        <v>3899</v>
      </c>
      <c r="N29" s="213">
        <f t="shared" si="15"/>
        <v>3182.785873814455</v>
      </c>
      <c r="O29" s="64">
        <f t="shared" si="7"/>
        <v>679.08953277895159</v>
      </c>
      <c r="P29" s="213">
        <f t="shared" si="16"/>
        <v>1368557.8081531851</v>
      </c>
      <c r="Q29" s="66">
        <f t="shared" si="8"/>
        <v>305322.11855555919</v>
      </c>
      <c r="R29" s="306">
        <f t="shared" si="9"/>
        <v>33901106.017453238</v>
      </c>
      <c r="S29" s="307">
        <f>R29*NPV!C29</f>
        <v>5837617.6643084176</v>
      </c>
      <c r="T29" s="147"/>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row>
    <row r="30" spans="1:78" x14ac:dyDescent="0.2">
      <c r="A30" s="65">
        <f t="shared" si="10"/>
        <v>2046</v>
      </c>
      <c r="B30" s="213">
        <f t="shared" si="0"/>
        <v>15928</v>
      </c>
      <c r="C30" s="64">
        <f t="shared" si="1"/>
        <v>3262</v>
      </c>
      <c r="D30" s="213">
        <f t="shared" si="2"/>
        <v>3754.386428571429</v>
      </c>
      <c r="E30" s="64">
        <f t="shared" si="3"/>
        <v>768.97071428571439</v>
      </c>
      <c r="F30" s="213">
        <f t="shared" ref="F30:G30" si="34">N111</f>
        <v>1521038.7963606599</v>
      </c>
      <c r="G30" s="64">
        <f t="shared" si="34"/>
        <v>340294.57538038195</v>
      </c>
      <c r="H30" s="213">
        <f t="shared" si="4"/>
        <v>6236.5444323021075</v>
      </c>
      <c r="I30" s="64">
        <f t="shared" si="5"/>
        <v>1132.349523804764</v>
      </c>
      <c r="J30" s="213">
        <f t="shared" si="12"/>
        <v>1531029.7272215334</v>
      </c>
      <c r="K30" s="64">
        <f t="shared" si="13"/>
        <v>342195.89561847248</v>
      </c>
      <c r="L30" s="213">
        <f t="shared" si="14"/>
        <v>18439</v>
      </c>
      <c r="M30" s="64">
        <f t="shared" si="6"/>
        <v>3934</v>
      </c>
      <c r="N30" s="213">
        <f t="shared" si="15"/>
        <v>3211.4973513786981</v>
      </c>
      <c r="O30" s="64">
        <f t="shared" si="7"/>
        <v>685.17981345646706</v>
      </c>
      <c r="P30" s="213">
        <f t="shared" si="16"/>
        <v>1527818.2298701548</v>
      </c>
      <c r="Q30" s="66">
        <f t="shared" si="8"/>
        <v>341510.71580501599</v>
      </c>
      <c r="R30" s="306">
        <f t="shared" si="9"/>
        <v>37866476.36147026</v>
      </c>
      <c r="S30" s="307">
        <f>R30*NPV!C30</f>
        <v>6093865.9492237065</v>
      </c>
      <c r="T30" s="147"/>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row>
    <row r="31" spans="1:78" x14ac:dyDescent="0.2">
      <c r="A31" s="65">
        <f t="shared" si="10"/>
        <v>2047</v>
      </c>
      <c r="B31" s="213">
        <f t="shared" si="0"/>
        <v>16071</v>
      </c>
      <c r="C31" s="64">
        <f t="shared" si="1"/>
        <v>3292</v>
      </c>
      <c r="D31" s="213">
        <f t="shared" si="2"/>
        <v>3788.2326428571428</v>
      </c>
      <c r="E31" s="64">
        <f t="shared" si="3"/>
        <v>775.90307142857148</v>
      </c>
      <c r="F31" s="213">
        <f t="shared" ref="F31:G31" si="35">N112</f>
        <v>1722939.9639333023</v>
      </c>
      <c r="G31" s="64">
        <f t="shared" si="35"/>
        <v>386192.04440267931</v>
      </c>
      <c r="H31" s="213">
        <f t="shared" si="4"/>
        <v>6304.9828446333031</v>
      </c>
      <c r="I31" s="64">
        <f t="shared" si="5"/>
        <v>1143.3512629778045</v>
      </c>
      <c r="J31" s="213">
        <f t="shared" si="12"/>
        <v>1733033.1794207927</v>
      </c>
      <c r="K31" s="64">
        <f t="shared" si="13"/>
        <v>388111.29873708572</v>
      </c>
      <c r="L31" s="213">
        <f t="shared" si="14"/>
        <v>18606</v>
      </c>
      <c r="M31" s="64">
        <f t="shared" si="6"/>
        <v>3969</v>
      </c>
      <c r="N31" s="213">
        <f t="shared" si="15"/>
        <v>3240.6115190595451</v>
      </c>
      <c r="O31" s="64">
        <f t="shared" si="7"/>
        <v>691.28168973166373</v>
      </c>
      <c r="P31" s="213">
        <f t="shared" si="16"/>
        <v>1729792.5679017331</v>
      </c>
      <c r="Q31" s="66">
        <f t="shared" si="8"/>
        <v>387420.01704735408</v>
      </c>
      <c r="R31" s="306">
        <f t="shared" si="9"/>
        <v>42895823.490499526</v>
      </c>
      <c r="S31" s="307">
        <f>R31*NPV!C31</f>
        <v>6451626.7569903275</v>
      </c>
      <c r="T31" s="147"/>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row>
    <row r="32" spans="1:78" x14ac:dyDescent="0.2">
      <c r="A32" s="65">
        <f t="shared" si="10"/>
        <v>2048</v>
      </c>
      <c r="B32" s="213">
        <f t="shared" si="0"/>
        <v>16216</v>
      </c>
      <c r="C32" s="64">
        <f t="shared" si="1"/>
        <v>3321</v>
      </c>
      <c r="D32" s="213">
        <f t="shared" si="2"/>
        <v>3822.2744999999995</v>
      </c>
      <c r="E32" s="64">
        <f t="shared" si="3"/>
        <v>782.87549999999999</v>
      </c>
      <c r="F32" s="213">
        <f t="shared" ref="F32:G32" si="36">N113</f>
        <v>1987496.7636499039</v>
      </c>
      <c r="G32" s="64">
        <f t="shared" si="36"/>
        <v>446348.72960939142</v>
      </c>
      <c r="H32" s="213">
        <f t="shared" si="4"/>
        <v>6374.3091186602032</v>
      </c>
      <c r="I32" s="64">
        <f t="shared" si="5"/>
        <v>1154.4678512286412</v>
      </c>
      <c r="J32" s="213">
        <f t="shared" si="12"/>
        <v>1997693.3472685642</v>
      </c>
      <c r="K32" s="64">
        <f t="shared" si="13"/>
        <v>448286.07296062011</v>
      </c>
      <c r="L32" s="213">
        <f t="shared" si="14"/>
        <v>18773</v>
      </c>
      <c r="M32" s="64">
        <f t="shared" si="6"/>
        <v>4005</v>
      </c>
      <c r="N32" s="213">
        <f t="shared" si="15"/>
        <v>3269.6845917170899</v>
      </c>
      <c r="O32" s="64">
        <f t="shared" si="7"/>
        <v>697.54896872247082</v>
      </c>
      <c r="P32" s="213">
        <f t="shared" si="16"/>
        <v>1994423.6626768471</v>
      </c>
      <c r="Q32" s="66">
        <f t="shared" si="8"/>
        <v>447588.52399189764</v>
      </c>
      <c r="R32" s="306">
        <f t="shared" si="9"/>
        <v>49485910.100866005</v>
      </c>
      <c r="S32" s="307">
        <f>R32*NPV!C32</f>
        <v>6955878.8442025008</v>
      </c>
      <c r="T32" s="147"/>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row>
    <row r="33" spans="1:78" x14ac:dyDescent="0.2">
      <c r="A33" s="65">
        <f>A32+1</f>
        <v>2049</v>
      </c>
      <c r="B33" s="213">
        <f t="shared" si="0"/>
        <v>16362</v>
      </c>
      <c r="C33" s="64">
        <f t="shared" si="1"/>
        <v>3351</v>
      </c>
      <c r="D33" s="213">
        <f t="shared" si="2"/>
        <v>3856.7076428571427</v>
      </c>
      <c r="E33" s="64">
        <f t="shared" si="3"/>
        <v>789.92807142857146</v>
      </c>
      <c r="F33" s="213">
        <f t="shared" ref="F33:G33" si="37">N114</f>
        <v>2349357.4830928161</v>
      </c>
      <c r="G33" s="64">
        <f t="shared" si="37"/>
        <v>528650.17343628244</v>
      </c>
      <c r="H33" s="213">
        <f t="shared" si="4"/>
        <v>6444.5378074330056</v>
      </c>
      <c r="I33" s="64">
        <f t="shared" si="5"/>
        <v>1165.700643151848</v>
      </c>
      <c r="J33" s="213">
        <f t="shared" si="12"/>
        <v>2359658.728543106</v>
      </c>
      <c r="K33" s="64">
        <f t="shared" si="13"/>
        <v>530605.80215086287</v>
      </c>
      <c r="L33" s="213">
        <f t="shared" si="14"/>
        <v>18942</v>
      </c>
      <c r="M33" s="64">
        <f t="shared" si="6"/>
        <v>4041</v>
      </c>
      <c r="N33" s="213">
        <f t="shared" si="15"/>
        <v>3299.0920845440946</v>
      </c>
      <c r="O33" s="64">
        <f t="shared" si="7"/>
        <v>703.8132780932682</v>
      </c>
      <c r="P33" s="213">
        <f t="shared" si="16"/>
        <v>2356359.6364585618</v>
      </c>
      <c r="Q33" s="66">
        <f t="shared" si="8"/>
        <v>529901.98887276964</v>
      </c>
      <c r="R33" s="306">
        <f t="shared" si="9"/>
        <v>58499818.749889553</v>
      </c>
      <c r="S33" s="307">
        <f>R33*NPV!C33</f>
        <v>7684952.5432390105</v>
      </c>
      <c r="T33" s="147"/>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row>
    <row r="34" spans="1:78" x14ac:dyDescent="0.2">
      <c r="A34" s="65">
        <f t="shared" ref="A34:A36" si="38">A33+1</f>
        <v>2050</v>
      </c>
      <c r="B34" s="213">
        <f t="shared" si="0"/>
        <v>16510</v>
      </c>
      <c r="C34" s="64">
        <f t="shared" si="1"/>
        <v>3381</v>
      </c>
      <c r="D34" s="213">
        <f t="shared" si="2"/>
        <v>3891.5320714285708</v>
      </c>
      <c r="E34" s="64">
        <f t="shared" si="3"/>
        <v>797.06078571428566</v>
      </c>
      <c r="F34" s="213">
        <f t="shared" ref="F34:G34" si="39">N115</f>
        <v>2874494.8851831527</v>
      </c>
      <c r="G34" s="64">
        <f t="shared" si="39"/>
        <v>648111.0040444585</v>
      </c>
      <c r="H34" s="213">
        <f t="shared" si="4"/>
        <v>10180.755893684729</v>
      </c>
      <c r="I34" s="64">
        <f t="shared" si="5"/>
        <v>1839.1422068494749</v>
      </c>
      <c r="J34" s="213">
        <f t="shared" si="12"/>
        <v>2888567.173148266</v>
      </c>
      <c r="K34" s="64">
        <f t="shared" si="13"/>
        <v>650747.20703702234</v>
      </c>
      <c r="L34" s="213">
        <f t="shared" si="14"/>
        <v>19113</v>
      </c>
      <c r="M34" s="64">
        <f t="shared" si="6"/>
        <v>4077</v>
      </c>
      <c r="N34" s="213">
        <f t="shared" si="15"/>
        <v>3328.9022679754917</v>
      </c>
      <c r="O34" s="64">
        <f t="shared" si="7"/>
        <v>710.08918257395908</v>
      </c>
      <c r="P34" s="213">
        <f t="shared" si="16"/>
        <v>2885238.2708802908</v>
      </c>
      <c r="Q34" s="66">
        <f t="shared" si="8"/>
        <v>650037.11785444838</v>
      </c>
      <c r="R34" s="306">
        <f t="shared" si="9"/>
        <v>71666908.278674215</v>
      </c>
      <c r="S34" s="307">
        <f>R34*NPV!C34</f>
        <v>8798761.8093007803</v>
      </c>
      <c r="T34" s="147"/>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row>
    <row r="35" spans="1:78" x14ac:dyDescent="0.2">
      <c r="A35" s="65">
        <f t="shared" si="38"/>
        <v>2051</v>
      </c>
      <c r="B35" s="213">
        <f t="shared" si="0"/>
        <v>16658</v>
      </c>
      <c r="C35" s="64">
        <f t="shared" si="1"/>
        <v>3412</v>
      </c>
      <c r="D35" s="213">
        <f t="shared" si="2"/>
        <v>3926.5521428571424</v>
      </c>
      <c r="E35" s="64">
        <f t="shared" si="3"/>
        <v>804.23357142857139</v>
      </c>
      <c r="F35" s="213">
        <f t="shared" ref="F35:G35" si="40">N116</f>
        <v>3705942.9968929733</v>
      </c>
      <c r="G35" s="64">
        <f t="shared" si="40"/>
        <v>837284.095753456</v>
      </c>
      <c r="H35" s="213">
        <f t="shared" si="4"/>
        <v>10293.378420924731</v>
      </c>
      <c r="I35" s="64">
        <f t="shared" si="5"/>
        <v>1857.063049890452</v>
      </c>
      <c r="J35" s="213">
        <f t="shared" si="12"/>
        <v>3720162.9274567552</v>
      </c>
      <c r="K35" s="64">
        <f t="shared" si="13"/>
        <v>839945.39237477502</v>
      </c>
      <c r="L35" s="213">
        <f t="shared" si="14"/>
        <v>19284</v>
      </c>
      <c r="M35" s="64">
        <f t="shared" si="6"/>
        <v>4114</v>
      </c>
      <c r="N35" s="213">
        <f t="shared" si="15"/>
        <v>3358.6713565788004</v>
      </c>
      <c r="O35" s="64">
        <f t="shared" si="7"/>
        <v>716.53048957504586</v>
      </c>
      <c r="P35" s="213">
        <f t="shared" si="16"/>
        <v>3716804.2561001764</v>
      </c>
      <c r="Q35" s="66">
        <f t="shared" si="8"/>
        <v>839228.86188520002</v>
      </c>
      <c r="R35" s="306">
        <f t="shared" si="9"/>
        <v>92379045.130257308</v>
      </c>
      <c r="S35" s="307">
        <f>R35*NPV!C35</f>
        <v>10599675.818198662</v>
      </c>
      <c r="T35" s="147"/>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row>
    <row r="36" spans="1:78" x14ac:dyDescent="0.2">
      <c r="A36" s="65">
        <f t="shared" si="38"/>
        <v>2052</v>
      </c>
      <c r="B36" s="213">
        <f t="shared" si="0"/>
        <v>16807</v>
      </c>
      <c r="C36" s="64">
        <f t="shared" si="1"/>
        <v>3443</v>
      </c>
      <c r="D36" s="213">
        <f t="shared" si="2"/>
        <v>3961.7678571428569</v>
      </c>
      <c r="E36" s="64">
        <f t="shared" si="3"/>
        <v>811.44642857142856</v>
      </c>
      <c r="F36" s="213">
        <f t="shared" ref="F36:G36" si="41">N117</f>
        <v>5222723.750510429</v>
      </c>
      <c r="G36" s="64">
        <f t="shared" si="41"/>
        <v>1182430.4216399868</v>
      </c>
      <c r="H36" s="213">
        <f t="shared" si="4"/>
        <v>10407.482127337391</v>
      </c>
      <c r="I36" s="64">
        <f t="shared" si="5"/>
        <v>1875.1719914072228</v>
      </c>
      <c r="J36" s="213">
        <f t="shared" si="12"/>
        <v>5237093.0004949095</v>
      </c>
      <c r="K36" s="64">
        <f t="shared" si="13"/>
        <v>1185117.0400599653</v>
      </c>
      <c r="L36" s="213">
        <f t="shared" si="14"/>
        <v>19458</v>
      </c>
      <c r="M36" s="64">
        <f t="shared" si="6"/>
        <v>4151</v>
      </c>
      <c r="N36" s="213">
        <f t="shared" si="15"/>
        <v>3388.9762103705098</v>
      </c>
      <c r="O36" s="64">
        <f t="shared" si="7"/>
        <v>722.97462479432556</v>
      </c>
      <c r="P36" s="213">
        <f t="shared" si="16"/>
        <v>5233704.0242845388</v>
      </c>
      <c r="Q36" s="66">
        <f t="shared" si="8"/>
        <v>1184394.0654351711</v>
      </c>
      <c r="R36" s="306">
        <f t="shared" si="9"/>
        <v>130162639.25009651</v>
      </c>
      <c r="S36" s="307">
        <f>R36*NPV!C36</f>
        <v>13957951.418454729</v>
      </c>
      <c r="T36" s="147"/>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row>
    <row r="37" spans="1:78" x14ac:dyDescent="0.2">
      <c r="A37" s="65">
        <f t="shared" ref="A37:A40" si="42">A36+1</f>
        <v>2053</v>
      </c>
      <c r="B37" s="213">
        <f t="shared" si="0"/>
        <v>16959</v>
      </c>
      <c r="C37" s="64">
        <f t="shared" si="1"/>
        <v>3474</v>
      </c>
      <c r="D37" s="213">
        <f t="shared" si="2"/>
        <v>3997.5704999999994</v>
      </c>
      <c r="E37" s="64">
        <f t="shared" si="3"/>
        <v>818.77949999999998</v>
      </c>
      <c r="F37" s="213">
        <f t="shared" ref="F37:G37" si="43">N118</f>
        <v>8868206.7927487884</v>
      </c>
      <c r="G37" s="64">
        <f t="shared" si="43"/>
        <v>2012044.0985267574</v>
      </c>
      <c r="H37" s="213">
        <f t="shared" si="4"/>
        <v>10523.091755264106</v>
      </c>
      <c r="I37" s="64">
        <f t="shared" si="5"/>
        <v>1893.4712700812588</v>
      </c>
      <c r="J37" s="213">
        <f t="shared" si="12"/>
        <v>8882727.4550040513</v>
      </c>
      <c r="K37" s="64">
        <f t="shared" si="13"/>
        <v>2014756.3492968387</v>
      </c>
      <c r="L37" s="213">
        <f t="shared" si="14"/>
        <v>19633</v>
      </c>
      <c r="M37" s="64">
        <f t="shared" si="6"/>
        <v>4188</v>
      </c>
      <c r="N37" s="213">
        <f t="shared" si="15"/>
        <v>3419.4824097963246</v>
      </c>
      <c r="O37" s="64">
        <f t="shared" si="7"/>
        <v>729.42455723664273</v>
      </c>
      <c r="P37" s="213">
        <f t="shared" si="16"/>
        <v>8879307.9725942556</v>
      </c>
      <c r="Q37" s="66">
        <f t="shared" si="8"/>
        <v>2014026.924739602</v>
      </c>
      <c r="R37" s="306">
        <f t="shared" si="9"/>
        <v>220971641.9914169</v>
      </c>
      <c r="S37" s="307">
        <f>R37*NPV!C37</f>
        <v>22145633.157159626</v>
      </c>
      <c r="T37" s="147"/>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row>
    <row r="38" spans="1:78" x14ac:dyDescent="0.2">
      <c r="A38" s="65">
        <f t="shared" si="42"/>
        <v>2054</v>
      </c>
      <c r="B38" s="213">
        <f t="shared" si="0"/>
        <v>17111</v>
      </c>
      <c r="C38" s="64">
        <f t="shared" si="1"/>
        <v>3505</v>
      </c>
      <c r="D38" s="213">
        <f t="shared" si="2"/>
        <v>4033.3731428571427</v>
      </c>
      <c r="E38" s="64">
        <f t="shared" si="3"/>
        <v>826.11257142857153</v>
      </c>
      <c r="F38" s="213">
        <f t="shared" ref="F38:G38" si="44">N119</f>
        <v>29688700.765392121</v>
      </c>
      <c r="G38" s="64">
        <f t="shared" si="44"/>
        <v>6750489.7306710752</v>
      </c>
      <c r="H38" s="213">
        <f t="shared" si="4"/>
        <v>10640.232581968961</v>
      </c>
      <c r="I38" s="64">
        <f t="shared" si="5"/>
        <v>1911.9631564611734</v>
      </c>
      <c r="J38" s="213">
        <f t="shared" si="12"/>
        <v>29703374.371116947</v>
      </c>
      <c r="K38" s="64">
        <f t="shared" si="13"/>
        <v>6753227.8063989645</v>
      </c>
      <c r="L38" s="213">
        <f t="shared" si="14"/>
        <v>19810</v>
      </c>
      <c r="M38" s="64">
        <f t="shared" si="6"/>
        <v>4226</v>
      </c>
      <c r="N38" s="213">
        <f t="shared" si="15"/>
        <v>3450.2819337660176</v>
      </c>
      <c r="O38" s="64">
        <f t="shared" si="7"/>
        <v>736.03692337683947</v>
      </c>
      <c r="P38" s="213">
        <f t="shared" si="16"/>
        <v>29699924.089183182</v>
      </c>
      <c r="Q38" s="66">
        <f t="shared" si="8"/>
        <v>6752491.7694755876</v>
      </c>
      <c r="R38" s="306">
        <f t="shared" si="9"/>
        <v>739605387.69622695</v>
      </c>
      <c r="S38" s="307">
        <f>R38*NPV!C38</f>
        <v>69273614.28955245</v>
      </c>
      <c r="T38" s="147"/>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row>
    <row r="39" spans="1:78" x14ac:dyDescent="0.2">
      <c r="A39" s="65">
        <f t="shared" si="42"/>
        <v>2055</v>
      </c>
      <c r="B39" s="213">
        <f t="shared" si="0"/>
        <v>17266</v>
      </c>
      <c r="C39" s="64">
        <f t="shared" si="1"/>
        <v>3536</v>
      </c>
      <c r="D39" s="213">
        <f t="shared" si="2"/>
        <v>4069.7627142857141</v>
      </c>
      <c r="E39" s="64">
        <f t="shared" si="3"/>
        <v>833.56585714285711</v>
      </c>
      <c r="F39" s="213">
        <f t="shared" ref="F39:G39" si="45">N120</f>
        <v>29955899.072280649</v>
      </c>
      <c r="G39" s="64">
        <f t="shared" si="45"/>
        <v>6811244.1382471146</v>
      </c>
      <c r="H39" s="213">
        <f t="shared" si="4"/>
        <v>10758.930434183865</v>
      </c>
      <c r="I39" s="64">
        <f t="shared" si="5"/>
        <v>1930.6499535194221</v>
      </c>
      <c r="J39" s="213">
        <f t="shared" si="12"/>
        <v>29970727.765429117</v>
      </c>
      <c r="K39" s="64">
        <f t="shared" si="13"/>
        <v>6814008.3540577767</v>
      </c>
      <c r="L39" s="213">
        <f t="shared" si="14"/>
        <v>19988.153875042677</v>
      </c>
      <c r="M39" s="64">
        <f t="shared" si="6"/>
        <v>4264</v>
      </c>
      <c r="N39" s="213">
        <f t="shared" si="15"/>
        <v>3481.3249386067973</v>
      </c>
      <c r="O39" s="64">
        <f t="shared" si="7"/>
        <v>742.6583580964998</v>
      </c>
      <c r="P39" s="213">
        <f t="shared" si="16"/>
        <v>29967246.44049051</v>
      </c>
      <c r="Q39" s="66">
        <f t="shared" si="8"/>
        <v>6813265.6956996806</v>
      </c>
      <c r="R39" s="306">
        <f t="shared" si="9"/>
        <v>746262294.71233022</v>
      </c>
      <c r="S39" s="307">
        <f>R39*NPV!C39</f>
        <v>65324410.995448224</v>
      </c>
      <c r="T39" s="147"/>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row>
    <row r="40" spans="1:78" ht="13.5" thickBot="1" x14ac:dyDescent="0.25">
      <c r="A40" s="67">
        <f t="shared" si="42"/>
        <v>2056</v>
      </c>
      <c r="B40" s="214">
        <f t="shared" si="0"/>
        <v>17421</v>
      </c>
      <c r="C40" s="68">
        <f t="shared" si="1"/>
        <v>3568</v>
      </c>
      <c r="D40" s="214">
        <f t="shared" si="2"/>
        <v>4106.3479285714284</v>
      </c>
      <c r="E40" s="68">
        <f t="shared" si="3"/>
        <v>841.05921428571423</v>
      </c>
      <c r="F40" s="214">
        <f t="shared" ref="F40:G40" si="46">N121</f>
        <v>30225502.163931165</v>
      </c>
      <c r="G40" s="68">
        <f t="shared" si="46"/>
        <v>6872545.3354913387</v>
      </c>
      <c r="H40" s="214">
        <f t="shared" si="4"/>
        <v>10879.211703131885</v>
      </c>
      <c r="I40" s="68">
        <f t="shared" si="5"/>
        <v>1949.5339972207817</v>
      </c>
      <c r="J40" s="214">
        <f t="shared" si="12"/>
        <v>30240487.72356287</v>
      </c>
      <c r="K40" s="68">
        <f t="shared" si="13"/>
        <v>6875335.9287028452</v>
      </c>
      <c r="L40" s="214">
        <f t="shared" si="14"/>
        <v>20168</v>
      </c>
      <c r="M40" s="68">
        <f t="shared" si="6"/>
        <v>4303</v>
      </c>
      <c r="N40" s="214">
        <f t="shared" si="15"/>
        <v>3512.6452689485336</v>
      </c>
      <c r="O40" s="68">
        <f t="shared" si="7"/>
        <v>749.45024753498319</v>
      </c>
      <c r="P40" s="214">
        <f t="shared" si="16"/>
        <v>30236975.078293923</v>
      </c>
      <c r="Q40" s="68">
        <f t="shared" si="8"/>
        <v>6874586.4784553107</v>
      </c>
      <c r="R40" s="308">
        <f t="shared" si="9"/>
        <v>752979117.43788469</v>
      </c>
      <c r="S40" s="309">
        <f>R40*NPV!C40</f>
        <v>61600346.861860774</v>
      </c>
      <c r="T40" s="147"/>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row>
    <row r="41" spans="1:78" ht="13.5" thickTop="1" x14ac:dyDescent="0.2">
      <c r="A41" s="467" t="s">
        <v>0</v>
      </c>
      <c r="B41" s="468"/>
      <c r="C41" s="468"/>
      <c r="D41" s="468"/>
      <c r="E41" s="468"/>
      <c r="F41" s="468"/>
      <c r="G41" s="468"/>
      <c r="H41" s="468"/>
      <c r="I41" s="468"/>
      <c r="J41" s="468"/>
      <c r="K41" s="468"/>
      <c r="L41" s="468"/>
      <c r="M41" s="468"/>
      <c r="N41" s="468"/>
      <c r="O41" s="468"/>
      <c r="P41" s="468"/>
      <c r="Q41" s="469"/>
      <c r="R41" s="310">
        <f>SUM(R11:R40)</f>
        <v>3273956302.1784983</v>
      </c>
      <c r="S41" s="311">
        <f>SUM(S11:S40)</f>
        <v>374554075.40250713</v>
      </c>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row>
    <row r="42" spans="1:78" ht="18" x14ac:dyDescent="0.25">
      <c r="A42" s="211" t="s">
        <v>88</v>
      </c>
      <c r="B42" s="142"/>
      <c r="C42" s="142"/>
      <c r="D42" s="142"/>
      <c r="E42" s="142"/>
      <c r="F42" s="217"/>
      <c r="G42" s="217"/>
      <c r="H42" s="142"/>
      <c r="I42" s="142"/>
      <c r="J42" s="142"/>
      <c r="K42" s="142"/>
      <c r="L42" s="142"/>
      <c r="M42" s="142"/>
      <c r="N42" s="147"/>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row>
    <row r="43" spans="1:78" x14ac:dyDescent="0.2">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row>
    <row r="44" spans="1:78" ht="13.15" customHeight="1" x14ac:dyDescent="0.2">
      <c r="A44" s="425" t="s">
        <v>1</v>
      </c>
      <c r="B44" s="390" t="s">
        <v>79</v>
      </c>
      <c r="C44" s="391"/>
      <c r="D44" s="391"/>
      <c r="E44" s="392"/>
      <c r="F44" s="390" t="s">
        <v>41</v>
      </c>
      <c r="G44" s="391"/>
      <c r="H44" s="391"/>
      <c r="I44" s="392"/>
      <c r="J44" s="457" t="s">
        <v>82</v>
      </c>
      <c r="K44" s="458"/>
      <c r="L44" s="461" t="s">
        <v>90</v>
      </c>
      <c r="M44" s="461" t="s">
        <v>91</v>
      </c>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row>
    <row r="45" spans="1:78" ht="26.45" customHeight="1" x14ac:dyDescent="0.2">
      <c r="A45" s="425"/>
      <c r="B45" s="426" t="s">
        <v>245</v>
      </c>
      <c r="C45" s="428"/>
      <c r="D45" s="426" t="s">
        <v>302</v>
      </c>
      <c r="E45" s="428"/>
      <c r="F45" s="426" t="s">
        <v>245</v>
      </c>
      <c r="G45" s="428"/>
      <c r="H45" s="426" t="s">
        <v>302</v>
      </c>
      <c r="I45" s="428"/>
      <c r="J45" s="459"/>
      <c r="K45" s="460"/>
      <c r="L45" s="462"/>
      <c r="M45" s="46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row>
    <row r="46" spans="1:78" ht="26.25" thickBot="1" x14ac:dyDescent="0.25">
      <c r="A46" s="425"/>
      <c r="B46" s="201" t="s">
        <v>34</v>
      </c>
      <c r="C46" s="201" t="s">
        <v>35</v>
      </c>
      <c r="D46" s="201" t="s">
        <v>34</v>
      </c>
      <c r="E46" s="201" t="s">
        <v>35</v>
      </c>
      <c r="F46" s="201" t="s">
        <v>34</v>
      </c>
      <c r="G46" s="203" t="s">
        <v>35</v>
      </c>
      <c r="H46" s="201" t="s">
        <v>34</v>
      </c>
      <c r="I46" s="201" t="s">
        <v>35</v>
      </c>
      <c r="J46" s="201" t="s">
        <v>34</v>
      </c>
      <c r="K46" s="201" t="s">
        <v>35</v>
      </c>
      <c r="L46" s="463"/>
      <c r="M46" s="463"/>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row>
    <row r="47" spans="1:78" ht="13.5" thickTop="1" x14ac:dyDescent="0.2">
      <c r="A47" s="65">
        <v>2027</v>
      </c>
      <c r="B47" s="213">
        <f t="shared" ref="B47:C76" si="47">B11</f>
        <v>12280</v>
      </c>
      <c r="C47" s="64">
        <f t="shared" si="47"/>
        <v>2515</v>
      </c>
      <c r="D47" s="213">
        <f t="shared" ref="D47:D76" si="48">S187</f>
        <v>36977698.3125</v>
      </c>
      <c r="E47" s="64">
        <f t="shared" ref="E47:E76" si="49">R187</f>
        <v>7573745.4375000009</v>
      </c>
      <c r="F47" s="213">
        <f t="shared" ref="F47:F76" si="50">H187</f>
        <v>14118</v>
      </c>
      <c r="G47" s="64">
        <f t="shared" ref="G47:G76" si="51">G187</f>
        <v>3012</v>
      </c>
      <c r="H47" s="213">
        <f t="shared" ref="H47:H76" si="52">U187</f>
        <v>39062337.24278459</v>
      </c>
      <c r="I47" s="64">
        <f t="shared" ref="I47:I76" si="53">T187</f>
        <v>8333741.3072154103</v>
      </c>
      <c r="J47" s="213">
        <f>D47-H47</f>
        <v>-2084638.9302845895</v>
      </c>
      <c r="K47" s="66">
        <f t="shared" ref="J47:K60" si="54">E47-I47</f>
        <v>-759995.86971540935</v>
      </c>
      <c r="L47" s="306">
        <f t="shared" ref="L47:L76" si="55">(J47*$A$302)+(K47*$A$301)</f>
        <v>-1603190.8988577044</v>
      </c>
      <c r="M47" s="307">
        <f>L47*NPV!C11</f>
        <v>-933071.69949099154</v>
      </c>
      <c r="N47" s="147"/>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row>
    <row r="48" spans="1:78" x14ac:dyDescent="0.2">
      <c r="A48" s="65">
        <f t="shared" ref="A48:A76" si="56">A47+1</f>
        <v>2028</v>
      </c>
      <c r="B48" s="213">
        <f t="shared" si="47"/>
        <v>12477</v>
      </c>
      <c r="C48" s="64">
        <f t="shared" si="47"/>
        <v>2555</v>
      </c>
      <c r="D48" s="213">
        <f t="shared" si="48"/>
        <v>37570041.299999997</v>
      </c>
      <c r="E48" s="64">
        <f t="shared" si="49"/>
        <v>7695068.7000000002</v>
      </c>
      <c r="F48" s="213">
        <f t="shared" si="50"/>
        <v>14344</v>
      </c>
      <c r="G48" s="64">
        <f t="shared" si="51"/>
        <v>3060</v>
      </c>
      <c r="H48" s="213">
        <f t="shared" si="52"/>
        <v>39687626.509675935</v>
      </c>
      <c r="I48" s="64">
        <f t="shared" si="53"/>
        <v>8466546.0903240629</v>
      </c>
      <c r="J48" s="213">
        <f t="shared" si="54"/>
        <v>-2117585.2096759379</v>
      </c>
      <c r="K48" s="66">
        <f t="shared" si="54"/>
        <v>-771477.39032406267</v>
      </c>
      <c r="L48" s="306">
        <f t="shared" si="55"/>
        <v>-1628035.6131620316</v>
      </c>
      <c r="M48" s="307">
        <f>L48*NPV!C12</f>
        <v>-885543.50412750221</v>
      </c>
      <c r="N48" s="147"/>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row>
    <row r="49" spans="1:78" x14ac:dyDescent="0.2">
      <c r="A49" s="65">
        <f t="shared" si="56"/>
        <v>2029</v>
      </c>
      <c r="B49" s="213">
        <f t="shared" si="47"/>
        <v>12677</v>
      </c>
      <c r="C49" s="64">
        <f t="shared" si="47"/>
        <v>2596</v>
      </c>
      <c r="D49" s="213">
        <f t="shared" si="48"/>
        <v>38172381.637500003</v>
      </c>
      <c r="E49" s="64">
        <f t="shared" si="49"/>
        <v>7818439.6125000007</v>
      </c>
      <c r="F49" s="213">
        <f t="shared" si="50"/>
        <v>14574</v>
      </c>
      <c r="G49" s="64">
        <f t="shared" si="51"/>
        <v>3109</v>
      </c>
      <c r="H49" s="213">
        <f t="shared" si="52"/>
        <v>40323985.566996545</v>
      </c>
      <c r="I49" s="64">
        <f t="shared" si="53"/>
        <v>8602118.2330034487</v>
      </c>
      <c r="J49" s="213">
        <f t="shared" si="54"/>
        <v>-2151603.9294965416</v>
      </c>
      <c r="K49" s="66">
        <f t="shared" si="54"/>
        <v>-783678.62050344795</v>
      </c>
      <c r="L49" s="306">
        <f t="shared" si="55"/>
        <v>-1654010.8067517197</v>
      </c>
      <c r="M49" s="307">
        <f>L49*NPV!C13</f>
        <v>-840815.2227954102</v>
      </c>
      <c r="N49" s="147"/>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row>
    <row r="50" spans="1:78" x14ac:dyDescent="0.2">
      <c r="A50" s="65">
        <f t="shared" si="56"/>
        <v>2030</v>
      </c>
      <c r="B50" s="213">
        <f t="shared" si="47"/>
        <v>12879</v>
      </c>
      <c r="C50" s="64">
        <f t="shared" si="47"/>
        <v>2638</v>
      </c>
      <c r="D50" s="213">
        <f t="shared" si="48"/>
        <v>38782219.987499997</v>
      </c>
      <c r="E50" s="64">
        <f t="shared" si="49"/>
        <v>7943346.2625000002</v>
      </c>
      <c r="F50" s="213">
        <f t="shared" si="50"/>
        <v>14807</v>
      </c>
      <c r="G50" s="64">
        <f t="shared" si="51"/>
        <v>3159</v>
      </c>
      <c r="H50" s="213">
        <f t="shared" si="52"/>
        <v>40968746.960998558</v>
      </c>
      <c r="I50" s="64">
        <f t="shared" si="53"/>
        <v>8740478.9390014485</v>
      </c>
      <c r="J50" s="213">
        <f t="shared" si="54"/>
        <v>-2186526.9734985605</v>
      </c>
      <c r="K50" s="66">
        <f t="shared" si="54"/>
        <v>-797132.67650144827</v>
      </c>
      <c r="L50" s="306">
        <f t="shared" si="55"/>
        <v>-1681539.9877507279</v>
      </c>
      <c r="M50" s="307">
        <f>L50*NPV!C14</f>
        <v>-798887.53501804161</v>
      </c>
      <c r="N50" s="147"/>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row>
    <row r="51" spans="1:78" x14ac:dyDescent="0.2">
      <c r="A51" s="65">
        <f t="shared" si="56"/>
        <v>2031</v>
      </c>
      <c r="B51" s="213">
        <f t="shared" si="47"/>
        <v>13085</v>
      </c>
      <c r="C51" s="64">
        <f t="shared" si="47"/>
        <v>2680</v>
      </c>
      <c r="D51" s="213">
        <f t="shared" si="48"/>
        <v>39402055.6875</v>
      </c>
      <c r="E51" s="64">
        <f t="shared" si="49"/>
        <v>8070300.5625000009</v>
      </c>
      <c r="F51" s="213">
        <f t="shared" si="50"/>
        <v>15044</v>
      </c>
      <c r="G51" s="64">
        <f t="shared" si="51"/>
        <v>3209</v>
      </c>
      <c r="H51" s="213">
        <f t="shared" si="52"/>
        <v>41624427.854697861</v>
      </c>
      <c r="I51" s="64">
        <f t="shared" si="53"/>
        <v>8878808.0953021422</v>
      </c>
      <c r="J51" s="213">
        <f t="shared" si="54"/>
        <v>-2222372.1671978608</v>
      </c>
      <c r="K51" s="66">
        <f t="shared" si="54"/>
        <v>-808507.53280214127</v>
      </c>
      <c r="L51" s="306">
        <f t="shared" si="55"/>
        <v>-1707532.0374010715</v>
      </c>
      <c r="M51" s="307">
        <f>L51*NPV!C15</f>
        <v>-758164.64539277426</v>
      </c>
      <c r="N51" s="147"/>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row>
    <row r="52" spans="1:78" x14ac:dyDescent="0.2">
      <c r="A52" s="65">
        <f t="shared" si="56"/>
        <v>2032</v>
      </c>
      <c r="B52" s="213">
        <f t="shared" si="47"/>
        <v>13295</v>
      </c>
      <c r="C52" s="64">
        <f t="shared" si="47"/>
        <v>2723</v>
      </c>
      <c r="D52" s="213">
        <f t="shared" si="48"/>
        <v>40034388.075000003</v>
      </c>
      <c r="E52" s="64">
        <f t="shared" si="49"/>
        <v>8199814.4250000007</v>
      </c>
      <c r="F52" s="213">
        <f t="shared" si="50"/>
        <v>15284</v>
      </c>
      <c r="G52" s="64">
        <f t="shared" si="51"/>
        <v>3261</v>
      </c>
      <c r="H52" s="213">
        <f t="shared" si="52"/>
        <v>42288411.693966031</v>
      </c>
      <c r="I52" s="64">
        <f t="shared" si="53"/>
        <v>9022671.4560339712</v>
      </c>
      <c r="J52" s="213">
        <f t="shared" si="54"/>
        <v>-2254023.6189660281</v>
      </c>
      <c r="K52" s="66">
        <f t="shared" si="54"/>
        <v>-822857.03103397042</v>
      </c>
      <c r="L52" s="306">
        <f t="shared" si="55"/>
        <v>-1734487.1950169846</v>
      </c>
      <c r="M52" s="307">
        <f>L52*NPV!C16</f>
        <v>-719750.52124996122</v>
      </c>
      <c r="N52" s="147"/>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row>
    <row r="53" spans="1:78" x14ac:dyDescent="0.2">
      <c r="A53" s="65">
        <f t="shared" si="56"/>
        <v>2033</v>
      </c>
      <c r="B53" s="213">
        <f t="shared" si="47"/>
        <v>13507</v>
      </c>
      <c r="C53" s="64">
        <f t="shared" si="47"/>
        <v>2767</v>
      </c>
      <c r="D53" s="213">
        <f t="shared" si="48"/>
        <v>40674218.475000001</v>
      </c>
      <c r="E53" s="64">
        <f t="shared" si="49"/>
        <v>8330864.0250000004</v>
      </c>
      <c r="F53" s="213">
        <f t="shared" si="50"/>
        <v>15529</v>
      </c>
      <c r="G53" s="64">
        <f t="shared" si="51"/>
        <v>3313</v>
      </c>
      <c r="H53" s="213">
        <f t="shared" si="52"/>
        <v>42966481.850018576</v>
      </c>
      <c r="I53" s="64">
        <f t="shared" si="53"/>
        <v>9166588.5999814253</v>
      </c>
      <c r="J53" s="213">
        <f t="shared" si="54"/>
        <v>-2292263.3750185743</v>
      </c>
      <c r="K53" s="66">
        <f t="shared" si="54"/>
        <v>-835724.57498142496</v>
      </c>
      <c r="L53" s="306">
        <f t="shared" si="55"/>
        <v>-1762897.1059907121</v>
      </c>
      <c r="M53" s="307">
        <f>L53*NPV!C17</f>
        <v>-683681.89184274455</v>
      </c>
      <c r="N53" s="147"/>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row>
    <row r="54" spans="1:78" x14ac:dyDescent="0.2">
      <c r="A54" s="65">
        <f t="shared" si="56"/>
        <v>2034</v>
      </c>
      <c r="B54" s="213">
        <f t="shared" si="47"/>
        <v>13723</v>
      </c>
      <c r="C54" s="64">
        <f t="shared" si="47"/>
        <v>2811</v>
      </c>
      <c r="D54" s="213">
        <f t="shared" si="48"/>
        <v>41324046.225000001</v>
      </c>
      <c r="E54" s="64">
        <f t="shared" si="49"/>
        <v>8463961.2750000004</v>
      </c>
      <c r="F54" s="213">
        <f t="shared" si="50"/>
        <v>15778</v>
      </c>
      <c r="G54" s="64">
        <f t="shared" si="51"/>
        <v>3366</v>
      </c>
      <c r="H54" s="213">
        <f t="shared" si="52"/>
        <v>43655372.115916215</v>
      </c>
      <c r="I54" s="64">
        <f t="shared" si="53"/>
        <v>9313219.8340837862</v>
      </c>
      <c r="J54" s="213">
        <f t="shared" si="54"/>
        <v>-2331325.8909162134</v>
      </c>
      <c r="K54" s="66">
        <f t="shared" si="54"/>
        <v>-849258.55908378586</v>
      </c>
      <c r="L54" s="306">
        <f t="shared" si="55"/>
        <v>-1792280.5930418926</v>
      </c>
      <c r="M54" s="307">
        <f>L54*NPV!C18</f>
        <v>-649604.9670302819</v>
      </c>
      <c r="N54" s="147"/>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row>
    <row r="55" spans="1:78" x14ac:dyDescent="0.2">
      <c r="A55" s="65">
        <f t="shared" si="56"/>
        <v>2035</v>
      </c>
      <c r="B55" s="213">
        <f t="shared" si="47"/>
        <v>13943</v>
      </c>
      <c r="C55" s="64">
        <f t="shared" si="47"/>
        <v>2856</v>
      </c>
      <c r="D55" s="213">
        <f t="shared" si="48"/>
        <v>41986370.662500001</v>
      </c>
      <c r="E55" s="64">
        <f t="shared" si="49"/>
        <v>8599618.0875000004</v>
      </c>
      <c r="F55" s="213">
        <f t="shared" si="50"/>
        <v>16029</v>
      </c>
      <c r="G55" s="64">
        <f t="shared" si="51"/>
        <v>3420</v>
      </c>
      <c r="H55" s="213">
        <f t="shared" si="52"/>
        <v>44349747.580819063</v>
      </c>
      <c r="I55" s="64">
        <f t="shared" si="53"/>
        <v>9462607.5691809338</v>
      </c>
      <c r="J55" s="213">
        <f t="shared" si="54"/>
        <v>-2363376.9183190614</v>
      </c>
      <c r="K55" s="66">
        <f t="shared" si="54"/>
        <v>-862989.48168093339</v>
      </c>
      <c r="L55" s="306">
        <f t="shared" si="55"/>
        <v>-1818832.2928404645</v>
      </c>
      <c r="M55" s="307">
        <f>L55*NPV!C19</f>
        <v>-616101.42517477868</v>
      </c>
      <c r="N55" s="147"/>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row>
    <row r="56" spans="1:78" x14ac:dyDescent="0.2">
      <c r="A56" s="65">
        <f t="shared" si="56"/>
        <v>2036</v>
      </c>
      <c r="B56" s="213">
        <f t="shared" si="47"/>
        <v>14166</v>
      </c>
      <c r="C56" s="64">
        <f t="shared" si="47"/>
        <v>2902</v>
      </c>
      <c r="D56" s="213">
        <f t="shared" si="48"/>
        <v>42658692.450000003</v>
      </c>
      <c r="E56" s="64">
        <f t="shared" si="49"/>
        <v>8737322.5500000007</v>
      </c>
      <c r="F56" s="213">
        <f t="shared" si="50"/>
        <v>16286</v>
      </c>
      <c r="G56" s="64">
        <f t="shared" si="51"/>
        <v>3474</v>
      </c>
      <c r="H56" s="213">
        <f t="shared" si="52"/>
        <v>45060876.819038466</v>
      </c>
      <c r="I56" s="64">
        <f t="shared" si="53"/>
        <v>9612027.8809615392</v>
      </c>
      <c r="J56" s="213">
        <f t="shared" si="54"/>
        <v>-2402184.3690384626</v>
      </c>
      <c r="K56" s="66">
        <f t="shared" si="54"/>
        <v>-874705.33096153848</v>
      </c>
      <c r="L56" s="306">
        <f t="shared" si="55"/>
        <v>-1846415.2364807697</v>
      </c>
      <c r="M56" s="307">
        <f>L56*NPV!C20</f>
        <v>-584527.77803254547</v>
      </c>
      <c r="N56" s="147"/>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row>
    <row r="57" spans="1:78" x14ac:dyDescent="0.2">
      <c r="A57" s="65">
        <f t="shared" si="56"/>
        <v>2037</v>
      </c>
      <c r="B57" s="213">
        <f t="shared" si="47"/>
        <v>14393</v>
      </c>
      <c r="C57" s="64">
        <f t="shared" si="47"/>
        <v>2948</v>
      </c>
      <c r="D57" s="213">
        <f t="shared" si="48"/>
        <v>43341011.587499999</v>
      </c>
      <c r="E57" s="64">
        <f t="shared" si="49"/>
        <v>8877074.6625000015</v>
      </c>
      <c r="F57" s="213">
        <f t="shared" si="50"/>
        <v>16547</v>
      </c>
      <c r="G57" s="64">
        <f t="shared" si="51"/>
        <v>3530</v>
      </c>
      <c r="H57" s="213">
        <f t="shared" si="52"/>
        <v>45782976.455374308</v>
      </c>
      <c r="I57" s="64">
        <f t="shared" si="53"/>
        <v>9766961.1946256906</v>
      </c>
      <c r="J57" s="213">
        <f t="shared" si="54"/>
        <v>-2441964.8678743094</v>
      </c>
      <c r="K57" s="66">
        <f t="shared" si="54"/>
        <v>-889886.53212568909</v>
      </c>
      <c r="L57" s="306">
        <f t="shared" si="55"/>
        <v>-1877639.368062844</v>
      </c>
      <c r="M57" s="307">
        <f>L57*NPV!C21</f>
        <v>-555525.73687468388</v>
      </c>
      <c r="N57" s="147"/>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row>
    <row r="58" spans="1:78" x14ac:dyDescent="0.2">
      <c r="A58" s="65">
        <f t="shared" si="56"/>
        <v>2038</v>
      </c>
      <c r="B58" s="213">
        <f t="shared" si="47"/>
        <v>14623</v>
      </c>
      <c r="C58" s="64">
        <f t="shared" si="47"/>
        <v>2995</v>
      </c>
      <c r="D58" s="213">
        <f t="shared" si="48"/>
        <v>44033328.075000003</v>
      </c>
      <c r="E58" s="64">
        <f t="shared" si="49"/>
        <v>9018874.4250000007</v>
      </c>
      <c r="F58" s="213">
        <f t="shared" si="50"/>
        <v>16811</v>
      </c>
      <c r="G58" s="64">
        <f t="shared" si="51"/>
        <v>3587</v>
      </c>
      <c r="H58" s="213">
        <f t="shared" si="52"/>
        <v>46513478.428105697</v>
      </c>
      <c r="I58" s="64">
        <f t="shared" si="53"/>
        <v>9924683.071894303</v>
      </c>
      <c r="J58" s="213">
        <f t="shared" si="54"/>
        <v>-2480150.3531056941</v>
      </c>
      <c r="K58" s="66">
        <f t="shared" si="54"/>
        <v>-905808.64689430222</v>
      </c>
      <c r="L58" s="306">
        <f t="shared" si="55"/>
        <v>-1908866.6934471494</v>
      </c>
      <c r="M58" s="307">
        <f>L58*NPV!C22</f>
        <v>-527817.54734498449</v>
      </c>
      <c r="N58" s="147"/>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row>
    <row r="59" spans="1:78" x14ac:dyDescent="0.2">
      <c r="A59" s="65">
        <f t="shared" si="56"/>
        <v>2039</v>
      </c>
      <c r="B59" s="213">
        <f t="shared" si="47"/>
        <v>14857</v>
      </c>
      <c r="C59" s="64">
        <f t="shared" si="47"/>
        <v>3043</v>
      </c>
      <c r="D59" s="213">
        <f t="shared" si="48"/>
        <v>44738141.25</v>
      </c>
      <c r="E59" s="64">
        <f t="shared" si="49"/>
        <v>9163233.75</v>
      </c>
      <c r="F59" s="213">
        <f t="shared" si="50"/>
        <v>17081</v>
      </c>
      <c r="G59" s="64">
        <f t="shared" si="51"/>
        <v>3644</v>
      </c>
      <c r="H59" s="213">
        <f t="shared" si="52"/>
        <v>47260484.493063934</v>
      </c>
      <c r="I59" s="64">
        <f t="shared" si="53"/>
        <v>10082384.256936068</v>
      </c>
      <c r="J59" s="213">
        <f t="shared" si="54"/>
        <v>-2522343.2430639341</v>
      </c>
      <c r="K59" s="66">
        <f t="shared" si="54"/>
        <v>-919150.50693606772</v>
      </c>
      <c r="L59" s="306">
        <f t="shared" si="55"/>
        <v>-1939417.5659680348</v>
      </c>
      <c r="M59" s="307">
        <f>L59*NPV!C23</f>
        <v>-501182.35343715997</v>
      </c>
      <c r="N59" s="147"/>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row>
    <row r="60" spans="1:78" x14ac:dyDescent="0.2">
      <c r="A60" s="65">
        <f t="shared" si="56"/>
        <v>2040</v>
      </c>
      <c r="B60" s="213">
        <f t="shared" si="47"/>
        <v>15094</v>
      </c>
      <c r="C60" s="64">
        <f t="shared" si="47"/>
        <v>3092</v>
      </c>
      <c r="D60" s="213">
        <f t="shared" si="48"/>
        <v>45452951.774999999</v>
      </c>
      <c r="E60" s="64">
        <f t="shared" si="49"/>
        <v>9309640.7250000015</v>
      </c>
      <c r="F60" s="213">
        <f t="shared" si="50"/>
        <v>17354</v>
      </c>
      <c r="G60" s="64">
        <f t="shared" si="51"/>
        <v>3702</v>
      </c>
      <c r="H60" s="213">
        <f t="shared" si="52"/>
        <v>48015892.894310407</v>
      </c>
      <c r="I60" s="64">
        <f t="shared" si="53"/>
        <v>10242874.005689589</v>
      </c>
      <c r="J60" s="213">
        <f t="shared" si="54"/>
        <v>-2562941.1193104088</v>
      </c>
      <c r="K60" s="66">
        <f t="shared" si="54"/>
        <v>-933233.28068958782</v>
      </c>
      <c r="L60" s="306">
        <f t="shared" si="55"/>
        <v>-1969971.6323447926</v>
      </c>
      <c r="M60" s="307">
        <f>L60*NPV!C24</f>
        <v>-475773.92972163594</v>
      </c>
      <c r="N60" s="147"/>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row>
    <row r="61" spans="1:78" x14ac:dyDescent="0.2">
      <c r="A61" s="65">
        <f t="shared" si="56"/>
        <v>2041</v>
      </c>
      <c r="B61" s="213">
        <f t="shared" si="47"/>
        <v>15230</v>
      </c>
      <c r="C61" s="64">
        <f t="shared" si="47"/>
        <v>3120</v>
      </c>
      <c r="D61" s="213">
        <f t="shared" si="48"/>
        <v>45862843.125</v>
      </c>
      <c r="E61" s="64">
        <f t="shared" si="49"/>
        <v>9393594.375</v>
      </c>
      <c r="F61" s="213">
        <f t="shared" si="50"/>
        <v>17632</v>
      </c>
      <c r="G61" s="64">
        <f t="shared" si="51"/>
        <v>3761</v>
      </c>
      <c r="H61" s="213">
        <f t="shared" si="52"/>
        <v>48785038.539260507</v>
      </c>
      <c r="I61" s="64">
        <f t="shared" si="53"/>
        <v>10406109.910739494</v>
      </c>
      <c r="J61" s="213">
        <f t="shared" ref="J61:K76" si="57">D61-H61</f>
        <v>-2922195.4142605066</v>
      </c>
      <c r="K61" s="66">
        <f t="shared" si="57"/>
        <v>-1012515.5357394945</v>
      </c>
      <c r="L61" s="306">
        <f t="shared" si="55"/>
        <v>-2198183.4763697479</v>
      </c>
      <c r="M61" s="307">
        <f>L61*NPV!C25</f>
        <v>-496158.95009642199</v>
      </c>
      <c r="N61" s="147"/>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row>
    <row r="62" spans="1:78" x14ac:dyDescent="0.2">
      <c r="A62" s="65">
        <f t="shared" si="56"/>
        <v>2042</v>
      </c>
      <c r="B62" s="213">
        <f t="shared" si="47"/>
        <v>15367</v>
      </c>
      <c r="C62" s="64">
        <f t="shared" si="47"/>
        <v>3148</v>
      </c>
      <c r="D62" s="213">
        <f t="shared" si="48"/>
        <v>46275233.8125</v>
      </c>
      <c r="E62" s="64">
        <f t="shared" si="49"/>
        <v>9478059.9375</v>
      </c>
      <c r="F62" s="213">
        <f t="shared" si="50"/>
        <v>17790</v>
      </c>
      <c r="G62" s="64">
        <f t="shared" si="51"/>
        <v>3795</v>
      </c>
      <c r="H62" s="213">
        <f t="shared" si="52"/>
        <v>49222092.872063935</v>
      </c>
      <c r="I62" s="64">
        <f t="shared" si="53"/>
        <v>10500159.777936066</v>
      </c>
      <c r="J62" s="213">
        <f t="shared" si="57"/>
        <v>-2946859.0595639348</v>
      </c>
      <c r="K62" s="66">
        <f t="shared" si="57"/>
        <v>-1022099.8404360656</v>
      </c>
      <c r="L62" s="306">
        <f t="shared" si="55"/>
        <v>-2217702.2472180333</v>
      </c>
      <c r="M62" s="307">
        <f>L62*NPV!C26</f>
        <v>-467817.37723831722</v>
      </c>
      <c r="N62" s="147"/>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row>
    <row r="63" spans="1:78" x14ac:dyDescent="0.2">
      <c r="A63" s="65">
        <f t="shared" si="56"/>
        <v>2043</v>
      </c>
      <c r="B63" s="213">
        <f t="shared" si="47"/>
        <v>15505</v>
      </c>
      <c r="C63" s="64">
        <f t="shared" si="47"/>
        <v>3176</v>
      </c>
      <c r="D63" s="213">
        <f t="shared" si="48"/>
        <v>46690123.837499999</v>
      </c>
      <c r="E63" s="64">
        <f t="shared" si="49"/>
        <v>9563037.4125000015</v>
      </c>
      <c r="F63" s="213">
        <f t="shared" si="50"/>
        <v>17950</v>
      </c>
      <c r="G63" s="64">
        <f t="shared" si="51"/>
        <v>3830</v>
      </c>
      <c r="H63" s="213">
        <f t="shared" si="52"/>
        <v>49664882.090220384</v>
      </c>
      <c r="I63" s="64">
        <f t="shared" si="53"/>
        <v>10597019.409779616</v>
      </c>
      <c r="J63" s="213">
        <f t="shared" si="57"/>
        <v>-2974758.2527203858</v>
      </c>
      <c r="K63" s="66">
        <f t="shared" si="57"/>
        <v>-1033981.9972796142</v>
      </c>
      <c r="L63" s="306">
        <f t="shared" si="55"/>
        <v>-2240749.3061398072</v>
      </c>
      <c r="M63" s="307">
        <f>L63*NPV!C27</f>
        <v>-441756.15185807372</v>
      </c>
      <c r="N63" s="147"/>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row>
    <row r="64" spans="1:78" x14ac:dyDescent="0.2">
      <c r="A64" s="65">
        <f t="shared" si="56"/>
        <v>2044</v>
      </c>
      <c r="B64" s="213">
        <f t="shared" si="47"/>
        <v>15645</v>
      </c>
      <c r="C64" s="64">
        <f t="shared" si="47"/>
        <v>3205</v>
      </c>
      <c r="D64" s="213">
        <f t="shared" si="48"/>
        <v>47112511.875</v>
      </c>
      <c r="E64" s="64">
        <f t="shared" si="49"/>
        <v>9649550.625</v>
      </c>
      <c r="F64" s="213">
        <f t="shared" si="50"/>
        <v>18112</v>
      </c>
      <c r="G64" s="64">
        <f t="shared" si="51"/>
        <v>3864</v>
      </c>
      <c r="H64" s="213">
        <f t="shared" si="52"/>
        <v>50113105.606989436</v>
      </c>
      <c r="I64" s="64">
        <f t="shared" si="53"/>
        <v>10691090.993010556</v>
      </c>
      <c r="J64" s="213">
        <f t="shared" si="57"/>
        <v>-3000593.7319894359</v>
      </c>
      <c r="K64" s="66">
        <f t="shared" si="57"/>
        <v>-1041540.3680105563</v>
      </c>
      <c r="L64" s="306">
        <f t="shared" si="55"/>
        <v>-2258887.8470052751</v>
      </c>
      <c r="M64" s="307">
        <f>L64*NPV!C28</f>
        <v>-416198.22792570444</v>
      </c>
      <c r="N64" s="147"/>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row>
    <row r="65" spans="1:78" x14ac:dyDescent="0.2">
      <c r="A65" s="65">
        <f t="shared" si="56"/>
        <v>2045</v>
      </c>
      <c r="B65" s="213">
        <f t="shared" si="47"/>
        <v>15786</v>
      </c>
      <c r="C65" s="64">
        <f t="shared" si="47"/>
        <v>3233</v>
      </c>
      <c r="D65" s="213">
        <f t="shared" si="48"/>
        <v>47534899.912500001</v>
      </c>
      <c r="E65" s="64">
        <f t="shared" si="49"/>
        <v>9736063.8375000004</v>
      </c>
      <c r="F65" s="213">
        <f t="shared" si="50"/>
        <v>18274</v>
      </c>
      <c r="G65" s="64">
        <f t="shared" si="51"/>
        <v>3899</v>
      </c>
      <c r="H65" s="213">
        <f t="shared" si="52"/>
        <v>50561229.734284945</v>
      </c>
      <c r="I65" s="64">
        <f t="shared" si="53"/>
        <v>10787908.21571506</v>
      </c>
      <c r="J65" s="213">
        <f t="shared" si="57"/>
        <v>-3026329.8217849433</v>
      </c>
      <c r="K65" s="66">
        <f t="shared" si="57"/>
        <v>-1051844.3782150596</v>
      </c>
      <c r="L65" s="306">
        <f t="shared" si="55"/>
        <v>-2279537.0951075312</v>
      </c>
      <c r="M65" s="307">
        <f>L65*NPV!C29</f>
        <v>-392526.01392990455</v>
      </c>
      <c r="N65" s="147"/>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row>
    <row r="66" spans="1:78" x14ac:dyDescent="0.2">
      <c r="A66" s="65">
        <f t="shared" si="56"/>
        <v>2046</v>
      </c>
      <c r="B66" s="213">
        <f t="shared" si="47"/>
        <v>15928</v>
      </c>
      <c r="C66" s="64">
        <f t="shared" si="47"/>
        <v>3262</v>
      </c>
      <c r="D66" s="213">
        <f t="shared" si="48"/>
        <v>47962286.625</v>
      </c>
      <c r="E66" s="64">
        <f t="shared" si="49"/>
        <v>9823600.875</v>
      </c>
      <c r="F66" s="213">
        <f t="shared" si="50"/>
        <v>18439</v>
      </c>
      <c r="G66" s="64">
        <f t="shared" si="51"/>
        <v>3934</v>
      </c>
      <c r="H66" s="213">
        <f t="shared" si="52"/>
        <v>51017855.585484743</v>
      </c>
      <c r="I66" s="64">
        <f t="shared" si="53"/>
        <v>10884768.364515264</v>
      </c>
      <c r="J66" s="213">
        <f t="shared" si="57"/>
        <v>-3055568.9604847431</v>
      </c>
      <c r="K66" s="66">
        <f t="shared" si="57"/>
        <v>-1061167.4895152636</v>
      </c>
      <c r="L66" s="306">
        <f t="shared" si="55"/>
        <v>-2300780.4182576346</v>
      </c>
      <c r="M66" s="307">
        <f>L66*NPV!C30</f>
        <v>-370265.43778779241</v>
      </c>
      <c r="N66" s="147"/>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row>
    <row r="67" spans="1:78" x14ac:dyDescent="0.2">
      <c r="A67" s="65">
        <f t="shared" si="56"/>
        <v>2047</v>
      </c>
      <c r="B67" s="213">
        <f t="shared" si="47"/>
        <v>16071</v>
      </c>
      <c r="C67" s="64">
        <f t="shared" si="47"/>
        <v>3292</v>
      </c>
      <c r="D67" s="213">
        <f t="shared" si="48"/>
        <v>48394672.012500003</v>
      </c>
      <c r="E67" s="64">
        <f t="shared" si="49"/>
        <v>9912161.7375000007</v>
      </c>
      <c r="F67" s="213">
        <f t="shared" si="50"/>
        <v>18606</v>
      </c>
      <c r="G67" s="64">
        <f t="shared" si="51"/>
        <v>3969</v>
      </c>
      <c r="H67" s="213">
        <f t="shared" si="52"/>
        <v>51479816.344837211</v>
      </c>
      <c r="I67" s="64">
        <f t="shared" si="53"/>
        <v>10981586.10516279</v>
      </c>
      <c r="J67" s="213">
        <f t="shared" si="57"/>
        <v>-3085144.3323372081</v>
      </c>
      <c r="K67" s="66">
        <f t="shared" si="57"/>
        <v>-1069424.3676627893</v>
      </c>
      <c r="L67" s="306">
        <f t="shared" si="55"/>
        <v>-2321176.7248313935</v>
      </c>
      <c r="M67" s="307">
        <f>L67*NPV!C31</f>
        <v>-349110.11485633574</v>
      </c>
      <c r="N67" s="147"/>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row>
    <row r="68" spans="1:78" x14ac:dyDescent="0.2">
      <c r="A68" s="65">
        <f t="shared" si="56"/>
        <v>2048</v>
      </c>
      <c r="B68" s="213">
        <f t="shared" si="47"/>
        <v>16216</v>
      </c>
      <c r="C68" s="64">
        <f t="shared" si="47"/>
        <v>3321</v>
      </c>
      <c r="D68" s="213">
        <f t="shared" si="48"/>
        <v>48829556.737499997</v>
      </c>
      <c r="E68" s="64">
        <f t="shared" si="49"/>
        <v>10001234.512500001</v>
      </c>
      <c r="F68" s="213">
        <f t="shared" si="50"/>
        <v>18773</v>
      </c>
      <c r="G68" s="64">
        <f t="shared" si="51"/>
        <v>4005</v>
      </c>
      <c r="H68" s="213">
        <f t="shared" si="52"/>
        <v>51941927.3995061</v>
      </c>
      <c r="I68" s="64">
        <f t="shared" si="53"/>
        <v>11081202.750493897</v>
      </c>
      <c r="J68" s="213">
        <f t="shared" si="57"/>
        <v>-3112370.6620061025</v>
      </c>
      <c r="K68" s="66">
        <f t="shared" si="57"/>
        <v>-1079968.237993896</v>
      </c>
      <c r="L68" s="306">
        <f t="shared" si="55"/>
        <v>-2342689.8459969475</v>
      </c>
      <c r="M68" s="307">
        <f>L68*NPV!C32</f>
        <v>-329295.08025786537</v>
      </c>
      <c r="N68" s="147"/>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row>
    <row r="69" spans="1:78" x14ac:dyDescent="0.2">
      <c r="A69" s="65">
        <f t="shared" si="56"/>
        <v>2049</v>
      </c>
      <c r="B69" s="213">
        <f t="shared" si="47"/>
        <v>16362</v>
      </c>
      <c r="C69" s="64">
        <f t="shared" si="47"/>
        <v>3351</v>
      </c>
      <c r="D69" s="213">
        <f t="shared" si="48"/>
        <v>49269440.137500003</v>
      </c>
      <c r="E69" s="64">
        <f t="shared" si="49"/>
        <v>10091331.112500001</v>
      </c>
      <c r="F69" s="213">
        <f t="shared" si="50"/>
        <v>18942</v>
      </c>
      <c r="G69" s="64">
        <f t="shared" si="51"/>
        <v>4041</v>
      </c>
      <c r="H69" s="213">
        <f t="shared" si="52"/>
        <v>52409623.043493018</v>
      </c>
      <c r="I69" s="64">
        <f t="shared" si="53"/>
        <v>11180830.256506983</v>
      </c>
      <c r="J69" s="213">
        <f t="shared" si="57"/>
        <v>-3140182.9059930146</v>
      </c>
      <c r="K69" s="66">
        <f t="shared" si="57"/>
        <v>-1089499.1440069824</v>
      </c>
      <c r="L69" s="306">
        <f t="shared" si="55"/>
        <v>-2363512.8535034899</v>
      </c>
      <c r="M69" s="307">
        <f>L69*NPV!C33</f>
        <v>-310487.86992257182</v>
      </c>
      <c r="N69" s="147"/>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row>
    <row r="70" spans="1:78" x14ac:dyDescent="0.2">
      <c r="A70" s="65">
        <f t="shared" si="56"/>
        <v>2050</v>
      </c>
      <c r="B70" s="213">
        <f t="shared" si="47"/>
        <v>16510</v>
      </c>
      <c r="C70" s="64">
        <f t="shared" si="47"/>
        <v>3381</v>
      </c>
      <c r="D70" s="213">
        <f t="shared" si="48"/>
        <v>49714322.212499999</v>
      </c>
      <c r="E70" s="64">
        <f t="shared" si="49"/>
        <v>10182451.537500001</v>
      </c>
      <c r="F70" s="213">
        <f t="shared" si="50"/>
        <v>19113</v>
      </c>
      <c r="G70" s="64">
        <f t="shared" si="51"/>
        <v>4077</v>
      </c>
      <c r="H70" s="213">
        <f t="shared" si="52"/>
        <v>52882653.593848646</v>
      </c>
      <c r="I70" s="64">
        <f t="shared" si="53"/>
        <v>11280415.356151359</v>
      </c>
      <c r="J70" s="213">
        <f t="shared" si="57"/>
        <v>-3168331.3813486472</v>
      </c>
      <c r="K70" s="66">
        <f t="shared" si="57"/>
        <v>-1097963.8186513577</v>
      </c>
      <c r="L70" s="306">
        <f t="shared" si="55"/>
        <v>-2383488.8453256809</v>
      </c>
      <c r="M70" s="307">
        <f>L70*NPV!C34</f>
        <v>-292628.09194444545</v>
      </c>
      <c r="N70" s="147"/>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row>
    <row r="71" spans="1:78" x14ac:dyDescent="0.2">
      <c r="A71" s="65">
        <f t="shared" si="56"/>
        <v>2051</v>
      </c>
      <c r="B71" s="213">
        <f t="shared" si="47"/>
        <v>16658</v>
      </c>
      <c r="C71" s="64">
        <f t="shared" si="47"/>
        <v>3412</v>
      </c>
      <c r="D71" s="213">
        <f t="shared" si="48"/>
        <v>50161703.625</v>
      </c>
      <c r="E71" s="64">
        <f t="shared" si="49"/>
        <v>10274083.875</v>
      </c>
      <c r="F71" s="213">
        <f t="shared" si="50"/>
        <v>19284</v>
      </c>
      <c r="G71" s="64">
        <f t="shared" si="51"/>
        <v>4114</v>
      </c>
      <c r="H71" s="213">
        <f t="shared" si="52"/>
        <v>53355834.438806735</v>
      </c>
      <c r="I71" s="64">
        <f t="shared" si="53"/>
        <v>11382799.361193264</v>
      </c>
      <c r="J71" s="213">
        <f t="shared" si="57"/>
        <v>-3194130.813806735</v>
      </c>
      <c r="K71" s="66">
        <f t="shared" si="57"/>
        <v>-1108715.4861932639</v>
      </c>
      <c r="L71" s="306">
        <f t="shared" si="55"/>
        <v>-2404581.6520966315</v>
      </c>
      <c r="M71" s="307">
        <f>L71*NPV!C35</f>
        <v>-275904.41051511507</v>
      </c>
      <c r="N71" s="147"/>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row>
    <row r="72" spans="1:78" x14ac:dyDescent="0.2">
      <c r="A72" s="65">
        <f t="shared" si="56"/>
        <v>2052</v>
      </c>
      <c r="B72" s="213">
        <f t="shared" si="47"/>
        <v>16807</v>
      </c>
      <c r="C72" s="64">
        <f t="shared" si="47"/>
        <v>3443</v>
      </c>
      <c r="D72" s="213">
        <f t="shared" si="48"/>
        <v>50611584.375</v>
      </c>
      <c r="E72" s="64">
        <f t="shared" si="49"/>
        <v>10366228.125</v>
      </c>
      <c r="F72" s="213">
        <f t="shared" si="50"/>
        <v>19458</v>
      </c>
      <c r="G72" s="64">
        <f t="shared" si="51"/>
        <v>4151</v>
      </c>
      <c r="H72" s="213">
        <f t="shared" si="52"/>
        <v>53837267.327303141</v>
      </c>
      <c r="I72" s="64">
        <f t="shared" si="53"/>
        <v>11485173.022696853</v>
      </c>
      <c r="J72" s="213">
        <f t="shared" si="57"/>
        <v>-3225682.9523031414</v>
      </c>
      <c r="K72" s="66">
        <f t="shared" si="57"/>
        <v>-1118944.8976968527</v>
      </c>
      <c r="L72" s="306">
        <f t="shared" si="55"/>
        <v>-2427662.4243484242</v>
      </c>
      <c r="M72" s="307">
        <f>L72*NPV!C36</f>
        <v>-260329.6489275682</v>
      </c>
      <c r="N72" s="147"/>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row>
    <row r="73" spans="1:78" x14ac:dyDescent="0.2">
      <c r="A73" s="65">
        <f t="shared" si="56"/>
        <v>2053</v>
      </c>
      <c r="B73" s="213">
        <f t="shared" si="47"/>
        <v>16959</v>
      </c>
      <c r="C73" s="64">
        <f t="shared" si="47"/>
        <v>3474</v>
      </c>
      <c r="D73" s="213">
        <f t="shared" si="48"/>
        <v>51068963.137500003</v>
      </c>
      <c r="E73" s="64">
        <f t="shared" si="49"/>
        <v>10459908.112500001</v>
      </c>
      <c r="F73" s="213">
        <f t="shared" si="50"/>
        <v>19633</v>
      </c>
      <c r="G73" s="64">
        <f t="shared" si="51"/>
        <v>4188</v>
      </c>
      <c r="H73" s="213">
        <f t="shared" si="52"/>
        <v>54321367.667770036</v>
      </c>
      <c r="I73" s="64">
        <f t="shared" si="53"/>
        <v>11587525.482229965</v>
      </c>
      <c r="J73" s="213">
        <f t="shared" si="57"/>
        <v>-3252404.5302700326</v>
      </c>
      <c r="K73" s="66">
        <f t="shared" si="57"/>
        <v>-1127617.3697299641</v>
      </c>
      <c r="L73" s="306">
        <f t="shared" si="55"/>
        <v>-2447218.1018649805</v>
      </c>
      <c r="M73" s="307">
        <f>L73*NPV!C37</f>
        <v>-245258.59450131358</v>
      </c>
      <c r="N73" s="147"/>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row>
    <row r="74" spans="1:78" x14ac:dyDescent="0.2">
      <c r="A74" s="65">
        <f t="shared" si="56"/>
        <v>2054</v>
      </c>
      <c r="B74" s="213">
        <f t="shared" si="47"/>
        <v>17111</v>
      </c>
      <c r="C74" s="64">
        <f t="shared" si="47"/>
        <v>3505</v>
      </c>
      <c r="D74" s="213">
        <f t="shared" si="48"/>
        <v>51526341.899999999</v>
      </c>
      <c r="E74" s="64">
        <f t="shared" si="49"/>
        <v>10553588.100000001</v>
      </c>
      <c r="F74" s="213">
        <f t="shared" si="50"/>
        <v>19810</v>
      </c>
      <c r="G74" s="64">
        <f t="shared" si="51"/>
        <v>4226</v>
      </c>
      <c r="H74" s="213">
        <f t="shared" si="52"/>
        <v>54811202.895074055</v>
      </c>
      <c r="I74" s="64">
        <f t="shared" si="53"/>
        <v>11692687.704925945</v>
      </c>
      <c r="J74" s="213">
        <f t="shared" si="57"/>
        <v>-3284860.9950740561</v>
      </c>
      <c r="K74" s="66">
        <f t="shared" si="57"/>
        <v>-1139099.6049259435</v>
      </c>
      <c r="L74" s="306">
        <f t="shared" si="55"/>
        <v>-2471852.860462972</v>
      </c>
      <c r="M74" s="307">
        <f>L74*NPV!C38</f>
        <v>-231521.00361195405</v>
      </c>
      <c r="N74" s="147"/>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row>
    <row r="75" spans="1:78" x14ac:dyDescent="0.2">
      <c r="A75" s="65">
        <f t="shared" si="56"/>
        <v>2055</v>
      </c>
      <c r="B75" s="213">
        <f t="shared" si="47"/>
        <v>17266</v>
      </c>
      <c r="C75" s="64">
        <f t="shared" si="47"/>
        <v>3536</v>
      </c>
      <c r="D75" s="213">
        <f t="shared" si="48"/>
        <v>51991218.674999997</v>
      </c>
      <c r="E75" s="64">
        <f t="shared" si="49"/>
        <v>10648803.825000001</v>
      </c>
      <c r="F75" s="213">
        <f t="shared" si="50"/>
        <v>19988.153875042677</v>
      </c>
      <c r="G75" s="64">
        <f t="shared" si="51"/>
        <v>4264</v>
      </c>
      <c r="H75" s="213">
        <f t="shared" si="52"/>
        <v>55304075.238560021</v>
      </c>
      <c r="I75" s="64">
        <f t="shared" si="53"/>
        <v>11797816.761439977</v>
      </c>
      <c r="J75" s="213">
        <f t="shared" si="57"/>
        <v>-3312856.5635600239</v>
      </c>
      <c r="K75" s="66">
        <f t="shared" si="57"/>
        <v>-1149012.9364399761</v>
      </c>
      <c r="L75" s="306">
        <f t="shared" si="55"/>
        <v>-2493110.3532199883</v>
      </c>
      <c r="M75" s="307">
        <f>L75*NPV!C39</f>
        <v>-218235.55407355717</v>
      </c>
      <c r="N75" s="147"/>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row>
    <row r="76" spans="1:78" ht="13.5" thickBot="1" x14ac:dyDescent="0.25">
      <c r="A76" s="67">
        <f t="shared" si="56"/>
        <v>2056</v>
      </c>
      <c r="B76" s="214">
        <f t="shared" si="47"/>
        <v>17421</v>
      </c>
      <c r="C76" s="68">
        <f t="shared" si="47"/>
        <v>3568</v>
      </c>
      <c r="D76" s="214">
        <f t="shared" si="48"/>
        <v>52458594.787500001</v>
      </c>
      <c r="E76" s="68">
        <f t="shared" si="49"/>
        <v>10744531.4625</v>
      </c>
      <c r="F76" s="214">
        <f t="shared" si="50"/>
        <v>20168</v>
      </c>
      <c r="G76" s="68">
        <f t="shared" si="51"/>
        <v>4303</v>
      </c>
      <c r="H76" s="214">
        <f t="shared" si="52"/>
        <v>55801693.453867845</v>
      </c>
      <c r="I76" s="68">
        <f t="shared" si="53"/>
        <v>11905726.246132158</v>
      </c>
      <c r="J76" s="214">
        <f t="shared" si="57"/>
        <v>-3343098.6663678437</v>
      </c>
      <c r="K76" s="68">
        <f t="shared" si="57"/>
        <v>-1161194.7836321574</v>
      </c>
      <c r="L76" s="308">
        <f t="shared" si="55"/>
        <v>-2517443.575316079</v>
      </c>
      <c r="M76" s="309">
        <f>L76*NPV!C40</f>
        <v>-205949.13438276859</v>
      </c>
      <c r="N76" s="147"/>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row>
    <row r="77" spans="1:78" ht="13.5" thickTop="1" x14ac:dyDescent="0.2">
      <c r="A77" s="464" t="s">
        <v>0</v>
      </c>
      <c r="B77" s="465"/>
      <c r="C77" s="465"/>
      <c r="D77" s="465"/>
      <c r="E77" s="465"/>
      <c r="F77" s="465"/>
      <c r="G77" s="465"/>
      <c r="H77" s="465"/>
      <c r="I77" s="465"/>
      <c r="J77" s="465"/>
      <c r="K77" s="466"/>
      <c r="L77" s="310">
        <f>SUM(L47:L76)</f>
        <v>-62593694.654181503</v>
      </c>
      <c r="M77" s="311">
        <f>SUM(M47:M76)</f>
        <v>-14833890.419363204</v>
      </c>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row>
    <row r="78" spans="1:78" x14ac:dyDescent="0.2">
      <c r="A78" s="142"/>
      <c r="B78" s="142"/>
      <c r="C78" s="142"/>
      <c r="D78" s="142"/>
      <c r="E78" s="142"/>
      <c r="F78" s="142"/>
      <c r="G78" s="142"/>
      <c r="H78" s="142"/>
      <c r="I78" s="218"/>
      <c r="J78" s="219"/>
      <c r="K78" s="219"/>
      <c r="L78" s="216"/>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row>
    <row r="79" spans="1:78" x14ac:dyDescent="0.2">
      <c r="A79" s="142"/>
      <c r="B79" s="142"/>
      <c r="C79" s="142"/>
      <c r="D79" s="142"/>
      <c r="E79" s="142"/>
      <c r="F79" s="142"/>
      <c r="G79" s="142"/>
      <c r="H79" s="142"/>
      <c r="I79" s="218"/>
      <c r="J79" s="219"/>
      <c r="K79" s="219"/>
      <c r="L79" s="216"/>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row>
    <row r="80" spans="1:78" x14ac:dyDescent="0.2">
      <c r="A80" s="390" t="s">
        <v>121</v>
      </c>
      <c r="B80" s="391"/>
      <c r="C80" s="391"/>
      <c r="D80" s="391"/>
      <c r="E80" s="391"/>
      <c r="F80" s="391"/>
      <c r="G80" s="391"/>
      <c r="H80" s="391"/>
      <c r="I80" s="391"/>
      <c r="J80" s="391"/>
      <c r="K80" s="391"/>
      <c r="L80" s="391"/>
      <c r="M80" s="391"/>
      <c r="N80" s="391"/>
      <c r="O80" s="39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row>
    <row r="81" spans="1:64" x14ac:dyDescent="0.2">
      <c r="A81" s="425" t="s">
        <v>1</v>
      </c>
      <c r="B81" s="390" t="s">
        <v>261</v>
      </c>
      <c r="C81" s="391"/>
      <c r="D81" s="391"/>
      <c r="E81" s="391"/>
      <c r="F81" s="391"/>
      <c r="G81" s="391"/>
      <c r="H81" s="391"/>
      <c r="I81" s="391"/>
      <c r="J81" s="391"/>
      <c r="K81" s="391"/>
      <c r="L81" s="391"/>
      <c r="M81" s="392"/>
      <c r="N81" s="390" t="s">
        <v>149</v>
      </c>
      <c r="O81" s="39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row>
    <row r="82" spans="1:64" ht="13.9" customHeight="1" x14ac:dyDescent="0.2">
      <c r="A82" s="425"/>
      <c r="B82" s="426" t="s">
        <v>122</v>
      </c>
      <c r="C82" s="427"/>
      <c r="D82" s="428"/>
      <c r="E82" s="426" t="s">
        <v>123</v>
      </c>
      <c r="F82" s="427"/>
      <c r="G82" s="428"/>
      <c r="H82" s="335" t="s">
        <v>296</v>
      </c>
      <c r="I82" s="337" t="s">
        <v>125</v>
      </c>
      <c r="J82" s="390" t="s">
        <v>126</v>
      </c>
      <c r="K82" s="392"/>
      <c r="L82" s="390" t="s">
        <v>295</v>
      </c>
      <c r="M82" s="392"/>
      <c r="N82" s="390" t="s">
        <v>291</v>
      </c>
      <c r="O82" s="39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row>
    <row r="83" spans="1:64" ht="25.5" x14ac:dyDescent="0.2">
      <c r="A83" s="425"/>
      <c r="B83" s="336" t="s">
        <v>129</v>
      </c>
      <c r="C83" s="336" t="s">
        <v>130</v>
      </c>
      <c r="D83" s="336" t="s">
        <v>0</v>
      </c>
      <c r="E83" s="336" t="s">
        <v>131</v>
      </c>
      <c r="F83" s="336" t="s">
        <v>132</v>
      </c>
      <c r="G83" s="336" t="s">
        <v>104</v>
      </c>
      <c r="H83" s="336" t="s">
        <v>297</v>
      </c>
      <c r="I83" s="336" t="s">
        <v>292</v>
      </c>
      <c r="J83" s="336" t="s">
        <v>293</v>
      </c>
      <c r="K83" s="336" t="s">
        <v>294</v>
      </c>
      <c r="L83" s="336" t="s">
        <v>128</v>
      </c>
      <c r="M83" s="336" t="s">
        <v>78</v>
      </c>
      <c r="N83" s="336" t="s">
        <v>128</v>
      </c>
      <c r="O83" s="336" t="s">
        <v>78</v>
      </c>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row>
    <row r="84" spans="1:64" x14ac:dyDescent="0.2">
      <c r="A84" s="63">
        <v>2019</v>
      </c>
      <c r="B84" s="266">
        <f>(H222)/24</f>
        <v>501.45833333333331</v>
      </c>
      <c r="C84" s="64">
        <f>(H223*0.5*0.6667)/12</f>
        <v>68.475645833333331</v>
      </c>
      <c r="D84" s="347">
        <f>SUM(B84:C84)</f>
        <v>569.93397916666663</v>
      </c>
      <c r="E84" s="64">
        <f>1800*$B$125</f>
        <v>963</v>
      </c>
      <c r="F84" s="347">
        <f>900*$B$125</f>
        <v>481.5</v>
      </c>
      <c r="G84" s="64">
        <f>(E84*B84+F84*C84)/D84</f>
        <v>905.1493985725175</v>
      </c>
      <c r="H84" s="220">
        <f>$E$287/60</f>
        <v>0.41666666666666669</v>
      </c>
      <c r="I84" s="64">
        <f>H84*(B84)*0.6+H84*C84</f>
        <v>153.89610243055554</v>
      </c>
      <c r="J84" s="220">
        <f>I84/(G84-B84-C84)</f>
        <v>0.45909613198380644</v>
      </c>
      <c r="K84" s="79">
        <f>6/60</f>
        <v>0.1</v>
      </c>
      <c r="L84" s="213">
        <f>(0.6*B84*(H84+J84)+(B84*0.4)*K84)*$E$286</f>
        <v>679.00734046286993</v>
      </c>
      <c r="M84" s="64">
        <f>(C84*(H84+J84))*$E$286</f>
        <v>143.60254605938366</v>
      </c>
      <c r="N84" s="213">
        <f>L84*365</f>
        <v>247837.67926894751</v>
      </c>
      <c r="O84" s="64">
        <f>M84*365</f>
        <v>52414.929311675034</v>
      </c>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row>
    <row r="85" spans="1:64" x14ac:dyDescent="0.2">
      <c r="A85" s="65">
        <f t="shared" ref="A85:A121" si="58">A84+1</f>
        <v>2020</v>
      </c>
      <c r="B85" s="221">
        <f t="shared" ref="B85:B105" si="59">($B84*(1+$B$247))</f>
        <v>509.48166666666663</v>
      </c>
      <c r="C85" s="77">
        <f t="shared" ref="C85:C105" si="60">($C84*(1+$B$247))</f>
        <v>69.571256166666672</v>
      </c>
      <c r="D85" s="347">
        <f t="shared" ref="D85:D121" si="61">SUM(B85:C85)</f>
        <v>579.05292283333324</v>
      </c>
      <c r="E85" s="64">
        <f t="shared" ref="E85:E121" si="62">1800*$B$125</f>
        <v>963</v>
      </c>
      <c r="F85" s="347">
        <f t="shared" ref="F85:F121" si="63">900*$B$125</f>
        <v>481.5</v>
      </c>
      <c r="G85" s="64">
        <f t="shared" ref="G85:G121" si="64">(E85*B85+F85*C85)/D85</f>
        <v>905.1493985725175</v>
      </c>
      <c r="H85" s="220">
        <f t="shared" ref="H85:H103" si="65">$E$287/60</f>
        <v>0.41666666666666669</v>
      </c>
      <c r="I85" s="64">
        <f>H85*(B85)*0.6+H85*C85</f>
        <v>156.35844006944444</v>
      </c>
      <c r="J85" s="220">
        <f t="shared" ref="J85:J119" si="66">I85/(G85-B85-C85)</f>
        <v>0.47948521895250951</v>
      </c>
      <c r="K85" s="79">
        <f t="shared" ref="K85:K121" si="67">6/60</f>
        <v>0.1</v>
      </c>
      <c r="L85" s="213">
        <f t="shared" ref="L85:L121" si="68">(0.6*B85*(H85+J85)+(B85*0.4)*K85)*$E$286</f>
        <v>704.79655275312996</v>
      </c>
      <c r="M85" s="64">
        <f t="shared" ref="M85:M121" si="69">(C85*(H85+J85))*$E$286</f>
        <v>149.29696455616158</v>
      </c>
      <c r="N85" s="213">
        <f t="shared" ref="N85:N121" si="70">L85*365</f>
        <v>257250.74175489243</v>
      </c>
      <c r="O85" s="64">
        <f t="shared" ref="O85:O121" si="71">M85*365</f>
        <v>54493.392062998981</v>
      </c>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row>
    <row r="86" spans="1:64" x14ac:dyDescent="0.2">
      <c r="A86" s="65">
        <f t="shared" si="58"/>
        <v>2021</v>
      </c>
      <c r="B86" s="221">
        <f t="shared" si="59"/>
        <v>517.63337333333334</v>
      </c>
      <c r="C86" s="77">
        <f t="shared" si="60"/>
        <v>70.684396265333334</v>
      </c>
      <c r="D86" s="347">
        <f t="shared" si="61"/>
        <v>588.3177695986667</v>
      </c>
      <c r="E86" s="64">
        <f t="shared" si="62"/>
        <v>963</v>
      </c>
      <c r="F86" s="347">
        <f t="shared" si="63"/>
        <v>481.5</v>
      </c>
      <c r="G86" s="64">
        <f t="shared" si="64"/>
        <v>905.1493985725175</v>
      </c>
      <c r="H86" s="220">
        <f t="shared" si="65"/>
        <v>0.41666666666666669</v>
      </c>
      <c r="I86" s="64">
        <f t="shared" ref="I86:I121" si="72">H86*(B86)*0.6+H86*C86</f>
        <v>158.86017511055556</v>
      </c>
      <c r="J86" s="220">
        <f t="shared" si="66"/>
        <v>0.50140251345823439</v>
      </c>
      <c r="K86" s="79">
        <f t="shared" si="67"/>
        <v>0.1</v>
      </c>
      <c r="L86" s="213">
        <f t="shared" si="68"/>
        <v>732.37376180599961</v>
      </c>
      <c r="M86" s="64">
        <f t="shared" si="69"/>
        <v>155.39551179822365</v>
      </c>
      <c r="N86" s="213">
        <f t="shared" si="70"/>
        <v>267316.42305918987</v>
      </c>
      <c r="O86" s="64">
        <f t="shared" si="71"/>
        <v>56719.361806351633</v>
      </c>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row>
    <row r="87" spans="1:64" x14ac:dyDescent="0.2">
      <c r="A87" s="65">
        <f t="shared" si="58"/>
        <v>2022</v>
      </c>
      <c r="B87" s="221">
        <f t="shared" si="59"/>
        <v>525.91550730666665</v>
      </c>
      <c r="C87" s="77">
        <f t="shared" si="60"/>
        <v>71.815346605578668</v>
      </c>
      <c r="D87" s="347">
        <f t="shared" si="61"/>
        <v>597.73085391224527</v>
      </c>
      <c r="E87" s="64">
        <f t="shared" si="62"/>
        <v>963</v>
      </c>
      <c r="F87" s="347">
        <f t="shared" si="63"/>
        <v>481.5</v>
      </c>
      <c r="G87" s="64">
        <f t="shared" si="64"/>
        <v>905.14939857251738</v>
      </c>
      <c r="H87" s="220">
        <f t="shared" si="65"/>
        <v>0.41666666666666669</v>
      </c>
      <c r="I87" s="64">
        <f t="shared" si="72"/>
        <v>161.40193791232446</v>
      </c>
      <c r="J87" s="220">
        <f t="shared" si="66"/>
        <v>0.52502342723237327</v>
      </c>
      <c r="K87" s="79">
        <f t="shared" si="67"/>
        <v>0.1</v>
      </c>
      <c r="L87" s="213">
        <f t="shared" si="68"/>
        <v>761.94031218250086</v>
      </c>
      <c r="M87" s="64">
        <f t="shared" si="69"/>
        <v>161.94396668678039</v>
      </c>
      <c r="N87" s="213">
        <f t="shared" si="70"/>
        <v>278108.21394661284</v>
      </c>
      <c r="O87" s="64">
        <f t="shared" si="71"/>
        <v>59109.547840674837</v>
      </c>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row>
    <row r="88" spans="1:64" x14ac:dyDescent="0.2">
      <c r="A88" s="65">
        <f t="shared" si="58"/>
        <v>2023</v>
      </c>
      <c r="B88" s="221">
        <f t="shared" si="59"/>
        <v>534.33015542357327</v>
      </c>
      <c r="C88" s="77">
        <f t="shared" si="60"/>
        <v>72.96439215126793</v>
      </c>
      <c r="D88" s="347">
        <f t="shared" si="61"/>
        <v>607.2945475748412</v>
      </c>
      <c r="E88" s="64">
        <f t="shared" si="62"/>
        <v>963</v>
      </c>
      <c r="F88" s="347">
        <f t="shared" si="63"/>
        <v>481.5</v>
      </c>
      <c r="G88" s="64">
        <f t="shared" si="64"/>
        <v>905.14939857251738</v>
      </c>
      <c r="H88" s="220">
        <f t="shared" si="65"/>
        <v>0.41666666666666669</v>
      </c>
      <c r="I88" s="64">
        <f t="shared" si="72"/>
        <v>163.98436891892163</v>
      </c>
      <c r="J88" s="220">
        <f t="shared" si="66"/>
        <v>0.55055127814655269</v>
      </c>
      <c r="K88" s="79">
        <f t="shared" si="67"/>
        <v>0.1</v>
      </c>
      <c r="L88" s="213">
        <f t="shared" si="68"/>
        <v>793.72949014667859</v>
      </c>
      <c r="M88" s="64">
        <f t="shared" si="69"/>
        <v>168.99537696622406</v>
      </c>
      <c r="N88" s="213">
        <f t="shared" si="70"/>
        <v>289711.26390353771</v>
      </c>
      <c r="O88" s="64">
        <f t="shared" si="71"/>
        <v>61683.312592671784</v>
      </c>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row>
    <row r="89" spans="1:64" x14ac:dyDescent="0.2">
      <c r="A89" s="65">
        <f t="shared" si="58"/>
        <v>2024</v>
      </c>
      <c r="B89" s="221">
        <f t="shared" si="59"/>
        <v>542.87943791035048</v>
      </c>
      <c r="C89" s="77">
        <f t="shared" si="60"/>
        <v>74.131822425688213</v>
      </c>
      <c r="D89" s="347">
        <f t="shared" si="61"/>
        <v>617.01126033603873</v>
      </c>
      <c r="E89" s="64">
        <f t="shared" si="62"/>
        <v>963</v>
      </c>
      <c r="F89" s="347">
        <f t="shared" si="63"/>
        <v>481.5</v>
      </c>
      <c r="G89" s="64">
        <f t="shared" si="64"/>
        <v>905.14939857251716</v>
      </c>
      <c r="H89" s="220">
        <f t="shared" si="65"/>
        <v>0.41666666666666669</v>
      </c>
      <c r="I89" s="64">
        <f t="shared" si="72"/>
        <v>166.60811882162437</v>
      </c>
      <c r="J89" s="220">
        <f t="shared" si="66"/>
        <v>0.57822306981412874</v>
      </c>
      <c r="K89" s="79">
        <f t="shared" si="67"/>
        <v>0.1</v>
      </c>
      <c r="L89" s="213">
        <f t="shared" si="68"/>
        <v>828.01313714199375</v>
      </c>
      <c r="M89" s="64">
        <f t="shared" si="69"/>
        <v>176.61156436286893</v>
      </c>
      <c r="N89" s="213">
        <f t="shared" si="70"/>
        <v>302224.79505682772</v>
      </c>
      <c r="O89" s="64">
        <f t="shared" si="71"/>
        <v>64463.220992447161</v>
      </c>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row>
    <row r="90" spans="1:64" x14ac:dyDescent="0.2">
      <c r="A90" s="65">
        <f t="shared" si="58"/>
        <v>2025</v>
      </c>
      <c r="B90" s="221">
        <f t="shared" si="59"/>
        <v>551.56550891691609</v>
      </c>
      <c r="C90" s="77">
        <f t="shared" si="60"/>
        <v>75.31793158449922</v>
      </c>
      <c r="D90" s="347">
        <f t="shared" si="61"/>
        <v>626.88344050141529</v>
      </c>
      <c r="E90" s="64">
        <f t="shared" si="62"/>
        <v>963</v>
      </c>
      <c r="F90" s="347">
        <f t="shared" si="63"/>
        <v>481.5</v>
      </c>
      <c r="G90" s="64">
        <f t="shared" si="64"/>
        <v>905.14939857251727</v>
      </c>
      <c r="H90" s="220">
        <f t="shared" si="65"/>
        <v>0.41666666666666669</v>
      </c>
      <c r="I90" s="64">
        <f t="shared" si="72"/>
        <v>169.27384872277037</v>
      </c>
      <c r="J90" s="220">
        <f t="shared" si="66"/>
        <v>0.60831676966938886</v>
      </c>
      <c r="K90" s="79">
        <f t="shared" si="67"/>
        <v>0.1</v>
      </c>
      <c r="L90" s="213">
        <f t="shared" si="68"/>
        <v>865.10997790502927</v>
      </c>
      <c r="M90" s="64">
        <f t="shared" si="69"/>
        <v>184.86501995499029</v>
      </c>
      <c r="N90" s="213">
        <f t="shared" si="70"/>
        <v>315765.14193533571</v>
      </c>
      <c r="O90" s="64">
        <f t="shared" si="71"/>
        <v>67475.732283571459</v>
      </c>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row>
    <row r="91" spans="1:64" x14ac:dyDescent="0.2">
      <c r="A91" s="65">
        <f t="shared" si="58"/>
        <v>2026</v>
      </c>
      <c r="B91" s="221">
        <f t="shared" si="59"/>
        <v>560.39055705958674</v>
      </c>
      <c r="C91" s="77">
        <f t="shared" si="60"/>
        <v>76.523018489851211</v>
      </c>
      <c r="D91" s="347">
        <f>SUM(B91:C91)</f>
        <v>636.91357554943795</v>
      </c>
      <c r="E91" s="64">
        <f t="shared" si="62"/>
        <v>963</v>
      </c>
      <c r="F91" s="347">
        <f t="shared" si="63"/>
        <v>481.5</v>
      </c>
      <c r="G91" s="64">
        <f t="shared" si="64"/>
        <v>905.14939857251738</v>
      </c>
      <c r="H91" s="220">
        <f t="shared" si="65"/>
        <v>0.41666666666666669</v>
      </c>
      <c r="I91" s="64">
        <f t="shared" si="72"/>
        <v>171.9822303023347</v>
      </c>
      <c r="J91" s="220">
        <f t="shared" si="66"/>
        <v>0.64116055925735571</v>
      </c>
      <c r="K91" s="79">
        <f t="shared" si="67"/>
        <v>0.1</v>
      </c>
      <c r="L91" s="213">
        <f t="shared" si="68"/>
        <v>905.39620528591877</v>
      </c>
      <c r="M91" s="64">
        <f t="shared" si="69"/>
        <v>193.8413131428448</v>
      </c>
      <c r="N91" s="213">
        <f t="shared" si="70"/>
        <v>330469.61492936034</v>
      </c>
      <c r="O91" s="64">
        <f t="shared" si="71"/>
        <v>70752.079297138349</v>
      </c>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row>
    <row r="92" spans="1:64" x14ac:dyDescent="0.2">
      <c r="A92" s="65">
        <f t="shared" si="58"/>
        <v>2027</v>
      </c>
      <c r="B92" s="221">
        <f t="shared" si="59"/>
        <v>569.35680597254009</v>
      </c>
      <c r="C92" s="77">
        <f t="shared" si="60"/>
        <v>77.747386785688832</v>
      </c>
      <c r="D92" s="347">
        <f t="shared" si="61"/>
        <v>647.10419275822892</v>
      </c>
      <c r="E92" s="64">
        <f t="shared" si="62"/>
        <v>963</v>
      </c>
      <c r="F92" s="347">
        <f t="shared" si="63"/>
        <v>481.5</v>
      </c>
      <c r="G92" s="64">
        <f t="shared" si="64"/>
        <v>905.14939857251738</v>
      </c>
      <c r="H92" s="220">
        <f t="shared" si="65"/>
        <v>0.41666666666666669</v>
      </c>
      <c r="I92" s="64">
        <f t="shared" si="72"/>
        <v>174.73394598717204</v>
      </c>
      <c r="J92" s="220">
        <f t="shared" si="66"/>
        <v>0.67714470972549523</v>
      </c>
      <c r="K92" s="79">
        <f t="shared" si="67"/>
        <v>0.1</v>
      </c>
      <c r="L92" s="213">
        <f t="shared" si="68"/>
        <v>949.31906896154976</v>
      </c>
      <c r="M92" s="64">
        <f t="shared" si="69"/>
        <v>203.64218426951172</v>
      </c>
      <c r="N92" s="213">
        <f t="shared" si="70"/>
        <v>346501.46017096564</v>
      </c>
      <c r="O92" s="64">
        <f t="shared" si="71"/>
        <v>74329.39725837177</v>
      </c>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row>
    <row r="93" spans="1:64" x14ac:dyDescent="0.2">
      <c r="A93" s="65">
        <f t="shared" si="58"/>
        <v>2028</v>
      </c>
      <c r="B93" s="221">
        <f t="shared" si="59"/>
        <v>578.46651486810072</v>
      </c>
      <c r="C93" s="77">
        <f t="shared" si="60"/>
        <v>78.99134497425986</v>
      </c>
      <c r="D93" s="347">
        <f t="shared" si="61"/>
        <v>657.45785984236056</v>
      </c>
      <c r="E93" s="64">
        <f t="shared" si="62"/>
        <v>963</v>
      </c>
      <c r="F93" s="347">
        <f t="shared" si="63"/>
        <v>481.5</v>
      </c>
      <c r="G93" s="64">
        <f t="shared" si="64"/>
        <v>905.1493985725175</v>
      </c>
      <c r="H93" s="220">
        <f t="shared" si="65"/>
        <v>0.41666666666666669</v>
      </c>
      <c r="I93" s="64">
        <f t="shared" si="72"/>
        <v>177.52968912296677</v>
      </c>
      <c r="J93" s="220">
        <f t="shared" si="66"/>
        <v>0.71673699486510634</v>
      </c>
      <c r="K93" s="79">
        <f t="shared" si="67"/>
        <v>0.1</v>
      </c>
      <c r="L93" s="213">
        <f t="shared" si="68"/>
        <v>997.4145119965076</v>
      </c>
      <c r="M93" s="64">
        <f t="shared" si="69"/>
        <v>214.38955848454395</v>
      </c>
      <c r="N93" s="213">
        <f t="shared" si="70"/>
        <v>364056.29687872529</v>
      </c>
      <c r="O93" s="64">
        <f t="shared" si="71"/>
        <v>78252.188846858538</v>
      </c>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row>
    <row r="94" spans="1:64" x14ac:dyDescent="0.2">
      <c r="A94" s="65">
        <f t="shared" si="58"/>
        <v>2029</v>
      </c>
      <c r="B94" s="221">
        <f t="shared" si="59"/>
        <v>587.72197910599039</v>
      </c>
      <c r="C94" s="77">
        <f t="shared" si="60"/>
        <v>80.255206493848021</v>
      </c>
      <c r="D94" s="347">
        <f t="shared" si="61"/>
        <v>667.97718559983844</v>
      </c>
      <c r="E94" s="64">
        <f t="shared" si="62"/>
        <v>963</v>
      </c>
      <c r="F94" s="347">
        <f t="shared" si="63"/>
        <v>481.5</v>
      </c>
      <c r="G94" s="64">
        <f t="shared" si="64"/>
        <v>905.14939857251727</v>
      </c>
      <c r="H94" s="220">
        <f t="shared" si="65"/>
        <v>0.41666666666666669</v>
      </c>
      <c r="I94" s="64">
        <f t="shared" si="72"/>
        <v>180.37016414893426</v>
      </c>
      <c r="J94" s="220">
        <f t="shared" si="66"/>
        <v>0.76050293534897395</v>
      </c>
      <c r="K94" s="79">
        <f t="shared" si="67"/>
        <v>0.1</v>
      </c>
      <c r="L94" s="213">
        <f t="shared" si="68"/>
        <v>1050.330335508299</v>
      </c>
      <c r="M94" s="64">
        <f t="shared" si="69"/>
        <v>226.23081773957409</v>
      </c>
      <c r="N94" s="213">
        <f t="shared" si="70"/>
        <v>383370.5724605291</v>
      </c>
      <c r="O94" s="64">
        <f t="shared" si="71"/>
        <v>82574.248474944543</v>
      </c>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row>
    <row r="95" spans="1:64" x14ac:dyDescent="0.2">
      <c r="A95" s="65">
        <f t="shared" si="58"/>
        <v>2030</v>
      </c>
      <c r="B95" s="221">
        <f t="shared" si="59"/>
        <v>597.12553077168627</v>
      </c>
      <c r="C95" s="77">
        <f t="shared" si="60"/>
        <v>81.539289797749589</v>
      </c>
      <c r="D95" s="347">
        <f t="shared" si="61"/>
        <v>678.66482056943585</v>
      </c>
      <c r="E95" s="64">
        <f t="shared" si="62"/>
        <v>963</v>
      </c>
      <c r="F95" s="347">
        <f t="shared" si="63"/>
        <v>481.5</v>
      </c>
      <c r="G95" s="64">
        <f t="shared" si="64"/>
        <v>905.14939857251738</v>
      </c>
      <c r="H95" s="220">
        <f t="shared" si="65"/>
        <v>0.41666666666666669</v>
      </c>
      <c r="I95" s="64">
        <f t="shared" si="72"/>
        <v>183.25608677531721</v>
      </c>
      <c r="J95" s="220">
        <f t="shared" si="66"/>
        <v>0.80913273826893339</v>
      </c>
      <c r="K95" s="79">
        <f t="shared" si="67"/>
        <v>0.1</v>
      </c>
      <c r="L95" s="213">
        <f t="shared" si="68"/>
        <v>1108.8570244395112</v>
      </c>
      <c r="M95" s="64">
        <f t="shared" si="69"/>
        <v>239.3458163624351</v>
      </c>
      <c r="N95" s="213">
        <f t="shared" si="70"/>
        <v>404732.81392042158</v>
      </c>
      <c r="O95" s="64">
        <f t="shared" si="71"/>
        <v>87361.222972288815</v>
      </c>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row>
    <row r="96" spans="1:64" x14ac:dyDescent="0.2">
      <c r="A96" s="65">
        <f t="shared" si="58"/>
        <v>2031</v>
      </c>
      <c r="B96" s="221">
        <f t="shared" si="59"/>
        <v>606.67953926403322</v>
      </c>
      <c r="C96" s="77">
        <f t="shared" si="60"/>
        <v>82.843918434513583</v>
      </c>
      <c r="D96" s="347">
        <f t="shared" si="61"/>
        <v>689.52345769854685</v>
      </c>
      <c r="E96" s="64">
        <f t="shared" si="62"/>
        <v>963</v>
      </c>
      <c r="F96" s="347">
        <f t="shared" si="63"/>
        <v>481.5</v>
      </c>
      <c r="G96" s="64">
        <f t="shared" si="64"/>
        <v>905.14939857251727</v>
      </c>
      <c r="H96" s="220">
        <f t="shared" si="65"/>
        <v>0.41666666666666669</v>
      </c>
      <c r="I96" s="64">
        <f t="shared" si="72"/>
        <v>186.1881841637223</v>
      </c>
      <c r="J96" s="220">
        <f t="shared" si="66"/>
        <v>0.86347766604086829</v>
      </c>
      <c r="K96" s="79">
        <f t="shared" si="67"/>
        <v>0.1</v>
      </c>
      <c r="L96" s="213">
        <f t="shared" si="68"/>
        <v>1173.9693628966563</v>
      </c>
      <c r="M96" s="64">
        <f t="shared" si="69"/>
        <v>253.95635221079468</v>
      </c>
      <c r="N96" s="213">
        <f t="shared" si="70"/>
        <v>428498.81745727954</v>
      </c>
      <c r="O96" s="64">
        <f t="shared" si="71"/>
        <v>92694.068556940052</v>
      </c>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row>
    <row r="97" spans="1:64" x14ac:dyDescent="0.2">
      <c r="A97" s="65">
        <f t="shared" si="58"/>
        <v>2032</v>
      </c>
      <c r="B97" s="221">
        <f t="shared" si="59"/>
        <v>616.3864118922578</v>
      </c>
      <c r="C97" s="77">
        <f t="shared" si="60"/>
        <v>84.169421129465803</v>
      </c>
      <c r="D97" s="347">
        <f t="shared" si="61"/>
        <v>700.55583302172363</v>
      </c>
      <c r="E97" s="64">
        <f t="shared" si="62"/>
        <v>963</v>
      </c>
      <c r="F97" s="347">
        <f t="shared" si="63"/>
        <v>481.5</v>
      </c>
      <c r="G97" s="64">
        <f t="shared" si="64"/>
        <v>905.14939857251738</v>
      </c>
      <c r="H97" s="220">
        <f t="shared" si="65"/>
        <v>0.41666666666666669</v>
      </c>
      <c r="I97" s="64">
        <f t="shared" si="72"/>
        <v>189.16719511034188</v>
      </c>
      <c r="J97" s="220">
        <f t="shared" si="66"/>
        <v>0.92459992376142419</v>
      </c>
      <c r="K97" s="79">
        <f t="shared" si="67"/>
        <v>0.1</v>
      </c>
      <c r="L97" s="213">
        <f t="shared" si="68"/>
        <v>1246.8835179948526</v>
      </c>
      <c r="M97" s="64">
        <f t="shared" si="69"/>
        <v>270.33915827735808</v>
      </c>
      <c r="N97" s="213">
        <f t="shared" si="70"/>
        <v>455112.48406812118</v>
      </c>
      <c r="O97" s="64">
        <f t="shared" si="71"/>
        <v>98673.792771235705</v>
      </c>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row>
    <row r="98" spans="1:64" x14ac:dyDescent="0.2">
      <c r="A98" s="65">
        <f t="shared" si="58"/>
        <v>2033</v>
      </c>
      <c r="B98" s="221">
        <f t="shared" si="59"/>
        <v>626.24859448253392</v>
      </c>
      <c r="C98" s="77">
        <f t="shared" si="60"/>
        <v>85.516131867537254</v>
      </c>
      <c r="D98" s="347">
        <f t="shared" si="61"/>
        <v>711.76472635007121</v>
      </c>
      <c r="E98" s="64">
        <f t="shared" si="62"/>
        <v>963</v>
      </c>
      <c r="F98" s="347">
        <f t="shared" si="63"/>
        <v>481.5</v>
      </c>
      <c r="G98" s="64">
        <f t="shared" si="64"/>
        <v>905.14939857251738</v>
      </c>
      <c r="H98" s="220">
        <f t="shared" si="65"/>
        <v>0.41666666666666669</v>
      </c>
      <c r="I98" s="64">
        <f t="shared" si="72"/>
        <v>192.19387023210734</v>
      </c>
      <c r="J98" s="220">
        <f t="shared" si="66"/>
        <v>0.99384231450893312</v>
      </c>
      <c r="K98" s="79">
        <f t="shared" si="67"/>
        <v>0.1</v>
      </c>
      <c r="L98" s="213">
        <f t="shared" si="68"/>
        <v>1329.1367431969049</v>
      </c>
      <c r="M98" s="64">
        <f t="shared" si="69"/>
        <v>288.84404222834826</v>
      </c>
      <c r="N98" s="213">
        <f t="shared" si="70"/>
        <v>485134.91126687033</v>
      </c>
      <c r="O98" s="64">
        <f t="shared" si="71"/>
        <v>105428.07541334712</v>
      </c>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row>
    <row r="99" spans="1:64" x14ac:dyDescent="0.2">
      <c r="A99" s="65">
        <f t="shared" si="58"/>
        <v>2034</v>
      </c>
      <c r="B99" s="221">
        <f t="shared" si="59"/>
        <v>636.26857199425444</v>
      </c>
      <c r="C99" s="77">
        <f t="shared" si="60"/>
        <v>86.884389977417854</v>
      </c>
      <c r="D99" s="347">
        <f t="shared" si="61"/>
        <v>723.15296197167231</v>
      </c>
      <c r="E99" s="64">
        <f t="shared" si="62"/>
        <v>963</v>
      </c>
      <c r="F99" s="347">
        <f t="shared" si="63"/>
        <v>481.5</v>
      </c>
      <c r="G99" s="64">
        <f t="shared" si="64"/>
        <v>905.1493985725175</v>
      </c>
      <c r="H99" s="220">
        <f t="shared" si="65"/>
        <v>0.41666666666666669</v>
      </c>
      <c r="I99" s="64">
        <f t="shared" si="72"/>
        <v>195.26897215582105</v>
      </c>
      <c r="J99" s="220">
        <f t="shared" si="66"/>
        <v>1.0729274473878034</v>
      </c>
      <c r="K99" s="79">
        <f t="shared" si="67"/>
        <v>0.1</v>
      </c>
      <c r="L99" s="213">
        <f t="shared" si="68"/>
        <v>1422.7008974139385</v>
      </c>
      <c r="M99" s="64">
        <f t="shared" si="69"/>
        <v>309.91972201526545</v>
      </c>
      <c r="N99" s="213">
        <f t="shared" si="70"/>
        <v>519285.82755608758</v>
      </c>
      <c r="O99" s="64">
        <f t="shared" si="71"/>
        <v>113120.69853557189</v>
      </c>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row>
    <row r="100" spans="1:64" x14ac:dyDescent="0.2">
      <c r="A100" s="65">
        <f t="shared" si="58"/>
        <v>2035</v>
      </c>
      <c r="B100" s="221">
        <f t="shared" si="59"/>
        <v>646.44886914616256</v>
      </c>
      <c r="C100" s="77">
        <f t="shared" si="60"/>
        <v>88.27454021705654</v>
      </c>
      <c r="D100" s="347">
        <f t="shared" si="61"/>
        <v>734.72340936321916</v>
      </c>
      <c r="E100" s="64">
        <f t="shared" si="62"/>
        <v>963</v>
      </c>
      <c r="F100" s="347">
        <f t="shared" si="63"/>
        <v>481.5</v>
      </c>
      <c r="G100" s="64">
        <f t="shared" si="64"/>
        <v>905.14939857251738</v>
      </c>
      <c r="H100" s="220">
        <f t="shared" si="65"/>
        <v>0.41666666666666669</v>
      </c>
      <c r="I100" s="64">
        <f t="shared" si="72"/>
        <v>198.39327571031419</v>
      </c>
      <c r="J100" s="220">
        <f t="shared" si="66"/>
        <v>1.164102239516237</v>
      </c>
      <c r="K100" s="79">
        <f t="shared" si="67"/>
        <v>0.1</v>
      </c>
      <c r="L100" s="213">
        <f t="shared" si="68"/>
        <v>1530.1477917525365</v>
      </c>
      <c r="M100" s="64">
        <f t="shared" si="69"/>
        <v>334.15145685516097</v>
      </c>
      <c r="N100" s="213">
        <f t="shared" si="70"/>
        <v>558503.94398967584</v>
      </c>
      <c r="O100" s="64">
        <f t="shared" si="71"/>
        <v>121965.28175213376</v>
      </c>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row>
    <row r="101" spans="1:64" x14ac:dyDescent="0.2">
      <c r="A101" s="65">
        <f t="shared" si="58"/>
        <v>2036</v>
      </c>
      <c r="B101" s="221">
        <f t="shared" si="59"/>
        <v>656.79205105250117</v>
      </c>
      <c r="C101" s="77">
        <f t="shared" si="60"/>
        <v>89.686932860529453</v>
      </c>
      <c r="D101" s="347">
        <f t="shared" si="61"/>
        <v>746.47898391303056</v>
      </c>
      <c r="E101" s="64">
        <f t="shared" si="62"/>
        <v>963</v>
      </c>
      <c r="F101" s="347">
        <f t="shared" si="63"/>
        <v>481.5</v>
      </c>
      <c r="G101" s="64">
        <f t="shared" si="64"/>
        <v>905.14939857251738</v>
      </c>
      <c r="H101" s="220">
        <f t="shared" si="65"/>
        <v>0.41666666666666669</v>
      </c>
      <c r="I101" s="64">
        <f t="shared" si="72"/>
        <v>201.56756812167924</v>
      </c>
      <c r="J101" s="220">
        <f t="shared" si="66"/>
        <v>1.2703538246512529</v>
      </c>
      <c r="K101" s="79">
        <f t="shared" si="67"/>
        <v>0.1</v>
      </c>
      <c r="L101" s="213">
        <f t="shared" si="68"/>
        <v>1654.8962433866782</v>
      </c>
      <c r="M101" s="64">
        <f t="shared" si="69"/>
        <v>362.31727380068895</v>
      </c>
      <c r="N101" s="213">
        <f t="shared" si="70"/>
        <v>604037.12883613759</v>
      </c>
      <c r="O101" s="64">
        <f t="shared" si="71"/>
        <v>132245.80493725147</v>
      </c>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row>
    <row r="102" spans="1:64" x14ac:dyDescent="0.2">
      <c r="A102" s="65">
        <f t="shared" si="58"/>
        <v>2037</v>
      </c>
      <c r="B102" s="221">
        <f t="shared" si="59"/>
        <v>667.30072386934114</v>
      </c>
      <c r="C102" s="77">
        <f t="shared" si="60"/>
        <v>91.121923786297927</v>
      </c>
      <c r="D102" s="347">
        <f t="shared" si="61"/>
        <v>758.42264765563903</v>
      </c>
      <c r="E102" s="64">
        <f t="shared" si="62"/>
        <v>963</v>
      </c>
      <c r="F102" s="347">
        <f t="shared" si="63"/>
        <v>481.5</v>
      </c>
      <c r="G102" s="64">
        <f t="shared" si="64"/>
        <v>905.14939857251738</v>
      </c>
      <c r="H102" s="220">
        <f t="shared" si="65"/>
        <v>0.41666666666666669</v>
      </c>
      <c r="I102" s="64">
        <f t="shared" si="72"/>
        <v>204.7926492116261</v>
      </c>
      <c r="J102" s="220">
        <f t="shared" si="66"/>
        <v>1.395741730338202</v>
      </c>
      <c r="K102" s="79">
        <f t="shared" si="67"/>
        <v>0.1</v>
      </c>
      <c r="L102" s="213">
        <f t="shared" si="68"/>
        <v>1801.5921698173047</v>
      </c>
      <c r="M102" s="64">
        <f t="shared" si="69"/>
        <v>395.47447275269172</v>
      </c>
      <c r="N102" s="213">
        <f t="shared" si="70"/>
        <v>657581.14198331616</v>
      </c>
      <c r="O102" s="64">
        <f t="shared" si="71"/>
        <v>144348.18255473248</v>
      </c>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row>
    <row r="103" spans="1:64" x14ac:dyDescent="0.2">
      <c r="A103" s="65">
        <f t="shared" si="58"/>
        <v>2038</v>
      </c>
      <c r="B103" s="221">
        <f>($B102*(1+$B$247))</f>
        <v>677.97753545125056</v>
      </c>
      <c r="C103" s="77">
        <f t="shared" si="60"/>
        <v>92.579874566878701</v>
      </c>
      <c r="D103" s="347">
        <f t="shared" si="61"/>
        <v>770.5574100181293</v>
      </c>
      <c r="E103" s="64">
        <f t="shared" si="62"/>
        <v>963</v>
      </c>
      <c r="F103" s="347">
        <f t="shared" si="63"/>
        <v>481.5</v>
      </c>
      <c r="G103" s="64">
        <f t="shared" si="64"/>
        <v>905.14939857251738</v>
      </c>
      <c r="H103" s="220">
        <f t="shared" si="65"/>
        <v>0.41666666666666669</v>
      </c>
      <c r="I103" s="64">
        <f t="shared" si="72"/>
        <v>208.06933159901212</v>
      </c>
      <c r="J103" s="220">
        <f t="shared" si="66"/>
        <v>1.545926572850449</v>
      </c>
      <c r="K103" s="79">
        <f t="shared" si="67"/>
        <v>0.1</v>
      </c>
      <c r="L103" s="213">
        <f t="shared" si="68"/>
        <v>1976.7135488283288</v>
      </c>
      <c r="M103" s="64">
        <f t="shared" si="69"/>
        <v>435.09730828615596</v>
      </c>
      <c r="N103" s="213">
        <f t="shared" si="70"/>
        <v>721500.44532234001</v>
      </c>
      <c r="O103" s="64">
        <f t="shared" si="71"/>
        <v>158810.51752444691</v>
      </c>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row>
    <row r="104" spans="1:64" x14ac:dyDescent="0.2">
      <c r="A104" s="65">
        <f t="shared" si="58"/>
        <v>2039</v>
      </c>
      <c r="B104" s="221">
        <f t="shared" si="59"/>
        <v>688.82517601847053</v>
      </c>
      <c r="C104" s="77">
        <f t="shared" si="60"/>
        <v>94.061152559948766</v>
      </c>
      <c r="D104" s="347">
        <f t="shared" si="61"/>
        <v>782.88632857841935</v>
      </c>
      <c r="E104" s="64">
        <f t="shared" si="62"/>
        <v>963</v>
      </c>
      <c r="F104" s="347">
        <f t="shared" si="63"/>
        <v>481.5</v>
      </c>
      <c r="G104" s="64">
        <f t="shared" si="64"/>
        <v>905.14939857251738</v>
      </c>
      <c r="H104" s="220">
        <f t="shared" ref="H104:H121" si="73">$E$287/60</f>
        <v>0.41666666666666669</v>
      </c>
      <c r="I104" s="64">
        <f t="shared" si="72"/>
        <v>211.39844090459633</v>
      </c>
      <c r="J104" s="220">
        <f t="shared" si="66"/>
        <v>1.7290457446782663</v>
      </c>
      <c r="K104" s="79">
        <f t="shared" si="67"/>
        <v>0.1</v>
      </c>
      <c r="L104" s="213">
        <f t="shared" si="68"/>
        <v>2189.5724250444277</v>
      </c>
      <c r="M104" s="64">
        <f t="shared" si="69"/>
        <v>483.30503465826456</v>
      </c>
      <c r="N104" s="213">
        <f t="shared" si="70"/>
        <v>799193.93514121615</v>
      </c>
      <c r="O104" s="64">
        <f t="shared" si="71"/>
        <v>176406.33765026656</v>
      </c>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row>
    <row r="105" spans="1:64" x14ac:dyDescent="0.2">
      <c r="A105" s="65">
        <f t="shared" si="58"/>
        <v>2040</v>
      </c>
      <c r="B105" s="221">
        <f t="shared" si="59"/>
        <v>699.84637883476603</v>
      </c>
      <c r="C105" s="77">
        <f t="shared" si="60"/>
        <v>95.566131000907944</v>
      </c>
      <c r="D105" s="347">
        <f>SUM(B105:C105)</f>
        <v>795.41250983567397</v>
      </c>
      <c r="E105" s="64">
        <f t="shared" si="62"/>
        <v>963</v>
      </c>
      <c r="F105" s="347">
        <f t="shared" si="63"/>
        <v>481.5</v>
      </c>
      <c r="G105" s="64">
        <f t="shared" si="64"/>
        <v>905.1493985725175</v>
      </c>
      <c r="H105" s="220">
        <f t="shared" si="73"/>
        <v>0.41666666666666669</v>
      </c>
      <c r="I105" s="64">
        <f t="shared" si="72"/>
        <v>214.78081595906986</v>
      </c>
      <c r="J105" s="220">
        <f t="shared" si="66"/>
        <v>1.9572344216367275</v>
      </c>
      <c r="K105" s="79">
        <f t="shared" si="67"/>
        <v>0.1</v>
      </c>
      <c r="L105" s="213">
        <f t="shared" si="68"/>
        <v>2454.0553241619132</v>
      </c>
      <c r="M105" s="64">
        <f t="shared" si="69"/>
        <v>543.2580038026822</v>
      </c>
      <c r="N105" s="213">
        <f t="shared" si="70"/>
        <v>895730.19331909833</v>
      </c>
      <c r="O105" s="64">
        <f t="shared" si="71"/>
        <v>198289.171387979</v>
      </c>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row>
    <row r="106" spans="1:64" x14ac:dyDescent="0.2">
      <c r="A106" s="65">
        <f t="shared" si="58"/>
        <v>2041</v>
      </c>
      <c r="B106" s="221">
        <f t="shared" ref="B106:B121" si="74">($B105*(1+$B$248))</f>
        <v>706.1449962442789</v>
      </c>
      <c r="C106" s="77">
        <f t="shared" ref="C106:C121" si="75">($C105*(1+$B$248))</f>
        <v>96.4262261799161</v>
      </c>
      <c r="D106" s="347">
        <f t="shared" si="61"/>
        <v>802.57122242419496</v>
      </c>
      <c r="E106" s="64">
        <f t="shared" si="62"/>
        <v>963</v>
      </c>
      <c r="F106" s="347">
        <f t="shared" si="63"/>
        <v>481.5</v>
      </c>
      <c r="G106" s="64">
        <f t="shared" si="64"/>
        <v>905.14939857251738</v>
      </c>
      <c r="H106" s="220">
        <f t="shared" si="73"/>
        <v>0.41666666666666669</v>
      </c>
      <c r="I106" s="64">
        <f t="shared" si="72"/>
        <v>216.71384330270146</v>
      </c>
      <c r="J106" s="220">
        <f t="shared" si="66"/>
        <v>2.1126700770088287</v>
      </c>
      <c r="K106" s="79">
        <f t="shared" si="67"/>
        <v>0.1</v>
      </c>
      <c r="L106" s="213">
        <f t="shared" si="68"/>
        <v>2633.8431299514386</v>
      </c>
      <c r="M106" s="64">
        <f t="shared" si="69"/>
        <v>584.03830682669013</v>
      </c>
      <c r="N106" s="213">
        <f t="shared" si="70"/>
        <v>961352.74243227509</v>
      </c>
      <c r="O106" s="64">
        <f t="shared" si="71"/>
        <v>213173.98199174189</v>
      </c>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row>
    <row r="107" spans="1:64" x14ac:dyDescent="0.2">
      <c r="A107" s="65">
        <f t="shared" si="58"/>
        <v>2042</v>
      </c>
      <c r="B107" s="221">
        <f t="shared" si="74"/>
        <v>712.50030121047735</v>
      </c>
      <c r="C107" s="77">
        <f t="shared" si="75"/>
        <v>97.294062215535334</v>
      </c>
      <c r="D107" s="347">
        <f t="shared" si="61"/>
        <v>809.79436342601264</v>
      </c>
      <c r="E107" s="64">
        <f t="shared" si="62"/>
        <v>963</v>
      </c>
      <c r="F107" s="347">
        <f t="shared" si="63"/>
        <v>481.5</v>
      </c>
      <c r="G107" s="64">
        <f t="shared" si="64"/>
        <v>905.1493985725175</v>
      </c>
      <c r="H107" s="220">
        <f t="shared" si="73"/>
        <v>0.41666666666666669</v>
      </c>
      <c r="I107" s="64">
        <f t="shared" si="72"/>
        <v>218.66426789242576</v>
      </c>
      <c r="J107" s="220">
        <f t="shared" si="66"/>
        <v>2.2931591137947449</v>
      </c>
      <c r="K107" s="79">
        <f t="shared" si="67"/>
        <v>0.1</v>
      </c>
      <c r="L107" s="213">
        <f t="shared" si="68"/>
        <v>2842.3156679416252</v>
      </c>
      <c r="M107" s="64">
        <f t="shared" si="69"/>
        <v>631.34568505142283</v>
      </c>
      <c r="N107" s="213">
        <f t="shared" si="70"/>
        <v>1037445.2187986932</v>
      </c>
      <c r="O107" s="64">
        <f t="shared" si="71"/>
        <v>230441.17504376933</v>
      </c>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row>
    <row r="108" spans="1:64" x14ac:dyDescent="0.2">
      <c r="A108" s="65">
        <f t="shared" si="58"/>
        <v>2043</v>
      </c>
      <c r="B108" s="221">
        <f t="shared" si="74"/>
        <v>718.91280392137162</v>
      </c>
      <c r="C108" s="77">
        <f t="shared" si="75"/>
        <v>98.169708775475144</v>
      </c>
      <c r="D108" s="347">
        <f t="shared" si="61"/>
        <v>817.08251269684672</v>
      </c>
      <c r="E108" s="64">
        <f t="shared" si="62"/>
        <v>963</v>
      </c>
      <c r="F108" s="347">
        <f t="shared" si="63"/>
        <v>481.5</v>
      </c>
      <c r="G108" s="64">
        <f t="shared" si="64"/>
        <v>905.14939857251738</v>
      </c>
      <c r="H108" s="220">
        <f t="shared" si="73"/>
        <v>0.41666666666666669</v>
      </c>
      <c r="I108" s="64">
        <f t="shared" si="72"/>
        <v>220.63224630345755</v>
      </c>
      <c r="J108" s="220">
        <f t="shared" si="66"/>
        <v>2.5052804366778396</v>
      </c>
      <c r="K108" s="79">
        <f t="shared" si="67"/>
        <v>0.1</v>
      </c>
      <c r="L108" s="213">
        <f t="shared" si="68"/>
        <v>3087.0010132711973</v>
      </c>
      <c r="M108" s="64">
        <f t="shared" si="69"/>
        <v>686.89342958015652</v>
      </c>
      <c r="N108" s="213">
        <f t="shared" si="70"/>
        <v>1126755.369843987</v>
      </c>
      <c r="O108" s="64">
        <f t="shared" si="71"/>
        <v>250716.10179675714</v>
      </c>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row>
    <row r="109" spans="1:64" x14ac:dyDescent="0.2">
      <c r="A109" s="65">
        <f t="shared" si="58"/>
        <v>2044</v>
      </c>
      <c r="B109" s="221">
        <f t="shared" si="74"/>
        <v>725.38301915666386</v>
      </c>
      <c r="C109" s="77">
        <f t="shared" si="75"/>
        <v>99.05323615445441</v>
      </c>
      <c r="D109" s="347">
        <f t="shared" si="61"/>
        <v>824.43625531111832</v>
      </c>
      <c r="E109" s="64">
        <f t="shared" si="62"/>
        <v>963</v>
      </c>
      <c r="F109" s="347">
        <f t="shared" si="63"/>
        <v>481.5</v>
      </c>
      <c r="G109" s="64">
        <f t="shared" si="64"/>
        <v>905.14939857251738</v>
      </c>
      <c r="H109" s="220">
        <f t="shared" si="73"/>
        <v>0.41666666666666669</v>
      </c>
      <c r="I109" s="64">
        <f t="shared" si="72"/>
        <v>222.61793652018864</v>
      </c>
      <c r="J109" s="220">
        <f t="shared" si="66"/>
        <v>2.758137368027088</v>
      </c>
      <c r="K109" s="79">
        <f t="shared" si="67"/>
        <v>0.1</v>
      </c>
      <c r="L109" s="213">
        <f t="shared" si="68"/>
        <v>3378.3158101446711</v>
      </c>
      <c r="M109" s="64">
        <f t="shared" si="69"/>
        <v>753.05223609347502</v>
      </c>
      <c r="N109" s="213">
        <f t="shared" si="70"/>
        <v>1233085.2707028049</v>
      </c>
      <c r="O109" s="64">
        <f t="shared" si="71"/>
        <v>274864.06617411837</v>
      </c>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row>
    <row r="110" spans="1:64" x14ac:dyDescent="0.2">
      <c r="A110" s="65">
        <f t="shared" si="58"/>
        <v>2045</v>
      </c>
      <c r="B110" s="221">
        <f t="shared" si="74"/>
        <v>731.91146632907373</v>
      </c>
      <c r="C110" s="77">
        <f t="shared" si="75"/>
        <v>99.944715279844488</v>
      </c>
      <c r="D110" s="347">
        <f t="shared" si="61"/>
        <v>831.85618160891818</v>
      </c>
      <c r="E110" s="64">
        <f t="shared" si="62"/>
        <v>963</v>
      </c>
      <c r="F110" s="347">
        <f t="shared" si="63"/>
        <v>481.5</v>
      </c>
      <c r="G110" s="64">
        <f t="shared" si="64"/>
        <v>905.14939857251738</v>
      </c>
      <c r="H110" s="220">
        <f t="shared" si="73"/>
        <v>0.41666666666666669</v>
      </c>
      <c r="I110" s="64">
        <f t="shared" si="72"/>
        <v>224.62149794887031</v>
      </c>
      <c r="J110" s="220">
        <f t="shared" si="66"/>
        <v>3.0646969426983652</v>
      </c>
      <c r="K110" s="79">
        <f t="shared" si="67"/>
        <v>0.1</v>
      </c>
      <c r="L110" s="213">
        <f t="shared" si="68"/>
        <v>3731.0977613653858</v>
      </c>
      <c r="M110" s="64">
        <f t="shared" si="69"/>
        <v>833.19898161781578</v>
      </c>
      <c r="N110" s="213">
        <f t="shared" si="70"/>
        <v>1361850.6828983659</v>
      </c>
      <c r="O110" s="64">
        <f t="shared" si="71"/>
        <v>304117.62829050276</v>
      </c>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row>
    <row r="111" spans="1:64" x14ac:dyDescent="0.2">
      <c r="A111" s="65">
        <f t="shared" si="58"/>
        <v>2046</v>
      </c>
      <c r="B111" s="221">
        <f t="shared" si="74"/>
        <v>738.49866952603531</v>
      </c>
      <c r="C111" s="77">
        <f t="shared" si="75"/>
        <v>100.84421771736308</v>
      </c>
      <c r="D111" s="347">
        <f t="shared" si="61"/>
        <v>839.34288724339842</v>
      </c>
      <c r="E111" s="64">
        <f t="shared" si="62"/>
        <v>963</v>
      </c>
      <c r="F111" s="347">
        <f t="shared" si="63"/>
        <v>481.5</v>
      </c>
      <c r="G111" s="64">
        <f t="shared" si="64"/>
        <v>905.14939857251727</v>
      </c>
      <c r="H111" s="220">
        <f t="shared" si="73"/>
        <v>0.41666666666666669</v>
      </c>
      <c r="I111" s="64">
        <f t="shared" si="72"/>
        <v>226.64309143041012</v>
      </c>
      <c r="J111" s="220">
        <f t="shared" si="66"/>
        <v>3.4440830679641619</v>
      </c>
      <c r="K111" s="79">
        <f t="shared" si="67"/>
        <v>0.1</v>
      </c>
      <c r="L111" s="213">
        <f t="shared" si="68"/>
        <v>4167.229579070301</v>
      </c>
      <c r="M111" s="64">
        <f t="shared" si="69"/>
        <v>932.31390515173143</v>
      </c>
      <c r="N111" s="213">
        <f t="shared" si="70"/>
        <v>1521038.7963606599</v>
      </c>
      <c r="O111" s="64">
        <f t="shared" si="71"/>
        <v>340294.57538038195</v>
      </c>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row>
    <row r="112" spans="1:64" x14ac:dyDescent="0.2">
      <c r="A112" s="65">
        <f t="shared" si="58"/>
        <v>2047</v>
      </c>
      <c r="B112" s="221">
        <f t="shared" si="74"/>
        <v>745.14515755176956</v>
      </c>
      <c r="C112" s="77">
        <f t="shared" si="75"/>
        <v>101.75181567681933</v>
      </c>
      <c r="D112" s="347">
        <f t="shared" si="61"/>
        <v>846.89697322858888</v>
      </c>
      <c r="E112" s="64">
        <f t="shared" si="62"/>
        <v>963</v>
      </c>
      <c r="F112" s="347">
        <f t="shared" si="63"/>
        <v>481.5</v>
      </c>
      <c r="G112" s="64">
        <f t="shared" si="64"/>
        <v>905.14939857251738</v>
      </c>
      <c r="H112" s="220">
        <f t="shared" si="73"/>
        <v>0.41666666666666669</v>
      </c>
      <c r="I112" s="64">
        <f t="shared" si="72"/>
        <v>228.68287925328377</v>
      </c>
      <c r="J112" s="220">
        <f t="shared" si="66"/>
        <v>3.9257228845514298</v>
      </c>
      <c r="K112" s="79">
        <f t="shared" si="67"/>
        <v>0.1</v>
      </c>
      <c r="L112" s="213">
        <f t="shared" si="68"/>
        <v>4720.3834628309651</v>
      </c>
      <c r="M112" s="64">
        <f t="shared" si="69"/>
        <v>1058.060395623779</v>
      </c>
      <c r="N112" s="213">
        <f t="shared" si="70"/>
        <v>1722939.9639333023</v>
      </c>
      <c r="O112" s="64">
        <f t="shared" si="71"/>
        <v>386192.04440267931</v>
      </c>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row>
    <row r="113" spans="1:78" x14ac:dyDescent="0.2">
      <c r="A113" s="65">
        <f t="shared" si="58"/>
        <v>2048</v>
      </c>
      <c r="B113" s="221">
        <f t="shared" si="74"/>
        <v>751.85146396973539</v>
      </c>
      <c r="C113" s="77">
        <f t="shared" si="75"/>
        <v>102.6675820179107</v>
      </c>
      <c r="D113" s="347">
        <f t="shared" si="61"/>
        <v>854.51904598764611</v>
      </c>
      <c r="E113" s="64">
        <f t="shared" si="62"/>
        <v>963</v>
      </c>
      <c r="F113" s="347">
        <f t="shared" si="63"/>
        <v>481.5</v>
      </c>
      <c r="G113" s="64">
        <f t="shared" si="64"/>
        <v>905.14939857251727</v>
      </c>
      <c r="H113" s="220">
        <f t="shared" si="73"/>
        <v>0.41666666666666669</v>
      </c>
      <c r="I113" s="64">
        <f t="shared" si="72"/>
        <v>230.7410251665633</v>
      </c>
      <c r="J113" s="220">
        <f t="shared" si="66"/>
        <v>4.5573655601108909</v>
      </c>
      <c r="K113" s="79">
        <f t="shared" si="67"/>
        <v>0.1</v>
      </c>
      <c r="L113" s="213">
        <f t="shared" si="68"/>
        <v>5445.1966127394626</v>
      </c>
      <c r="M113" s="64">
        <f t="shared" si="69"/>
        <v>1222.8732318065518</v>
      </c>
      <c r="N113" s="213">
        <f t="shared" si="70"/>
        <v>1987496.7636499039</v>
      </c>
      <c r="O113" s="64">
        <f t="shared" si="71"/>
        <v>446348.72960939142</v>
      </c>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row>
    <row r="114" spans="1:78" x14ac:dyDescent="0.2">
      <c r="A114" s="65">
        <f t="shared" si="58"/>
        <v>2049</v>
      </c>
      <c r="B114" s="221">
        <f t="shared" si="74"/>
        <v>758.61812714546295</v>
      </c>
      <c r="C114" s="77">
        <f t="shared" si="75"/>
        <v>103.5915902560719</v>
      </c>
      <c r="D114" s="347">
        <f t="shared" si="61"/>
        <v>862.20971740153482</v>
      </c>
      <c r="E114" s="64">
        <f t="shared" si="62"/>
        <v>963</v>
      </c>
      <c r="F114" s="347">
        <f t="shared" si="63"/>
        <v>481.5</v>
      </c>
      <c r="G114" s="64">
        <f t="shared" si="64"/>
        <v>905.14939857251738</v>
      </c>
      <c r="H114" s="220">
        <f t="shared" si="73"/>
        <v>0.41666666666666669</v>
      </c>
      <c r="I114" s="64">
        <f t="shared" si="72"/>
        <v>232.81769439306237</v>
      </c>
      <c r="J114" s="220">
        <f t="shared" si="66"/>
        <v>5.4219707283340099</v>
      </c>
      <c r="K114" s="79">
        <f t="shared" si="67"/>
        <v>0.1</v>
      </c>
      <c r="L114" s="213">
        <f t="shared" si="68"/>
        <v>6436.5958440899076</v>
      </c>
      <c r="M114" s="64">
        <f t="shared" si="69"/>
        <v>1448.3566395514588</v>
      </c>
      <c r="N114" s="213">
        <f t="shared" si="70"/>
        <v>2349357.4830928161</v>
      </c>
      <c r="O114" s="64">
        <f t="shared" si="71"/>
        <v>528650.17343628244</v>
      </c>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row>
    <row r="115" spans="1:78" x14ac:dyDescent="0.2">
      <c r="A115" s="65">
        <f t="shared" si="58"/>
        <v>2050</v>
      </c>
      <c r="B115" s="221">
        <f t="shared" si="74"/>
        <v>765.44569028977207</v>
      </c>
      <c r="C115" s="77">
        <f t="shared" si="75"/>
        <v>104.52391456837653</v>
      </c>
      <c r="D115" s="347">
        <f t="shared" si="61"/>
        <v>869.96960485814861</v>
      </c>
      <c r="E115" s="64">
        <f t="shared" si="62"/>
        <v>963</v>
      </c>
      <c r="F115" s="347">
        <f t="shared" si="63"/>
        <v>481.5</v>
      </c>
      <c r="G115" s="64">
        <f t="shared" si="64"/>
        <v>905.14939857251738</v>
      </c>
      <c r="H115" s="220">
        <f t="shared" si="73"/>
        <v>0.41666666666666669</v>
      </c>
      <c r="I115" s="64">
        <f t="shared" si="72"/>
        <v>234.91305364259989</v>
      </c>
      <c r="J115" s="220">
        <f t="shared" si="66"/>
        <v>6.6774994631833877</v>
      </c>
      <c r="K115" s="79">
        <f t="shared" si="67"/>
        <v>0.1</v>
      </c>
      <c r="L115" s="213">
        <f t="shared" si="68"/>
        <v>7875.3284525565832</v>
      </c>
      <c r="M115" s="64">
        <f t="shared" si="69"/>
        <v>1775.6465864231741</v>
      </c>
      <c r="N115" s="213">
        <f t="shared" si="70"/>
        <v>2874494.8851831527</v>
      </c>
      <c r="O115" s="64">
        <f t="shared" si="71"/>
        <v>648111.0040444585</v>
      </c>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row>
    <row r="116" spans="1:78" x14ac:dyDescent="0.2">
      <c r="A116" s="65">
        <f t="shared" si="58"/>
        <v>2051</v>
      </c>
      <c r="B116" s="221">
        <f t="shared" si="74"/>
        <v>772.33470150237997</v>
      </c>
      <c r="C116" s="77">
        <f t="shared" si="75"/>
        <v>105.4646297994919</v>
      </c>
      <c r="D116" s="347">
        <f t="shared" si="61"/>
        <v>877.79933130187192</v>
      </c>
      <c r="E116" s="64">
        <f t="shared" si="62"/>
        <v>963</v>
      </c>
      <c r="F116" s="347">
        <f t="shared" si="63"/>
        <v>481.5</v>
      </c>
      <c r="G116" s="64">
        <f t="shared" si="64"/>
        <v>905.14939857251727</v>
      </c>
      <c r="H116" s="220">
        <f t="shared" si="73"/>
        <v>0.41666666666666669</v>
      </c>
      <c r="I116" s="64">
        <f t="shared" si="72"/>
        <v>237.02727112538329</v>
      </c>
      <c r="J116" s="220">
        <f t="shared" si="66"/>
        <v>8.6664236976039444</v>
      </c>
      <c r="K116" s="79">
        <f t="shared" si="67"/>
        <v>0.1</v>
      </c>
      <c r="L116" s="213">
        <f t="shared" si="68"/>
        <v>10153.268484638284</v>
      </c>
      <c r="M116" s="64">
        <f t="shared" si="69"/>
        <v>2293.9290294615234</v>
      </c>
      <c r="N116" s="213">
        <f t="shared" si="70"/>
        <v>3705942.9968929733</v>
      </c>
      <c r="O116" s="64">
        <f t="shared" si="71"/>
        <v>837284.095753456</v>
      </c>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row>
    <row r="117" spans="1:78" x14ac:dyDescent="0.2">
      <c r="A117" s="65">
        <f t="shared" si="58"/>
        <v>2052</v>
      </c>
      <c r="B117" s="221">
        <f t="shared" si="74"/>
        <v>779.28571381590132</v>
      </c>
      <c r="C117" s="77">
        <f t="shared" si="75"/>
        <v>106.41381146768732</v>
      </c>
      <c r="D117" s="347">
        <f t="shared" si="61"/>
        <v>885.69952528358863</v>
      </c>
      <c r="E117" s="64">
        <f t="shared" si="62"/>
        <v>963</v>
      </c>
      <c r="F117" s="347">
        <f t="shared" si="63"/>
        <v>481.5</v>
      </c>
      <c r="G117" s="64">
        <f t="shared" si="64"/>
        <v>905.14939857251738</v>
      </c>
      <c r="H117" s="220">
        <f t="shared" si="73"/>
        <v>0.41666666666666669</v>
      </c>
      <c r="I117" s="64">
        <f t="shared" si="72"/>
        <v>239.16051656551173</v>
      </c>
      <c r="J117" s="220">
        <f t="shared" si="66"/>
        <v>12.296250623989755</v>
      </c>
      <c r="K117" s="79">
        <f t="shared" si="67"/>
        <v>0.1</v>
      </c>
      <c r="L117" s="213">
        <f t="shared" si="68"/>
        <v>14308.832193179258</v>
      </c>
      <c r="M117" s="64">
        <f t="shared" si="69"/>
        <v>3239.5354017533882</v>
      </c>
      <c r="N117" s="213">
        <f t="shared" si="70"/>
        <v>5222723.750510429</v>
      </c>
      <c r="O117" s="64">
        <f t="shared" si="71"/>
        <v>1182430.4216399868</v>
      </c>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row>
    <row r="118" spans="1:78" x14ac:dyDescent="0.2">
      <c r="A118" s="65">
        <f t="shared" si="58"/>
        <v>2053</v>
      </c>
      <c r="B118" s="221">
        <f>($B117*(1+$B$248))</f>
        <v>786.29928524024433</v>
      </c>
      <c r="C118" s="77">
        <f t="shared" si="75"/>
        <v>107.3715357708965</v>
      </c>
      <c r="D118" s="347">
        <f t="shared" si="61"/>
        <v>893.67082101114079</v>
      </c>
      <c r="E118" s="64">
        <f t="shared" si="62"/>
        <v>963</v>
      </c>
      <c r="F118" s="347">
        <f t="shared" si="63"/>
        <v>481.5</v>
      </c>
      <c r="G118" s="64">
        <f t="shared" si="64"/>
        <v>905.1493985725175</v>
      </c>
      <c r="H118" s="220">
        <f t="shared" si="73"/>
        <v>0.41666666666666669</v>
      </c>
      <c r="I118" s="64">
        <f t="shared" si="72"/>
        <v>241.3129612146013</v>
      </c>
      <c r="J118" s="220">
        <f t="shared" si="66"/>
        <v>21.022897647751726</v>
      </c>
      <c r="K118" s="79">
        <f t="shared" si="67"/>
        <v>0.1</v>
      </c>
      <c r="L118" s="213">
        <f t="shared" si="68"/>
        <v>24296.456966435035</v>
      </c>
      <c r="M118" s="64">
        <f t="shared" si="69"/>
        <v>5512.4495850048152</v>
      </c>
      <c r="N118" s="221">
        <f t="shared" si="70"/>
        <v>8868206.7927487884</v>
      </c>
      <c r="O118" s="77">
        <f t="shared" si="71"/>
        <v>2012044.0985267574</v>
      </c>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row>
    <row r="119" spans="1:78" x14ac:dyDescent="0.2">
      <c r="A119" s="65">
        <f t="shared" si="58"/>
        <v>2054</v>
      </c>
      <c r="B119" s="221">
        <f t="shared" si="74"/>
        <v>793.37597880740645</v>
      </c>
      <c r="C119" s="77">
        <f t="shared" si="75"/>
        <v>108.33787959283455</v>
      </c>
      <c r="D119" s="347">
        <f t="shared" si="61"/>
        <v>901.71385840024095</v>
      </c>
      <c r="E119" s="64">
        <f t="shared" si="62"/>
        <v>963</v>
      </c>
      <c r="F119" s="347">
        <f t="shared" si="63"/>
        <v>481.5</v>
      </c>
      <c r="G119" s="64">
        <f t="shared" si="64"/>
        <v>905.14939857251738</v>
      </c>
      <c r="H119" s="220">
        <f t="shared" si="73"/>
        <v>0.41666666666666669</v>
      </c>
      <c r="I119" s="64">
        <f t="shared" si="72"/>
        <v>243.48477786553269</v>
      </c>
      <c r="J119" s="220">
        <f t="shared" si="66"/>
        <v>70.872341947962326</v>
      </c>
      <c r="K119" s="79">
        <f t="shared" si="67"/>
        <v>0.1</v>
      </c>
      <c r="L119" s="213">
        <f t="shared" si="68"/>
        <v>81338.906206553758</v>
      </c>
      <c r="M119" s="64">
        <f t="shared" si="69"/>
        <v>18494.492412797466</v>
      </c>
      <c r="N119" s="213">
        <f t="shared" si="70"/>
        <v>29688700.765392121</v>
      </c>
      <c r="O119" s="64">
        <f t="shared" si="71"/>
        <v>6750489.7306710752</v>
      </c>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row>
    <row r="120" spans="1:78" x14ac:dyDescent="0.2">
      <c r="A120" s="65">
        <f t="shared" si="58"/>
        <v>2055</v>
      </c>
      <c r="B120" s="221">
        <f t="shared" si="74"/>
        <v>800.51636261667306</v>
      </c>
      <c r="C120" s="77">
        <f t="shared" si="75"/>
        <v>109.31292050917006</v>
      </c>
      <c r="D120" s="347">
        <f t="shared" si="61"/>
        <v>909.82928312584318</v>
      </c>
      <c r="E120" s="64">
        <f t="shared" si="62"/>
        <v>963</v>
      </c>
      <c r="F120" s="347">
        <f t="shared" si="63"/>
        <v>481.5</v>
      </c>
      <c r="G120" s="64">
        <f t="shared" si="64"/>
        <v>905.14939857251727</v>
      </c>
      <c r="H120" s="220">
        <f t="shared" si="73"/>
        <v>0.41666666666666669</v>
      </c>
      <c r="I120" s="64">
        <f t="shared" si="72"/>
        <v>245.67614086632244</v>
      </c>
      <c r="J120" s="220">
        <f>J119</f>
        <v>70.872341947962326</v>
      </c>
      <c r="K120" s="79">
        <f t="shared" si="67"/>
        <v>0.1</v>
      </c>
      <c r="L120" s="213">
        <f t="shared" si="68"/>
        <v>82070.956362412733</v>
      </c>
      <c r="M120" s="64">
        <f t="shared" si="69"/>
        <v>18660.942844512643</v>
      </c>
      <c r="N120" s="213">
        <f t="shared" si="70"/>
        <v>29955899.072280649</v>
      </c>
      <c r="O120" s="64">
        <f t="shared" si="71"/>
        <v>6811244.1382471146</v>
      </c>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row>
    <row r="121" spans="1:78" x14ac:dyDescent="0.2">
      <c r="A121" s="75">
        <f t="shared" si="58"/>
        <v>2056</v>
      </c>
      <c r="B121" s="223">
        <f t="shared" si="74"/>
        <v>807.72100988022305</v>
      </c>
      <c r="C121" s="78">
        <f t="shared" si="75"/>
        <v>110.29673679375257</v>
      </c>
      <c r="D121" s="348">
        <f t="shared" si="61"/>
        <v>918.01774667397558</v>
      </c>
      <c r="E121" s="78">
        <f t="shared" si="62"/>
        <v>963</v>
      </c>
      <c r="F121" s="348">
        <f t="shared" si="63"/>
        <v>481.5</v>
      </c>
      <c r="G121" s="78">
        <f t="shared" si="64"/>
        <v>905.1493985725175</v>
      </c>
      <c r="H121" s="339">
        <f t="shared" si="73"/>
        <v>0.41666666666666669</v>
      </c>
      <c r="I121" s="78">
        <f t="shared" si="72"/>
        <v>247.88722613411935</v>
      </c>
      <c r="J121" s="339">
        <f>J120</f>
        <v>70.872341947962326</v>
      </c>
      <c r="K121" s="340">
        <f t="shared" si="67"/>
        <v>0.1</v>
      </c>
      <c r="L121" s="223">
        <f t="shared" si="68"/>
        <v>82809.594969674421</v>
      </c>
      <c r="M121" s="78">
        <f t="shared" si="69"/>
        <v>18828.891330113256</v>
      </c>
      <c r="N121" s="223">
        <f t="shared" si="70"/>
        <v>30225502.163931165</v>
      </c>
      <c r="O121" s="78">
        <f t="shared" si="71"/>
        <v>6872545.3354913387</v>
      </c>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row>
    <row r="122" spans="1:78" x14ac:dyDescent="0.2">
      <c r="A122" s="222" t="s">
        <v>230</v>
      </c>
      <c r="B122" s="142"/>
      <c r="C122" s="142"/>
      <c r="D122" s="142"/>
      <c r="E122" s="142"/>
      <c r="F122" s="217"/>
      <c r="G122" s="217"/>
      <c r="H122" s="142"/>
      <c r="I122" s="218"/>
      <c r="J122" s="219"/>
      <c r="K122" s="219"/>
      <c r="L122" s="216"/>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row>
    <row r="123" spans="1:78" x14ac:dyDescent="0.2">
      <c r="A123" s="222" t="s">
        <v>139</v>
      </c>
      <c r="B123" s="142"/>
      <c r="C123" s="142"/>
      <c r="D123" s="142"/>
      <c r="E123" s="142"/>
      <c r="F123" s="217"/>
      <c r="G123" s="217"/>
      <c r="H123" s="142"/>
      <c r="I123" s="218"/>
      <c r="J123" s="219"/>
      <c r="K123" s="219"/>
      <c r="L123" s="216"/>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row>
    <row r="124" spans="1:78" x14ac:dyDescent="0.2">
      <c r="A124" s="222" t="s">
        <v>298</v>
      </c>
      <c r="B124" s="142"/>
      <c r="C124" s="142"/>
      <c r="D124" s="142"/>
      <c r="E124" s="142"/>
      <c r="F124" s="217"/>
      <c r="G124" s="217"/>
      <c r="H124" s="142"/>
      <c r="I124" s="218"/>
      <c r="J124" s="219"/>
      <c r="K124" s="219"/>
      <c r="L124" s="216"/>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row>
    <row r="125" spans="1:78" x14ac:dyDescent="0.2">
      <c r="A125" s="222" t="s">
        <v>301</v>
      </c>
      <c r="B125" s="142">
        <v>0.53500000000000003</v>
      </c>
      <c r="C125" s="142"/>
      <c r="D125" s="142"/>
      <c r="E125" s="142"/>
      <c r="F125" s="217"/>
      <c r="G125" s="217"/>
      <c r="H125" s="142"/>
      <c r="I125" s="218"/>
      <c r="J125" s="219"/>
      <c r="K125" s="219"/>
      <c r="L125" s="216"/>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row>
    <row r="126" spans="1:78" x14ac:dyDescent="0.2">
      <c r="A126" s="222"/>
      <c r="B126" s="142"/>
      <c r="C126" s="142"/>
      <c r="D126" s="142"/>
      <c r="E126" s="142"/>
      <c r="F126" s="217"/>
      <c r="G126" s="217"/>
      <c r="H126" s="142"/>
      <c r="I126" s="218"/>
      <c r="J126" s="219"/>
      <c r="K126" s="219"/>
      <c r="L126" s="216"/>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row>
    <row r="127" spans="1:78" x14ac:dyDescent="0.2">
      <c r="A127" s="222" t="s">
        <v>231</v>
      </c>
      <c r="B127" s="142"/>
      <c r="C127" s="142"/>
      <c r="D127" s="142"/>
      <c r="E127" s="142"/>
      <c r="F127" s="217"/>
      <c r="G127" s="217"/>
      <c r="H127" s="142"/>
      <c r="I127" s="218"/>
      <c r="J127" s="219"/>
      <c r="K127" s="219"/>
      <c r="L127" s="216"/>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row>
    <row r="128" spans="1:78" x14ac:dyDescent="0.2">
      <c r="A128" s="222" t="s">
        <v>299</v>
      </c>
      <c r="B128" s="142"/>
      <c r="C128" s="142"/>
      <c r="D128" s="142"/>
      <c r="E128" s="142"/>
      <c r="F128" s="217"/>
      <c r="G128" s="217"/>
      <c r="H128" s="142"/>
      <c r="I128" s="218"/>
      <c r="J128" s="219"/>
      <c r="K128" s="219"/>
      <c r="L128" s="216"/>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row>
    <row r="129" spans="1:78" x14ac:dyDescent="0.2">
      <c r="A129" s="222"/>
      <c r="B129" s="142"/>
      <c r="C129" s="142"/>
      <c r="D129" s="142"/>
      <c r="E129" s="142"/>
      <c r="F129" s="217"/>
      <c r="G129" s="217"/>
      <c r="H129" s="142"/>
      <c r="I129" s="218"/>
      <c r="J129" s="219"/>
      <c r="K129" s="219"/>
      <c r="L129" s="216"/>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row>
    <row r="130" spans="1:78" x14ac:dyDescent="0.2">
      <c r="A130" s="222"/>
      <c r="B130" s="142"/>
      <c r="C130" s="142"/>
      <c r="D130" s="142"/>
      <c r="E130" s="142"/>
      <c r="F130" s="142"/>
      <c r="G130" s="142"/>
      <c r="H130" s="142"/>
      <c r="I130" s="218"/>
      <c r="J130" s="219"/>
      <c r="K130" s="219"/>
      <c r="L130" s="216"/>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row>
    <row r="131" spans="1:78" x14ac:dyDescent="0.2">
      <c r="A131" s="390" t="s">
        <v>140</v>
      </c>
      <c r="B131" s="391"/>
      <c r="C131" s="391"/>
      <c r="D131" s="391"/>
      <c r="E131" s="391"/>
      <c r="F131" s="391"/>
      <c r="G131" s="391"/>
      <c r="H131" s="391"/>
      <c r="I131" s="391"/>
      <c r="J131" s="391"/>
      <c r="K131" s="391"/>
      <c r="L131" s="391"/>
      <c r="M131" s="391"/>
      <c r="N131" s="391"/>
      <c r="O131" s="391"/>
      <c r="P131" s="391"/>
      <c r="Q131" s="392"/>
      <c r="R131" s="142"/>
      <c r="S131" s="142"/>
      <c r="T131" s="142"/>
      <c r="U131" s="142"/>
      <c r="V131" s="142"/>
      <c r="W131" s="142"/>
      <c r="X131" s="142"/>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row>
    <row r="132" spans="1:78" x14ac:dyDescent="0.2">
      <c r="A132" s="425" t="s">
        <v>1</v>
      </c>
      <c r="B132" s="390" t="s">
        <v>260</v>
      </c>
      <c r="C132" s="391"/>
      <c r="D132" s="391"/>
      <c r="E132" s="391"/>
      <c r="F132" s="391"/>
      <c r="G132" s="391"/>
      <c r="H132" s="391"/>
      <c r="I132" s="391"/>
      <c r="J132" s="391"/>
      <c r="K132" s="391"/>
      <c r="L132" s="391"/>
      <c r="M132" s="391"/>
      <c r="N132" s="391"/>
      <c r="O132" s="392"/>
      <c r="P132" s="390" t="s">
        <v>257</v>
      </c>
      <c r="Q132" s="39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row>
    <row r="133" spans="1:78" x14ac:dyDescent="0.2">
      <c r="A133" s="425"/>
      <c r="B133" s="454" t="s">
        <v>122</v>
      </c>
      <c r="C133" s="454"/>
      <c r="D133" s="454" t="s">
        <v>123</v>
      </c>
      <c r="E133" s="454"/>
      <c r="F133" s="426" t="s">
        <v>141</v>
      </c>
      <c r="G133" s="428"/>
      <c r="H133" s="454" t="s">
        <v>124</v>
      </c>
      <c r="I133" s="454"/>
      <c r="J133" s="450" t="s">
        <v>125</v>
      </c>
      <c r="K133" s="450"/>
      <c r="L133" s="450" t="s">
        <v>126</v>
      </c>
      <c r="M133" s="450"/>
      <c r="N133" s="450" t="s">
        <v>127</v>
      </c>
      <c r="O133" s="450"/>
      <c r="P133" s="450" t="s">
        <v>127</v>
      </c>
      <c r="Q133" s="450"/>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row>
    <row r="134" spans="1:78" x14ac:dyDescent="0.2">
      <c r="A134" s="425"/>
      <c r="B134" s="201" t="s">
        <v>129</v>
      </c>
      <c r="C134" s="201" t="s">
        <v>130</v>
      </c>
      <c r="D134" s="201" t="s">
        <v>131</v>
      </c>
      <c r="E134" s="201" t="s">
        <v>132</v>
      </c>
      <c r="F134" s="201" t="s">
        <v>142</v>
      </c>
      <c r="G134" s="201" t="s">
        <v>143</v>
      </c>
      <c r="H134" s="201" t="s">
        <v>133</v>
      </c>
      <c r="I134" s="203" t="s">
        <v>134</v>
      </c>
      <c r="J134" s="201" t="s">
        <v>135</v>
      </c>
      <c r="K134" s="201" t="s">
        <v>136</v>
      </c>
      <c r="L134" s="201" t="s">
        <v>137</v>
      </c>
      <c r="M134" s="201" t="s">
        <v>138</v>
      </c>
      <c r="N134" s="201" t="s">
        <v>128</v>
      </c>
      <c r="O134" s="201" t="s">
        <v>78</v>
      </c>
      <c r="P134" s="201" t="s">
        <v>128</v>
      </c>
      <c r="Q134" s="201" t="s">
        <v>78</v>
      </c>
      <c r="R134" s="142"/>
      <c r="S134" s="142"/>
      <c r="T134" s="142"/>
      <c r="U134" s="142"/>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row>
    <row r="135" spans="1:78" x14ac:dyDescent="0.2">
      <c r="A135" s="63">
        <v>2019</v>
      </c>
      <c r="B135" s="266">
        <f>J222/24</f>
        <v>217.875</v>
      </c>
      <c r="C135" s="64">
        <f>J223/24</f>
        <v>44.625</v>
      </c>
      <c r="D135" s="213">
        <f>1800</f>
        <v>1800</v>
      </c>
      <c r="E135" s="64">
        <f>900</f>
        <v>900</v>
      </c>
      <c r="F135" s="213">
        <v>2</v>
      </c>
      <c r="G135" s="64">
        <v>2</v>
      </c>
      <c r="H135" s="220">
        <f>(F135*$B$270/60)+(G135*$B$277/60)</f>
        <v>0.14791666666666664</v>
      </c>
      <c r="I135" s="79">
        <f>(F135*$B$270/60)+(G135*$B$277/60)</f>
        <v>0.14791666666666664</v>
      </c>
      <c r="J135" s="213">
        <f>H135*B135</f>
        <v>32.227343749999996</v>
      </c>
      <c r="K135" s="64">
        <f t="shared" ref="K135:K172" si="76">I135*C135</f>
        <v>6.6007812499999989</v>
      </c>
      <c r="L135" s="220">
        <f>J135/(D135-B135)</f>
        <v>2.0369657106739349E-2</v>
      </c>
      <c r="M135" s="79">
        <f t="shared" ref="M135:M172" si="77">K135/(E135-C135)</f>
        <v>7.716827414876515E-3</v>
      </c>
      <c r="N135" s="213">
        <f>0.5*H135*B135*(H135+L135)</f>
        <v>2.7117106023346755</v>
      </c>
      <c r="O135" s="64">
        <f t="shared" ref="O135:O172" si="78">0.5*I135*C135*(I135+M135)</f>
        <v>0.51365132480271791</v>
      </c>
      <c r="P135" s="213">
        <f>N135*365</f>
        <v>989.77436985215661</v>
      </c>
      <c r="Q135" s="64">
        <f>O135*365</f>
        <v>187.48273355299204</v>
      </c>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row>
    <row r="136" spans="1:78" x14ac:dyDescent="0.2">
      <c r="A136" s="65">
        <f t="shared" ref="A136:A172" si="79">A135+1</f>
        <v>2020</v>
      </c>
      <c r="B136" s="221">
        <f t="shared" ref="B136:B156" si="80">($B135*(1+$B$247))</f>
        <v>221.36099999999999</v>
      </c>
      <c r="C136" s="77">
        <f t="shared" ref="C136:C156" si="81">($C135*(1+$B$247))</f>
        <v>45.338999999999999</v>
      </c>
      <c r="D136" s="213">
        <f>1800</f>
        <v>1800</v>
      </c>
      <c r="E136" s="64">
        <f>900</f>
        <v>900</v>
      </c>
      <c r="F136" s="213">
        <v>2</v>
      </c>
      <c r="G136" s="64">
        <v>2</v>
      </c>
      <c r="H136" s="220">
        <f t="shared" ref="H136:H172" si="82">(F136*$B$270/60)+(G136*$B$277/60)</f>
        <v>0.14791666666666664</v>
      </c>
      <c r="I136" s="79">
        <f t="shared" ref="I136:I172" si="83">(F136*$B$270/60)+(G136*$B$277/60)</f>
        <v>0.14791666666666664</v>
      </c>
      <c r="J136" s="213">
        <f t="shared" ref="J136:J172" si="84">H136*B136</f>
        <v>32.742981249999993</v>
      </c>
      <c r="K136" s="64">
        <f t="shared" si="76"/>
        <v>6.7063937499999984</v>
      </c>
      <c r="L136" s="220">
        <f t="shared" ref="L136:L172" si="85">J136/(D136-B136)</f>
        <v>2.0741272228799613E-2</v>
      </c>
      <c r="M136" s="79">
        <f t="shared" si="77"/>
        <v>7.8468465859563002E-3</v>
      </c>
      <c r="N136" s="213">
        <f t="shared" ref="N136:N172" si="86">0.5*H136*B136*(H136+L136)</f>
        <v>2.7611818654589482</v>
      </c>
      <c r="O136" s="64">
        <f t="shared" si="78"/>
        <v>0.52230572587771618</v>
      </c>
      <c r="P136" s="213">
        <f t="shared" ref="P136:Q168" si="87">N136*365</f>
        <v>1007.8313808925161</v>
      </c>
      <c r="Q136" s="64">
        <f t="shared" si="87"/>
        <v>190.64158994536641</v>
      </c>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row>
    <row r="137" spans="1:78" x14ac:dyDescent="0.2">
      <c r="A137" s="65">
        <f t="shared" si="79"/>
        <v>2021</v>
      </c>
      <c r="B137" s="221">
        <f t="shared" si="80"/>
        <v>224.90277599999999</v>
      </c>
      <c r="C137" s="77">
        <f t="shared" si="81"/>
        <v>46.064424000000002</v>
      </c>
      <c r="D137" s="213">
        <f>1800</f>
        <v>1800</v>
      </c>
      <c r="E137" s="64">
        <f>900</f>
        <v>900</v>
      </c>
      <c r="F137" s="213">
        <v>2</v>
      </c>
      <c r="G137" s="64">
        <v>2</v>
      </c>
      <c r="H137" s="220">
        <f t="shared" si="82"/>
        <v>0.14791666666666664</v>
      </c>
      <c r="I137" s="79">
        <f t="shared" si="83"/>
        <v>0.14791666666666664</v>
      </c>
      <c r="J137" s="213">
        <f t="shared" si="84"/>
        <v>33.266868949999996</v>
      </c>
      <c r="K137" s="64">
        <f t="shared" si="76"/>
        <v>6.813696049999999</v>
      </c>
      <c r="L137" s="220">
        <f t="shared" si="85"/>
        <v>2.1120517796049391E-2</v>
      </c>
      <c r="M137" s="79">
        <f t="shared" si="77"/>
        <v>7.9791687353238921E-3</v>
      </c>
      <c r="N137" s="213">
        <f t="shared" si="86"/>
        <v>2.8116689315990748</v>
      </c>
      <c r="O137" s="64">
        <f t="shared" si="78"/>
        <v>0.53111341894499642</v>
      </c>
      <c r="P137" s="213">
        <f t="shared" si="87"/>
        <v>1026.2591600336623</v>
      </c>
      <c r="Q137" s="64">
        <f t="shared" si="87"/>
        <v>193.85639791492369</v>
      </c>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row>
    <row r="138" spans="1:78" x14ac:dyDescent="0.2">
      <c r="A138" s="65">
        <f t="shared" si="79"/>
        <v>2022</v>
      </c>
      <c r="B138" s="221">
        <f t="shared" si="80"/>
        <v>228.501220416</v>
      </c>
      <c r="C138" s="77">
        <f t="shared" si="81"/>
        <v>46.801454784000001</v>
      </c>
      <c r="D138" s="213">
        <f>1800</f>
        <v>1800</v>
      </c>
      <c r="E138" s="64">
        <f>900</f>
        <v>900</v>
      </c>
      <c r="F138" s="213">
        <v>2</v>
      </c>
      <c r="G138" s="64">
        <v>2</v>
      </c>
      <c r="H138" s="220">
        <f t="shared" si="82"/>
        <v>0.14791666666666664</v>
      </c>
      <c r="I138" s="79">
        <f t="shared" si="83"/>
        <v>0.14791666666666664</v>
      </c>
      <c r="J138" s="213">
        <f t="shared" si="84"/>
        <v>33.799138853199992</v>
      </c>
      <c r="K138" s="64">
        <f t="shared" si="76"/>
        <v>6.9227151867999988</v>
      </c>
      <c r="L138" s="220">
        <f t="shared" si="85"/>
        <v>2.1507581992616723E-2</v>
      </c>
      <c r="M138" s="79">
        <f t="shared" si="77"/>
        <v>8.1138384794683521E-3</v>
      </c>
      <c r="N138" s="213">
        <f t="shared" si="86"/>
        <v>2.8631968527671003</v>
      </c>
      <c r="O138" s="64">
        <f t="shared" si="78"/>
        <v>0.54007737378961196</v>
      </c>
      <c r="P138" s="213">
        <f t="shared" si="87"/>
        <v>1045.0668512599916</v>
      </c>
      <c r="Q138" s="64">
        <f t="shared" si="87"/>
        <v>197.12824143320836</v>
      </c>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row>
    <row r="139" spans="1:78" x14ac:dyDescent="0.2">
      <c r="A139" s="65">
        <f t="shared" si="79"/>
        <v>2023</v>
      </c>
      <c r="B139" s="221">
        <f t="shared" si="80"/>
        <v>232.15723994265599</v>
      </c>
      <c r="C139" s="77">
        <f t="shared" si="81"/>
        <v>47.550278060544002</v>
      </c>
      <c r="D139" s="213">
        <f>1800</f>
        <v>1800</v>
      </c>
      <c r="E139" s="64">
        <f>900</f>
        <v>900</v>
      </c>
      <c r="F139" s="213">
        <v>2</v>
      </c>
      <c r="G139" s="64">
        <v>2</v>
      </c>
      <c r="H139" s="220">
        <f t="shared" si="82"/>
        <v>0.14791666666666664</v>
      </c>
      <c r="I139" s="79">
        <f t="shared" si="83"/>
        <v>0.14791666666666664</v>
      </c>
      <c r="J139" s="213">
        <f t="shared" si="84"/>
        <v>34.339925074851195</v>
      </c>
      <c r="K139" s="64">
        <f t="shared" si="76"/>
        <v>7.0334786297887995</v>
      </c>
      <c r="L139" s="220">
        <f t="shared" si="85"/>
        <v>2.1902658831422103E-2</v>
      </c>
      <c r="M139" s="79">
        <f t="shared" si="77"/>
        <v>8.2509014300415733E-3</v>
      </c>
      <c r="N139" s="213">
        <f t="shared" si="86"/>
        <v>2.9157914569330674</v>
      </c>
      <c r="O139" s="64">
        <f t="shared" si="78"/>
        <v>0.54920062643714207</v>
      </c>
      <c r="P139" s="213">
        <f t="shared" si="87"/>
        <v>1064.2638817805696</v>
      </c>
      <c r="Q139" s="64">
        <f t="shared" si="87"/>
        <v>200.45822864955684</v>
      </c>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row>
    <row r="140" spans="1:78" x14ac:dyDescent="0.2">
      <c r="A140" s="65">
        <f t="shared" si="79"/>
        <v>2024</v>
      </c>
      <c r="B140" s="221">
        <f t="shared" si="80"/>
        <v>235.8717557817385</v>
      </c>
      <c r="C140" s="77">
        <f t="shared" si="81"/>
        <v>48.311082509512708</v>
      </c>
      <c r="D140" s="213">
        <f>1800</f>
        <v>1800</v>
      </c>
      <c r="E140" s="64">
        <f>900</f>
        <v>900</v>
      </c>
      <c r="F140" s="213">
        <v>2</v>
      </c>
      <c r="G140" s="64">
        <v>2</v>
      </c>
      <c r="H140" s="220">
        <f t="shared" si="82"/>
        <v>0.14791666666666664</v>
      </c>
      <c r="I140" s="79">
        <f t="shared" si="83"/>
        <v>0.14791666666666664</v>
      </c>
      <c r="J140" s="213">
        <f t="shared" si="84"/>
        <v>34.889363876048812</v>
      </c>
      <c r="K140" s="64">
        <f t="shared" si="76"/>
        <v>7.1460142878654205</v>
      </c>
      <c r="L140" s="220">
        <f t="shared" si="85"/>
        <v>2.2305948380521849E-2</v>
      </c>
      <c r="M140" s="79">
        <f t="shared" si="77"/>
        <v>8.3904042205001882E-3</v>
      </c>
      <c r="N140" s="213">
        <f t="shared" si="86"/>
        <v>2.9694793781569708</v>
      </c>
      <c r="O140" s="64">
        <f t="shared" si="78"/>
        <v>0.55848628092704367</v>
      </c>
      <c r="P140" s="213">
        <f t="shared" si="87"/>
        <v>1083.8599730272942</v>
      </c>
      <c r="Q140" s="64">
        <f t="shared" si="87"/>
        <v>203.84749253837094</v>
      </c>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row>
    <row r="141" spans="1:78" x14ac:dyDescent="0.2">
      <c r="A141" s="65">
        <f t="shared" si="79"/>
        <v>2025</v>
      </c>
      <c r="B141" s="221">
        <f t="shared" si="80"/>
        <v>239.64570387424632</v>
      </c>
      <c r="C141" s="77">
        <f t="shared" si="81"/>
        <v>49.084059829664909</v>
      </c>
      <c r="D141" s="213">
        <f>1800</f>
        <v>1800</v>
      </c>
      <c r="E141" s="64">
        <f>900</f>
        <v>900</v>
      </c>
      <c r="F141" s="213">
        <v>2</v>
      </c>
      <c r="G141" s="64">
        <v>2</v>
      </c>
      <c r="H141" s="220">
        <f t="shared" si="82"/>
        <v>0.14791666666666664</v>
      </c>
      <c r="I141" s="79">
        <f t="shared" si="83"/>
        <v>0.14791666666666664</v>
      </c>
      <c r="J141" s="213">
        <f t="shared" si="84"/>
        <v>35.447593698065596</v>
      </c>
      <c r="K141" s="64">
        <f t="shared" si="76"/>
        <v>7.2603505164712665</v>
      </c>
      <c r="L141" s="220">
        <f t="shared" si="85"/>
        <v>2.2717657000130929E-2</v>
      </c>
      <c r="M141" s="79">
        <f t="shared" si="77"/>
        <v>8.5323945336103369E-3</v>
      </c>
      <c r="N141" s="213">
        <f t="shared" si="86"/>
        <v>3.0242880881424292</v>
      </c>
      <c r="O141" s="64">
        <f t="shared" si="78"/>
        <v>0.56793751114343793</v>
      </c>
      <c r="P141" s="213">
        <f t="shared" si="87"/>
        <v>1103.8651521719867</v>
      </c>
      <c r="Q141" s="64">
        <f t="shared" si="87"/>
        <v>207.29719156735484</v>
      </c>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row>
    <row r="142" spans="1:78" x14ac:dyDescent="0.2">
      <c r="A142" s="65">
        <f t="shared" si="79"/>
        <v>2026</v>
      </c>
      <c r="B142" s="221">
        <f t="shared" si="80"/>
        <v>243.48003513623428</v>
      </c>
      <c r="C142" s="77">
        <f t="shared" si="81"/>
        <v>49.869404786939548</v>
      </c>
      <c r="D142" s="213">
        <f>1800</f>
        <v>1800</v>
      </c>
      <c r="E142" s="64">
        <f>900</f>
        <v>900</v>
      </c>
      <c r="F142" s="213">
        <v>2</v>
      </c>
      <c r="G142" s="64">
        <v>2</v>
      </c>
      <c r="H142" s="220">
        <f t="shared" si="82"/>
        <v>0.14791666666666664</v>
      </c>
      <c r="I142" s="79">
        <f t="shared" si="83"/>
        <v>0.14791666666666664</v>
      </c>
      <c r="J142" s="213">
        <f t="shared" si="84"/>
        <v>36.014755197234649</v>
      </c>
      <c r="K142" s="64">
        <f t="shared" si="76"/>
        <v>7.376516124734807</v>
      </c>
      <c r="L142" s="220">
        <f t="shared" si="85"/>
        <v>2.3137997590918686E-2</v>
      </c>
      <c r="M142" s="79">
        <f t="shared" si="77"/>
        <v>8.676921129848407E-3</v>
      </c>
      <c r="N142" s="213">
        <f t="shared" si="86"/>
        <v>3.0802459292910496</v>
      </c>
      <c r="O142" s="64">
        <f t="shared" si="78"/>
        <v>0.57755756270553449</v>
      </c>
      <c r="P142" s="213">
        <f t="shared" si="87"/>
        <v>1124.2897641912332</v>
      </c>
      <c r="Q142" s="64">
        <f t="shared" si="87"/>
        <v>210.8085103875201</v>
      </c>
      <c r="R142" s="142"/>
      <c r="S142" s="142"/>
      <c r="T142" s="142"/>
      <c r="U142" s="142"/>
      <c r="V142" s="142"/>
      <c r="W142" s="142"/>
      <c r="X142" s="142"/>
      <c r="Y142" s="142"/>
      <c r="Z142" s="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row>
    <row r="143" spans="1:78" x14ac:dyDescent="0.2">
      <c r="A143" s="65">
        <f t="shared" si="79"/>
        <v>2027</v>
      </c>
      <c r="B143" s="221">
        <f t="shared" si="80"/>
        <v>247.37571569841404</v>
      </c>
      <c r="C143" s="77">
        <f t="shared" si="81"/>
        <v>50.667315263530583</v>
      </c>
      <c r="D143" s="213">
        <f>1800</f>
        <v>1800</v>
      </c>
      <c r="E143" s="64">
        <f>900</f>
        <v>900</v>
      </c>
      <c r="F143" s="213">
        <v>2</v>
      </c>
      <c r="G143" s="64">
        <v>2</v>
      </c>
      <c r="H143" s="220">
        <f t="shared" si="82"/>
        <v>0.14791666666666664</v>
      </c>
      <c r="I143" s="79">
        <f t="shared" si="83"/>
        <v>0.14791666666666664</v>
      </c>
      <c r="J143" s="213">
        <f t="shared" si="84"/>
        <v>36.590991280390405</v>
      </c>
      <c r="K143" s="64">
        <f t="shared" si="76"/>
        <v>7.4945403827305643</v>
      </c>
      <c r="L143" s="220">
        <f t="shared" si="85"/>
        <v>2.3567189854208716E-2</v>
      </c>
      <c r="M143" s="79">
        <f t="shared" si="77"/>
        <v>8.8240338767322565E-3</v>
      </c>
      <c r="N143" s="213">
        <f t="shared" si="86"/>
        <v>3.1373821493415348</v>
      </c>
      <c r="O143" s="64">
        <f t="shared" si="78"/>
        <v>0.58734975491999075</v>
      </c>
      <c r="P143" s="213">
        <f t="shared" si="87"/>
        <v>1145.1444845096603</v>
      </c>
      <c r="Q143" s="64">
        <f t="shared" si="87"/>
        <v>214.38266054579663</v>
      </c>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row>
    <row r="144" spans="1:78" x14ac:dyDescent="0.2">
      <c r="A144" s="65">
        <f t="shared" si="79"/>
        <v>2028</v>
      </c>
      <c r="B144" s="221">
        <f t="shared" si="80"/>
        <v>251.33372714958867</v>
      </c>
      <c r="C144" s="77">
        <f t="shared" si="81"/>
        <v>51.477992307747073</v>
      </c>
      <c r="D144" s="213">
        <f>1800</f>
        <v>1800</v>
      </c>
      <c r="E144" s="64">
        <f>900</f>
        <v>900</v>
      </c>
      <c r="F144" s="213">
        <v>2</v>
      </c>
      <c r="G144" s="64">
        <v>2</v>
      </c>
      <c r="H144" s="220">
        <f t="shared" si="82"/>
        <v>0.14791666666666664</v>
      </c>
      <c r="I144" s="79">
        <f t="shared" si="83"/>
        <v>0.14791666666666664</v>
      </c>
      <c r="J144" s="213">
        <f t="shared" si="84"/>
        <v>37.176447140876654</v>
      </c>
      <c r="K144" s="64">
        <f t="shared" si="76"/>
        <v>7.6144530288542533</v>
      </c>
      <c r="L144" s="220">
        <f t="shared" si="85"/>
        <v>2.4005460564754999E-2</v>
      </c>
      <c r="M144" s="79">
        <f t="shared" si="77"/>
        <v>8.9737837791190305E-3</v>
      </c>
      <c r="N144" s="213">
        <f t="shared" si="86"/>
        <v>3.1957269376830086</v>
      </c>
      <c r="O144" s="64">
        <f t="shared" si="78"/>
        <v>0.59731748279761043</v>
      </c>
      <c r="P144" s="213">
        <f t="shared" si="87"/>
        <v>1166.4403322542983</v>
      </c>
      <c r="Q144" s="64">
        <f t="shared" si="87"/>
        <v>218.02088122112781</v>
      </c>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row>
    <row r="145" spans="1:78" x14ac:dyDescent="0.2">
      <c r="A145" s="65">
        <f t="shared" si="79"/>
        <v>2029</v>
      </c>
      <c r="B145" s="221">
        <f t="shared" si="80"/>
        <v>255.3550667839821</v>
      </c>
      <c r="C145" s="77">
        <f t="shared" si="81"/>
        <v>52.301640184671029</v>
      </c>
      <c r="D145" s="213">
        <f>1800</f>
        <v>1800</v>
      </c>
      <c r="E145" s="64">
        <f>900</f>
        <v>900</v>
      </c>
      <c r="F145" s="213">
        <v>2</v>
      </c>
      <c r="G145" s="64">
        <v>2</v>
      </c>
      <c r="H145" s="220">
        <f t="shared" si="82"/>
        <v>0.14791666666666664</v>
      </c>
      <c r="I145" s="79">
        <f t="shared" si="83"/>
        <v>0.14791666666666664</v>
      </c>
      <c r="J145" s="213">
        <f t="shared" si="84"/>
        <v>37.771270295130677</v>
      </c>
      <c r="K145" s="64">
        <f t="shared" si="76"/>
        <v>7.7362842773159217</v>
      </c>
      <c r="L145" s="220">
        <f t="shared" si="85"/>
        <v>2.4453043856810023E-2</v>
      </c>
      <c r="M145" s="79">
        <f t="shared" si="77"/>
        <v>9.1262230105072645E-3</v>
      </c>
      <c r="N145" s="213">
        <f t="shared" si="86"/>
        <v>3.2553114634378337</v>
      </c>
      <c r="O145" s="64">
        <f t="shared" si="78"/>
        <v>0.60746421913688964</v>
      </c>
      <c r="P145" s="213">
        <f t="shared" si="87"/>
        <v>1188.1886841548094</v>
      </c>
      <c r="Q145" s="64">
        <f t="shared" si="87"/>
        <v>221.7244399849647</v>
      </c>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row>
    <row r="146" spans="1:78" x14ac:dyDescent="0.2">
      <c r="A146" s="65">
        <f t="shared" si="79"/>
        <v>2030</v>
      </c>
      <c r="B146" s="221">
        <f t="shared" si="80"/>
        <v>259.44074785252582</v>
      </c>
      <c r="C146" s="77">
        <f t="shared" si="81"/>
        <v>53.138466427625765</v>
      </c>
      <c r="D146" s="213">
        <f>1800</f>
        <v>1800</v>
      </c>
      <c r="E146" s="64">
        <f>900</f>
        <v>900</v>
      </c>
      <c r="F146" s="213">
        <v>3</v>
      </c>
      <c r="G146" s="64">
        <v>3</v>
      </c>
      <c r="H146" s="220">
        <f t="shared" si="82"/>
        <v>0.22187499999999999</v>
      </c>
      <c r="I146" s="79">
        <f t="shared" si="83"/>
        <v>0.22187499999999999</v>
      </c>
      <c r="J146" s="213">
        <f t="shared" si="84"/>
        <v>57.563415929779161</v>
      </c>
      <c r="K146" s="64">
        <f t="shared" si="76"/>
        <v>11.790097238629466</v>
      </c>
      <c r="L146" s="220">
        <f t="shared" si="85"/>
        <v>3.7365272286371459E-2</v>
      </c>
      <c r="M146" s="79">
        <f t="shared" si="77"/>
        <v>1.3922107418073988E-2</v>
      </c>
      <c r="N146" s="213">
        <f t="shared" si="86"/>
        <v>7.4613778096848016</v>
      </c>
      <c r="O146" s="64">
        <f t="shared" si="78"/>
        <v>1.3900354125233247</v>
      </c>
      <c r="P146" s="213">
        <f t="shared" si="87"/>
        <v>2723.4029005349526</v>
      </c>
      <c r="Q146" s="64">
        <f t="shared" si="87"/>
        <v>507.36292557101353</v>
      </c>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row>
    <row r="147" spans="1:78" x14ac:dyDescent="0.2">
      <c r="A147" s="65">
        <f t="shared" si="79"/>
        <v>2031</v>
      </c>
      <c r="B147" s="221">
        <f t="shared" si="80"/>
        <v>263.59179981816624</v>
      </c>
      <c r="C147" s="77">
        <f t="shared" si="81"/>
        <v>53.988681890467781</v>
      </c>
      <c r="D147" s="213">
        <f>1800</f>
        <v>1800</v>
      </c>
      <c r="E147" s="64">
        <f>900</f>
        <v>900</v>
      </c>
      <c r="F147" s="213">
        <v>3</v>
      </c>
      <c r="G147" s="64">
        <v>3</v>
      </c>
      <c r="H147" s="220">
        <f t="shared" si="82"/>
        <v>0.22187499999999999</v>
      </c>
      <c r="I147" s="79">
        <f t="shared" si="83"/>
        <v>0.22187499999999999</v>
      </c>
      <c r="J147" s="213">
        <f t="shared" si="84"/>
        <v>58.484430584655634</v>
      </c>
      <c r="K147" s="64">
        <f t="shared" si="76"/>
        <v>11.978738794447539</v>
      </c>
      <c r="L147" s="220">
        <f t="shared" si="85"/>
        <v>3.8065685003330497E-2</v>
      </c>
      <c r="M147" s="79">
        <f t="shared" si="77"/>
        <v>1.4159076288973079E-2</v>
      </c>
      <c r="N147" s="213">
        <f t="shared" si="86"/>
        <v>7.6012414741025598</v>
      </c>
      <c r="O147" s="64">
        <f t="shared" si="78"/>
        <v>1.4136952732271559</v>
      </c>
      <c r="P147" s="213">
        <f t="shared" si="87"/>
        <v>2774.4531380474345</v>
      </c>
      <c r="Q147" s="64">
        <f t="shared" si="87"/>
        <v>515.99877472791195</v>
      </c>
      <c r="R147" s="142"/>
      <c r="S147" s="142"/>
      <c r="T147" s="142"/>
      <c r="U147" s="142"/>
      <c r="V147" s="142"/>
      <c r="W147" s="142"/>
      <c r="X147" s="142"/>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row>
    <row r="148" spans="1:78" x14ac:dyDescent="0.2">
      <c r="A148" s="65">
        <f t="shared" si="79"/>
        <v>2032</v>
      </c>
      <c r="B148" s="221">
        <f t="shared" si="80"/>
        <v>267.80926861525688</v>
      </c>
      <c r="C148" s="77">
        <f t="shared" si="81"/>
        <v>54.852500800715269</v>
      </c>
      <c r="D148" s="213">
        <f>1800</f>
        <v>1800</v>
      </c>
      <c r="E148" s="64">
        <f>900</f>
        <v>900</v>
      </c>
      <c r="F148" s="213">
        <v>3</v>
      </c>
      <c r="G148" s="64">
        <v>3</v>
      </c>
      <c r="H148" s="220">
        <f t="shared" si="82"/>
        <v>0.22187499999999999</v>
      </c>
      <c r="I148" s="79">
        <f t="shared" si="83"/>
        <v>0.22187499999999999</v>
      </c>
      <c r="J148" s="213">
        <f t="shared" si="84"/>
        <v>59.420181474010121</v>
      </c>
      <c r="K148" s="64">
        <f t="shared" si="76"/>
        <v>12.1703986151587</v>
      </c>
      <c r="L148" s="220">
        <f t="shared" si="85"/>
        <v>3.8781191046827528E-2</v>
      </c>
      <c r="M148" s="79">
        <f t="shared" si="77"/>
        <v>1.4400324945277905E-2</v>
      </c>
      <c r="N148" s="213">
        <f t="shared" si="86"/>
        <v>7.7441190871633721</v>
      </c>
      <c r="O148" s="64">
        <f t="shared" si="78"/>
        <v>1.437782443755091</v>
      </c>
      <c r="P148" s="213">
        <f t="shared" si="87"/>
        <v>2826.6034668146308</v>
      </c>
      <c r="Q148" s="64">
        <f t="shared" si="87"/>
        <v>524.79059197060826</v>
      </c>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row>
    <row r="149" spans="1:78" x14ac:dyDescent="0.2">
      <c r="A149" s="65">
        <f t="shared" si="79"/>
        <v>2033</v>
      </c>
      <c r="B149" s="221">
        <f t="shared" si="80"/>
        <v>272.09421691310098</v>
      </c>
      <c r="C149" s="77">
        <f t="shared" si="81"/>
        <v>55.730140813526717</v>
      </c>
      <c r="D149" s="213">
        <f>1800</f>
        <v>1800</v>
      </c>
      <c r="E149" s="64">
        <f>900</f>
        <v>900</v>
      </c>
      <c r="F149" s="213">
        <v>3</v>
      </c>
      <c r="G149" s="64">
        <v>3</v>
      </c>
      <c r="H149" s="220">
        <f t="shared" si="82"/>
        <v>0.22187499999999999</v>
      </c>
      <c r="I149" s="79">
        <f t="shared" si="83"/>
        <v>0.22187499999999999</v>
      </c>
      <c r="J149" s="213">
        <f t="shared" si="84"/>
        <v>60.370904377594279</v>
      </c>
      <c r="K149" s="64">
        <f t="shared" si="76"/>
        <v>12.36512499300124</v>
      </c>
      <c r="L149" s="220">
        <f t="shared" si="85"/>
        <v>3.9512190506684343E-2</v>
      </c>
      <c r="M149" s="79">
        <f t="shared" si="77"/>
        <v>1.4645939160869847E-2</v>
      </c>
      <c r="N149" s="213">
        <f t="shared" si="86"/>
        <v>7.8900905418035299</v>
      </c>
      <c r="O149" s="64">
        <f t="shared" si="78"/>
        <v>1.4623054880930986</v>
      </c>
      <c r="P149" s="213">
        <f t="shared" si="87"/>
        <v>2879.8830477582883</v>
      </c>
      <c r="Q149" s="64">
        <f t="shared" si="87"/>
        <v>533.74150315398094</v>
      </c>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row>
    <row r="150" spans="1:78" x14ac:dyDescent="0.2">
      <c r="A150" s="65">
        <f t="shared" si="79"/>
        <v>2034</v>
      </c>
      <c r="B150" s="221">
        <f t="shared" si="80"/>
        <v>276.44772438371058</v>
      </c>
      <c r="C150" s="77">
        <f t="shared" si="81"/>
        <v>56.621823066543143</v>
      </c>
      <c r="D150" s="213">
        <f>1800</f>
        <v>1800</v>
      </c>
      <c r="E150" s="64">
        <f>900</f>
        <v>900</v>
      </c>
      <c r="F150" s="213">
        <v>3</v>
      </c>
      <c r="G150" s="64">
        <v>3</v>
      </c>
      <c r="H150" s="220">
        <f t="shared" si="82"/>
        <v>0.22187499999999999</v>
      </c>
      <c r="I150" s="79">
        <f t="shared" si="83"/>
        <v>0.22187499999999999</v>
      </c>
      <c r="J150" s="213">
        <f t="shared" si="84"/>
        <v>61.336838847635782</v>
      </c>
      <c r="K150" s="64">
        <f t="shared" si="76"/>
        <v>12.56296699288926</v>
      </c>
      <c r="L150" s="220">
        <f t="shared" si="85"/>
        <v>4.0259096999362573E-2</v>
      </c>
      <c r="M150" s="79">
        <f t="shared" si="77"/>
        <v>1.4896006722119022E-2</v>
      </c>
      <c r="N150" s="213">
        <f t="shared" si="86"/>
        <v>8.0392384320602144</v>
      </c>
      <c r="O150" s="64">
        <f t="shared" si="78"/>
        <v>1.4872731711615712</v>
      </c>
      <c r="P150" s="213">
        <f t="shared" si="87"/>
        <v>2934.3220277019782</v>
      </c>
      <c r="Q150" s="64">
        <f t="shared" si="87"/>
        <v>542.85470747397346</v>
      </c>
      <c r="R150" s="142"/>
      <c r="S150" s="142"/>
      <c r="T150" s="142"/>
      <c r="U150" s="142"/>
      <c r="V150" s="142"/>
      <c r="W150" s="142"/>
      <c r="X150" s="142"/>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row>
    <row r="151" spans="1:78" x14ac:dyDescent="0.2">
      <c r="A151" s="65">
        <f t="shared" si="79"/>
        <v>2035</v>
      </c>
      <c r="B151" s="221">
        <f t="shared" si="80"/>
        <v>280.87088797384996</v>
      </c>
      <c r="C151" s="77">
        <f t="shared" si="81"/>
        <v>57.527772235607834</v>
      </c>
      <c r="D151" s="213">
        <f>1800</f>
        <v>1800</v>
      </c>
      <c r="E151" s="64">
        <f>900</f>
        <v>900</v>
      </c>
      <c r="F151" s="213">
        <v>3</v>
      </c>
      <c r="G151" s="64">
        <v>3</v>
      </c>
      <c r="H151" s="220">
        <f t="shared" si="82"/>
        <v>0.22187499999999999</v>
      </c>
      <c r="I151" s="79">
        <f t="shared" si="83"/>
        <v>0.22187499999999999</v>
      </c>
      <c r="J151" s="213">
        <f t="shared" si="84"/>
        <v>62.318228269197959</v>
      </c>
      <c r="K151" s="64">
        <f t="shared" si="76"/>
        <v>12.763974464775488</v>
      </c>
      <c r="L151" s="220">
        <f t="shared" si="85"/>
        <v>4.1022338243574666E-2</v>
      </c>
      <c r="M151" s="79">
        <f t="shared" si="77"/>
        <v>1.5150617485215302E-2</v>
      </c>
      <c r="N151" s="213">
        <f t="shared" si="86"/>
        <v>8.1916481680138151</v>
      </c>
      <c r="O151" s="64">
        <f t="shared" si="78"/>
        <v>1.5126944645394651</v>
      </c>
      <c r="P151" s="213">
        <f t="shared" si="87"/>
        <v>2989.9515813250423</v>
      </c>
      <c r="Q151" s="64">
        <f t="shared" si="87"/>
        <v>552.13347955690472</v>
      </c>
      <c r="R151" s="142"/>
      <c r="S151" s="142"/>
      <c r="T151" s="142"/>
      <c r="U151" s="142"/>
      <c r="V151" s="142"/>
      <c r="W151" s="142"/>
      <c r="X151" s="142"/>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row>
    <row r="152" spans="1:78" x14ac:dyDescent="0.2">
      <c r="A152" s="65">
        <f t="shared" si="79"/>
        <v>2036</v>
      </c>
      <c r="B152" s="221">
        <f t="shared" si="80"/>
        <v>285.36482218143158</v>
      </c>
      <c r="C152" s="77">
        <f t="shared" si="81"/>
        <v>58.448216591377559</v>
      </c>
      <c r="D152" s="213">
        <f>1800</f>
        <v>1800</v>
      </c>
      <c r="E152" s="64">
        <f>900</f>
        <v>900</v>
      </c>
      <c r="F152" s="213">
        <v>3</v>
      </c>
      <c r="G152" s="64">
        <v>3</v>
      </c>
      <c r="H152" s="220">
        <f t="shared" si="82"/>
        <v>0.22187499999999999</v>
      </c>
      <c r="I152" s="79">
        <f t="shared" si="83"/>
        <v>0.22187499999999999</v>
      </c>
      <c r="J152" s="213">
        <f t="shared" si="84"/>
        <v>63.315319921505129</v>
      </c>
      <c r="K152" s="64">
        <f t="shared" si="76"/>
        <v>12.968198056211895</v>
      </c>
      <c r="L152" s="220">
        <f t="shared" si="85"/>
        <v>4.1802356665645454E-2</v>
      </c>
      <c r="M152" s="79">
        <f t="shared" si="77"/>
        <v>1.5409863435480451E-2</v>
      </c>
      <c r="N152" s="213">
        <f t="shared" si="86"/>
        <v>8.347408096671078</v>
      </c>
      <c r="O152" s="64">
        <f t="shared" si="78"/>
        <v>1.5385785523862512</v>
      </c>
      <c r="P152" s="213">
        <f t="shared" si="87"/>
        <v>3046.8039552849436</v>
      </c>
      <c r="Q152" s="64">
        <f t="shared" si="87"/>
        <v>561.58117162098165</v>
      </c>
      <c r="R152" s="142"/>
      <c r="S152" s="142"/>
      <c r="T152" s="142"/>
      <c r="U152" s="142"/>
      <c r="V152" s="142"/>
      <c r="W152" s="142"/>
      <c r="X152" s="142"/>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row>
    <row r="153" spans="1:78" x14ac:dyDescent="0.2">
      <c r="A153" s="65">
        <f t="shared" si="79"/>
        <v>2037</v>
      </c>
      <c r="B153" s="221">
        <f t="shared" si="80"/>
        <v>289.93065933633449</v>
      </c>
      <c r="C153" s="77">
        <f t="shared" si="81"/>
        <v>59.3833880568396</v>
      </c>
      <c r="D153" s="213">
        <f>1800</f>
        <v>1800</v>
      </c>
      <c r="E153" s="64">
        <f>900</f>
        <v>900</v>
      </c>
      <c r="F153" s="213">
        <v>3</v>
      </c>
      <c r="G153" s="64">
        <v>3</v>
      </c>
      <c r="H153" s="220">
        <f t="shared" si="82"/>
        <v>0.22187499999999999</v>
      </c>
      <c r="I153" s="79">
        <f t="shared" si="83"/>
        <v>0.22187499999999999</v>
      </c>
      <c r="J153" s="213">
        <f t="shared" si="84"/>
        <v>64.32836504024921</v>
      </c>
      <c r="K153" s="64">
        <f t="shared" si="76"/>
        <v>13.175689225111286</v>
      </c>
      <c r="L153" s="220">
        <f t="shared" si="85"/>
        <v>4.2599610036435358E-2</v>
      </c>
      <c r="M153" s="79">
        <f t="shared" si="77"/>
        <v>1.5673838748742432E-2</v>
      </c>
      <c r="N153" s="213">
        <f t="shared" si="86"/>
        <v>8.5066096291506863</v>
      </c>
      <c r="O153" s="64">
        <f t="shared" si="78"/>
        <v>1.5649348375697518</v>
      </c>
      <c r="P153" s="213">
        <f t="shared" si="87"/>
        <v>3104.9125146400006</v>
      </c>
      <c r="Q153" s="64">
        <f t="shared" si="87"/>
        <v>571.20121571295942</v>
      </c>
      <c r="R153" s="142"/>
      <c r="S153" s="142"/>
      <c r="T153" s="142"/>
      <c r="U153" s="142"/>
      <c r="V153" s="142"/>
      <c r="W153" s="142"/>
      <c r="X153" s="142"/>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row>
    <row r="154" spans="1:78" x14ac:dyDescent="0.2">
      <c r="A154" s="65">
        <f t="shared" si="79"/>
        <v>2038</v>
      </c>
      <c r="B154" s="221">
        <f t="shared" si="80"/>
        <v>294.56954988571584</v>
      </c>
      <c r="C154" s="77">
        <f t="shared" si="81"/>
        <v>60.333522265749032</v>
      </c>
      <c r="D154" s="213">
        <f>1800</f>
        <v>1800</v>
      </c>
      <c r="E154" s="64">
        <f>900</f>
        <v>900</v>
      </c>
      <c r="F154" s="213">
        <v>3</v>
      </c>
      <c r="G154" s="64">
        <v>3</v>
      </c>
      <c r="H154" s="220">
        <f t="shared" si="82"/>
        <v>0.22187499999999999</v>
      </c>
      <c r="I154" s="79">
        <f t="shared" si="83"/>
        <v>0.22187499999999999</v>
      </c>
      <c r="J154" s="213">
        <f t="shared" si="84"/>
        <v>65.357618880893199</v>
      </c>
      <c r="K154" s="64">
        <f t="shared" si="76"/>
        <v>13.386500252713066</v>
      </c>
      <c r="L154" s="220">
        <f t="shared" si="85"/>
        <v>4.3414572141762905E-2</v>
      </c>
      <c r="M154" s="79">
        <f t="shared" si="77"/>
        <v>1.5942639854856524E-2</v>
      </c>
      <c r="N154" s="213">
        <f t="shared" si="86"/>
        <v>8.6693473745582814</v>
      </c>
      <c r="O154" s="64">
        <f t="shared" si="78"/>
        <v>1.5917729480083309</v>
      </c>
      <c r="P154" s="213">
        <f t="shared" si="87"/>
        <v>3164.3117917137729</v>
      </c>
      <c r="Q154" s="64">
        <f t="shared" si="87"/>
        <v>580.99712602304078</v>
      </c>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row>
    <row r="155" spans="1:78" x14ac:dyDescent="0.2">
      <c r="A155" s="65">
        <f t="shared" si="79"/>
        <v>2039</v>
      </c>
      <c r="B155" s="221">
        <f t="shared" si="80"/>
        <v>299.28266268388728</v>
      </c>
      <c r="C155" s="77">
        <f t="shared" si="81"/>
        <v>61.298858622001021</v>
      </c>
      <c r="D155" s="213">
        <f>1800</f>
        <v>1800</v>
      </c>
      <c r="E155" s="64">
        <f>900</f>
        <v>900</v>
      </c>
      <c r="F155" s="213">
        <v>3</v>
      </c>
      <c r="G155" s="64">
        <v>3</v>
      </c>
      <c r="H155" s="220">
        <f t="shared" si="82"/>
        <v>0.22187499999999999</v>
      </c>
      <c r="I155" s="79">
        <f t="shared" si="83"/>
        <v>0.22187499999999999</v>
      </c>
      <c r="J155" s="213">
        <f t="shared" si="84"/>
        <v>66.403340782987485</v>
      </c>
      <c r="K155" s="64">
        <f t="shared" si="76"/>
        <v>13.600684256756475</v>
      </c>
      <c r="L155" s="220">
        <f t="shared" si="85"/>
        <v>4.42477334884019E-2</v>
      </c>
      <c r="M155" s="79">
        <f t="shared" si="77"/>
        <v>1.6216365503462102E-2</v>
      </c>
      <c r="N155" s="213">
        <f t="shared" si="86"/>
        <v>8.8357192809652521</v>
      </c>
      <c r="O155" s="64">
        <f t="shared" si="78"/>
        <v>1.6191027432362943</v>
      </c>
      <c r="P155" s="213">
        <f t="shared" si="87"/>
        <v>3225.0375375523172</v>
      </c>
      <c r="Q155" s="64">
        <f t="shared" si="87"/>
        <v>590.97250128124745</v>
      </c>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row>
    <row r="156" spans="1:78" x14ac:dyDescent="0.2">
      <c r="A156" s="65">
        <f t="shared" si="79"/>
        <v>2040</v>
      </c>
      <c r="B156" s="221">
        <f t="shared" si="80"/>
        <v>304.07118528682946</v>
      </c>
      <c r="C156" s="77">
        <f t="shared" si="81"/>
        <v>62.279640359953035</v>
      </c>
      <c r="D156" s="213">
        <f>1800</f>
        <v>1800</v>
      </c>
      <c r="E156" s="64">
        <f>900</f>
        <v>900</v>
      </c>
      <c r="F156" s="213">
        <v>4</v>
      </c>
      <c r="G156" s="64">
        <v>4</v>
      </c>
      <c r="H156" s="220">
        <f t="shared" si="82"/>
        <v>0.29583333333333328</v>
      </c>
      <c r="I156" s="79">
        <f t="shared" si="83"/>
        <v>0.29583333333333328</v>
      </c>
      <c r="J156" s="213">
        <f t="shared" si="84"/>
        <v>89.954392314020367</v>
      </c>
      <c r="K156" s="64">
        <f t="shared" si="76"/>
        <v>18.424393606486102</v>
      </c>
      <c r="L156" s="220">
        <f t="shared" si="85"/>
        <v>6.0132802730501735E-2</v>
      </c>
      <c r="M156" s="79">
        <f t="shared" si="77"/>
        <v>2.1993489109423968E-2</v>
      </c>
      <c r="N156" s="213">
        <f t="shared" si="86"/>
        <v>16.010358726996085</v>
      </c>
      <c r="O156" s="64">
        <f t="shared" si="78"/>
        <v>2.9278832376920652</v>
      </c>
      <c r="P156" s="213">
        <f t="shared" si="87"/>
        <v>5843.7809353535713</v>
      </c>
      <c r="Q156" s="64">
        <f t="shared" si="87"/>
        <v>1068.6773817576038</v>
      </c>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row>
    <row r="157" spans="1:78" x14ac:dyDescent="0.2">
      <c r="A157" s="65">
        <f t="shared" si="79"/>
        <v>2041</v>
      </c>
      <c r="B157" s="221">
        <f t="shared" ref="B157:B172" si="88">($B156*(1+$B$248))</f>
        <v>306.80782595441087</v>
      </c>
      <c r="C157" s="77">
        <f t="shared" ref="C157:C172" si="89">($C156*(1+$B$248))</f>
        <v>62.840157123192604</v>
      </c>
      <c r="D157" s="213">
        <f>1800</f>
        <v>1800</v>
      </c>
      <c r="E157" s="64">
        <f>900</f>
        <v>900</v>
      </c>
      <c r="F157" s="213">
        <v>4</v>
      </c>
      <c r="G157" s="64">
        <v>4</v>
      </c>
      <c r="H157" s="220">
        <f t="shared" si="82"/>
        <v>0.29583333333333328</v>
      </c>
      <c r="I157" s="79">
        <f t="shared" si="83"/>
        <v>0.29583333333333328</v>
      </c>
      <c r="J157" s="213">
        <f t="shared" si="84"/>
        <v>90.763981844846541</v>
      </c>
      <c r="K157" s="64">
        <f t="shared" si="76"/>
        <v>18.590213148944475</v>
      </c>
      <c r="L157" s="220">
        <f t="shared" si="85"/>
        <v>6.0785197928632725E-2</v>
      </c>
      <c r="M157" s="79">
        <f t="shared" si="77"/>
        <v>2.2206288688025527E-2</v>
      </c>
      <c r="N157" s="213">
        <f t="shared" si="86"/>
        <v>16.18405894849846</v>
      </c>
      <c r="O157" s="64">
        <f t="shared" si="78"/>
        <v>2.9562121815933979</v>
      </c>
      <c r="P157" s="213">
        <f t="shared" si="87"/>
        <v>5907.1815162019384</v>
      </c>
      <c r="Q157" s="64">
        <f t="shared" si="87"/>
        <v>1079.0174462815903</v>
      </c>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row>
    <row r="158" spans="1:78" x14ac:dyDescent="0.2">
      <c r="A158" s="65">
        <f t="shared" si="79"/>
        <v>2042</v>
      </c>
      <c r="B158" s="221">
        <f t="shared" si="88"/>
        <v>309.56909638800056</v>
      </c>
      <c r="C158" s="77">
        <f t="shared" si="89"/>
        <v>63.405718537301333</v>
      </c>
      <c r="D158" s="213">
        <f>1800</f>
        <v>1800</v>
      </c>
      <c r="E158" s="64">
        <f>900</f>
        <v>900</v>
      </c>
      <c r="F158" s="213">
        <v>4</v>
      </c>
      <c r="G158" s="64">
        <v>4</v>
      </c>
      <c r="H158" s="220">
        <f t="shared" si="82"/>
        <v>0.29583333333333328</v>
      </c>
      <c r="I158" s="79">
        <f t="shared" si="83"/>
        <v>0.29583333333333328</v>
      </c>
      <c r="J158" s="213">
        <f t="shared" si="84"/>
        <v>91.580857681450155</v>
      </c>
      <c r="K158" s="64">
        <f t="shared" si="76"/>
        <v>18.757525067284973</v>
      </c>
      <c r="L158" s="220">
        <f t="shared" si="85"/>
        <v>6.1445892902185287E-2</v>
      </c>
      <c r="M158" s="79">
        <f t="shared" si="77"/>
        <v>2.242129247463822E-2</v>
      </c>
      <c r="N158" s="213">
        <f t="shared" si="86"/>
        <v>16.35996898520683</v>
      </c>
      <c r="O158" s="64">
        <f t="shared" si="78"/>
        <v>2.9848345606862123</v>
      </c>
      <c r="P158" s="213">
        <f t="shared" si="87"/>
        <v>5971.3886796004927</v>
      </c>
      <c r="Q158" s="64">
        <f t="shared" si="87"/>
        <v>1089.4646146504674</v>
      </c>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row>
    <row r="159" spans="1:78" x14ac:dyDescent="0.2">
      <c r="A159" s="65">
        <f t="shared" si="79"/>
        <v>2043</v>
      </c>
      <c r="B159" s="221">
        <f t="shared" si="88"/>
        <v>312.35521825549256</v>
      </c>
      <c r="C159" s="77">
        <f t="shared" si="89"/>
        <v>63.976370004137038</v>
      </c>
      <c r="D159" s="213">
        <f>1800</f>
        <v>1800</v>
      </c>
      <c r="E159" s="64">
        <f>900</f>
        <v>900</v>
      </c>
      <c r="F159" s="213">
        <v>4</v>
      </c>
      <c r="G159" s="64">
        <v>4</v>
      </c>
      <c r="H159" s="220">
        <f t="shared" si="82"/>
        <v>0.29583333333333328</v>
      </c>
      <c r="I159" s="79">
        <f t="shared" si="83"/>
        <v>0.29583333333333328</v>
      </c>
      <c r="J159" s="213">
        <f t="shared" si="84"/>
        <v>92.405085400583204</v>
      </c>
      <c r="K159" s="64">
        <f t="shared" si="76"/>
        <v>18.926342792890537</v>
      </c>
      <c r="L159" s="220">
        <f t="shared" si="85"/>
        <v>6.2115020019915708E-2</v>
      </c>
      <c r="M159" s="79">
        <f t="shared" si="77"/>
        <v>2.2638526129918353E-2</v>
      </c>
      <c r="N159" s="213">
        <f t="shared" si="86"/>
        <v>16.538124080302552</v>
      </c>
      <c r="O159" s="64">
        <f t="shared" si="78"/>
        <v>3.0137537910453802</v>
      </c>
      <c r="P159" s="213">
        <f t="shared" si="87"/>
        <v>6036.415289310431</v>
      </c>
      <c r="Q159" s="64">
        <f t="shared" si="87"/>
        <v>1100.0201337315639</v>
      </c>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row>
    <row r="160" spans="1:78" x14ac:dyDescent="0.2">
      <c r="A160" s="65">
        <f t="shared" si="79"/>
        <v>2044</v>
      </c>
      <c r="B160" s="221">
        <f t="shared" si="88"/>
        <v>315.16641521979199</v>
      </c>
      <c r="C160" s="77">
        <f t="shared" si="89"/>
        <v>64.552157334174268</v>
      </c>
      <c r="D160" s="213">
        <f>1800</f>
        <v>1800</v>
      </c>
      <c r="E160" s="64">
        <f>900</f>
        <v>900</v>
      </c>
      <c r="F160" s="213">
        <v>4</v>
      </c>
      <c r="G160" s="64">
        <v>4</v>
      </c>
      <c r="H160" s="220">
        <f t="shared" si="82"/>
        <v>0.29583333333333328</v>
      </c>
      <c r="I160" s="79">
        <f t="shared" si="83"/>
        <v>0.29583333333333328</v>
      </c>
      <c r="J160" s="213">
        <f t="shared" si="84"/>
        <v>93.236731169188445</v>
      </c>
      <c r="K160" s="64">
        <f t="shared" si="76"/>
        <v>19.096679878026549</v>
      </c>
      <c r="L160" s="220">
        <f t="shared" si="85"/>
        <v>6.2792714365354135E-2</v>
      </c>
      <c r="M160" s="79">
        <f t="shared" si="77"/>
        <v>2.285801566868742E-2</v>
      </c>
      <c r="N160" s="213">
        <f t="shared" si="86"/>
        <v>16.718560199775538</v>
      </c>
      <c r="O160" s="64">
        <f t="shared" si="78"/>
        <v>3.0429733358940121</v>
      </c>
      <c r="P160" s="213">
        <f t="shared" si="87"/>
        <v>6102.2744729180713</v>
      </c>
      <c r="Q160" s="64">
        <f t="shared" si="87"/>
        <v>1110.6852676013143</v>
      </c>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row>
    <row r="161" spans="1:78" x14ac:dyDescent="0.2">
      <c r="A161" s="65">
        <f t="shared" si="79"/>
        <v>2045</v>
      </c>
      <c r="B161" s="221">
        <f t="shared" si="88"/>
        <v>318.0029129567701</v>
      </c>
      <c r="C161" s="77">
        <f t="shared" si="89"/>
        <v>65.13312675018183</v>
      </c>
      <c r="D161" s="213">
        <f>1800</f>
        <v>1800</v>
      </c>
      <c r="E161" s="64">
        <f>900</f>
        <v>900</v>
      </c>
      <c r="F161" s="213">
        <v>4</v>
      </c>
      <c r="G161" s="64">
        <v>4</v>
      </c>
      <c r="H161" s="220">
        <f t="shared" si="82"/>
        <v>0.29583333333333328</v>
      </c>
      <c r="I161" s="79">
        <f t="shared" si="83"/>
        <v>0.29583333333333328</v>
      </c>
      <c r="J161" s="213">
        <f t="shared" si="84"/>
        <v>94.075861749711137</v>
      </c>
      <c r="K161" s="64">
        <f t="shared" si="76"/>
        <v>19.268549996928787</v>
      </c>
      <c r="L161" s="220">
        <f t="shared" si="85"/>
        <v>6.3479113806764825E-2</v>
      </c>
      <c r="M161" s="79">
        <f t="shared" si="77"/>
        <v>2.3079787465903008E-2</v>
      </c>
      <c r="N161" s="213">
        <f t="shared" si="86"/>
        <v>16.901314051051131</v>
      </c>
      <c r="O161" s="64">
        <f t="shared" si="78"/>
        <v>3.0724967063983368</v>
      </c>
      <c r="P161" s="213">
        <f t="shared" si="87"/>
        <v>6168.9796286336623</v>
      </c>
      <c r="Q161" s="64">
        <f t="shared" si="87"/>
        <v>1121.461297835393</v>
      </c>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row>
    <row r="162" spans="1:78" x14ac:dyDescent="0.2">
      <c r="A162" s="65">
        <f t="shared" si="79"/>
        <v>2046</v>
      </c>
      <c r="B162" s="221">
        <f t="shared" si="88"/>
        <v>320.864939173381</v>
      </c>
      <c r="C162" s="77">
        <f t="shared" si="89"/>
        <v>65.719324890933464</v>
      </c>
      <c r="D162" s="213">
        <f>1800</f>
        <v>1800</v>
      </c>
      <c r="E162" s="64">
        <f>900</f>
        <v>900</v>
      </c>
      <c r="F162" s="213">
        <v>4</v>
      </c>
      <c r="G162" s="64">
        <v>4</v>
      </c>
      <c r="H162" s="220">
        <f t="shared" si="82"/>
        <v>0.29583333333333328</v>
      </c>
      <c r="I162" s="79">
        <f t="shared" si="83"/>
        <v>0.29583333333333328</v>
      </c>
      <c r="J162" s="213">
        <f t="shared" si="84"/>
        <v>94.922544505458532</v>
      </c>
      <c r="K162" s="64">
        <f t="shared" si="76"/>
        <v>19.441966946901147</v>
      </c>
      <c r="L162" s="220">
        <f t="shared" si="85"/>
        <v>6.4174359069286604E-2</v>
      </c>
      <c r="M162" s="79">
        <f t="shared" si="77"/>
        <v>2.330386826275159E-2</v>
      </c>
      <c r="N162" s="213">
        <f t="shared" si="86"/>
        <v>17.086423102197553</v>
      </c>
      <c r="O162" s="64">
        <f t="shared" si="78"/>
        <v>3.1023274624788053</v>
      </c>
      <c r="P162" s="213">
        <f t="shared" si="87"/>
        <v>6236.5444323021075</v>
      </c>
      <c r="Q162" s="64">
        <f t="shared" si="87"/>
        <v>1132.349523804764</v>
      </c>
      <c r="R162" s="142"/>
      <c r="S162" s="142"/>
      <c r="T162" s="142"/>
      <c r="U162" s="142"/>
      <c r="V162" s="142"/>
      <c r="W162" s="142"/>
      <c r="X162" s="142"/>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row>
    <row r="163" spans="1:78" x14ac:dyDescent="0.2">
      <c r="A163" s="65">
        <f t="shared" si="79"/>
        <v>2047</v>
      </c>
      <c r="B163" s="221">
        <f t="shared" si="88"/>
        <v>323.75272362594137</v>
      </c>
      <c r="C163" s="77">
        <f t="shared" si="89"/>
        <v>66.310798814951852</v>
      </c>
      <c r="D163" s="213">
        <f>1800</f>
        <v>1800</v>
      </c>
      <c r="E163" s="64">
        <f>900</f>
        <v>900</v>
      </c>
      <c r="F163" s="213">
        <v>4</v>
      </c>
      <c r="G163" s="64">
        <v>4</v>
      </c>
      <c r="H163" s="220">
        <f t="shared" si="82"/>
        <v>0.29583333333333328</v>
      </c>
      <c r="I163" s="79">
        <f t="shared" si="83"/>
        <v>0.29583333333333328</v>
      </c>
      <c r="J163" s="213">
        <f t="shared" si="84"/>
        <v>95.776847406007633</v>
      </c>
      <c r="K163" s="64">
        <f t="shared" si="76"/>
        <v>19.616944649423253</v>
      </c>
      <c r="L163" s="220">
        <f t="shared" si="85"/>
        <v>6.4878593809333626E-2</v>
      </c>
      <c r="M163" s="79">
        <f t="shared" si="77"/>
        <v>2.3530285172866258E-2</v>
      </c>
      <c r="N163" s="213">
        <f t="shared" si="86"/>
        <v>17.273925601735076</v>
      </c>
      <c r="O163" s="64">
        <f t="shared" si="78"/>
        <v>3.1324692136378203</v>
      </c>
      <c r="P163" s="213">
        <f t="shared" si="87"/>
        <v>6304.9828446333031</v>
      </c>
      <c r="Q163" s="64">
        <f t="shared" si="87"/>
        <v>1143.3512629778045</v>
      </c>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row>
    <row r="164" spans="1:78" x14ac:dyDescent="0.2">
      <c r="A164" s="65">
        <f t="shared" si="79"/>
        <v>2048</v>
      </c>
      <c r="B164" s="221">
        <f t="shared" si="88"/>
        <v>326.66649813857481</v>
      </c>
      <c r="C164" s="77">
        <f t="shared" si="89"/>
        <v>66.907596004286418</v>
      </c>
      <c r="D164" s="213">
        <f>1800</f>
        <v>1800</v>
      </c>
      <c r="E164" s="64">
        <f>900</f>
        <v>900</v>
      </c>
      <c r="F164" s="213">
        <v>4</v>
      </c>
      <c r="G164" s="64">
        <v>4</v>
      </c>
      <c r="H164" s="220">
        <f t="shared" si="82"/>
        <v>0.29583333333333328</v>
      </c>
      <c r="I164" s="79">
        <f t="shared" si="83"/>
        <v>0.29583333333333328</v>
      </c>
      <c r="J164" s="213">
        <f t="shared" si="84"/>
        <v>96.638839032661693</v>
      </c>
      <c r="K164" s="64">
        <f t="shared" si="76"/>
        <v>19.793497151268063</v>
      </c>
      <c r="L164" s="220">
        <f t="shared" si="85"/>
        <v>6.5591964691339169E-2</v>
      </c>
      <c r="M164" s="79">
        <f t="shared" si="77"/>
        <v>2.3759065688672282E-2</v>
      </c>
      <c r="N164" s="213">
        <f t="shared" si="86"/>
        <v>17.463860599069051</v>
      </c>
      <c r="O164" s="64">
        <f t="shared" si="78"/>
        <v>3.1629256198044962</v>
      </c>
      <c r="P164" s="213">
        <f t="shared" ref="P164:Q167" si="90">N164*365</f>
        <v>6374.3091186602032</v>
      </c>
      <c r="Q164" s="64">
        <f t="shared" si="90"/>
        <v>1154.4678512286412</v>
      </c>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row>
    <row r="165" spans="1:78" x14ac:dyDescent="0.2">
      <c r="A165" s="65">
        <f t="shared" si="79"/>
        <v>2049</v>
      </c>
      <c r="B165" s="221">
        <f t="shared" si="88"/>
        <v>329.60649662182198</v>
      </c>
      <c r="C165" s="77">
        <f t="shared" si="89"/>
        <v>67.509764368324994</v>
      </c>
      <c r="D165" s="213">
        <f>1800</f>
        <v>1800</v>
      </c>
      <c r="E165" s="64">
        <f>900</f>
        <v>900</v>
      </c>
      <c r="F165" s="213">
        <v>4</v>
      </c>
      <c r="G165" s="64">
        <v>4</v>
      </c>
      <c r="H165" s="220">
        <f t="shared" si="82"/>
        <v>0.29583333333333328</v>
      </c>
      <c r="I165" s="79">
        <f t="shared" si="83"/>
        <v>0.29583333333333328</v>
      </c>
      <c r="J165" s="213">
        <f t="shared" si="84"/>
        <v>97.508588583955657</v>
      </c>
      <c r="K165" s="64">
        <f t="shared" si="76"/>
        <v>19.971638625629474</v>
      </c>
      <c r="L165" s="220">
        <f t="shared" si="85"/>
        <v>6.6314621466929125E-2</v>
      </c>
      <c r="M165" s="79">
        <f t="shared" si="77"/>
        <v>2.3990237687863618E-2</v>
      </c>
      <c r="N165" s="213">
        <f t="shared" si="86"/>
        <v>17.656267965569878</v>
      </c>
      <c r="O165" s="64">
        <f t="shared" si="78"/>
        <v>3.1937003921968437</v>
      </c>
      <c r="P165" s="213">
        <f t="shared" si="90"/>
        <v>6444.5378074330056</v>
      </c>
      <c r="Q165" s="64">
        <f t="shared" si="90"/>
        <v>1165.700643151848</v>
      </c>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row>
    <row r="166" spans="1:78" x14ac:dyDescent="0.2">
      <c r="A166" s="65">
        <f t="shared" si="79"/>
        <v>2050</v>
      </c>
      <c r="B166" s="221">
        <f t="shared" si="88"/>
        <v>332.57295509141835</v>
      </c>
      <c r="C166" s="77">
        <f t="shared" si="89"/>
        <v>68.117352247639914</v>
      </c>
      <c r="D166" s="213">
        <f>1800</f>
        <v>1800</v>
      </c>
      <c r="E166" s="64">
        <f>900</f>
        <v>900</v>
      </c>
      <c r="F166" s="213">
        <v>5</v>
      </c>
      <c r="G166" s="64">
        <v>5</v>
      </c>
      <c r="H166" s="220">
        <f t="shared" si="82"/>
        <v>0.36979166666666663</v>
      </c>
      <c r="I166" s="79">
        <f t="shared" si="83"/>
        <v>0.36979166666666663</v>
      </c>
      <c r="J166" s="213">
        <f t="shared" si="84"/>
        <v>122.98270735151407</v>
      </c>
      <c r="K166" s="64">
        <f t="shared" si="76"/>
        <v>25.189229216575175</v>
      </c>
      <c r="L166" s="220">
        <f t="shared" si="85"/>
        <v>8.3808396320769529E-2</v>
      </c>
      <c r="M166" s="79">
        <f t="shared" si="77"/>
        <v>3.0279786800017083E-2</v>
      </c>
      <c r="N166" s="213">
        <f t="shared" si="86"/>
        <v>27.892481900506105</v>
      </c>
      <c r="O166" s="64">
        <f t="shared" si="78"/>
        <v>5.0387457721903424</v>
      </c>
      <c r="P166" s="213">
        <f t="shared" si="90"/>
        <v>10180.755893684729</v>
      </c>
      <c r="Q166" s="64">
        <f t="shared" si="90"/>
        <v>1839.1422068494749</v>
      </c>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row>
    <row r="167" spans="1:78" x14ac:dyDescent="0.2">
      <c r="A167" s="65">
        <f t="shared" si="79"/>
        <v>2051</v>
      </c>
      <c r="B167" s="221">
        <f t="shared" si="88"/>
        <v>335.56611168724106</v>
      </c>
      <c r="C167" s="77">
        <f t="shared" si="89"/>
        <v>68.730408417868659</v>
      </c>
      <c r="D167" s="213">
        <f>1800</f>
        <v>1800</v>
      </c>
      <c r="E167" s="64">
        <f>900</f>
        <v>900</v>
      </c>
      <c r="F167" s="213">
        <v>5</v>
      </c>
      <c r="G167" s="64">
        <v>5</v>
      </c>
      <c r="H167" s="220">
        <f t="shared" si="82"/>
        <v>0.36979166666666663</v>
      </c>
      <c r="I167" s="79">
        <f t="shared" si="83"/>
        <v>0.36979166666666663</v>
      </c>
      <c r="J167" s="213">
        <f t="shared" si="84"/>
        <v>124.08955171767767</v>
      </c>
      <c r="K167" s="64">
        <f t="shared" si="76"/>
        <v>25.415932279524345</v>
      </c>
      <c r="L167" s="220">
        <f t="shared" si="85"/>
        <v>8.4735509542630774E-2</v>
      </c>
      <c r="M167" s="79">
        <f t="shared" si="77"/>
        <v>3.0574837016654172E-2</v>
      </c>
      <c r="N167" s="213">
        <f t="shared" si="86"/>
        <v>28.201036769656799</v>
      </c>
      <c r="O167" s="64">
        <f t="shared" si="78"/>
        <v>5.0878439723026085</v>
      </c>
      <c r="P167" s="213">
        <f t="shared" si="90"/>
        <v>10293.378420924731</v>
      </c>
      <c r="Q167" s="64">
        <f t="shared" si="90"/>
        <v>1857.063049890452</v>
      </c>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row>
    <row r="168" spans="1:78" x14ac:dyDescent="0.2">
      <c r="A168" s="65">
        <f t="shared" si="79"/>
        <v>2052</v>
      </c>
      <c r="B168" s="221">
        <f t="shared" si="88"/>
        <v>338.58620669242617</v>
      </c>
      <c r="C168" s="77">
        <f t="shared" si="89"/>
        <v>69.348982093629473</v>
      </c>
      <c r="D168" s="221">
        <f>1800</f>
        <v>1800</v>
      </c>
      <c r="E168" s="77">
        <f>900</f>
        <v>900</v>
      </c>
      <c r="F168" s="221">
        <v>5</v>
      </c>
      <c r="G168" s="77">
        <v>5</v>
      </c>
      <c r="H168" s="299">
        <f t="shared" si="82"/>
        <v>0.36979166666666663</v>
      </c>
      <c r="I168" s="300">
        <f t="shared" si="83"/>
        <v>0.36979166666666663</v>
      </c>
      <c r="J168" s="221">
        <f t="shared" si="84"/>
        <v>125.20635768313674</v>
      </c>
      <c r="K168" s="77">
        <f t="shared" si="76"/>
        <v>25.644675670040062</v>
      </c>
      <c r="L168" s="299">
        <f t="shared" si="85"/>
        <v>8.5674815891644884E-2</v>
      </c>
      <c r="M168" s="300">
        <f t="shared" si="77"/>
        <v>3.0872984101887518E-2</v>
      </c>
      <c r="N168" s="221">
        <f t="shared" si="86"/>
        <v>28.513649663938057</v>
      </c>
      <c r="O168" s="77">
        <f t="shared" si="78"/>
        <v>5.1374575107047198</v>
      </c>
      <c r="P168" s="221">
        <f t="shared" si="87"/>
        <v>10407.482127337391</v>
      </c>
      <c r="Q168" s="77">
        <f t="shared" si="87"/>
        <v>1875.1719914072228</v>
      </c>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row>
    <row r="169" spans="1:78" x14ac:dyDescent="0.2">
      <c r="A169" s="65">
        <f t="shared" si="79"/>
        <v>2053</v>
      </c>
      <c r="B169" s="221">
        <f t="shared" si="88"/>
        <v>341.63348255265799</v>
      </c>
      <c r="C169" s="77">
        <f t="shared" si="89"/>
        <v>69.973122932472137</v>
      </c>
      <c r="D169" s="213">
        <f>1800</f>
        <v>1800</v>
      </c>
      <c r="E169" s="64">
        <f>900</f>
        <v>900</v>
      </c>
      <c r="F169" s="213">
        <v>5</v>
      </c>
      <c r="G169" s="64">
        <v>5</v>
      </c>
      <c r="H169" s="220">
        <f t="shared" si="82"/>
        <v>0.36979166666666663</v>
      </c>
      <c r="I169" s="79">
        <f t="shared" si="83"/>
        <v>0.36979166666666663</v>
      </c>
      <c r="J169" s="213">
        <f t="shared" si="84"/>
        <v>126.33321490228498</v>
      </c>
      <c r="K169" s="64">
        <f t="shared" si="76"/>
        <v>25.875477751070424</v>
      </c>
      <c r="L169" s="220">
        <f t="shared" si="85"/>
        <v>8.6626519047771924E-2</v>
      </c>
      <c r="M169" s="79">
        <f t="shared" si="77"/>
        <v>3.1174264913550857E-2</v>
      </c>
      <c r="N169" s="213">
        <f t="shared" si="86"/>
        <v>28.83038837058659</v>
      </c>
      <c r="O169" s="64">
        <f t="shared" si="78"/>
        <v>5.187592520770572</v>
      </c>
      <c r="P169" s="213">
        <f t="shared" ref="P169:P172" si="91">N169*365</f>
        <v>10523.091755264106</v>
      </c>
      <c r="Q169" s="64">
        <f t="shared" ref="Q169:Q172" si="92">O169*365</f>
        <v>1893.4712700812588</v>
      </c>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row>
    <row r="170" spans="1:78" x14ac:dyDescent="0.2">
      <c r="A170" s="65">
        <f t="shared" si="79"/>
        <v>2054</v>
      </c>
      <c r="B170" s="221">
        <f t="shared" si="88"/>
        <v>344.70818389563186</v>
      </c>
      <c r="C170" s="77">
        <f t="shared" si="89"/>
        <v>70.602881038864382</v>
      </c>
      <c r="D170" s="213">
        <f>1800</f>
        <v>1800</v>
      </c>
      <c r="E170" s="64">
        <f>900</f>
        <v>900</v>
      </c>
      <c r="F170" s="213">
        <v>5</v>
      </c>
      <c r="G170" s="64">
        <v>5</v>
      </c>
      <c r="H170" s="220">
        <f t="shared" si="82"/>
        <v>0.36979166666666663</v>
      </c>
      <c r="I170" s="79">
        <f t="shared" si="83"/>
        <v>0.36979166666666663</v>
      </c>
      <c r="J170" s="213">
        <f t="shared" si="84"/>
        <v>127.47021383640552</v>
      </c>
      <c r="K170" s="64">
        <f t="shared" si="76"/>
        <v>26.108357050830055</v>
      </c>
      <c r="L170" s="220">
        <f t="shared" si="85"/>
        <v>8.7590827094477269E-2</v>
      </c>
      <c r="M170" s="79">
        <f t="shared" si="77"/>
        <v>3.1478716834141128E-2</v>
      </c>
      <c r="N170" s="213">
        <f t="shared" si="86"/>
        <v>29.151322142380714</v>
      </c>
      <c r="O170" s="64">
        <f t="shared" si="78"/>
        <v>5.2382552231812971</v>
      </c>
      <c r="P170" s="213">
        <f t="shared" si="91"/>
        <v>10640.232581968961</v>
      </c>
      <c r="Q170" s="64">
        <f t="shared" si="92"/>
        <v>1911.9631564611734</v>
      </c>
      <c r="R170" s="142"/>
      <c r="S170" s="142"/>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row>
    <row r="171" spans="1:78" x14ac:dyDescent="0.2">
      <c r="A171" s="65">
        <f t="shared" si="79"/>
        <v>2055</v>
      </c>
      <c r="B171" s="221">
        <f t="shared" si="88"/>
        <v>347.81055755069252</v>
      </c>
      <c r="C171" s="77">
        <f t="shared" si="89"/>
        <v>71.238306968214161</v>
      </c>
      <c r="D171" s="213">
        <f>1800</f>
        <v>1800</v>
      </c>
      <c r="E171" s="64">
        <f>900</f>
        <v>900</v>
      </c>
      <c r="F171" s="213">
        <v>5</v>
      </c>
      <c r="G171" s="64">
        <v>5</v>
      </c>
      <c r="H171" s="220">
        <f t="shared" si="82"/>
        <v>0.36979166666666663</v>
      </c>
      <c r="I171" s="79">
        <f t="shared" si="83"/>
        <v>0.36979166666666663</v>
      </c>
      <c r="J171" s="213">
        <f t="shared" si="84"/>
        <v>128.61744576093315</v>
      </c>
      <c r="K171" s="64">
        <f t="shared" si="76"/>
        <v>26.343332264287525</v>
      </c>
      <c r="L171" s="220">
        <f t="shared" si="85"/>
        <v>8.8567952638467742E-2</v>
      </c>
      <c r="M171" s="79">
        <f t="shared" si="77"/>
        <v>3.1786377779984054E-2</v>
      </c>
      <c r="N171" s="213">
        <f t="shared" si="86"/>
        <v>29.476521737490042</v>
      </c>
      <c r="O171" s="64">
        <f t="shared" si="78"/>
        <v>5.2894519274504717</v>
      </c>
      <c r="P171" s="213">
        <f t="shared" si="91"/>
        <v>10758.930434183865</v>
      </c>
      <c r="Q171" s="64">
        <f t="shared" si="92"/>
        <v>1930.6499535194221</v>
      </c>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row>
    <row r="172" spans="1:78" x14ac:dyDescent="0.2">
      <c r="A172" s="75">
        <f t="shared" si="79"/>
        <v>2056</v>
      </c>
      <c r="B172" s="223">
        <f t="shared" si="88"/>
        <v>350.94085256864872</v>
      </c>
      <c r="C172" s="78">
        <f t="shared" si="89"/>
        <v>71.879451730928082</v>
      </c>
      <c r="D172" s="301">
        <f>1800</f>
        <v>1800</v>
      </c>
      <c r="E172" s="302">
        <f>900</f>
        <v>900</v>
      </c>
      <c r="F172" s="301">
        <v>5</v>
      </c>
      <c r="G172" s="302">
        <v>5</v>
      </c>
      <c r="H172" s="303">
        <f t="shared" si="82"/>
        <v>0.36979166666666663</v>
      </c>
      <c r="I172" s="304">
        <f t="shared" si="83"/>
        <v>0.36979166666666663</v>
      </c>
      <c r="J172" s="301">
        <f t="shared" si="84"/>
        <v>129.77500277278153</v>
      </c>
      <c r="K172" s="302">
        <f t="shared" si="76"/>
        <v>26.580422254666111</v>
      </c>
      <c r="L172" s="303">
        <f t="shared" si="85"/>
        <v>8.9558112933364298E-2</v>
      </c>
      <c r="M172" s="304">
        <f t="shared" si="77"/>
        <v>3.2097286210593622E-2</v>
      </c>
      <c r="N172" s="301">
        <f t="shared" si="86"/>
        <v>29.8060594606353</v>
      </c>
      <c r="O172" s="302">
        <f t="shared" si="78"/>
        <v>5.3411890334815935</v>
      </c>
      <c r="P172" s="301">
        <f t="shared" si="91"/>
        <v>10879.211703131885</v>
      </c>
      <c r="Q172" s="302">
        <f t="shared" si="92"/>
        <v>1949.5339972207817</v>
      </c>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row>
    <row r="173" spans="1:78" x14ac:dyDescent="0.2">
      <c r="A173" s="222"/>
      <c r="B173" s="142"/>
      <c r="C173" s="142"/>
      <c r="D173" s="142"/>
      <c r="E173" s="142"/>
      <c r="F173" s="142"/>
      <c r="G173" s="142"/>
      <c r="H173" s="142"/>
      <c r="I173" s="218"/>
      <c r="J173" s="219"/>
      <c r="K173" s="219"/>
      <c r="L173" s="216"/>
      <c r="M173" s="142"/>
      <c r="N173" s="142"/>
      <c r="O173" s="142"/>
      <c r="P173" s="142"/>
      <c r="Q173" s="142"/>
      <c r="R173" s="142"/>
      <c r="S173" s="142"/>
      <c r="T173" s="142"/>
      <c r="U173" s="142"/>
      <c r="V173" s="142"/>
      <c r="W173" s="142"/>
      <c r="X173" s="142"/>
      <c r="Y173" s="142"/>
      <c r="Z173" s="14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row>
    <row r="174" spans="1:78" x14ac:dyDescent="0.2">
      <c r="A174" s="222"/>
      <c r="B174" s="142"/>
      <c r="C174" s="142"/>
      <c r="D174" s="142"/>
      <c r="E174" s="142"/>
      <c r="F174" s="142"/>
      <c r="G174" s="142"/>
      <c r="H174" s="142"/>
      <c r="I174" s="218"/>
      <c r="J174" s="219"/>
      <c r="K174" s="219"/>
      <c r="L174" s="216"/>
      <c r="M174" s="142"/>
      <c r="N174" s="142"/>
      <c r="O174" s="142"/>
      <c r="P174" s="142"/>
      <c r="Q174" s="142"/>
      <c r="R174" s="142"/>
      <c r="S174" s="142"/>
      <c r="T174" s="142"/>
      <c r="U174" s="142"/>
      <c r="V174" s="142"/>
      <c r="W174" s="142"/>
      <c r="X174" s="142"/>
      <c r="Y174" s="142"/>
      <c r="Z174" s="14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row>
    <row r="175" spans="1:78" x14ac:dyDescent="0.2">
      <c r="A175" s="222"/>
      <c r="B175" s="142"/>
      <c r="C175" s="142"/>
      <c r="D175" s="142"/>
      <c r="E175" s="142"/>
      <c r="F175" s="142"/>
      <c r="G175" s="142"/>
      <c r="H175" s="142"/>
      <c r="I175" s="218"/>
      <c r="J175" s="219"/>
      <c r="K175" s="219"/>
      <c r="L175" s="216"/>
      <c r="M175" s="142"/>
      <c r="N175" s="142"/>
      <c r="O175" s="142"/>
      <c r="P175" s="142"/>
      <c r="Q175" s="142"/>
      <c r="R175" s="142"/>
      <c r="S175" s="142"/>
      <c r="T175" s="142"/>
      <c r="U175" s="142"/>
      <c r="V175" s="142"/>
      <c r="W175" s="142"/>
      <c r="X175" s="142"/>
      <c r="Y175" s="142"/>
      <c r="Z175" s="14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row>
    <row r="176" spans="1:78" x14ac:dyDescent="0.2">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row>
    <row r="177" spans="1:78" x14ac:dyDescent="0.2">
      <c r="A177" s="455" t="s">
        <v>1</v>
      </c>
      <c r="B177" s="451" t="s">
        <v>246</v>
      </c>
      <c r="C177" s="452"/>
      <c r="D177" s="453"/>
      <c r="E177" s="451" t="s">
        <v>247</v>
      </c>
      <c r="F177" s="452"/>
      <c r="G177" s="452"/>
      <c r="H177" s="453"/>
      <c r="I177" s="425" t="s">
        <v>248</v>
      </c>
      <c r="J177" s="425"/>
      <c r="K177" s="425" t="s">
        <v>28</v>
      </c>
      <c r="L177" s="425"/>
      <c r="M177" s="425" t="s">
        <v>41</v>
      </c>
      <c r="N177" s="425"/>
      <c r="O177" s="451" t="s">
        <v>249</v>
      </c>
      <c r="P177" s="452"/>
      <c r="Q177" s="453"/>
      <c r="R177" s="425" t="s">
        <v>28</v>
      </c>
      <c r="S177" s="425"/>
      <c r="T177" s="425" t="s">
        <v>41</v>
      </c>
      <c r="U177" s="425"/>
      <c r="V177" s="224"/>
      <c r="W177" s="156"/>
      <c r="X177" s="156"/>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row>
    <row r="178" spans="1:78" ht="25.5" x14ac:dyDescent="0.2">
      <c r="A178" s="456"/>
      <c r="B178" s="210" t="s">
        <v>72</v>
      </c>
      <c r="C178" s="210" t="s">
        <v>78</v>
      </c>
      <c r="D178" s="206" t="s">
        <v>34</v>
      </c>
      <c r="E178" s="206" t="s">
        <v>250</v>
      </c>
      <c r="F178" s="206" t="s">
        <v>251</v>
      </c>
      <c r="G178" s="210" t="s">
        <v>78</v>
      </c>
      <c r="H178" s="206" t="s">
        <v>34</v>
      </c>
      <c r="I178" s="210" t="s">
        <v>28</v>
      </c>
      <c r="J178" s="210" t="s">
        <v>41</v>
      </c>
      <c r="K178" s="210" t="s">
        <v>252</v>
      </c>
      <c r="L178" s="285" t="s">
        <v>259</v>
      </c>
      <c r="M178" s="210" t="s">
        <v>252</v>
      </c>
      <c r="N178" s="206" t="s">
        <v>259</v>
      </c>
      <c r="O178" s="210" t="s">
        <v>28</v>
      </c>
      <c r="P178" s="206" t="s">
        <v>200</v>
      </c>
      <c r="Q178" s="206" t="s">
        <v>253</v>
      </c>
      <c r="R178" s="210" t="s">
        <v>254</v>
      </c>
      <c r="S178" s="264" t="s">
        <v>258</v>
      </c>
      <c r="T178" s="264" t="s">
        <v>254</v>
      </c>
      <c r="U178" s="264" t="s">
        <v>258</v>
      </c>
      <c r="V178" s="224"/>
      <c r="W178" s="156"/>
      <c r="X178" s="156"/>
      <c r="Y178" s="142"/>
      <c r="Z178" s="14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row>
    <row r="179" spans="1:78" x14ac:dyDescent="0.2">
      <c r="A179" s="63">
        <v>2019</v>
      </c>
      <c r="B179" s="213">
        <f>K222</f>
        <v>13031.030303030302</v>
      </c>
      <c r="C179" s="64">
        <f t="shared" ref="C179:C216" si="93">ROUND(B179*$B$249,0)</f>
        <v>2215</v>
      </c>
      <c r="D179" s="213">
        <f t="shared" ref="D179:D216" si="94">B179-C179</f>
        <v>10816.030303030302</v>
      </c>
      <c r="E179" s="64"/>
      <c r="F179" s="213"/>
      <c r="G179" s="64"/>
      <c r="H179" s="213"/>
      <c r="I179" s="64"/>
      <c r="J179" s="213"/>
      <c r="K179" s="64"/>
      <c r="L179" s="213"/>
      <c r="M179" s="64"/>
      <c r="N179" s="213"/>
      <c r="O179" s="64"/>
      <c r="P179" s="213"/>
      <c r="Q179" s="64"/>
      <c r="R179" s="213"/>
      <c r="S179" s="64"/>
      <c r="T179" s="213"/>
      <c r="U179" s="64"/>
      <c r="V179" s="225"/>
      <c r="W179" s="226"/>
      <c r="X179" s="226"/>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row>
    <row r="180" spans="1:78" x14ac:dyDescent="0.2">
      <c r="A180" s="65">
        <f>A179+1</f>
        <v>2020</v>
      </c>
      <c r="B180" s="221">
        <f t="shared" ref="B180:B200" si="95">ROUND($B$179*(1+$B$247)^(A180-$A$179),0)</f>
        <v>13240</v>
      </c>
      <c r="C180" s="77">
        <f t="shared" si="93"/>
        <v>2251</v>
      </c>
      <c r="D180" s="221">
        <f t="shared" si="94"/>
        <v>10989</v>
      </c>
      <c r="E180" s="77"/>
      <c r="F180" s="221"/>
      <c r="G180" s="77"/>
      <c r="H180" s="221"/>
      <c r="I180" s="77"/>
      <c r="J180" s="221"/>
      <c r="K180" s="77"/>
      <c r="L180" s="221"/>
      <c r="M180" s="77"/>
      <c r="N180" s="221"/>
      <c r="O180" s="77"/>
      <c r="P180" s="221"/>
      <c r="Q180" s="77"/>
      <c r="R180" s="221"/>
      <c r="S180" s="77"/>
      <c r="T180" s="221"/>
      <c r="U180" s="77"/>
      <c r="V180" s="227"/>
      <c r="W180" s="142"/>
      <c r="X180" s="142"/>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row>
    <row r="181" spans="1:78" x14ac:dyDescent="0.2">
      <c r="A181" s="65">
        <f t="shared" ref="A181:A216" si="96">A180+1</f>
        <v>2021</v>
      </c>
      <c r="B181" s="221">
        <f t="shared" si="95"/>
        <v>13451</v>
      </c>
      <c r="C181" s="77">
        <f t="shared" si="93"/>
        <v>2287</v>
      </c>
      <c r="D181" s="221">
        <f t="shared" si="94"/>
        <v>11164</v>
      </c>
      <c r="E181" s="77"/>
      <c r="F181" s="221"/>
      <c r="G181" s="77"/>
      <c r="H181" s="221"/>
      <c r="I181" s="77"/>
      <c r="J181" s="221"/>
      <c r="K181" s="77"/>
      <c r="L181" s="221"/>
      <c r="M181" s="77"/>
      <c r="N181" s="221"/>
      <c r="O181" s="77"/>
      <c r="P181" s="221"/>
      <c r="Q181" s="77"/>
      <c r="R181" s="221"/>
      <c r="S181" s="77"/>
      <c r="T181" s="221"/>
      <c r="U181" s="77"/>
      <c r="V181" s="228"/>
      <c r="W181" s="226"/>
      <c r="X181" s="226"/>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row>
    <row r="182" spans="1:78" x14ac:dyDescent="0.2">
      <c r="A182" s="65">
        <f t="shared" si="96"/>
        <v>2022</v>
      </c>
      <c r="B182" s="221">
        <f t="shared" si="95"/>
        <v>13667</v>
      </c>
      <c r="C182" s="77">
        <f t="shared" si="93"/>
        <v>2323</v>
      </c>
      <c r="D182" s="221">
        <f t="shared" si="94"/>
        <v>11344</v>
      </c>
      <c r="E182" s="77"/>
      <c r="F182" s="221"/>
      <c r="G182" s="77"/>
      <c r="H182" s="221"/>
      <c r="I182" s="77"/>
      <c r="J182" s="221"/>
      <c r="K182" s="77"/>
      <c r="L182" s="221"/>
      <c r="M182" s="77"/>
      <c r="N182" s="221"/>
      <c r="O182" s="77"/>
      <c r="P182" s="221"/>
      <c r="Q182" s="77"/>
      <c r="R182" s="221"/>
      <c r="S182" s="77"/>
      <c r="T182" s="221"/>
      <c r="U182" s="77"/>
      <c r="V182" s="215"/>
      <c r="W182" s="215"/>
      <c r="X182" s="215"/>
      <c r="Y182" s="215"/>
      <c r="Z182" s="215"/>
      <c r="AA182" s="215"/>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row>
    <row r="183" spans="1:78" x14ac:dyDescent="0.2">
      <c r="A183" s="65">
        <f t="shared" si="96"/>
        <v>2023</v>
      </c>
      <c r="B183" s="221">
        <f t="shared" si="95"/>
        <v>13885</v>
      </c>
      <c r="C183" s="77">
        <f t="shared" si="93"/>
        <v>2360</v>
      </c>
      <c r="D183" s="221">
        <f t="shared" si="94"/>
        <v>11525</v>
      </c>
      <c r="E183" s="77"/>
      <c r="F183" s="221"/>
      <c r="G183" s="77"/>
      <c r="H183" s="221"/>
      <c r="I183" s="77"/>
      <c r="J183" s="221"/>
      <c r="K183" s="77"/>
      <c r="L183" s="221"/>
      <c r="M183" s="77"/>
      <c r="N183" s="221"/>
      <c r="O183" s="77"/>
      <c r="P183" s="221"/>
      <c r="Q183" s="77"/>
      <c r="R183" s="221"/>
      <c r="S183" s="77"/>
      <c r="T183" s="221"/>
      <c r="U183" s="77"/>
      <c r="V183" s="142"/>
      <c r="W183" s="142"/>
      <c r="X183" s="142"/>
      <c r="Y183" s="142"/>
      <c r="Z183" s="14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row>
    <row r="184" spans="1:78" x14ac:dyDescent="0.2">
      <c r="A184" s="65">
        <f t="shared" si="96"/>
        <v>2024</v>
      </c>
      <c r="B184" s="221">
        <f t="shared" si="95"/>
        <v>14107</v>
      </c>
      <c r="C184" s="77">
        <f t="shared" si="93"/>
        <v>2398</v>
      </c>
      <c r="D184" s="221">
        <f t="shared" si="94"/>
        <v>11709</v>
      </c>
      <c r="E184" s="77"/>
      <c r="F184" s="221"/>
      <c r="G184" s="77"/>
      <c r="H184" s="221"/>
      <c r="I184" s="77"/>
      <c r="J184" s="221"/>
      <c r="K184" s="77"/>
      <c r="L184" s="221"/>
      <c r="M184" s="77"/>
      <c r="N184" s="221"/>
      <c r="O184" s="77"/>
      <c r="P184" s="221"/>
      <c r="Q184" s="77"/>
      <c r="R184" s="221"/>
      <c r="S184" s="77"/>
      <c r="T184" s="221"/>
      <c r="U184" s="77"/>
      <c r="V184" s="142"/>
      <c r="W184" s="146"/>
      <c r="X184" s="146"/>
      <c r="Y184" s="142"/>
      <c r="Z184" s="14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row>
    <row r="185" spans="1:78" x14ac:dyDescent="0.2">
      <c r="A185" s="65">
        <f t="shared" si="96"/>
        <v>2025</v>
      </c>
      <c r="B185" s="262">
        <f t="shared" si="95"/>
        <v>14333</v>
      </c>
      <c r="C185" s="77">
        <f t="shared" si="93"/>
        <v>2437</v>
      </c>
      <c r="D185" s="221">
        <f t="shared" si="94"/>
        <v>11896</v>
      </c>
      <c r="E185" s="77"/>
      <c r="F185" s="221"/>
      <c r="G185" s="77"/>
      <c r="H185" s="221"/>
      <c r="I185" s="77"/>
      <c r="J185" s="221"/>
      <c r="K185" s="77"/>
      <c r="L185" s="221"/>
      <c r="M185" s="77"/>
      <c r="N185" s="221"/>
      <c r="O185" s="77"/>
      <c r="P185" s="221"/>
      <c r="Q185" s="77"/>
      <c r="R185" s="221"/>
      <c r="S185" s="77"/>
      <c r="T185" s="221"/>
      <c r="U185" s="77"/>
      <c r="V185" s="142"/>
      <c r="W185" s="142"/>
      <c r="X185" s="142"/>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row>
    <row r="186" spans="1:78" x14ac:dyDescent="0.2">
      <c r="A186" s="65">
        <f t="shared" si="96"/>
        <v>2026</v>
      </c>
      <c r="B186" s="221">
        <f t="shared" si="95"/>
        <v>14562</v>
      </c>
      <c r="C186" s="77">
        <f t="shared" si="93"/>
        <v>2476</v>
      </c>
      <c r="D186" s="221">
        <f t="shared" si="94"/>
        <v>12086</v>
      </c>
      <c r="E186" s="77"/>
      <c r="F186" s="221"/>
      <c r="G186" s="77"/>
      <c r="H186" s="221"/>
      <c r="I186" s="77"/>
      <c r="J186" s="221"/>
      <c r="K186" s="77"/>
      <c r="L186" s="221"/>
      <c r="M186" s="77"/>
      <c r="N186" s="221"/>
      <c r="O186" s="77"/>
      <c r="P186" s="221"/>
      <c r="Q186" s="77"/>
      <c r="R186" s="221"/>
      <c r="S186" s="77"/>
      <c r="T186" s="221"/>
      <c r="U186" s="77"/>
      <c r="V186" s="142"/>
      <c r="W186" s="142"/>
      <c r="X186" s="142"/>
      <c r="Y186" s="142"/>
      <c r="Z186" s="14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row>
    <row r="187" spans="1:78" x14ac:dyDescent="0.2">
      <c r="A187" s="65">
        <f t="shared" si="96"/>
        <v>2027</v>
      </c>
      <c r="B187" s="221">
        <f>ROUND($B$179*(1+$B$247)^(A187-$A$179),0)</f>
        <v>14795</v>
      </c>
      <c r="C187" s="77">
        <f t="shared" si="93"/>
        <v>2515</v>
      </c>
      <c r="D187" s="221">
        <f t="shared" si="94"/>
        <v>12280</v>
      </c>
      <c r="E187" s="77">
        <f>ROUND($E$200*(1+$B$247)^(A187-$A$200),0)</f>
        <v>6819</v>
      </c>
      <c r="F187" s="221">
        <f t="shared" ref="F187:F199" si="97">ROUND($F$201*(1+$B$247)^(A187-$A$201),0)</f>
        <v>10311</v>
      </c>
      <c r="G187" s="77">
        <f>ROUND((E187*$B$250)+(F187*$B$251),0)</f>
        <v>3012</v>
      </c>
      <c r="H187" s="221">
        <f>(E187+F187)-G187</f>
        <v>14118</v>
      </c>
      <c r="I187" s="77">
        <f t="shared" ref="I187:I216" si="98">B187*$B$294</f>
        <v>3487.3928571428569</v>
      </c>
      <c r="J187" s="221">
        <f t="shared" ref="J187:J216" si="99">(E187*$C$294)+(F187*$D$294)</f>
        <v>2983.5041538461542</v>
      </c>
      <c r="K187" s="77">
        <f>$I187*$B$249</f>
        <v>592.85678571428571</v>
      </c>
      <c r="L187" s="221">
        <f>$I187-K187</f>
        <v>2894.5360714285712</v>
      </c>
      <c r="M187" s="77">
        <f>$J187*($G187/($E187+F187))</f>
        <v>524.59512617540076</v>
      </c>
      <c r="N187" s="221">
        <f>$J187-M187</f>
        <v>2458.9090276707534</v>
      </c>
      <c r="O187" s="77">
        <f t="shared" ref="O187:O216" si="100">B187*365*$B$292</f>
        <v>44551443.75</v>
      </c>
      <c r="P187" s="221">
        <f t="shared" ref="P187:P216" si="101">365*((F187*$D$292))</f>
        <v>27285483.75</v>
      </c>
      <c r="Q187" s="77">
        <f t="shared" ref="Q187:Q216" si="102">365*((E187*$C$292))</f>
        <v>20110594.800000001</v>
      </c>
      <c r="R187" s="221">
        <f>$O187*$B$249</f>
        <v>7573745.4375000009</v>
      </c>
      <c r="S187" s="77">
        <f>$O187-R187</f>
        <v>36977698.3125</v>
      </c>
      <c r="T187" s="221">
        <f>($Q187+$P187)*($G187/($E187+$F187))</f>
        <v>8333741.3072154103</v>
      </c>
      <c r="U187" s="77">
        <f>($P187+$Q187)-T187</f>
        <v>39062337.24278459</v>
      </c>
      <c r="V187" s="142"/>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row>
    <row r="188" spans="1:78" x14ac:dyDescent="0.2">
      <c r="A188" s="65">
        <f t="shared" si="96"/>
        <v>2028</v>
      </c>
      <c r="B188" s="221">
        <f t="shared" si="95"/>
        <v>15032</v>
      </c>
      <c r="C188" s="77">
        <f t="shared" si="93"/>
        <v>2555</v>
      </c>
      <c r="D188" s="221">
        <f t="shared" si="94"/>
        <v>12477</v>
      </c>
      <c r="E188" s="77">
        <f t="shared" ref="E188:E199" si="103">ROUND($E$200*(1+$B$247)^(A188-$A$200),0)</f>
        <v>6928</v>
      </c>
      <c r="F188" s="221">
        <f t="shared" si="97"/>
        <v>10476</v>
      </c>
      <c r="G188" s="77">
        <f t="shared" ref="G188:G216" si="104">ROUND((E188*$B$250)+(F188*$B$251),0)</f>
        <v>3060</v>
      </c>
      <c r="H188" s="221">
        <f t="shared" ref="H188:H213" si="105">(E188+F188)-G188</f>
        <v>14344</v>
      </c>
      <c r="I188" s="77">
        <f t="shared" si="98"/>
        <v>3543.2571428571428</v>
      </c>
      <c r="J188" s="221">
        <f t="shared" si="99"/>
        <v>3031.232263736264</v>
      </c>
      <c r="K188" s="77">
        <f t="shared" ref="K188:K216" si="106">$I188*$B$249</f>
        <v>602.35371428571432</v>
      </c>
      <c r="L188" s="221">
        <f t="shared" ref="L188:L216" si="107">$I188-K188</f>
        <v>2940.9034285714283</v>
      </c>
      <c r="M188" s="77">
        <f t="shared" ref="M188:M213" si="108">$J188*($G188/($E188+F188))</f>
        <v>532.95625873551876</v>
      </c>
      <c r="N188" s="221">
        <f t="shared" ref="N188:N213" si="109">$J188-M188</f>
        <v>2498.2760050007455</v>
      </c>
      <c r="O188" s="77">
        <f t="shared" si="100"/>
        <v>45265110</v>
      </c>
      <c r="P188" s="221">
        <f t="shared" si="101"/>
        <v>27722115</v>
      </c>
      <c r="Q188" s="77">
        <f t="shared" si="102"/>
        <v>20432057.599999998</v>
      </c>
      <c r="R188" s="221">
        <f t="shared" ref="R188:R216" si="110">$O188*$B$249</f>
        <v>7695068.7000000002</v>
      </c>
      <c r="S188" s="77">
        <f t="shared" ref="S188:S216" si="111">$O188-R188</f>
        <v>37570041.299999997</v>
      </c>
      <c r="T188" s="221">
        <f t="shared" ref="T188:T216" si="112">($Q188+$P188)*($G188/($E188+$F188))</f>
        <v>8466546.0903240629</v>
      </c>
      <c r="U188" s="77">
        <f t="shared" ref="U188:U216" si="113">($P188+$Q188)-T188</f>
        <v>39687626.509675935</v>
      </c>
      <c r="V188" s="142"/>
      <c r="W188" s="142"/>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row>
    <row r="189" spans="1:78" x14ac:dyDescent="0.2">
      <c r="A189" s="65">
        <f t="shared" si="96"/>
        <v>2029</v>
      </c>
      <c r="B189" s="221">
        <f t="shared" si="95"/>
        <v>15273</v>
      </c>
      <c r="C189" s="77">
        <f t="shared" si="93"/>
        <v>2596</v>
      </c>
      <c r="D189" s="221">
        <f t="shared" si="94"/>
        <v>12677</v>
      </c>
      <c r="E189" s="77">
        <f t="shared" si="103"/>
        <v>7039</v>
      </c>
      <c r="F189" s="221">
        <f t="shared" si="97"/>
        <v>10644</v>
      </c>
      <c r="G189" s="77">
        <f t="shared" si="104"/>
        <v>3109</v>
      </c>
      <c r="H189" s="221">
        <f t="shared" si="105"/>
        <v>14574</v>
      </c>
      <c r="I189" s="77">
        <f t="shared" si="98"/>
        <v>3600.0642857142857</v>
      </c>
      <c r="J189" s="221">
        <f t="shared" si="99"/>
        <v>3079.8304175824178</v>
      </c>
      <c r="K189" s="77">
        <f t="shared" si="106"/>
        <v>612.01092857142862</v>
      </c>
      <c r="L189" s="221">
        <f t="shared" si="107"/>
        <v>2988.0533571428568</v>
      </c>
      <c r="M189" s="77">
        <f t="shared" si="108"/>
        <v>541.49141934421402</v>
      </c>
      <c r="N189" s="221">
        <f t="shared" si="109"/>
        <v>2538.3389982382037</v>
      </c>
      <c r="O189" s="77">
        <f t="shared" si="100"/>
        <v>45990821.25</v>
      </c>
      <c r="P189" s="221">
        <f t="shared" si="101"/>
        <v>28166685</v>
      </c>
      <c r="Q189" s="77">
        <f t="shared" si="102"/>
        <v>20759418.800000001</v>
      </c>
      <c r="R189" s="221">
        <f t="shared" si="110"/>
        <v>7818439.6125000007</v>
      </c>
      <c r="S189" s="77">
        <f t="shared" si="111"/>
        <v>38172381.637500003</v>
      </c>
      <c r="T189" s="221">
        <f t="shared" si="112"/>
        <v>8602118.2330034487</v>
      </c>
      <c r="U189" s="77">
        <f t="shared" si="113"/>
        <v>40323985.566996545</v>
      </c>
      <c r="V189" s="142"/>
      <c r="W189" s="142"/>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row>
    <row r="190" spans="1:78" x14ac:dyDescent="0.2">
      <c r="A190" s="65">
        <f t="shared" si="96"/>
        <v>2030</v>
      </c>
      <c r="B190" s="221">
        <f t="shared" si="95"/>
        <v>15517</v>
      </c>
      <c r="C190" s="77">
        <f t="shared" si="93"/>
        <v>2638</v>
      </c>
      <c r="D190" s="221">
        <f t="shared" si="94"/>
        <v>12879</v>
      </c>
      <c r="E190" s="77">
        <f t="shared" si="103"/>
        <v>7152</v>
      </c>
      <c r="F190" s="221">
        <f>ROUND($F$201*(1+$B$247)^(A190-$A$201),0)</f>
        <v>10814</v>
      </c>
      <c r="G190" s="77">
        <f t="shared" si="104"/>
        <v>3159</v>
      </c>
      <c r="H190" s="221">
        <f t="shared" si="105"/>
        <v>14807</v>
      </c>
      <c r="I190" s="77">
        <f t="shared" si="98"/>
        <v>3657.5785714285712</v>
      </c>
      <c r="J190" s="221">
        <f t="shared" si="99"/>
        <v>3129.0914725274729</v>
      </c>
      <c r="K190" s="77">
        <f t="shared" si="106"/>
        <v>621.78835714285719</v>
      </c>
      <c r="L190" s="221">
        <f t="shared" si="107"/>
        <v>3035.7902142857138</v>
      </c>
      <c r="M190" s="77">
        <f t="shared" si="108"/>
        <v>550.1948102924573</v>
      </c>
      <c r="N190" s="221">
        <f t="shared" si="109"/>
        <v>2578.8966622350154</v>
      </c>
      <c r="O190" s="77">
        <f t="shared" si="100"/>
        <v>46725566.25</v>
      </c>
      <c r="P190" s="221">
        <f t="shared" si="101"/>
        <v>28616547.5</v>
      </c>
      <c r="Q190" s="77">
        <f t="shared" si="102"/>
        <v>21092678.400000002</v>
      </c>
      <c r="R190" s="221">
        <f t="shared" si="110"/>
        <v>7943346.2625000002</v>
      </c>
      <c r="S190" s="77">
        <f t="shared" si="111"/>
        <v>38782219.987499997</v>
      </c>
      <c r="T190" s="221">
        <f t="shared" si="112"/>
        <v>8740478.9390014485</v>
      </c>
      <c r="U190" s="77">
        <f t="shared" si="113"/>
        <v>40968746.960998558</v>
      </c>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row>
    <row r="191" spans="1:78" x14ac:dyDescent="0.2">
      <c r="A191" s="65">
        <f t="shared" si="96"/>
        <v>2031</v>
      </c>
      <c r="B191" s="221">
        <f t="shared" si="95"/>
        <v>15765</v>
      </c>
      <c r="C191" s="77">
        <f t="shared" si="93"/>
        <v>2680</v>
      </c>
      <c r="D191" s="221">
        <f t="shared" si="94"/>
        <v>13085</v>
      </c>
      <c r="E191" s="77">
        <f t="shared" si="103"/>
        <v>7266</v>
      </c>
      <c r="F191" s="221">
        <f t="shared" si="97"/>
        <v>10987</v>
      </c>
      <c r="G191" s="77">
        <f t="shared" si="104"/>
        <v>3209</v>
      </c>
      <c r="H191" s="221">
        <f t="shared" si="105"/>
        <v>15044</v>
      </c>
      <c r="I191" s="77">
        <f t="shared" si="98"/>
        <v>3716.0357142857142</v>
      </c>
      <c r="J191" s="221">
        <f t="shared" si="99"/>
        <v>3179.0982637362636</v>
      </c>
      <c r="K191" s="77">
        <f t="shared" si="106"/>
        <v>631.72607142857146</v>
      </c>
      <c r="L191" s="221">
        <f t="shared" si="107"/>
        <v>3084.3096428571425</v>
      </c>
      <c r="M191" s="77">
        <f t="shared" si="108"/>
        <v>558.90682782718841</v>
      </c>
      <c r="N191" s="221">
        <f t="shared" si="109"/>
        <v>2620.1914359090752</v>
      </c>
      <c r="O191" s="77">
        <f t="shared" si="100"/>
        <v>47472356.25</v>
      </c>
      <c r="P191" s="221">
        <f t="shared" si="101"/>
        <v>29074348.75</v>
      </c>
      <c r="Q191" s="77">
        <f t="shared" si="102"/>
        <v>21428887.199999999</v>
      </c>
      <c r="R191" s="221">
        <f t="shared" si="110"/>
        <v>8070300.5625000009</v>
      </c>
      <c r="S191" s="77">
        <f t="shared" si="111"/>
        <v>39402055.6875</v>
      </c>
      <c r="T191" s="221">
        <f t="shared" si="112"/>
        <v>8878808.0953021422</v>
      </c>
      <c r="U191" s="77">
        <f t="shared" si="113"/>
        <v>41624427.854697861</v>
      </c>
      <c r="V191" s="142"/>
      <c r="W191" s="142"/>
      <c r="X191" s="142"/>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row>
    <row r="192" spans="1:78" x14ac:dyDescent="0.2">
      <c r="A192" s="65">
        <f t="shared" si="96"/>
        <v>2032</v>
      </c>
      <c r="B192" s="221">
        <f t="shared" si="95"/>
        <v>16018</v>
      </c>
      <c r="C192" s="77">
        <f t="shared" si="93"/>
        <v>2723</v>
      </c>
      <c r="D192" s="221">
        <f t="shared" si="94"/>
        <v>13295</v>
      </c>
      <c r="E192" s="77">
        <f t="shared" si="103"/>
        <v>7382</v>
      </c>
      <c r="F192" s="221">
        <f t="shared" si="97"/>
        <v>11163</v>
      </c>
      <c r="G192" s="77">
        <f t="shared" si="104"/>
        <v>3261</v>
      </c>
      <c r="H192" s="221">
        <f t="shared" si="105"/>
        <v>15284</v>
      </c>
      <c r="I192" s="77">
        <f t="shared" si="98"/>
        <v>3775.6714285714284</v>
      </c>
      <c r="J192" s="221">
        <f t="shared" si="99"/>
        <v>3229.975098901099</v>
      </c>
      <c r="K192" s="77">
        <f t="shared" si="106"/>
        <v>641.86414285714284</v>
      </c>
      <c r="L192" s="221">
        <f t="shared" si="107"/>
        <v>3133.8072857142856</v>
      </c>
      <c r="M192" s="77">
        <f t="shared" si="108"/>
        <v>567.96704219555056</v>
      </c>
      <c r="N192" s="221">
        <f t="shared" si="109"/>
        <v>2662.0080567055484</v>
      </c>
      <c r="O192" s="77">
        <f t="shared" si="100"/>
        <v>48234202.5</v>
      </c>
      <c r="P192" s="221">
        <f t="shared" si="101"/>
        <v>29540088.75</v>
      </c>
      <c r="Q192" s="77">
        <f t="shared" si="102"/>
        <v>21770994.399999999</v>
      </c>
      <c r="R192" s="221">
        <f t="shared" si="110"/>
        <v>8199814.4250000007</v>
      </c>
      <c r="S192" s="77">
        <f t="shared" si="111"/>
        <v>40034388.075000003</v>
      </c>
      <c r="T192" s="221">
        <f t="shared" si="112"/>
        <v>9022671.4560339712</v>
      </c>
      <c r="U192" s="77">
        <f t="shared" si="113"/>
        <v>42288411.693966031</v>
      </c>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row>
    <row r="193" spans="1:78" x14ac:dyDescent="0.2">
      <c r="A193" s="65">
        <f t="shared" si="96"/>
        <v>2033</v>
      </c>
      <c r="B193" s="221">
        <f t="shared" si="95"/>
        <v>16274</v>
      </c>
      <c r="C193" s="77">
        <f t="shared" si="93"/>
        <v>2767</v>
      </c>
      <c r="D193" s="221">
        <f t="shared" si="94"/>
        <v>13507</v>
      </c>
      <c r="E193" s="77">
        <f t="shared" si="103"/>
        <v>7501</v>
      </c>
      <c r="F193" s="221">
        <f t="shared" si="97"/>
        <v>11341</v>
      </c>
      <c r="G193" s="77">
        <f t="shared" si="104"/>
        <v>3313</v>
      </c>
      <c r="H193" s="221">
        <f t="shared" si="105"/>
        <v>15529</v>
      </c>
      <c r="I193" s="77">
        <f t="shared" si="98"/>
        <v>3836.0142857142855</v>
      </c>
      <c r="J193" s="221">
        <f t="shared" si="99"/>
        <v>3281.6391428571433</v>
      </c>
      <c r="K193" s="77">
        <f t="shared" si="106"/>
        <v>652.1224285714286</v>
      </c>
      <c r="L193" s="221">
        <f t="shared" si="107"/>
        <v>3183.8918571428567</v>
      </c>
      <c r="M193" s="77">
        <f t="shared" si="108"/>
        <v>577.01255069980448</v>
      </c>
      <c r="N193" s="221">
        <f t="shared" si="109"/>
        <v>2704.6265921573386</v>
      </c>
      <c r="O193" s="77">
        <f t="shared" si="100"/>
        <v>49005082.5</v>
      </c>
      <c r="P193" s="221">
        <f t="shared" si="101"/>
        <v>30011121.25</v>
      </c>
      <c r="Q193" s="77">
        <f t="shared" si="102"/>
        <v>22121949.199999999</v>
      </c>
      <c r="R193" s="221">
        <f t="shared" si="110"/>
        <v>8330864.0250000004</v>
      </c>
      <c r="S193" s="77">
        <f t="shared" si="111"/>
        <v>40674218.475000001</v>
      </c>
      <c r="T193" s="221">
        <f t="shared" si="112"/>
        <v>9166588.5999814253</v>
      </c>
      <c r="U193" s="77">
        <f t="shared" si="113"/>
        <v>42966481.850018576</v>
      </c>
      <c r="V193" s="142"/>
      <c r="W193" s="142"/>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row>
    <row r="194" spans="1:78" x14ac:dyDescent="0.2">
      <c r="A194" s="65">
        <f t="shared" si="96"/>
        <v>2034</v>
      </c>
      <c r="B194" s="221">
        <f t="shared" si="95"/>
        <v>16534</v>
      </c>
      <c r="C194" s="77">
        <f t="shared" si="93"/>
        <v>2811</v>
      </c>
      <c r="D194" s="221">
        <f t="shared" si="94"/>
        <v>13723</v>
      </c>
      <c r="E194" s="77">
        <f t="shared" si="103"/>
        <v>7621</v>
      </c>
      <c r="F194" s="221">
        <f>ROUND($F$201*(1+$B$247)^(A194-$A$201),0)</f>
        <v>11523</v>
      </c>
      <c r="G194" s="77">
        <f t="shared" si="104"/>
        <v>3366</v>
      </c>
      <c r="H194" s="221">
        <f t="shared" si="105"/>
        <v>15778</v>
      </c>
      <c r="I194" s="77">
        <f t="shared" si="98"/>
        <v>3897.2999999999997</v>
      </c>
      <c r="J194" s="221">
        <f t="shared" si="99"/>
        <v>3334.2560659340661</v>
      </c>
      <c r="K194" s="77">
        <f t="shared" si="106"/>
        <v>662.54100000000005</v>
      </c>
      <c r="L194" s="221">
        <f t="shared" si="107"/>
        <v>3234.7589999999996</v>
      </c>
      <c r="M194" s="77">
        <f t="shared" si="108"/>
        <v>586.24665262923452</v>
      </c>
      <c r="N194" s="221">
        <f t="shared" si="109"/>
        <v>2748.0094133048315</v>
      </c>
      <c r="O194" s="77">
        <f t="shared" si="100"/>
        <v>49788007.5</v>
      </c>
      <c r="P194" s="221">
        <f t="shared" si="101"/>
        <v>30492738.75</v>
      </c>
      <c r="Q194" s="77">
        <f t="shared" si="102"/>
        <v>22475853.199999999</v>
      </c>
      <c r="R194" s="221">
        <f t="shared" si="110"/>
        <v>8463961.2750000004</v>
      </c>
      <c r="S194" s="77">
        <f t="shared" si="111"/>
        <v>41324046.225000001</v>
      </c>
      <c r="T194" s="221">
        <f t="shared" si="112"/>
        <v>9313219.8340837862</v>
      </c>
      <c r="U194" s="77">
        <f t="shared" si="113"/>
        <v>43655372.115916215</v>
      </c>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row>
    <row r="195" spans="1:78" x14ac:dyDescent="0.2">
      <c r="A195" s="65">
        <f t="shared" si="96"/>
        <v>2035</v>
      </c>
      <c r="B195" s="221">
        <f t="shared" si="95"/>
        <v>16799</v>
      </c>
      <c r="C195" s="77">
        <f t="shared" si="93"/>
        <v>2856</v>
      </c>
      <c r="D195" s="221">
        <f t="shared" si="94"/>
        <v>13943</v>
      </c>
      <c r="E195" s="77">
        <f t="shared" si="103"/>
        <v>7742</v>
      </c>
      <c r="F195" s="221">
        <f t="shared" si="97"/>
        <v>11707</v>
      </c>
      <c r="G195" s="77">
        <f t="shared" si="104"/>
        <v>3420</v>
      </c>
      <c r="H195" s="221">
        <f t="shared" si="105"/>
        <v>16029</v>
      </c>
      <c r="I195" s="77">
        <f t="shared" si="98"/>
        <v>3959.7642857142855</v>
      </c>
      <c r="J195" s="221">
        <f t="shared" si="99"/>
        <v>3387.4115824175824</v>
      </c>
      <c r="K195" s="77">
        <f t="shared" si="106"/>
        <v>673.15992857142862</v>
      </c>
      <c r="L195" s="221">
        <f t="shared" si="107"/>
        <v>3286.6043571428568</v>
      </c>
      <c r="M195" s="77">
        <f t="shared" si="108"/>
        <v>595.65775165140269</v>
      </c>
      <c r="N195" s="221">
        <f t="shared" si="109"/>
        <v>2791.7538307661798</v>
      </c>
      <c r="O195" s="77">
        <f t="shared" si="100"/>
        <v>50585988.75</v>
      </c>
      <c r="P195" s="221">
        <f t="shared" si="101"/>
        <v>30979648.75</v>
      </c>
      <c r="Q195" s="77">
        <f t="shared" si="102"/>
        <v>22832706.399999999</v>
      </c>
      <c r="R195" s="221">
        <f t="shared" si="110"/>
        <v>8599618.0875000004</v>
      </c>
      <c r="S195" s="77">
        <f t="shared" si="111"/>
        <v>41986370.662500001</v>
      </c>
      <c r="T195" s="221">
        <f t="shared" si="112"/>
        <v>9462607.5691809338</v>
      </c>
      <c r="U195" s="77">
        <f t="shared" si="113"/>
        <v>44349747.580819063</v>
      </c>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row>
    <row r="196" spans="1:78" x14ac:dyDescent="0.2">
      <c r="A196" s="65">
        <f t="shared" si="96"/>
        <v>2036</v>
      </c>
      <c r="B196" s="221">
        <f t="shared" si="95"/>
        <v>17068</v>
      </c>
      <c r="C196" s="77">
        <f t="shared" si="93"/>
        <v>2902</v>
      </c>
      <c r="D196" s="221">
        <f t="shared" si="94"/>
        <v>14166</v>
      </c>
      <c r="E196" s="77">
        <f t="shared" si="103"/>
        <v>7866</v>
      </c>
      <c r="F196" s="221">
        <f t="shared" si="97"/>
        <v>11894</v>
      </c>
      <c r="G196" s="77">
        <f t="shared" si="104"/>
        <v>3474</v>
      </c>
      <c r="H196" s="221">
        <f t="shared" si="105"/>
        <v>16286</v>
      </c>
      <c r="I196" s="77">
        <f t="shared" si="98"/>
        <v>4023.1714285714284</v>
      </c>
      <c r="J196" s="221">
        <f t="shared" si="99"/>
        <v>3441.5614505494509</v>
      </c>
      <c r="K196" s="77">
        <f t="shared" si="106"/>
        <v>683.93914285714288</v>
      </c>
      <c r="L196" s="221">
        <f t="shared" si="107"/>
        <v>3339.2322857142854</v>
      </c>
      <c r="M196" s="77">
        <f t="shared" si="108"/>
        <v>605.05994327979715</v>
      </c>
      <c r="N196" s="221">
        <f t="shared" si="109"/>
        <v>2836.5015072696538</v>
      </c>
      <c r="O196" s="77">
        <f t="shared" si="100"/>
        <v>51396015</v>
      </c>
      <c r="P196" s="221">
        <f t="shared" si="101"/>
        <v>31474497.5</v>
      </c>
      <c r="Q196" s="77">
        <f t="shared" si="102"/>
        <v>23198407.199999999</v>
      </c>
      <c r="R196" s="221">
        <f t="shared" si="110"/>
        <v>8737322.5500000007</v>
      </c>
      <c r="S196" s="77">
        <f t="shared" si="111"/>
        <v>42658692.450000003</v>
      </c>
      <c r="T196" s="221">
        <f t="shared" si="112"/>
        <v>9612027.8809615392</v>
      </c>
      <c r="U196" s="77">
        <f t="shared" si="113"/>
        <v>45060876.819038466</v>
      </c>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row>
    <row r="197" spans="1:78" x14ac:dyDescent="0.2">
      <c r="A197" s="65">
        <f t="shared" si="96"/>
        <v>2037</v>
      </c>
      <c r="B197" s="221">
        <f t="shared" si="95"/>
        <v>17341</v>
      </c>
      <c r="C197" s="77">
        <f t="shared" si="93"/>
        <v>2948</v>
      </c>
      <c r="D197" s="221">
        <f t="shared" si="94"/>
        <v>14393</v>
      </c>
      <c r="E197" s="77">
        <f t="shared" si="103"/>
        <v>7992</v>
      </c>
      <c r="F197" s="221">
        <f t="shared" si="97"/>
        <v>12085</v>
      </c>
      <c r="G197" s="77">
        <f t="shared" si="104"/>
        <v>3530</v>
      </c>
      <c r="H197" s="221">
        <f t="shared" si="105"/>
        <v>16547</v>
      </c>
      <c r="I197" s="77">
        <f t="shared" si="98"/>
        <v>4087.5214285714287</v>
      </c>
      <c r="J197" s="221">
        <f t="shared" si="99"/>
        <v>3496.7885054945059</v>
      </c>
      <c r="K197" s="77">
        <f t="shared" si="106"/>
        <v>694.87864285714295</v>
      </c>
      <c r="L197" s="221">
        <f t="shared" si="107"/>
        <v>3392.6427857142858</v>
      </c>
      <c r="M197" s="77">
        <f t="shared" si="108"/>
        <v>614.81612912265803</v>
      </c>
      <c r="N197" s="221">
        <f t="shared" si="109"/>
        <v>2881.972376371848</v>
      </c>
      <c r="O197" s="77">
        <f t="shared" si="100"/>
        <v>52218086.25</v>
      </c>
      <c r="P197" s="221">
        <f t="shared" si="101"/>
        <v>31979931.25</v>
      </c>
      <c r="Q197" s="77">
        <f t="shared" si="102"/>
        <v>23570006.399999999</v>
      </c>
      <c r="R197" s="221">
        <f t="shared" si="110"/>
        <v>8877074.6625000015</v>
      </c>
      <c r="S197" s="77">
        <f t="shared" si="111"/>
        <v>43341011.587499999</v>
      </c>
      <c r="T197" s="221">
        <f t="shared" si="112"/>
        <v>9766961.1946256906</v>
      </c>
      <c r="U197" s="77">
        <f t="shared" si="113"/>
        <v>45782976.455374308</v>
      </c>
      <c r="V197" s="142"/>
      <c r="W197" s="142"/>
      <c r="X197" s="142"/>
      <c r="Y197" s="142"/>
      <c r="Z197" s="14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row>
    <row r="198" spans="1:78" x14ac:dyDescent="0.2">
      <c r="A198" s="65">
        <f t="shared" si="96"/>
        <v>2038</v>
      </c>
      <c r="B198" s="221">
        <f t="shared" si="95"/>
        <v>17618</v>
      </c>
      <c r="C198" s="77">
        <f t="shared" si="93"/>
        <v>2995</v>
      </c>
      <c r="D198" s="221">
        <f t="shared" si="94"/>
        <v>14623</v>
      </c>
      <c r="E198" s="77">
        <f t="shared" si="103"/>
        <v>8120</v>
      </c>
      <c r="F198" s="221">
        <f t="shared" si="97"/>
        <v>12278</v>
      </c>
      <c r="G198" s="77">
        <f t="shared" si="104"/>
        <v>3587</v>
      </c>
      <c r="H198" s="221">
        <f t="shared" si="105"/>
        <v>16811</v>
      </c>
      <c r="I198" s="77">
        <f t="shared" si="98"/>
        <v>4152.8142857142857</v>
      </c>
      <c r="J198" s="221">
        <f t="shared" si="99"/>
        <v>3552.6784615384618</v>
      </c>
      <c r="K198" s="77">
        <f t="shared" si="106"/>
        <v>705.97842857142859</v>
      </c>
      <c r="L198" s="221">
        <f t="shared" si="107"/>
        <v>3446.8358571428571</v>
      </c>
      <c r="M198" s="77">
        <f t="shared" si="108"/>
        <v>624.74054522690767</v>
      </c>
      <c r="N198" s="221">
        <f t="shared" si="109"/>
        <v>2927.9379163115541</v>
      </c>
      <c r="O198" s="77">
        <f t="shared" si="100"/>
        <v>53052202.5</v>
      </c>
      <c r="P198" s="221">
        <f t="shared" si="101"/>
        <v>32490657.5</v>
      </c>
      <c r="Q198" s="77">
        <f t="shared" si="102"/>
        <v>23947504.000000004</v>
      </c>
      <c r="R198" s="221">
        <f t="shared" si="110"/>
        <v>9018874.4250000007</v>
      </c>
      <c r="S198" s="77">
        <f t="shared" si="111"/>
        <v>44033328.075000003</v>
      </c>
      <c r="T198" s="221">
        <f t="shared" si="112"/>
        <v>9924683.071894303</v>
      </c>
      <c r="U198" s="77">
        <f t="shared" si="113"/>
        <v>46513478.428105697</v>
      </c>
      <c r="V198" s="142"/>
      <c r="W198" s="142"/>
      <c r="X198" s="142"/>
      <c r="Y198" s="142"/>
      <c r="Z198" s="14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row>
    <row r="199" spans="1:78" x14ac:dyDescent="0.2">
      <c r="A199" s="65">
        <f t="shared" si="96"/>
        <v>2039</v>
      </c>
      <c r="B199" s="221">
        <f t="shared" si="95"/>
        <v>17900</v>
      </c>
      <c r="C199" s="77">
        <f t="shared" si="93"/>
        <v>3043</v>
      </c>
      <c r="D199" s="221">
        <f t="shared" si="94"/>
        <v>14857</v>
      </c>
      <c r="E199" s="77">
        <f t="shared" si="103"/>
        <v>8250</v>
      </c>
      <c r="F199" s="221">
        <f t="shared" si="97"/>
        <v>12475</v>
      </c>
      <c r="G199" s="77">
        <f t="shared" si="104"/>
        <v>3644</v>
      </c>
      <c r="H199" s="221">
        <f t="shared" si="105"/>
        <v>17081</v>
      </c>
      <c r="I199" s="77">
        <f t="shared" si="98"/>
        <v>4219.2857142857138</v>
      </c>
      <c r="J199" s="221">
        <f t="shared" si="99"/>
        <v>3609.645604395605</v>
      </c>
      <c r="K199" s="77">
        <f t="shared" si="106"/>
        <v>717.27857142857135</v>
      </c>
      <c r="L199" s="221">
        <f t="shared" si="107"/>
        <v>3502.0071428571423</v>
      </c>
      <c r="M199" s="77">
        <f t="shared" si="108"/>
        <v>634.67061917575802</v>
      </c>
      <c r="N199" s="221">
        <f t="shared" si="109"/>
        <v>2974.974985219847</v>
      </c>
      <c r="O199" s="77">
        <f t="shared" si="100"/>
        <v>53901375</v>
      </c>
      <c r="P199" s="221">
        <f t="shared" si="101"/>
        <v>33011968.75</v>
      </c>
      <c r="Q199" s="77">
        <f t="shared" si="102"/>
        <v>24330900</v>
      </c>
      <c r="R199" s="221">
        <f t="shared" si="110"/>
        <v>9163233.75</v>
      </c>
      <c r="S199" s="77">
        <f t="shared" si="111"/>
        <v>44738141.25</v>
      </c>
      <c r="T199" s="221">
        <f t="shared" si="112"/>
        <v>10082384.256936068</v>
      </c>
      <c r="U199" s="77">
        <f t="shared" si="113"/>
        <v>47260484.493063934</v>
      </c>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row>
    <row r="200" spans="1:78" x14ac:dyDescent="0.2">
      <c r="A200" s="65">
        <f t="shared" si="96"/>
        <v>2040</v>
      </c>
      <c r="B200" s="221">
        <f t="shared" si="95"/>
        <v>18186</v>
      </c>
      <c r="C200" s="77">
        <f t="shared" si="93"/>
        <v>3092</v>
      </c>
      <c r="D200" s="221">
        <f t="shared" si="94"/>
        <v>15094</v>
      </c>
      <c r="E200" s="77">
        <f>ROUND($E$201*(1+$B$247)^(A200-$A$201),0)</f>
        <v>8382</v>
      </c>
      <c r="F200" s="221">
        <f>ROUND($F$201*(1+$B$247)^(A200-$A$201),0)</f>
        <v>12674</v>
      </c>
      <c r="G200" s="77">
        <f t="shared" si="104"/>
        <v>3702</v>
      </c>
      <c r="H200" s="221">
        <f t="shared" si="105"/>
        <v>17354</v>
      </c>
      <c r="I200" s="77">
        <f t="shared" si="98"/>
        <v>4286.7</v>
      </c>
      <c r="J200" s="221">
        <f t="shared" si="99"/>
        <v>3667.2756483516487</v>
      </c>
      <c r="K200" s="77">
        <f t="shared" si="106"/>
        <v>728.73900000000003</v>
      </c>
      <c r="L200" s="221">
        <f t="shared" si="107"/>
        <v>3557.9609999999998</v>
      </c>
      <c r="M200" s="77">
        <f t="shared" si="108"/>
        <v>644.76892335665866</v>
      </c>
      <c r="N200" s="221">
        <f t="shared" si="109"/>
        <v>3022.5067249949898</v>
      </c>
      <c r="O200" s="77">
        <f t="shared" si="100"/>
        <v>54762592.5</v>
      </c>
      <c r="P200" s="221">
        <f t="shared" si="101"/>
        <v>33538572.5</v>
      </c>
      <c r="Q200" s="77">
        <f t="shared" si="102"/>
        <v>24720194.399999999</v>
      </c>
      <c r="R200" s="221">
        <f t="shared" si="110"/>
        <v>9309640.7250000015</v>
      </c>
      <c r="S200" s="77">
        <f t="shared" si="111"/>
        <v>45452951.774999999</v>
      </c>
      <c r="T200" s="221">
        <f t="shared" si="112"/>
        <v>10242874.005689589</v>
      </c>
      <c r="U200" s="77">
        <f t="shared" si="113"/>
        <v>48015892.894310407</v>
      </c>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row>
    <row r="201" spans="1:78" x14ac:dyDescent="0.2">
      <c r="A201" s="65">
        <f t="shared" si="96"/>
        <v>2041</v>
      </c>
      <c r="B201" s="221">
        <f>ROUND($B$200*(1+$B$248)^(A201-$A$200),0)</f>
        <v>18350</v>
      </c>
      <c r="C201" s="77">
        <f t="shared" si="93"/>
        <v>3120</v>
      </c>
      <c r="D201" s="221">
        <f t="shared" si="94"/>
        <v>15230</v>
      </c>
      <c r="E201" s="77">
        <f>ROUND($E$215*(1+$B$248)^(A201-$A$215),0)</f>
        <v>8516</v>
      </c>
      <c r="F201" s="221">
        <f t="shared" ref="F201:F214" si="114">ROUND($F$215*(1+$B$248)^(A201-$A$215),0)</f>
        <v>12877</v>
      </c>
      <c r="G201" s="77">
        <f t="shared" si="104"/>
        <v>3761</v>
      </c>
      <c r="H201" s="221">
        <f>(E201+F201)-G201</f>
        <v>17632</v>
      </c>
      <c r="I201" s="77">
        <f t="shared" si="98"/>
        <v>4325.3571428571431</v>
      </c>
      <c r="J201" s="221">
        <f t="shared" si="99"/>
        <v>3725.9828791208793</v>
      </c>
      <c r="K201" s="77">
        <f t="shared" si="106"/>
        <v>735.31071428571443</v>
      </c>
      <c r="L201" s="221">
        <f>$I201-K201</f>
        <v>3590.0464285714288</v>
      </c>
      <c r="M201" s="77">
        <f>$J201*($G201/($E201+F201))</f>
        <v>655.04705316569095</v>
      </c>
      <c r="N201" s="221">
        <f>$J201-M201</f>
        <v>3070.9358259551882</v>
      </c>
      <c r="O201" s="77">
        <f t="shared" si="100"/>
        <v>55256437.5</v>
      </c>
      <c r="P201" s="221">
        <f t="shared" si="101"/>
        <v>34075761.25</v>
      </c>
      <c r="Q201" s="77">
        <f t="shared" si="102"/>
        <v>25115387.199999999</v>
      </c>
      <c r="R201" s="221">
        <f t="shared" si="110"/>
        <v>9393594.375</v>
      </c>
      <c r="S201" s="77">
        <f>$O201-R201</f>
        <v>45862843.125</v>
      </c>
      <c r="T201" s="221">
        <f t="shared" si="112"/>
        <v>10406109.910739494</v>
      </c>
      <c r="U201" s="77">
        <f t="shared" si="113"/>
        <v>48785038.539260507</v>
      </c>
      <c r="V201" s="142"/>
      <c r="W201" s="142"/>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row>
    <row r="202" spans="1:78" x14ac:dyDescent="0.2">
      <c r="A202" s="65">
        <f t="shared" si="96"/>
        <v>2042</v>
      </c>
      <c r="B202" s="221">
        <f t="shared" ref="B202:B215" si="115">ROUND($B$200*(1+$B$248)^(A202-$A$200),0)</f>
        <v>18515</v>
      </c>
      <c r="C202" s="77">
        <f t="shared" si="93"/>
        <v>3148</v>
      </c>
      <c r="D202" s="221">
        <f t="shared" si="94"/>
        <v>15367</v>
      </c>
      <c r="E202" s="77">
        <f t="shared" ref="E202:E214" si="116">ROUND($E$215*(1+$B$248)^(A202-$A$215),0)</f>
        <v>8592</v>
      </c>
      <c r="F202" s="221">
        <f>ROUND($F$215*(1+$B$248)^(A202-$A$215),0)</f>
        <v>12993</v>
      </c>
      <c r="G202" s="77">
        <f t="shared" si="104"/>
        <v>3795</v>
      </c>
      <c r="H202" s="221">
        <f t="shared" si="105"/>
        <v>17790</v>
      </c>
      <c r="I202" s="77">
        <f t="shared" si="98"/>
        <v>4364.25</v>
      </c>
      <c r="J202" s="221">
        <f t="shared" si="99"/>
        <v>3759.4588351648354</v>
      </c>
      <c r="K202" s="77">
        <f t="shared" si="106"/>
        <v>741.92250000000001</v>
      </c>
      <c r="L202" s="221">
        <f t="shared" si="107"/>
        <v>3622.3274999999999</v>
      </c>
      <c r="M202" s="77">
        <f t="shared" si="108"/>
        <v>660.97504190180916</v>
      </c>
      <c r="N202" s="221">
        <f t="shared" si="109"/>
        <v>3098.4837932630262</v>
      </c>
      <c r="O202" s="77">
        <f t="shared" si="100"/>
        <v>55753293.75</v>
      </c>
      <c r="P202" s="221">
        <f t="shared" si="101"/>
        <v>34382726.25</v>
      </c>
      <c r="Q202" s="77">
        <f t="shared" si="102"/>
        <v>25339526.399999999</v>
      </c>
      <c r="R202" s="221">
        <f t="shared" si="110"/>
        <v>9478059.9375</v>
      </c>
      <c r="S202" s="77">
        <f t="shared" si="111"/>
        <v>46275233.8125</v>
      </c>
      <c r="T202" s="221">
        <f t="shared" si="112"/>
        <v>10500159.777936066</v>
      </c>
      <c r="U202" s="77">
        <f t="shared" si="113"/>
        <v>49222092.872063935</v>
      </c>
      <c r="V202" s="142"/>
      <c r="W202" s="142"/>
      <c r="X202" s="142"/>
      <c r="Y202" s="142"/>
      <c r="Z202" s="14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row>
    <row r="203" spans="1:78" x14ac:dyDescent="0.2">
      <c r="A203" s="65">
        <f t="shared" si="96"/>
        <v>2043</v>
      </c>
      <c r="B203" s="221">
        <f t="shared" si="115"/>
        <v>18681</v>
      </c>
      <c r="C203" s="77">
        <f t="shared" si="93"/>
        <v>3176</v>
      </c>
      <c r="D203" s="221">
        <f t="shared" si="94"/>
        <v>15505</v>
      </c>
      <c r="E203" s="77">
        <f t="shared" si="116"/>
        <v>8670</v>
      </c>
      <c r="F203" s="221">
        <f t="shared" si="114"/>
        <v>13110</v>
      </c>
      <c r="G203" s="77">
        <f t="shared" si="104"/>
        <v>3830</v>
      </c>
      <c r="H203" s="221">
        <f t="shared" si="105"/>
        <v>17950</v>
      </c>
      <c r="I203" s="77">
        <f t="shared" si="98"/>
        <v>4403.3785714285714</v>
      </c>
      <c r="J203" s="221">
        <f t="shared" si="99"/>
        <v>3793.3905494505498</v>
      </c>
      <c r="K203" s="77">
        <f t="shared" si="106"/>
        <v>748.57435714285714</v>
      </c>
      <c r="L203" s="221">
        <f t="shared" si="107"/>
        <v>3654.8042142857144</v>
      </c>
      <c r="M203" s="77">
        <f t="shared" si="108"/>
        <v>667.06546393000951</v>
      </c>
      <c r="N203" s="221">
        <f t="shared" si="109"/>
        <v>3126.3250855205401</v>
      </c>
      <c r="O203" s="77">
        <f t="shared" si="100"/>
        <v>56253161.25</v>
      </c>
      <c r="P203" s="221">
        <f t="shared" si="101"/>
        <v>34692337.5</v>
      </c>
      <c r="Q203" s="77">
        <f t="shared" si="102"/>
        <v>25569564.000000004</v>
      </c>
      <c r="R203" s="221">
        <f t="shared" si="110"/>
        <v>9563037.4125000015</v>
      </c>
      <c r="S203" s="77">
        <f t="shared" si="111"/>
        <v>46690123.837499999</v>
      </c>
      <c r="T203" s="221">
        <f t="shared" si="112"/>
        <v>10597019.409779616</v>
      </c>
      <c r="U203" s="77">
        <f t="shared" si="113"/>
        <v>49664882.090220384</v>
      </c>
      <c r="V203" s="142"/>
      <c r="W203" s="142"/>
      <c r="X203" s="142"/>
      <c r="Y203" s="142"/>
      <c r="Z203" s="14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row>
    <row r="204" spans="1:78" x14ac:dyDescent="0.2">
      <c r="A204" s="65">
        <f t="shared" si="96"/>
        <v>2044</v>
      </c>
      <c r="B204" s="221">
        <f t="shared" si="115"/>
        <v>18850</v>
      </c>
      <c r="C204" s="77">
        <f t="shared" si="93"/>
        <v>3205</v>
      </c>
      <c r="D204" s="221">
        <f t="shared" si="94"/>
        <v>15645</v>
      </c>
      <c r="E204" s="77">
        <f t="shared" si="116"/>
        <v>8748</v>
      </c>
      <c r="F204" s="221">
        <f t="shared" si="114"/>
        <v>13228</v>
      </c>
      <c r="G204" s="77">
        <f t="shared" si="104"/>
        <v>3864</v>
      </c>
      <c r="H204" s="221">
        <f t="shared" si="105"/>
        <v>18112</v>
      </c>
      <c r="I204" s="77">
        <f t="shared" si="98"/>
        <v>4443.2142857142853</v>
      </c>
      <c r="J204" s="221">
        <f t="shared" si="99"/>
        <v>3827.5294065934067</v>
      </c>
      <c r="K204" s="77">
        <f t="shared" si="106"/>
        <v>755.34642857142853</v>
      </c>
      <c r="L204" s="221">
        <f t="shared" si="107"/>
        <v>3687.8678571428568</v>
      </c>
      <c r="M204" s="77">
        <f t="shared" si="108"/>
        <v>672.98751488336939</v>
      </c>
      <c r="N204" s="221">
        <f t="shared" si="109"/>
        <v>3154.5418917100374</v>
      </c>
      <c r="O204" s="77">
        <f t="shared" si="100"/>
        <v>56762062.5</v>
      </c>
      <c r="P204" s="221">
        <f t="shared" si="101"/>
        <v>35004595</v>
      </c>
      <c r="Q204" s="77">
        <f t="shared" si="102"/>
        <v>25799601.599999998</v>
      </c>
      <c r="R204" s="221">
        <f t="shared" si="110"/>
        <v>9649550.625</v>
      </c>
      <c r="S204" s="77">
        <f t="shared" si="111"/>
        <v>47112511.875</v>
      </c>
      <c r="T204" s="221">
        <f t="shared" si="112"/>
        <v>10691090.993010556</v>
      </c>
      <c r="U204" s="77">
        <f t="shared" si="113"/>
        <v>50113105.606989436</v>
      </c>
      <c r="V204" s="142"/>
      <c r="W204" s="142"/>
      <c r="X204" s="142"/>
      <c r="Y204" s="142"/>
      <c r="Z204" s="14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row>
    <row r="205" spans="1:78" x14ac:dyDescent="0.2">
      <c r="A205" s="65">
        <f t="shared" si="96"/>
        <v>2045</v>
      </c>
      <c r="B205" s="221">
        <f t="shared" si="115"/>
        <v>19019</v>
      </c>
      <c r="C205" s="77">
        <f t="shared" si="93"/>
        <v>3233</v>
      </c>
      <c r="D205" s="221">
        <f t="shared" si="94"/>
        <v>15786</v>
      </c>
      <c r="E205" s="77">
        <f t="shared" si="116"/>
        <v>8826</v>
      </c>
      <c r="F205" s="221">
        <f t="shared" si="114"/>
        <v>13347</v>
      </c>
      <c r="G205" s="77">
        <f t="shared" si="104"/>
        <v>3899</v>
      </c>
      <c r="H205" s="221">
        <f t="shared" si="105"/>
        <v>18274</v>
      </c>
      <c r="I205" s="77">
        <f t="shared" si="98"/>
        <v>4483.05</v>
      </c>
      <c r="J205" s="221">
        <f t="shared" si="99"/>
        <v>3861.8754065934068</v>
      </c>
      <c r="K205" s="77">
        <f t="shared" si="106"/>
        <v>762.11850000000004</v>
      </c>
      <c r="L205" s="221">
        <f t="shared" si="107"/>
        <v>3720.9315000000001</v>
      </c>
      <c r="M205" s="77">
        <f t="shared" si="108"/>
        <v>679.08953277895159</v>
      </c>
      <c r="N205" s="221">
        <f t="shared" si="109"/>
        <v>3182.785873814455</v>
      </c>
      <c r="O205" s="77">
        <f t="shared" si="100"/>
        <v>57270963.75</v>
      </c>
      <c r="P205" s="221">
        <f t="shared" si="101"/>
        <v>35319498.75</v>
      </c>
      <c r="Q205" s="77">
        <f t="shared" si="102"/>
        <v>26029639.199999999</v>
      </c>
      <c r="R205" s="221">
        <f t="shared" si="110"/>
        <v>9736063.8375000004</v>
      </c>
      <c r="S205" s="77">
        <f t="shared" si="111"/>
        <v>47534899.912500001</v>
      </c>
      <c r="T205" s="221">
        <f t="shared" si="112"/>
        <v>10787908.21571506</v>
      </c>
      <c r="U205" s="77">
        <f t="shared" si="113"/>
        <v>50561229.734284945</v>
      </c>
      <c r="V205" s="142"/>
      <c r="W205" s="142"/>
      <c r="X205" s="142"/>
      <c r="Y205" s="142"/>
      <c r="Z205" s="14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row>
    <row r="206" spans="1:78" x14ac:dyDescent="0.2">
      <c r="A206" s="65">
        <f t="shared" si="96"/>
        <v>2046</v>
      </c>
      <c r="B206" s="221">
        <f>ROUND($B$200*(1+$B$248)^(A206-$A$200),0)</f>
        <v>19190</v>
      </c>
      <c r="C206" s="77">
        <f t="shared" si="93"/>
        <v>3262</v>
      </c>
      <c r="D206" s="221">
        <f t="shared" si="94"/>
        <v>15928</v>
      </c>
      <c r="E206" s="77">
        <f t="shared" si="116"/>
        <v>8906</v>
      </c>
      <c r="F206" s="221">
        <f t="shared" si="114"/>
        <v>13467</v>
      </c>
      <c r="G206" s="77">
        <f t="shared" si="104"/>
        <v>3934</v>
      </c>
      <c r="H206" s="221">
        <f t="shared" si="105"/>
        <v>18439</v>
      </c>
      <c r="I206" s="77">
        <f t="shared" si="98"/>
        <v>4523.3571428571431</v>
      </c>
      <c r="J206" s="221">
        <f t="shared" si="99"/>
        <v>3896.6771648351651</v>
      </c>
      <c r="K206" s="77">
        <f t="shared" si="106"/>
        <v>768.97071428571439</v>
      </c>
      <c r="L206" s="221">
        <f t="shared" si="107"/>
        <v>3754.386428571429</v>
      </c>
      <c r="M206" s="77">
        <f t="shared" si="108"/>
        <v>685.17981345646706</v>
      </c>
      <c r="N206" s="221">
        <f t="shared" si="109"/>
        <v>3211.4973513786981</v>
      </c>
      <c r="O206" s="77">
        <f t="shared" si="100"/>
        <v>57785887.5</v>
      </c>
      <c r="P206" s="221">
        <f t="shared" si="101"/>
        <v>35637048.75</v>
      </c>
      <c r="Q206" s="77">
        <f t="shared" si="102"/>
        <v>26265575.199999999</v>
      </c>
      <c r="R206" s="221">
        <f t="shared" si="110"/>
        <v>9823600.875</v>
      </c>
      <c r="S206" s="77">
        <f t="shared" si="111"/>
        <v>47962286.625</v>
      </c>
      <c r="T206" s="221">
        <f t="shared" si="112"/>
        <v>10884768.364515264</v>
      </c>
      <c r="U206" s="77">
        <f t="shared" si="113"/>
        <v>51017855.585484743</v>
      </c>
      <c r="V206" s="142"/>
      <c r="W206" s="142"/>
      <c r="X206" s="142"/>
      <c r="Y206" s="142"/>
      <c r="Z206" s="14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row>
    <row r="207" spans="1:78" x14ac:dyDescent="0.2">
      <c r="A207" s="65">
        <f t="shared" si="96"/>
        <v>2047</v>
      </c>
      <c r="B207" s="221">
        <f t="shared" si="115"/>
        <v>19363</v>
      </c>
      <c r="C207" s="77">
        <f t="shared" si="93"/>
        <v>3292</v>
      </c>
      <c r="D207" s="221">
        <f t="shared" si="94"/>
        <v>16071</v>
      </c>
      <c r="E207" s="77">
        <f t="shared" si="116"/>
        <v>8986</v>
      </c>
      <c r="F207" s="221">
        <f t="shared" si="114"/>
        <v>13589</v>
      </c>
      <c r="G207" s="77">
        <f t="shared" si="104"/>
        <v>3969</v>
      </c>
      <c r="H207" s="221">
        <f t="shared" si="105"/>
        <v>18606</v>
      </c>
      <c r="I207" s="77">
        <f t="shared" si="98"/>
        <v>4564.1357142857141</v>
      </c>
      <c r="J207" s="221">
        <f t="shared" si="99"/>
        <v>3931.893208791209</v>
      </c>
      <c r="K207" s="77">
        <f t="shared" si="106"/>
        <v>775.90307142857148</v>
      </c>
      <c r="L207" s="221">
        <f t="shared" si="107"/>
        <v>3788.2326428571428</v>
      </c>
      <c r="M207" s="77">
        <f t="shared" si="108"/>
        <v>691.28168973166373</v>
      </c>
      <c r="N207" s="221">
        <f t="shared" si="109"/>
        <v>3240.6115190595451</v>
      </c>
      <c r="O207" s="77">
        <f t="shared" si="100"/>
        <v>58306833.75</v>
      </c>
      <c r="P207" s="221">
        <f t="shared" si="101"/>
        <v>35959891.25</v>
      </c>
      <c r="Q207" s="77">
        <f t="shared" si="102"/>
        <v>26501511.200000003</v>
      </c>
      <c r="R207" s="221">
        <f t="shared" si="110"/>
        <v>9912161.7375000007</v>
      </c>
      <c r="S207" s="77">
        <f t="shared" si="111"/>
        <v>48394672.012500003</v>
      </c>
      <c r="T207" s="221">
        <f t="shared" si="112"/>
        <v>10981586.10516279</v>
      </c>
      <c r="U207" s="77">
        <f t="shared" si="113"/>
        <v>51479816.344837211</v>
      </c>
      <c r="V207" s="142"/>
      <c r="W207" s="142"/>
      <c r="X207" s="142"/>
      <c r="Y207" s="142"/>
      <c r="Z207" s="14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row>
    <row r="208" spans="1:78" x14ac:dyDescent="0.2">
      <c r="A208" s="65">
        <f t="shared" si="96"/>
        <v>2048</v>
      </c>
      <c r="B208" s="221">
        <f t="shared" si="115"/>
        <v>19537</v>
      </c>
      <c r="C208" s="77">
        <f t="shared" si="93"/>
        <v>3321</v>
      </c>
      <c r="D208" s="221">
        <f t="shared" si="94"/>
        <v>16216</v>
      </c>
      <c r="E208" s="77">
        <f t="shared" si="116"/>
        <v>9067</v>
      </c>
      <c r="F208" s="221">
        <f t="shared" si="114"/>
        <v>13711</v>
      </c>
      <c r="G208" s="77">
        <f t="shared" si="104"/>
        <v>4005</v>
      </c>
      <c r="H208" s="221">
        <f t="shared" si="105"/>
        <v>18773</v>
      </c>
      <c r="I208" s="77">
        <f t="shared" si="98"/>
        <v>4605.1499999999996</v>
      </c>
      <c r="J208" s="221">
        <f t="shared" si="99"/>
        <v>3967.2335604395607</v>
      </c>
      <c r="K208" s="77">
        <f t="shared" si="106"/>
        <v>782.87549999999999</v>
      </c>
      <c r="L208" s="221">
        <f t="shared" si="107"/>
        <v>3822.2744999999995</v>
      </c>
      <c r="M208" s="77">
        <f t="shared" si="108"/>
        <v>697.54896872247082</v>
      </c>
      <c r="N208" s="221">
        <f t="shared" si="109"/>
        <v>3269.6845917170899</v>
      </c>
      <c r="O208" s="77">
        <f t="shared" si="100"/>
        <v>58830791.25</v>
      </c>
      <c r="P208" s="221">
        <f t="shared" si="101"/>
        <v>36282733.75</v>
      </c>
      <c r="Q208" s="77">
        <f t="shared" si="102"/>
        <v>26740396.399999999</v>
      </c>
      <c r="R208" s="221">
        <f t="shared" si="110"/>
        <v>10001234.512500001</v>
      </c>
      <c r="S208" s="77">
        <f t="shared" si="111"/>
        <v>48829556.737499997</v>
      </c>
      <c r="T208" s="221">
        <f t="shared" si="112"/>
        <v>11081202.750493897</v>
      </c>
      <c r="U208" s="77">
        <f t="shared" si="113"/>
        <v>51941927.3995061</v>
      </c>
      <c r="V208" s="142"/>
      <c r="W208" s="142"/>
      <c r="X208" s="142"/>
      <c r="Y208" s="142"/>
      <c r="Z208" s="14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row>
    <row r="209" spans="1:78" x14ac:dyDescent="0.2">
      <c r="A209" s="65">
        <f t="shared" si="96"/>
        <v>2049</v>
      </c>
      <c r="B209" s="221">
        <f t="shared" si="115"/>
        <v>19713</v>
      </c>
      <c r="C209" s="77">
        <f t="shared" si="93"/>
        <v>3351</v>
      </c>
      <c r="D209" s="221">
        <f t="shared" si="94"/>
        <v>16362</v>
      </c>
      <c r="E209" s="77">
        <f t="shared" si="116"/>
        <v>9149</v>
      </c>
      <c r="F209" s="221">
        <f t="shared" si="114"/>
        <v>13834</v>
      </c>
      <c r="G209" s="77">
        <f t="shared" si="104"/>
        <v>4041</v>
      </c>
      <c r="H209" s="221">
        <f t="shared" si="105"/>
        <v>18942</v>
      </c>
      <c r="I209" s="77">
        <f t="shared" si="98"/>
        <v>4646.6357142857141</v>
      </c>
      <c r="J209" s="221">
        <f t="shared" si="99"/>
        <v>4002.9053626373629</v>
      </c>
      <c r="K209" s="77">
        <f t="shared" si="106"/>
        <v>789.92807142857146</v>
      </c>
      <c r="L209" s="221">
        <f t="shared" si="107"/>
        <v>3856.7076428571427</v>
      </c>
      <c r="M209" s="77">
        <f t="shared" si="108"/>
        <v>703.8132780932682</v>
      </c>
      <c r="N209" s="221">
        <f t="shared" si="109"/>
        <v>3299.0920845440946</v>
      </c>
      <c r="O209" s="77">
        <f t="shared" si="100"/>
        <v>59360771.25</v>
      </c>
      <c r="P209" s="221">
        <f t="shared" si="101"/>
        <v>36608222.5</v>
      </c>
      <c r="Q209" s="77">
        <f t="shared" si="102"/>
        <v>26982230.800000001</v>
      </c>
      <c r="R209" s="221">
        <f t="shared" si="110"/>
        <v>10091331.112500001</v>
      </c>
      <c r="S209" s="77">
        <f t="shared" si="111"/>
        <v>49269440.137500003</v>
      </c>
      <c r="T209" s="221">
        <f t="shared" si="112"/>
        <v>11180830.256506983</v>
      </c>
      <c r="U209" s="77">
        <f t="shared" si="113"/>
        <v>52409623.043493018</v>
      </c>
      <c r="V209" s="142"/>
      <c r="W209" s="142"/>
      <c r="X209" s="142"/>
      <c r="Y209" s="142"/>
      <c r="Z209" s="14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row>
    <row r="210" spans="1:78" x14ac:dyDescent="0.2">
      <c r="A210" s="65">
        <f t="shared" si="96"/>
        <v>2050</v>
      </c>
      <c r="B210" s="221">
        <f t="shared" si="115"/>
        <v>19891</v>
      </c>
      <c r="C210" s="77">
        <f t="shared" si="93"/>
        <v>3381</v>
      </c>
      <c r="D210" s="221">
        <f t="shared" si="94"/>
        <v>16510</v>
      </c>
      <c r="E210" s="77">
        <f t="shared" si="116"/>
        <v>9231</v>
      </c>
      <c r="F210" s="221">
        <f t="shared" si="114"/>
        <v>13959</v>
      </c>
      <c r="G210" s="77">
        <f t="shared" si="104"/>
        <v>4077</v>
      </c>
      <c r="H210" s="221">
        <f>(E210+F210)-G210</f>
        <v>19113</v>
      </c>
      <c r="I210" s="77">
        <f t="shared" si="98"/>
        <v>4688.5928571428567</v>
      </c>
      <c r="J210" s="221">
        <f t="shared" si="99"/>
        <v>4038.9914505494507</v>
      </c>
      <c r="K210" s="77">
        <f t="shared" si="106"/>
        <v>797.06078571428566</v>
      </c>
      <c r="L210" s="221">
        <f t="shared" si="107"/>
        <v>3891.5320714285708</v>
      </c>
      <c r="M210" s="77">
        <f t="shared" si="108"/>
        <v>710.08918257395908</v>
      </c>
      <c r="N210" s="221">
        <f t="shared" si="109"/>
        <v>3328.9022679754917</v>
      </c>
      <c r="O210" s="77">
        <f t="shared" si="100"/>
        <v>59896773.75</v>
      </c>
      <c r="P210" s="221">
        <f t="shared" si="101"/>
        <v>36939003.75</v>
      </c>
      <c r="Q210" s="77">
        <f t="shared" si="102"/>
        <v>27224065.199999999</v>
      </c>
      <c r="R210" s="221">
        <f t="shared" si="110"/>
        <v>10182451.537500001</v>
      </c>
      <c r="S210" s="77">
        <f t="shared" si="111"/>
        <v>49714322.212499999</v>
      </c>
      <c r="T210" s="221">
        <f t="shared" si="112"/>
        <v>11280415.356151359</v>
      </c>
      <c r="U210" s="77">
        <f t="shared" si="113"/>
        <v>52882653.593848646</v>
      </c>
      <c r="V210" s="142"/>
      <c r="W210" s="142"/>
      <c r="X210" s="142"/>
      <c r="Y210" s="142"/>
      <c r="Z210" s="14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row>
    <row r="211" spans="1:78" x14ac:dyDescent="0.2">
      <c r="A211" s="65">
        <f t="shared" si="96"/>
        <v>2051</v>
      </c>
      <c r="B211" s="221">
        <f t="shared" si="115"/>
        <v>20070</v>
      </c>
      <c r="C211" s="77">
        <f t="shared" si="93"/>
        <v>3412</v>
      </c>
      <c r="D211" s="221">
        <f t="shared" si="94"/>
        <v>16658</v>
      </c>
      <c r="E211" s="77">
        <f t="shared" si="116"/>
        <v>9314</v>
      </c>
      <c r="F211" s="221">
        <f t="shared" si="114"/>
        <v>14084</v>
      </c>
      <c r="G211" s="77">
        <f t="shared" si="104"/>
        <v>4114</v>
      </c>
      <c r="H211" s="221">
        <f t="shared" si="105"/>
        <v>19284</v>
      </c>
      <c r="I211" s="77">
        <f t="shared" si="98"/>
        <v>4730.7857142857138</v>
      </c>
      <c r="J211" s="221">
        <f t="shared" si="99"/>
        <v>4075.2018461538464</v>
      </c>
      <c r="K211" s="77">
        <f t="shared" si="106"/>
        <v>804.23357142857139</v>
      </c>
      <c r="L211" s="221">
        <f t="shared" si="107"/>
        <v>3926.5521428571424</v>
      </c>
      <c r="M211" s="77">
        <f t="shared" si="108"/>
        <v>716.53048957504586</v>
      </c>
      <c r="N211" s="221">
        <f t="shared" si="109"/>
        <v>3358.6713565788004</v>
      </c>
      <c r="O211" s="77">
        <f t="shared" si="100"/>
        <v>60435787.5</v>
      </c>
      <c r="P211" s="221">
        <f t="shared" si="101"/>
        <v>37269785</v>
      </c>
      <c r="Q211" s="77">
        <f t="shared" si="102"/>
        <v>27468848.799999997</v>
      </c>
      <c r="R211" s="221">
        <f t="shared" si="110"/>
        <v>10274083.875</v>
      </c>
      <c r="S211" s="77">
        <f t="shared" si="111"/>
        <v>50161703.625</v>
      </c>
      <c r="T211" s="221">
        <f t="shared" si="112"/>
        <v>11382799.361193264</v>
      </c>
      <c r="U211" s="77">
        <f t="shared" si="113"/>
        <v>53355834.438806735</v>
      </c>
      <c r="V211" s="142"/>
      <c r="W211" s="142"/>
      <c r="X211" s="142"/>
      <c r="Y211" s="142"/>
      <c r="Z211" s="14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row>
    <row r="212" spans="1:78" x14ac:dyDescent="0.2">
      <c r="A212" s="65">
        <f t="shared" si="96"/>
        <v>2052</v>
      </c>
      <c r="B212" s="221">
        <f t="shared" si="115"/>
        <v>20250</v>
      </c>
      <c r="C212" s="77">
        <f t="shared" si="93"/>
        <v>3443</v>
      </c>
      <c r="D212" s="221">
        <f t="shared" si="94"/>
        <v>16807</v>
      </c>
      <c r="E212" s="77">
        <f t="shared" si="116"/>
        <v>9398</v>
      </c>
      <c r="F212" s="221">
        <f t="shared" si="114"/>
        <v>14211</v>
      </c>
      <c r="G212" s="77">
        <f t="shared" si="104"/>
        <v>4151</v>
      </c>
      <c r="H212" s="221">
        <f>(E212+F212)-G212</f>
        <v>19458</v>
      </c>
      <c r="I212" s="77">
        <f t="shared" si="98"/>
        <v>4773.2142857142853</v>
      </c>
      <c r="J212" s="221">
        <f t="shared" si="99"/>
        <v>4111.9508351648356</v>
      </c>
      <c r="K212" s="77">
        <f t="shared" si="106"/>
        <v>811.44642857142856</v>
      </c>
      <c r="L212" s="221">
        <f t="shared" si="107"/>
        <v>3961.7678571428569</v>
      </c>
      <c r="M212" s="77">
        <f t="shared" si="108"/>
        <v>722.97462479432556</v>
      </c>
      <c r="N212" s="221">
        <f t="shared" si="109"/>
        <v>3388.9762103705098</v>
      </c>
      <c r="O212" s="77">
        <f t="shared" si="100"/>
        <v>60977812.5</v>
      </c>
      <c r="P212" s="221">
        <f t="shared" si="101"/>
        <v>37605858.75</v>
      </c>
      <c r="Q212" s="77">
        <f t="shared" si="102"/>
        <v>27716581.599999998</v>
      </c>
      <c r="R212" s="221">
        <f t="shared" si="110"/>
        <v>10366228.125</v>
      </c>
      <c r="S212" s="77">
        <f t="shared" si="111"/>
        <v>50611584.375</v>
      </c>
      <c r="T212" s="221">
        <f t="shared" si="112"/>
        <v>11485173.022696853</v>
      </c>
      <c r="U212" s="77">
        <f t="shared" si="113"/>
        <v>53837267.327303141</v>
      </c>
      <c r="V212" s="142"/>
      <c r="W212" s="142"/>
      <c r="X212" s="142"/>
      <c r="Y212" s="142"/>
      <c r="Z212" s="14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row>
    <row r="213" spans="1:78" x14ac:dyDescent="0.2">
      <c r="A213" s="65">
        <f t="shared" si="96"/>
        <v>2053</v>
      </c>
      <c r="B213" s="221">
        <f t="shared" si="115"/>
        <v>20433</v>
      </c>
      <c r="C213" s="77">
        <f t="shared" si="93"/>
        <v>3474</v>
      </c>
      <c r="D213" s="221">
        <f t="shared" si="94"/>
        <v>16959</v>
      </c>
      <c r="E213" s="77">
        <f t="shared" si="116"/>
        <v>9482</v>
      </c>
      <c r="F213" s="221">
        <f t="shared" si="114"/>
        <v>14339</v>
      </c>
      <c r="G213" s="77">
        <f t="shared" si="104"/>
        <v>4188</v>
      </c>
      <c r="H213" s="221">
        <f t="shared" si="105"/>
        <v>19633</v>
      </c>
      <c r="I213" s="77">
        <f t="shared" si="98"/>
        <v>4816.3499999999995</v>
      </c>
      <c r="J213" s="221">
        <f t="shared" si="99"/>
        <v>4148.9069670329673</v>
      </c>
      <c r="K213" s="77">
        <f t="shared" si="106"/>
        <v>818.77949999999998</v>
      </c>
      <c r="L213" s="221">
        <f t="shared" si="107"/>
        <v>3997.5704999999994</v>
      </c>
      <c r="M213" s="77">
        <f t="shared" si="108"/>
        <v>729.42455723664273</v>
      </c>
      <c r="N213" s="221">
        <f t="shared" si="109"/>
        <v>3419.4824097963246</v>
      </c>
      <c r="O213" s="77">
        <f t="shared" si="100"/>
        <v>61528871.25</v>
      </c>
      <c r="P213" s="221">
        <f t="shared" si="101"/>
        <v>37944578.75</v>
      </c>
      <c r="Q213" s="77">
        <f t="shared" si="102"/>
        <v>27964314.399999999</v>
      </c>
      <c r="R213" s="221">
        <f t="shared" si="110"/>
        <v>10459908.112500001</v>
      </c>
      <c r="S213" s="77">
        <f t="shared" si="111"/>
        <v>51068963.137500003</v>
      </c>
      <c r="T213" s="221">
        <f t="shared" si="112"/>
        <v>11587525.482229965</v>
      </c>
      <c r="U213" s="77">
        <f t="shared" si="113"/>
        <v>54321367.667770036</v>
      </c>
      <c r="V213" s="142"/>
      <c r="W213" s="142"/>
      <c r="X213" s="142"/>
      <c r="Y213" s="142"/>
      <c r="Z213" s="14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row>
    <row r="214" spans="1:78" x14ac:dyDescent="0.2">
      <c r="A214" s="65">
        <f t="shared" si="96"/>
        <v>2054</v>
      </c>
      <c r="B214" s="221">
        <f t="shared" si="115"/>
        <v>20616</v>
      </c>
      <c r="C214" s="77">
        <f t="shared" si="93"/>
        <v>3505</v>
      </c>
      <c r="D214" s="221">
        <f t="shared" si="94"/>
        <v>17111</v>
      </c>
      <c r="E214" s="77">
        <f t="shared" si="116"/>
        <v>9568</v>
      </c>
      <c r="F214" s="221">
        <f t="shared" si="114"/>
        <v>14468</v>
      </c>
      <c r="G214" s="77">
        <f t="shared" si="104"/>
        <v>4226</v>
      </c>
      <c r="H214" s="221">
        <f>(E214+F214)-G214</f>
        <v>19810</v>
      </c>
      <c r="I214" s="77">
        <f t="shared" si="98"/>
        <v>4859.4857142857145</v>
      </c>
      <c r="J214" s="221">
        <f t="shared" si="99"/>
        <v>4186.3188571428573</v>
      </c>
      <c r="K214" s="77">
        <f t="shared" si="106"/>
        <v>826.11257142857153</v>
      </c>
      <c r="L214" s="221">
        <f t="shared" si="107"/>
        <v>4033.3731428571427</v>
      </c>
      <c r="M214" s="77">
        <f>$J214*($G214/($E214+F214))</f>
        <v>736.03692337683947</v>
      </c>
      <c r="N214" s="221">
        <f>$J214-M214</f>
        <v>3450.2819337660176</v>
      </c>
      <c r="O214" s="77">
        <f t="shared" si="100"/>
        <v>62079930</v>
      </c>
      <c r="P214" s="221">
        <f t="shared" si="101"/>
        <v>38285945</v>
      </c>
      <c r="Q214" s="77">
        <f t="shared" si="102"/>
        <v>28217945.600000001</v>
      </c>
      <c r="R214" s="221">
        <f t="shared" si="110"/>
        <v>10553588.100000001</v>
      </c>
      <c r="S214" s="77">
        <f t="shared" si="111"/>
        <v>51526341.899999999</v>
      </c>
      <c r="T214" s="221">
        <f t="shared" si="112"/>
        <v>11692687.704925945</v>
      </c>
      <c r="U214" s="77">
        <f t="shared" si="113"/>
        <v>54811202.895074055</v>
      </c>
      <c r="V214" s="142"/>
      <c r="W214" s="142"/>
      <c r="X214" s="142"/>
      <c r="Y214" s="142"/>
      <c r="Z214" s="14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row>
    <row r="215" spans="1:78" x14ac:dyDescent="0.2">
      <c r="A215" s="65">
        <f t="shared" si="96"/>
        <v>2055</v>
      </c>
      <c r="B215" s="221">
        <f t="shared" si="115"/>
        <v>20802</v>
      </c>
      <c r="C215" s="77">
        <f t="shared" si="93"/>
        <v>3536</v>
      </c>
      <c r="D215" s="221">
        <f t="shared" si="94"/>
        <v>17266</v>
      </c>
      <c r="E215" s="298">
        <f>K230</f>
        <v>9653.8366336633662</v>
      </c>
      <c r="F215" s="221">
        <f>K238</f>
        <v>14598.317241379311</v>
      </c>
      <c r="G215" s="77">
        <f t="shared" si="104"/>
        <v>4264</v>
      </c>
      <c r="H215" s="221">
        <f t="shared" ref="H215:H216" si="117">(E215+F215)-G215</f>
        <v>19988.153875042677</v>
      </c>
      <c r="I215" s="77">
        <f t="shared" si="98"/>
        <v>4903.3285714285712</v>
      </c>
      <c r="J215" s="221">
        <f t="shared" si="99"/>
        <v>4223.9832967032971</v>
      </c>
      <c r="K215" s="77">
        <f t="shared" si="106"/>
        <v>833.56585714285711</v>
      </c>
      <c r="L215" s="221">
        <f t="shared" si="107"/>
        <v>4069.7627142857141</v>
      </c>
      <c r="M215" s="77">
        <f>$J215*($G215/($E215+F215))</f>
        <v>742.6583580964998</v>
      </c>
      <c r="N215" s="221">
        <f>$J215-M215</f>
        <v>3481.3249386067973</v>
      </c>
      <c r="O215" s="77">
        <f t="shared" si="100"/>
        <v>62640022.5</v>
      </c>
      <c r="P215" s="221">
        <f t="shared" si="101"/>
        <v>38630797</v>
      </c>
      <c r="Q215" s="77">
        <f t="shared" si="102"/>
        <v>28471095</v>
      </c>
      <c r="R215" s="221">
        <f t="shared" si="110"/>
        <v>10648803.825000001</v>
      </c>
      <c r="S215" s="77">
        <f t="shared" si="111"/>
        <v>51991218.674999997</v>
      </c>
      <c r="T215" s="221">
        <f t="shared" si="112"/>
        <v>11797816.761439977</v>
      </c>
      <c r="U215" s="77">
        <f t="shared" si="113"/>
        <v>55304075.238560021</v>
      </c>
      <c r="V215" s="142"/>
      <c r="W215" s="142"/>
      <c r="X215" s="142"/>
      <c r="Y215" s="142"/>
      <c r="Z215" s="14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row>
    <row r="216" spans="1:78" x14ac:dyDescent="0.2">
      <c r="A216" s="75">
        <f t="shared" si="96"/>
        <v>2056</v>
      </c>
      <c r="B216" s="223">
        <f>ROUND($B$200*(1+$B$248)^(A216-$A$200),0)</f>
        <v>20989</v>
      </c>
      <c r="C216" s="78">
        <f t="shared" si="93"/>
        <v>3568</v>
      </c>
      <c r="D216" s="223">
        <f t="shared" si="94"/>
        <v>17421</v>
      </c>
      <c r="E216" s="78">
        <f>ROUND($E$215*(1+$B$248)^(A216-$A$215),0)</f>
        <v>9741</v>
      </c>
      <c r="F216" s="223">
        <f>ROUND($F$215*(1+$B$248)^(A216-$A$215),0)</f>
        <v>14730</v>
      </c>
      <c r="G216" s="78">
        <f t="shared" si="104"/>
        <v>4303</v>
      </c>
      <c r="H216" s="223">
        <f t="shared" si="117"/>
        <v>20168</v>
      </c>
      <c r="I216" s="78">
        <f t="shared" si="98"/>
        <v>4947.4071428571424</v>
      </c>
      <c r="J216" s="223">
        <f t="shared" si="99"/>
        <v>4262.0955164835168</v>
      </c>
      <c r="K216" s="78">
        <f t="shared" si="106"/>
        <v>841.05921428571423</v>
      </c>
      <c r="L216" s="223">
        <f t="shared" si="107"/>
        <v>4106.3479285714284</v>
      </c>
      <c r="M216" s="78">
        <f>$J216*($G216/($E216+F216))</f>
        <v>749.45024753498319</v>
      </c>
      <c r="N216" s="223">
        <f>$J216-M216</f>
        <v>3512.6452689485336</v>
      </c>
      <c r="O216" s="78">
        <f t="shared" si="100"/>
        <v>63203126.25</v>
      </c>
      <c r="P216" s="223">
        <f t="shared" si="101"/>
        <v>38979262.5</v>
      </c>
      <c r="Q216" s="78">
        <f t="shared" si="102"/>
        <v>28728157.199999999</v>
      </c>
      <c r="R216" s="223">
        <f t="shared" si="110"/>
        <v>10744531.4625</v>
      </c>
      <c r="S216" s="78">
        <f t="shared" si="111"/>
        <v>52458594.787500001</v>
      </c>
      <c r="T216" s="223">
        <f t="shared" si="112"/>
        <v>11905726.246132158</v>
      </c>
      <c r="U216" s="78">
        <f t="shared" si="113"/>
        <v>55801693.453867845</v>
      </c>
      <c r="V216" s="142"/>
      <c r="W216" s="142"/>
      <c r="X216" s="142"/>
      <c r="Y216" s="142"/>
      <c r="Z216" s="14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row>
    <row r="217" spans="1:78" x14ac:dyDescent="0.2">
      <c r="A217" s="226"/>
      <c r="B217" s="156"/>
      <c r="C217" s="229"/>
      <c r="D217" s="224"/>
      <c r="E217" s="224"/>
      <c r="F217" s="156"/>
      <c r="G217" s="229"/>
      <c r="H217" s="224"/>
      <c r="I217" s="224"/>
      <c r="J217" s="217"/>
      <c r="K217" s="217"/>
      <c r="L217" s="217"/>
      <c r="M217" s="217"/>
      <c r="N217" s="217"/>
      <c r="O217" s="217"/>
      <c r="P217" s="217"/>
      <c r="Q217" s="217"/>
      <c r="R217" s="217"/>
      <c r="S217" s="217"/>
      <c r="T217" s="217"/>
      <c r="U217" s="217"/>
      <c r="V217" s="142"/>
      <c r="W217" s="142"/>
      <c r="X217" s="142"/>
      <c r="Y217" s="142"/>
      <c r="Z217" s="14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row>
    <row r="218" spans="1:78" x14ac:dyDescent="0.2">
      <c r="A218" s="230"/>
      <c r="B218" s="230"/>
      <c r="C218" s="231"/>
      <c r="D218" s="224"/>
      <c r="E218" s="224"/>
      <c r="F218" s="156"/>
      <c r="G218" s="232"/>
      <c r="H218" s="231"/>
      <c r="I218" s="231"/>
      <c r="J218" s="231"/>
      <c r="K218" s="231"/>
      <c r="L218" s="233"/>
      <c r="M218" s="233"/>
      <c r="N218" s="233"/>
      <c r="O218" s="142"/>
      <c r="P218" s="142"/>
      <c r="Q218" s="142"/>
      <c r="R218" s="142"/>
      <c r="S218" s="142"/>
      <c r="T218" s="142"/>
      <c r="U218" s="142"/>
      <c r="V218" s="142"/>
      <c r="W218" s="142"/>
      <c r="X218" s="142"/>
      <c r="Y218" s="142"/>
      <c r="Z218" s="14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row>
    <row r="219" spans="1:78" ht="13.9" customHeight="1" x14ac:dyDescent="0.2">
      <c r="A219" s="426" t="s">
        <v>97</v>
      </c>
      <c r="B219" s="427"/>
      <c r="C219" s="427"/>
      <c r="D219" s="427"/>
      <c r="E219" s="427"/>
      <c r="F219" s="427"/>
      <c r="G219" s="427"/>
      <c r="H219" s="427"/>
      <c r="I219" s="427"/>
      <c r="J219" s="427"/>
      <c r="K219" s="428"/>
      <c r="L219" s="142"/>
      <c r="M219" s="155" t="s">
        <v>105</v>
      </c>
      <c r="N219" s="155" t="s">
        <v>28</v>
      </c>
      <c r="O219" s="82"/>
      <c r="P219" s="155"/>
      <c r="Q219" s="142"/>
      <c r="R219" s="142"/>
      <c r="S219" s="142"/>
      <c r="T219" s="142"/>
      <c r="U219" s="142"/>
      <c r="V219" s="142"/>
      <c r="W219" s="142"/>
      <c r="X219" s="142"/>
      <c r="Y219" s="142"/>
      <c r="Z219" s="14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row>
    <row r="220" spans="1:78" ht="13.9" customHeight="1" x14ac:dyDescent="0.2">
      <c r="A220" s="432"/>
      <c r="B220" s="390" t="s">
        <v>203</v>
      </c>
      <c r="C220" s="391"/>
      <c r="D220" s="391"/>
      <c r="E220" s="391"/>
      <c r="F220" s="391"/>
      <c r="G220" s="391"/>
      <c r="H220" s="391"/>
      <c r="I220" s="391"/>
      <c r="J220" s="391"/>
      <c r="K220" s="392"/>
      <c r="L220" s="142"/>
      <c r="M220" s="155">
        <v>1</v>
      </c>
      <c r="N220" s="284" t="s">
        <v>107</v>
      </c>
      <c r="O220" s="82"/>
      <c r="P220" s="82"/>
      <c r="Q220" s="142"/>
      <c r="R220" s="142"/>
      <c r="S220" s="142"/>
      <c r="T220" s="142"/>
      <c r="U220" s="142"/>
      <c r="V220" s="142"/>
      <c r="W220" s="142"/>
      <c r="X220" s="142"/>
      <c r="Y220" s="142"/>
      <c r="Z220" s="14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row>
    <row r="221" spans="1:78" ht="27" customHeight="1" x14ac:dyDescent="0.2">
      <c r="A221" s="432"/>
      <c r="B221" s="202">
        <v>1</v>
      </c>
      <c r="C221" s="202">
        <v>2</v>
      </c>
      <c r="D221" s="202">
        <v>3</v>
      </c>
      <c r="E221" s="202">
        <v>4</v>
      </c>
      <c r="F221" s="202">
        <v>5</v>
      </c>
      <c r="G221" s="202">
        <v>6</v>
      </c>
      <c r="H221" s="202">
        <v>7</v>
      </c>
      <c r="I221" s="202">
        <v>8</v>
      </c>
      <c r="J221" s="202">
        <v>9</v>
      </c>
      <c r="K221" s="149" t="s">
        <v>104</v>
      </c>
      <c r="L221" s="142"/>
      <c r="M221" s="155">
        <v>2</v>
      </c>
      <c r="N221" s="116" t="s">
        <v>110</v>
      </c>
      <c r="O221" s="82"/>
      <c r="P221" s="8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row>
    <row r="222" spans="1:78" ht="13.9" customHeight="1" x14ac:dyDescent="0.2">
      <c r="A222" s="234" t="s">
        <v>109</v>
      </c>
      <c r="B222" s="235">
        <f>B224-B223</f>
        <v>8300</v>
      </c>
      <c r="C222" s="236">
        <f t="shared" ref="C222:J222" si="118">C224-C223</f>
        <v>11786</v>
      </c>
      <c r="D222" s="235">
        <f t="shared" si="118"/>
        <v>14442</v>
      </c>
      <c r="E222" s="236">
        <f t="shared" si="118"/>
        <v>15355</v>
      </c>
      <c r="F222" s="235">
        <f t="shared" si="118"/>
        <v>14525</v>
      </c>
      <c r="G222" s="236">
        <f t="shared" si="118"/>
        <v>10209</v>
      </c>
      <c r="H222" s="235">
        <f t="shared" si="118"/>
        <v>12035</v>
      </c>
      <c r="I222" s="236">
        <f t="shared" si="118"/>
        <v>10541</v>
      </c>
      <c r="J222" s="235">
        <f t="shared" si="118"/>
        <v>5229</v>
      </c>
      <c r="K222" s="433">
        <f>SUM(B227:J227)</f>
        <v>13031.030303030302</v>
      </c>
      <c r="L222" s="142"/>
      <c r="M222" s="155">
        <v>3</v>
      </c>
      <c r="N222" s="116" t="s">
        <v>262</v>
      </c>
      <c r="O222" s="82"/>
      <c r="P222" s="82"/>
      <c r="Q222" s="142"/>
      <c r="R222" s="142"/>
      <c r="S222" s="142"/>
      <c r="T222" s="142"/>
      <c r="U222" s="142"/>
      <c r="V222" s="142"/>
      <c r="W222" s="142"/>
      <c r="X222" s="142"/>
      <c r="Y222" s="142"/>
      <c r="Z222" s="14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row>
    <row r="223" spans="1:78" ht="13.9" customHeight="1" x14ac:dyDescent="0.2">
      <c r="A223" s="234" t="s">
        <v>112</v>
      </c>
      <c r="B223" s="235">
        <f t="shared" ref="B223:J223" si="119">B224*$B$249</f>
        <v>1700.0000000000002</v>
      </c>
      <c r="C223" s="236">
        <f t="shared" si="119"/>
        <v>2414</v>
      </c>
      <c r="D223" s="235">
        <f t="shared" si="119"/>
        <v>2958</v>
      </c>
      <c r="E223" s="236">
        <f t="shared" si="119"/>
        <v>3145</v>
      </c>
      <c r="F223" s="235">
        <f t="shared" si="119"/>
        <v>2975</v>
      </c>
      <c r="G223" s="236">
        <f t="shared" si="119"/>
        <v>2091</v>
      </c>
      <c r="H223" s="235">
        <f t="shared" si="119"/>
        <v>2465</v>
      </c>
      <c r="I223" s="236">
        <f t="shared" si="119"/>
        <v>2159</v>
      </c>
      <c r="J223" s="235">
        <f t="shared" si="119"/>
        <v>1071</v>
      </c>
      <c r="K223" s="433"/>
      <c r="L223" s="142"/>
      <c r="M223" s="155">
        <v>4</v>
      </c>
      <c r="N223" s="116" t="s">
        <v>263</v>
      </c>
      <c r="O223" s="82"/>
      <c r="P223" s="82"/>
      <c r="Q223" s="142"/>
      <c r="R223" s="142"/>
      <c r="S223" s="142"/>
      <c r="T223" s="142"/>
      <c r="U223" s="142"/>
      <c r="V223" s="142"/>
      <c r="W223" s="142"/>
      <c r="X223" s="142"/>
      <c r="Y223" s="142"/>
      <c r="Z223" s="14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row>
    <row r="224" spans="1:78" ht="13.9" customHeight="1" x14ac:dyDescent="0.2">
      <c r="A224" s="234" t="s">
        <v>114</v>
      </c>
      <c r="B224" s="237">
        <v>10000</v>
      </c>
      <c r="C224" s="237">
        <v>14200</v>
      </c>
      <c r="D224" s="237">
        <v>17400</v>
      </c>
      <c r="E224" s="237">
        <v>18500</v>
      </c>
      <c r="F224" s="237">
        <v>17500</v>
      </c>
      <c r="G224" s="237">
        <v>12300</v>
      </c>
      <c r="H224" s="237">
        <v>14500</v>
      </c>
      <c r="I224" s="237">
        <v>12700</v>
      </c>
      <c r="J224" s="237">
        <v>6300</v>
      </c>
      <c r="K224" s="433"/>
      <c r="L224" s="142"/>
      <c r="M224" s="155">
        <v>5</v>
      </c>
      <c r="N224" s="116" t="s">
        <v>264</v>
      </c>
      <c r="O224" s="82"/>
      <c r="P224" s="82"/>
      <c r="Q224" s="142"/>
      <c r="R224" s="142"/>
      <c r="S224" s="142"/>
      <c r="T224" s="142"/>
      <c r="U224" s="142"/>
      <c r="V224" s="142"/>
      <c r="W224" s="142"/>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row>
    <row r="225" spans="1:78" ht="13.9" customHeight="1" x14ac:dyDescent="0.2">
      <c r="A225" s="234" t="s">
        <v>116</v>
      </c>
      <c r="B225" s="265">
        <v>1.42</v>
      </c>
      <c r="C225" s="209">
        <v>1.5</v>
      </c>
      <c r="D225" s="265">
        <v>0.67</v>
      </c>
      <c r="E225" s="209">
        <v>0.57999999999999996</v>
      </c>
      <c r="F225" s="265">
        <v>0.77</v>
      </c>
      <c r="G225" s="209">
        <v>0.57999999999999996</v>
      </c>
      <c r="H225" s="265">
        <v>0.41</v>
      </c>
      <c r="I225" s="209">
        <v>1.32</v>
      </c>
      <c r="J225" s="265">
        <v>1</v>
      </c>
      <c r="K225" s="433"/>
      <c r="L225" s="142"/>
      <c r="M225" s="155">
        <v>6</v>
      </c>
      <c r="N225" s="116" t="s">
        <v>265</v>
      </c>
      <c r="O225" s="82"/>
      <c r="P225" s="82"/>
      <c r="Q225" s="142"/>
      <c r="R225" s="142"/>
      <c r="S225" s="142"/>
      <c r="T225" s="142"/>
      <c r="U225" s="142"/>
      <c r="V225" s="142"/>
      <c r="W225" s="142"/>
      <c r="X225" s="142"/>
      <c r="Y225" s="142"/>
      <c r="Z225" s="14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row>
    <row r="226" spans="1:78" ht="13.9" customHeight="1" x14ac:dyDescent="0.2">
      <c r="A226" s="234" t="s">
        <v>118</v>
      </c>
      <c r="B226" s="239">
        <f t="shared" ref="B226:J226" si="120">B225/SUM($B$225:$J$225)</f>
        <v>0.17212121212121212</v>
      </c>
      <c r="C226" s="205">
        <f t="shared" si="120"/>
        <v>0.18181818181818182</v>
      </c>
      <c r="D226" s="239">
        <f t="shared" si="120"/>
        <v>8.1212121212121222E-2</v>
      </c>
      <c r="E226" s="205">
        <f t="shared" si="120"/>
        <v>7.0303030303030298E-2</v>
      </c>
      <c r="F226" s="239">
        <f t="shared" si="120"/>
        <v>9.3333333333333338E-2</v>
      </c>
      <c r="G226" s="205">
        <f t="shared" si="120"/>
        <v>7.0303030303030298E-2</v>
      </c>
      <c r="H226" s="239">
        <f t="shared" si="120"/>
        <v>4.9696969696969691E-2</v>
      </c>
      <c r="I226" s="205">
        <f t="shared" si="120"/>
        <v>0.16</v>
      </c>
      <c r="J226" s="239">
        <f t="shared" si="120"/>
        <v>0.12121212121212122</v>
      </c>
      <c r="K226" s="433"/>
      <c r="L226" s="142"/>
      <c r="M226" s="155">
        <v>7</v>
      </c>
      <c r="N226" s="116" t="s">
        <v>266</v>
      </c>
      <c r="O226" s="82"/>
      <c r="P226" s="82"/>
      <c r="Q226" s="142"/>
      <c r="R226" s="142"/>
      <c r="S226" s="142"/>
      <c r="T226" s="142"/>
      <c r="U226" s="142"/>
      <c r="V226" s="142"/>
      <c r="W226" s="142"/>
      <c r="X226" s="142"/>
      <c r="Y226" s="142"/>
      <c r="Z226" s="14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row>
    <row r="227" spans="1:78" ht="13.9" customHeight="1" x14ac:dyDescent="0.2">
      <c r="A227" s="234" t="s">
        <v>120</v>
      </c>
      <c r="B227" s="235">
        <f>B224*B226</f>
        <v>1721.2121212121212</v>
      </c>
      <c r="C227" s="236">
        <f t="shared" ref="C227:J227" si="121">C224*C226</f>
        <v>2581.818181818182</v>
      </c>
      <c r="D227" s="235">
        <f t="shared" si="121"/>
        <v>1413.0909090909092</v>
      </c>
      <c r="E227" s="236">
        <f t="shared" si="121"/>
        <v>1300.6060606060605</v>
      </c>
      <c r="F227" s="235">
        <f t="shared" si="121"/>
        <v>1633.3333333333335</v>
      </c>
      <c r="G227" s="236">
        <f t="shared" si="121"/>
        <v>864.72727272727263</v>
      </c>
      <c r="H227" s="235">
        <f t="shared" si="121"/>
        <v>720.60606060606051</v>
      </c>
      <c r="I227" s="236">
        <f t="shared" si="121"/>
        <v>2032</v>
      </c>
      <c r="J227" s="235">
        <f t="shared" si="121"/>
        <v>763.63636363636363</v>
      </c>
      <c r="K227" s="433"/>
      <c r="L227" s="142"/>
      <c r="M227" s="155">
        <v>8</v>
      </c>
      <c r="N227" s="116" t="s">
        <v>267</v>
      </c>
      <c r="O227" s="82"/>
      <c r="P227" s="82"/>
      <c r="Q227" s="142"/>
      <c r="R227" s="142"/>
      <c r="S227" s="142"/>
      <c r="T227" s="142"/>
      <c r="U227" s="142"/>
      <c r="V227" s="142"/>
      <c r="W227" s="142"/>
      <c r="X227" s="142"/>
      <c r="Y227" s="142"/>
      <c r="Z227" s="14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row>
    <row r="228" spans="1:78" ht="13.9" customHeight="1" x14ac:dyDescent="0.2">
      <c r="A228" s="432"/>
      <c r="B228" s="390" t="s">
        <v>256</v>
      </c>
      <c r="C228" s="391"/>
      <c r="D228" s="391"/>
      <c r="E228" s="391"/>
      <c r="F228" s="391"/>
      <c r="G228" s="391"/>
      <c r="H228" s="391"/>
      <c r="I228" s="391"/>
      <c r="J228" s="391"/>
      <c r="K228" s="392"/>
      <c r="L228" s="142"/>
      <c r="M228" s="155">
        <v>9</v>
      </c>
      <c r="N228" s="116" t="s">
        <v>268</v>
      </c>
      <c r="O228" s="82"/>
      <c r="P228" s="82"/>
      <c r="Q228" s="142"/>
      <c r="R228" s="142"/>
      <c r="S228" s="142"/>
      <c r="T228" s="142"/>
      <c r="U228" s="142"/>
      <c r="V228" s="142"/>
      <c r="W228" s="142"/>
      <c r="X228" s="142"/>
      <c r="Y228" s="142"/>
      <c r="Z228" s="14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row>
    <row r="229" spans="1:78" ht="27" customHeight="1" x14ac:dyDescent="0.2">
      <c r="A229" s="432"/>
      <c r="B229" s="202">
        <v>1</v>
      </c>
      <c r="C229" s="254">
        <v>2</v>
      </c>
      <c r="D229" s="443">
        <v>3</v>
      </c>
      <c r="E229" s="444"/>
      <c r="F229" s="254">
        <v>4</v>
      </c>
      <c r="G229" s="443">
        <v>5</v>
      </c>
      <c r="H229" s="446"/>
      <c r="I229" s="444"/>
      <c r="J229" s="207">
        <v>6</v>
      </c>
      <c r="K229" s="149" t="s">
        <v>104</v>
      </c>
      <c r="L229" s="142"/>
      <c r="M229" s="155"/>
      <c r="N229" s="82"/>
      <c r="O229" s="82"/>
      <c r="P229" s="82"/>
      <c r="Q229" s="142"/>
      <c r="R229" s="142"/>
      <c r="S229" s="142"/>
      <c r="T229" s="142"/>
      <c r="U229" s="142"/>
      <c r="V229" s="142"/>
      <c r="W229" s="142"/>
      <c r="X229" s="142"/>
      <c r="Y229" s="142"/>
      <c r="Z229" s="14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row>
    <row r="230" spans="1:78" ht="13.9" customHeight="1" x14ac:dyDescent="0.2">
      <c r="A230" s="234" t="s">
        <v>109</v>
      </c>
      <c r="B230" s="235">
        <f t="shared" ref="B230:D230" si="122">B232-B231</f>
        <v>8470</v>
      </c>
      <c r="C230" s="257">
        <f t="shared" si="122"/>
        <v>7007</v>
      </c>
      <c r="D230" s="441">
        <f t="shared" si="122"/>
        <v>6930</v>
      </c>
      <c r="E230" s="442"/>
      <c r="F230" s="257">
        <f t="shared" ref="F230" si="123">F232-F231</f>
        <v>7469</v>
      </c>
      <c r="G230" s="441">
        <f>G232-G231</f>
        <v>7161</v>
      </c>
      <c r="H230" s="445"/>
      <c r="I230" s="442"/>
      <c r="J230" s="236">
        <f t="shared" ref="J230" si="124">J232-J231</f>
        <v>7392</v>
      </c>
      <c r="K230" s="433">
        <f>SUM(B235:J235)</f>
        <v>9653.8366336633662</v>
      </c>
      <c r="L230" s="142"/>
      <c r="M230" s="155" t="s">
        <v>106</v>
      </c>
      <c r="N230" s="155" t="s">
        <v>41</v>
      </c>
      <c r="O230" s="82"/>
      <c r="P230" s="82"/>
      <c r="Q230" s="142"/>
      <c r="R230" s="142"/>
      <c r="S230" s="142"/>
      <c r="T230" s="142"/>
      <c r="U230" s="142"/>
      <c r="V230" s="142"/>
      <c r="W230" s="142"/>
      <c r="X230" s="142"/>
      <c r="Y230" s="142"/>
      <c r="Z230" s="14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row>
    <row r="231" spans="1:78" ht="13.9" customHeight="1" x14ac:dyDescent="0.2">
      <c r="A231" s="234" t="s">
        <v>112</v>
      </c>
      <c r="B231" s="235">
        <f>B232*$B$250</f>
        <v>2530</v>
      </c>
      <c r="C231" s="257">
        <f>C232*$B$250</f>
        <v>2093</v>
      </c>
      <c r="D231" s="441">
        <f>D232*$B$250</f>
        <v>2070</v>
      </c>
      <c r="E231" s="442"/>
      <c r="F231" s="257">
        <f>F232*$B$250</f>
        <v>2231</v>
      </c>
      <c r="G231" s="441">
        <f>G232*$B$250</f>
        <v>2139</v>
      </c>
      <c r="H231" s="445"/>
      <c r="I231" s="442"/>
      <c r="J231" s="236">
        <f t="shared" ref="J231" si="125">J232*$B$250</f>
        <v>2208</v>
      </c>
      <c r="K231" s="433"/>
      <c r="L231" s="142"/>
      <c r="M231" s="155">
        <v>1</v>
      </c>
      <c r="N231" s="82" t="s">
        <v>108</v>
      </c>
      <c r="O231" s="82"/>
      <c r="P231" s="82"/>
      <c r="Q231" s="142"/>
      <c r="R231" s="142"/>
      <c r="S231" s="142"/>
      <c r="T231" s="142"/>
      <c r="U231" s="142"/>
      <c r="V231" s="142"/>
      <c r="W231" s="142"/>
      <c r="X231" s="142"/>
      <c r="Y231" s="142"/>
      <c r="Z231" s="14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row>
    <row r="232" spans="1:78" ht="13.9" customHeight="1" x14ac:dyDescent="0.2">
      <c r="A232" s="234" t="s">
        <v>114</v>
      </c>
      <c r="B232" s="237">
        <v>11000</v>
      </c>
      <c r="C232" s="255">
        <v>9100</v>
      </c>
      <c r="D232" s="439">
        <v>9000</v>
      </c>
      <c r="E232" s="440"/>
      <c r="F232" s="255">
        <v>9700</v>
      </c>
      <c r="G232" s="439">
        <v>9300</v>
      </c>
      <c r="H232" s="484"/>
      <c r="I232" s="440"/>
      <c r="J232" s="237">
        <v>9600</v>
      </c>
      <c r="K232" s="433"/>
      <c r="L232" s="142"/>
      <c r="M232" s="155">
        <v>2</v>
      </c>
      <c r="N232" s="82" t="s">
        <v>111</v>
      </c>
      <c r="O232" s="82"/>
      <c r="P232" s="82"/>
      <c r="Q232" s="142"/>
      <c r="R232" s="142"/>
      <c r="S232" s="142"/>
      <c r="T232" s="142"/>
      <c r="U232" s="142"/>
      <c r="V232" s="142"/>
      <c r="W232" s="142"/>
      <c r="X232" s="142"/>
      <c r="Y232" s="142"/>
      <c r="Z232" s="14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row>
    <row r="233" spans="1:78" ht="13.9" customHeight="1" x14ac:dyDescent="0.2">
      <c r="A233" s="234" t="s">
        <v>116</v>
      </c>
      <c r="B233" s="238">
        <v>1.56</v>
      </c>
      <c r="C233" s="258">
        <v>1.65</v>
      </c>
      <c r="D233" s="481">
        <v>1.05</v>
      </c>
      <c r="E233" s="483"/>
      <c r="F233" s="258">
        <v>1.38</v>
      </c>
      <c r="G233" s="481">
        <v>1.44</v>
      </c>
      <c r="H233" s="482"/>
      <c r="I233" s="483"/>
      <c r="J233" s="209">
        <v>1</v>
      </c>
      <c r="K233" s="433"/>
      <c r="L233" s="142"/>
      <c r="M233" s="155">
        <v>3</v>
      </c>
      <c r="N233" s="82" t="s">
        <v>113</v>
      </c>
      <c r="O233" s="82"/>
      <c r="P233" s="82"/>
      <c r="Q233" s="142"/>
      <c r="R233" s="142"/>
      <c r="S233" s="142"/>
      <c r="T233" s="142"/>
      <c r="U233" s="142"/>
      <c r="V233" s="142"/>
      <c r="W233" s="142"/>
      <c r="X233" s="142"/>
      <c r="Y233" s="142"/>
      <c r="Z233" s="14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row>
    <row r="234" spans="1:78" ht="13.9" customHeight="1" x14ac:dyDescent="0.2">
      <c r="A234" s="234" t="s">
        <v>118</v>
      </c>
      <c r="B234" s="239">
        <f>B233/SUM($B$233:$J$233)</f>
        <v>0.19306930693069307</v>
      </c>
      <c r="C234" s="256">
        <f>C233/SUM($B$233:$J$233)</f>
        <v>0.2042079207920792</v>
      </c>
      <c r="D234" s="478">
        <f>D233/SUM($B$233:$J$233)</f>
        <v>0.12995049504950495</v>
      </c>
      <c r="E234" s="480"/>
      <c r="F234" s="256">
        <f>F233/SUM($B$233:$J$233)</f>
        <v>0.17079207920792078</v>
      </c>
      <c r="G234" s="478">
        <f>G233/SUM($B$233:$J$233)</f>
        <v>0.17821782178217821</v>
      </c>
      <c r="H234" s="479"/>
      <c r="I234" s="480"/>
      <c r="J234" s="208">
        <f>J233/SUM($B$233:$J$233)</f>
        <v>0.12376237623762376</v>
      </c>
      <c r="K234" s="433"/>
      <c r="L234" s="142"/>
      <c r="M234" s="155">
        <v>4</v>
      </c>
      <c r="N234" s="82" t="s">
        <v>115</v>
      </c>
      <c r="O234" s="82"/>
      <c r="P234" s="82"/>
      <c r="Q234" s="142"/>
      <c r="R234" s="142"/>
      <c r="S234" s="142"/>
      <c r="T234" s="142"/>
      <c r="U234" s="142"/>
      <c r="V234" s="142"/>
      <c r="W234" s="142"/>
      <c r="X234" s="142"/>
      <c r="Y234" s="142"/>
      <c r="Z234" s="14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row>
    <row r="235" spans="1:78" ht="13.9" customHeight="1" x14ac:dyDescent="0.2">
      <c r="A235" s="234" t="s">
        <v>120</v>
      </c>
      <c r="B235" s="235">
        <f>B232*B234</f>
        <v>2123.7623762376238</v>
      </c>
      <c r="C235" s="236">
        <f>C232*C234</f>
        <v>1858.2920792079208</v>
      </c>
      <c r="D235" s="441">
        <f>D232*D234</f>
        <v>1169.5544554455446</v>
      </c>
      <c r="E235" s="442"/>
      <c r="F235" s="257">
        <f>F232*F234</f>
        <v>1656.6831683168316</v>
      </c>
      <c r="G235" s="441">
        <f>G232*G234</f>
        <v>1657.4257425742574</v>
      </c>
      <c r="H235" s="445"/>
      <c r="I235" s="442"/>
      <c r="J235" s="236">
        <f>J232*J234</f>
        <v>1188.1188118811881</v>
      </c>
      <c r="K235" s="433"/>
      <c r="L235" s="142"/>
      <c r="M235" s="155">
        <v>5</v>
      </c>
      <c r="N235" s="82" t="s">
        <v>117</v>
      </c>
      <c r="O235" s="82"/>
      <c r="P235" s="82"/>
      <c r="Q235" s="142"/>
      <c r="R235" s="142"/>
      <c r="S235" s="142"/>
      <c r="T235" s="142"/>
      <c r="U235" s="142"/>
      <c r="V235" s="142"/>
      <c r="W235" s="142"/>
      <c r="X235" s="142"/>
      <c r="Y235" s="142"/>
      <c r="Z235" s="14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row>
    <row r="236" spans="1:78" ht="13.9" customHeight="1" x14ac:dyDescent="0.2">
      <c r="A236" s="432"/>
      <c r="B236" s="390" t="s">
        <v>255</v>
      </c>
      <c r="C236" s="391"/>
      <c r="D236" s="391"/>
      <c r="E236" s="391"/>
      <c r="F236" s="391"/>
      <c r="G236" s="391"/>
      <c r="H236" s="391"/>
      <c r="I236" s="391"/>
      <c r="J236" s="391"/>
      <c r="K236" s="392"/>
      <c r="L236" s="142"/>
      <c r="M236" s="155">
        <v>6</v>
      </c>
      <c r="N236" s="82" t="s">
        <v>119</v>
      </c>
      <c r="O236" s="142"/>
      <c r="P236" s="142"/>
      <c r="Q236" s="142"/>
      <c r="R236" s="142"/>
      <c r="S236" s="142"/>
      <c r="T236" s="142"/>
      <c r="U236" s="142"/>
      <c r="V236" s="142"/>
      <c r="W236" s="142"/>
      <c r="X236" s="142"/>
      <c r="Y236" s="142"/>
      <c r="Z236" s="14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row>
    <row r="237" spans="1:78" ht="27" customHeight="1" x14ac:dyDescent="0.2">
      <c r="A237" s="432"/>
      <c r="B237" s="202">
        <v>1</v>
      </c>
      <c r="C237" s="202">
        <v>2</v>
      </c>
      <c r="D237" s="202">
        <v>3</v>
      </c>
      <c r="E237" s="202">
        <v>4</v>
      </c>
      <c r="F237" s="202">
        <v>5</v>
      </c>
      <c r="G237" s="202">
        <v>6</v>
      </c>
      <c r="H237" s="202">
        <v>7</v>
      </c>
      <c r="I237" s="202">
        <v>8</v>
      </c>
      <c r="J237" s="207"/>
      <c r="K237" s="149" t="s">
        <v>104</v>
      </c>
      <c r="L237" s="142"/>
      <c r="M237" s="155"/>
      <c r="N237" s="155"/>
      <c r="O237" s="142"/>
      <c r="P237" s="142"/>
      <c r="Q237" s="142"/>
      <c r="R237" s="142"/>
      <c r="S237" s="142"/>
      <c r="T237" s="142"/>
      <c r="U237" s="142"/>
      <c r="V237" s="142"/>
      <c r="W237" s="142"/>
      <c r="X237" s="142"/>
      <c r="Y237" s="142"/>
      <c r="Z237" s="14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row>
    <row r="238" spans="1:78" ht="13.9" customHeight="1" x14ac:dyDescent="0.2">
      <c r="A238" s="234" t="s">
        <v>109</v>
      </c>
      <c r="B238" s="235">
        <f t="shared" ref="B238:I238" si="126">B240-B239</f>
        <v>7880.5517241379312</v>
      </c>
      <c r="C238" s="236">
        <f t="shared" si="126"/>
        <v>13589.931034482759</v>
      </c>
      <c r="D238" s="235">
        <f t="shared" si="126"/>
        <v>17047.724137931036</v>
      </c>
      <c r="E238" s="236">
        <f t="shared" si="126"/>
        <v>16605.448275862069</v>
      </c>
      <c r="F238" s="235">
        <f t="shared" si="126"/>
        <v>14635.310344827587</v>
      </c>
      <c r="G238" s="236">
        <f t="shared" si="126"/>
        <v>9810.4827586206902</v>
      </c>
      <c r="H238" s="235">
        <f t="shared" si="126"/>
        <v>11965.572413793103</v>
      </c>
      <c r="I238" s="236">
        <f t="shared" si="126"/>
        <v>8041.3793103448279</v>
      </c>
      <c r="J238" s="447"/>
      <c r="K238" s="433">
        <f>SUM(B243:J243)</f>
        <v>14598.317241379311</v>
      </c>
      <c r="L238" s="142"/>
      <c r="M238" s="155"/>
      <c r="N238" s="82"/>
      <c r="O238" s="142"/>
      <c r="P238" s="142"/>
      <c r="Q238" s="142"/>
      <c r="R238" s="142"/>
      <c r="S238" s="142"/>
      <c r="T238" s="142"/>
      <c r="U238" s="142"/>
      <c r="V238" s="142"/>
      <c r="W238" s="142"/>
      <c r="X238" s="142"/>
      <c r="Y238" s="142"/>
      <c r="Z238" s="14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row>
    <row r="239" spans="1:78" ht="13.9" customHeight="1" x14ac:dyDescent="0.2">
      <c r="A239" s="234" t="s">
        <v>112</v>
      </c>
      <c r="B239" s="235">
        <f t="shared" ref="B239:I239" si="127">B240*$B$242</f>
        <v>1919.4482758620688</v>
      </c>
      <c r="C239" s="236">
        <f t="shared" si="127"/>
        <v>3310.0689655172409</v>
      </c>
      <c r="D239" s="235">
        <f t="shared" si="127"/>
        <v>4152.2758620689647</v>
      </c>
      <c r="E239" s="236">
        <f t="shared" si="127"/>
        <v>4044.5517241379307</v>
      </c>
      <c r="F239" s="235">
        <f t="shared" si="127"/>
        <v>3564.6896551724135</v>
      </c>
      <c r="G239" s="236">
        <f t="shared" si="127"/>
        <v>2389.5172413793102</v>
      </c>
      <c r="H239" s="235">
        <f t="shared" si="127"/>
        <v>2914.4275862068962</v>
      </c>
      <c r="I239" s="236">
        <f t="shared" si="127"/>
        <v>1958.6206896551723</v>
      </c>
      <c r="J239" s="448"/>
      <c r="K239" s="433"/>
      <c r="L239" s="142"/>
      <c r="M239" s="155"/>
      <c r="N239" s="82"/>
      <c r="O239" s="142"/>
      <c r="P239" s="142"/>
      <c r="Q239" s="142"/>
      <c r="R239" s="142"/>
      <c r="S239" s="142"/>
      <c r="T239" s="142"/>
      <c r="U239" s="142"/>
      <c r="V239" s="142"/>
      <c r="W239" s="142"/>
      <c r="X239" s="142"/>
      <c r="Y239" s="142"/>
      <c r="Z239" s="14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row>
    <row r="240" spans="1:78" ht="13.9" customHeight="1" x14ac:dyDescent="0.2">
      <c r="A240" s="234" t="s">
        <v>114</v>
      </c>
      <c r="B240" s="237">
        <v>9800</v>
      </c>
      <c r="C240" s="237">
        <v>16900</v>
      </c>
      <c r="D240" s="237">
        <v>21200</v>
      </c>
      <c r="E240" s="237">
        <v>20650</v>
      </c>
      <c r="F240" s="237">
        <v>18200</v>
      </c>
      <c r="G240" s="237">
        <v>12200</v>
      </c>
      <c r="H240" s="237">
        <v>14880</v>
      </c>
      <c r="I240" s="237">
        <v>10000</v>
      </c>
      <c r="J240" s="448"/>
      <c r="K240" s="433"/>
      <c r="L240" s="142"/>
      <c r="M240" s="155"/>
      <c r="N240" s="82"/>
      <c r="O240" s="142"/>
      <c r="P240" s="142"/>
      <c r="Q240" s="142"/>
      <c r="R240" s="142"/>
      <c r="S240" s="142"/>
      <c r="T240" s="142"/>
      <c r="U240" s="142"/>
      <c r="V240" s="142"/>
      <c r="W240" s="142"/>
      <c r="X240" s="142"/>
      <c r="Y240" s="142"/>
      <c r="Z240" s="14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row>
    <row r="241" spans="1:78" ht="13.9" customHeight="1" x14ac:dyDescent="0.2">
      <c r="A241" s="234" t="s">
        <v>116</v>
      </c>
      <c r="B241" s="238">
        <f>B225</f>
        <v>1.42</v>
      </c>
      <c r="C241" s="209">
        <f t="shared" ref="C241:I241" si="128">C225</f>
        <v>1.5</v>
      </c>
      <c r="D241" s="238">
        <f t="shared" si="128"/>
        <v>0.67</v>
      </c>
      <c r="E241" s="209">
        <f t="shared" si="128"/>
        <v>0.57999999999999996</v>
      </c>
      <c r="F241" s="238">
        <f t="shared" si="128"/>
        <v>0.77</v>
      </c>
      <c r="G241" s="209">
        <f t="shared" si="128"/>
        <v>0.57999999999999996</v>
      </c>
      <c r="H241" s="238">
        <f t="shared" si="128"/>
        <v>0.41</v>
      </c>
      <c r="I241" s="209">
        <f t="shared" si="128"/>
        <v>1.32</v>
      </c>
      <c r="J241" s="448"/>
      <c r="K241" s="433"/>
      <c r="L241" s="142"/>
      <c r="M241" s="155"/>
      <c r="N241" s="8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row>
    <row r="242" spans="1:78" ht="13.9" customHeight="1" x14ac:dyDescent="0.2">
      <c r="A242" s="234" t="s">
        <v>118</v>
      </c>
      <c r="B242" s="239">
        <f t="shared" ref="B242:I242" si="129">B$241/SUM($B$241:$J$241)</f>
        <v>0.19586206896551722</v>
      </c>
      <c r="C242" s="205">
        <f t="shared" si="129"/>
        <v>0.20689655172413793</v>
      </c>
      <c r="D242" s="239">
        <f t="shared" si="129"/>
        <v>9.2413793103448286E-2</v>
      </c>
      <c r="E242" s="205">
        <f t="shared" si="129"/>
        <v>7.9999999999999988E-2</v>
      </c>
      <c r="F242" s="239">
        <f t="shared" si="129"/>
        <v>0.10620689655172413</v>
      </c>
      <c r="G242" s="205">
        <f t="shared" si="129"/>
        <v>7.9999999999999988E-2</v>
      </c>
      <c r="H242" s="239">
        <f t="shared" si="129"/>
        <v>5.6551724137931032E-2</v>
      </c>
      <c r="I242" s="205">
        <f t="shared" si="129"/>
        <v>0.18206896551724139</v>
      </c>
      <c r="J242" s="448"/>
      <c r="K242" s="433"/>
      <c r="L242" s="142"/>
      <c r="M242" s="155"/>
      <c r="N242" s="82"/>
      <c r="O242" s="142"/>
      <c r="P242" s="142"/>
      <c r="Q242" s="142"/>
      <c r="R242" s="142"/>
      <c r="S242" s="142"/>
      <c r="T242" s="142"/>
      <c r="U242" s="142"/>
      <c r="V242" s="142"/>
      <c r="W242" s="142"/>
      <c r="X242" s="142"/>
      <c r="Y242" s="142"/>
      <c r="Z242" s="1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row>
    <row r="243" spans="1:78" ht="13.9" customHeight="1" x14ac:dyDescent="0.2">
      <c r="A243" s="234" t="s">
        <v>120</v>
      </c>
      <c r="B243" s="235">
        <f t="shared" ref="B243:I243" si="130">B240*B242</f>
        <v>1919.4482758620688</v>
      </c>
      <c r="C243" s="236">
        <f t="shared" si="130"/>
        <v>3496.5517241379312</v>
      </c>
      <c r="D243" s="235">
        <f t="shared" si="130"/>
        <v>1959.1724137931037</v>
      </c>
      <c r="E243" s="236">
        <f t="shared" si="130"/>
        <v>1651.9999999999998</v>
      </c>
      <c r="F243" s="235">
        <f t="shared" si="130"/>
        <v>1932.9655172413793</v>
      </c>
      <c r="G243" s="236">
        <f t="shared" si="130"/>
        <v>975.99999999999989</v>
      </c>
      <c r="H243" s="235">
        <f t="shared" si="130"/>
        <v>841.48965517241379</v>
      </c>
      <c r="I243" s="236">
        <f t="shared" si="130"/>
        <v>1820.6896551724139</v>
      </c>
      <c r="J243" s="449"/>
      <c r="K243" s="433"/>
      <c r="L243" s="142"/>
      <c r="M243" s="155"/>
      <c r="N243" s="82"/>
      <c r="O243" s="142"/>
      <c r="P243" s="142"/>
      <c r="Q243" s="142"/>
      <c r="R243" s="142"/>
      <c r="S243" s="142"/>
      <c r="T243" s="142"/>
      <c r="U243" s="142"/>
      <c r="V243" s="142"/>
      <c r="W243" s="142"/>
      <c r="X243" s="142"/>
      <c r="Y243" s="142"/>
      <c r="Z243" s="14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row>
    <row r="244" spans="1:78" ht="13.9" customHeight="1" x14ac:dyDescent="0.2">
      <c r="A244" s="436" t="s">
        <v>202</v>
      </c>
      <c r="B244" s="437"/>
      <c r="C244" s="437"/>
      <c r="D244" s="437"/>
      <c r="E244" s="437"/>
      <c r="F244" s="437"/>
      <c r="G244" s="437"/>
      <c r="H244" s="437"/>
      <c r="I244" s="437"/>
      <c r="J244" s="437"/>
      <c r="K244" s="438"/>
      <c r="L244" s="142"/>
      <c r="M244" s="142"/>
      <c r="N244" s="142"/>
      <c r="O244" s="142"/>
      <c r="P244" s="142"/>
      <c r="Q244" s="142"/>
      <c r="R244" s="142"/>
      <c r="S244" s="142"/>
      <c r="T244" s="142"/>
      <c r="U244" s="142"/>
      <c r="V244" s="142"/>
      <c r="W244" s="142"/>
      <c r="X244" s="142"/>
      <c r="Y244" s="142"/>
      <c r="Z244" s="14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row>
    <row r="245" spans="1:78" ht="13.9" customHeight="1" x14ac:dyDescent="0.2">
      <c r="A245" s="179"/>
      <c r="B245" s="179"/>
      <c r="C245" s="179"/>
      <c r="D245" s="230"/>
      <c r="E245" s="230"/>
      <c r="F245" s="230"/>
      <c r="G245" s="230"/>
      <c r="H245" s="230"/>
      <c r="I245" s="230"/>
      <c r="J245" s="230"/>
      <c r="K245" s="230"/>
      <c r="L245" s="230"/>
      <c r="M245" s="230"/>
      <c r="N245" s="230"/>
      <c r="O245" s="230"/>
      <c r="P245" s="230"/>
      <c r="Q245" s="230"/>
      <c r="R245" s="230"/>
      <c r="S245" s="142"/>
      <c r="T245" s="142"/>
      <c r="U245" s="142"/>
      <c r="V245" s="142"/>
      <c r="W245" s="142"/>
      <c r="X245" s="142"/>
      <c r="Y245" s="142"/>
      <c r="Z245" s="14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row>
    <row r="246" spans="1:78" ht="13.9" customHeight="1" x14ac:dyDescent="0.2">
      <c r="A246" s="434" t="s">
        <v>96</v>
      </c>
      <c r="B246" s="435"/>
      <c r="C246" s="178"/>
      <c r="D246" s="230"/>
      <c r="E246" s="230"/>
      <c r="F246" s="230"/>
      <c r="G246" s="230"/>
      <c r="H246" s="230"/>
      <c r="I246" s="230"/>
      <c r="J246" s="230"/>
      <c r="K246" s="230"/>
      <c r="L246" s="230"/>
      <c r="M246" s="230"/>
      <c r="N246" s="230"/>
      <c r="O246" s="230"/>
      <c r="P246" s="230"/>
      <c r="Q246" s="230"/>
      <c r="R246" s="230"/>
      <c r="S246" s="142"/>
      <c r="T246" s="142"/>
      <c r="U246" s="142"/>
      <c r="V246" s="142"/>
      <c r="W246" s="142"/>
      <c r="X246" s="142"/>
      <c r="Y246" s="142"/>
      <c r="Z246" s="14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row>
    <row r="247" spans="1:78" ht="13.9" customHeight="1" x14ac:dyDescent="0.2">
      <c r="A247" s="234" t="s">
        <v>145</v>
      </c>
      <c r="B247" s="240">
        <v>1.6E-2</v>
      </c>
      <c r="C247" s="178"/>
      <c r="D247" s="230"/>
      <c r="E247" s="230"/>
      <c r="F247" s="230"/>
      <c r="G247" s="230"/>
      <c r="H247" s="230"/>
      <c r="I247" s="230"/>
      <c r="J247" s="230"/>
      <c r="K247" s="230"/>
      <c r="L247" s="230"/>
      <c r="M247" s="230"/>
      <c r="N247" s="230"/>
      <c r="O247" s="230"/>
      <c r="P247" s="230"/>
      <c r="Q247" s="230"/>
      <c r="R247" s="230"/>
      <c r="S247" s="142"/>
      <c r="T247" s="142"/>
      <c r="U247" s="142"/>
      <c r="V247" s="142"/>
      <c r="W247" s="142"/>
      <c r="X247" s="142"/>
      <c r="Y247" s="142"/>
      <c r="Z247" s="14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row>
    <row r="248" spans="1:78" ht="13.9" customHeight="1" x14ac:dyDescent="0.2">
      <c r="A248" s="234" t="s">
        <v>271</v>
      </c>
      <c r="B248" s="240">
        <v>8.9999999999999993E-3</v>
      </c>
      <c r="C248" s="178"/>
      <c r="D248" s="230"/>
      <c r="E248" s="230"/>
      <c r="F248" s="230"/>
      <c r="G248" s="230"/>
      <c r="H248" s="230"/>
      <c r="I248" s="230"/>
      <c r="J248" s="230"/>
      <c r="K248" s="230"/>
      <c r="L248" s="230"/>
      <c r="M248" s="230"/>
      <c r="N248" s="230"/>
      <c r="O248" s="230"/>
      <c r="P248" s="230"/>
      <c r="Q248" s="230"/>
      <c r="R248" s="230"/>
      <c r="S248" s="142"/>
      <c r="T248" s="142"/>
      <c r="U248" s="142"/>
      <c r="V248" s="142"/>
      <c r="W248" s="142"/>
      <c r="X248" s="142"/>
      <c r="Y248" s="142"/>
      <c r="Z248" s="14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row>
    <row r="249" spans="1:78" ht="13.9" customHeight="1" x14ac:dyDescent="0.2">
      <c r="A249" s="234" t="s">
        <v>148</v>
      </c>
      <c r="B249" s="240">
        <v>0.17</v>
      </c>
      <c r="C249" s="178"/>
      <c r="D249" s="230"/>
      <c r="E249" s="230"/>
      <c r="F249" s="230"/>
      <c r="G249" s="230"/>
      <c r="H249" s="230"/>
      <c r="I249" s="230"/>
      <c r="J249" s="230"/>
      <c r="K249" s="230"/>
      <c r="L249" s="230"/>
      <c r="M249" s="230"/>
      <c r="N249" s="230"/>
      <c r="O249" s="230"/>
      <c r="P249" s="230"/>
      <c r="Q249" s="230"/>
      <c r="R249" s="230"/>
      <c r="S249" s="142"/>
      <c r="T249" s="142"/>
      <c r="U249" s="142"/>
      <c r="V249" s="142"/>
      <c r="W249" s="142"/>
      <c r="X249" s="142"/>
      <c r="Y249" s="142"/>
      <c r="Z249" s="14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row>
    <row r="250" spans="1:78" ht="13.9" customHeight="1" x14ac:dyDescent="0.2">
      <c r="A250" s="234" t="s">
        <v>146</v>
      </c>
      <c r="B250" s="240">
        <v>0.23</v>
      </c>
      <c r="C250" s="178"/>
      <c r="D250" s="230"/>
      <c r="E250" s="230"/>
      <c r="F250" s="230"/>
      <c r="G250" s="230"/>
      <c r="H250" s="230"/>
      <c r="I250" s="230"/>
      <c r="J250" s="230"/>
      <c r="K250" s="230"/>
      <c r="L250" s="230"/>
      <c r="M250" s="230"/>
      <c r="N250" s="230"/>
      <c r="O250" s="230"/>
      <c r="P250" s="230"/>
      <c r="Q250" s="230"/>
      <c r="R250" s="230"/>
      <c r="S250" s="142"/>
      <c r="T250" s="142"/>
      <c r="U250" s="142"/>
      <c r="V250" s="142"/>
      <c r="W250" s="142"/>
      <c r="X250" s="142"/>
      <c r="Y250" s="142"/>
      <c r="Z250" s="14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row>
    <row r="251" spans="1:78" ht="13.9" customHeight="1" x14ac:dyDescent="0.2">
      <c r="A251" s="234" t="s">
        <v>147</v>
      </c>
      <c r="B251" s="240">
        <v>0.14000000000000001</v>
      </c>
      <c r="C251" s="178"/>
      <c r="D251" s="230"/>
      <c r="E251" s="230"/>
      <c r="F251" s="230"/>
      <c r="G251" s="230"/>
      <c r="H251" s="230"/>
      <c r="I251" s="230"/>
      <c r="J251" s="230"/>
      <c r="K251" s="230"/>
      <c r="L251" s="230"/>
      <c r="M251" s="230"/>
      <c r="N251" s="230"/>
      <c r="O251" s="230"/>
      <c r="P251" s="230"/>
      <c r="Q251" s="230"/>
      <c r="R251" s="230"/>
      <c r="S251" s="142"/>
      <c r="T251" s="142"/>
      <c r="U251" s="142"/>
      <c r="V251" s="142"/>
      <c r="W251" s="142"/>
      <c r="X251" s="142"/>
      <c r="Y251" s="142"/>
      <c r="Z251" s="14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row>
    <row r="252" spans="1:78" ht="13.9" customHeight="1" x14ac:dyDescent="0.2">
      <c r="A252" s="436" t="s">
        <v>98</v>
      </c>
      <c r="B252" s="438"/>
      <c r="C252" s="178"/>
      <c r="D252" s="230"/>
      <c r="E252" s="230"/>
      <c r="F252" s="230"/>
      <c r="G252" s="230"/>
      <c r="H252" s="230"/>
      <c r="I252" s="230"/>
      <c r="J252" s="230"/>
      <c r="K252" s="230"/>
      <c r="L252" s="230"/>
      <c r="M252" s="230"/>
      <c r="N252" s="230"/>
      <c r="O252" s="230"/>
      <c r="P252" s="230"/>
      <c r="Q252" s="230"/>
      <c r="R252" s="230"/>
      <c r="S252" s="142"/>
      <c r="T252" s="142"/>
      <c r="U252" s="142"/>
      <c r="V252" s="142"/>
      <c r="W252" s="142"/>
      <c r="X252" s="142"/>
      <c r="Y252" s="142"/>
      <c r="Z252" s="14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row>
    <row r="253" spans="1:78" ht="13.9" customHeight="1" x14ac:dyDescent="0.2">
      <c r="A253" s="230"/>
      <c r="B253" s="230"/>
      <c r="C253" s="230"/>
      <c r="D253" s="230"/>
      <c r="E253" s="230"/>
      <c r="F253" s="230"/>
      <c r="G253" s="230"/>
      <c r="H253" s="230"/>
      <c r="I253" s="230"/>
      <c r="J253" s="230"/>
      <c r="K253" s="230"/>
      <c r="L253" s="230"/>
      <c r="M253" s="230"/>
      <c r="N253" s="230"/>
      <c r="O253" s="230"/>
      <c r="P253" s="230"/>
      <c r="Q253" s="230"/>
      <c r="R253" s="230"/>
      <c r="S253" s="142"/>
      <c r="T253" s="142"/>
      <c r="U253" s="142"/>
      <c r="V253" s="142"/>
      <c r="W253" s="142"/>
      <c r="X253" s="142"/>
      <c r="Y253" s="142"/>
      <c r="Z253" s="14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row>
    <row r="254" spans="1:78" ht="13.9" customHeight="1" x14ac:dyDescent="0.2">
      <c r="A254" s="434" t="s">
        <v>99</v>
      </c>
      <c r="B254" s="435"/>
      <c r="C254" s="230"/>
      <c r="D254" s="230"/>
      <c r="E254" s="230"/>
      <c r="F254" s="230"/>
      <c r="G254" s="230"/>
      <c r="H254" s="230"/>
      <c r="I254" s="230"/>
      <c r="J254" s="230"/>
      <c r="K254" s="230"/>
      <c r="L254" s="230"/>
      <c r="M254" s="230"/>
      <c r="N254" s="230"/>
      <c r="O254" s="230"/>
      <c r="P254" s="230"/>
      <c r="Q254" s="230"/>
      <c r="R254" s="230"/>
      <c r="S254" s="142"/>
      <c r="T254" s="142"/>
      <c r="U254" s="142"/>
      <c r="V254" s="142"/>
      <c r="W254" s="142"/>
      <c r="X254" s="142"/>
      <c r="Y254" s="142"/>
      <c r="Z254" s="14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row>
    <row r="255" spans="1:78" ht="13.9" customHeight="1" x14ac:dyDescent="0.2">
      <c r="A255" s="241" t="s">
        <v>150</v>
      </c>
      <c r="B255" s="242">
        <v>4</v>
      </c>
      <c r="C255" s="230"/>
      <c r="D255" s="230"/>
      <c r="E255" s="230"/>
      <c r="F255" s="230"/>
      <c r="G255" s="230"/>
      <c r="H255" s="230"/>
      <c r="I255" s="230"/>
      <c r="J255" s="230"/>
      <c r="K255" s="230"/>
      <c r="L255" s="230"/>
      <c r="M255" s="230"/>
      <c r="N255" s="230"/>
      <c r="O255" s="230"/>
      <c r="P255" s="230"/>
      <c r="Q255" s="230"/>
      <c r="R255" s="230"/>
      <c r="S255" s="142"/>
      <c r="T255" s="142"/>
      <c r="U255" s="142"/>
      <c r="V255" s="142"/>
      <c r="W255" s="142"/>
      <c r="X255" s="142"/>
      <c r="Y255" s="142"/>
      <c r="Z255" s="14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row>
    <row r="256" spans="1:78" ht="13.9" customHeight="1" x14ac:dyDescent="0.2">
      <c r="A256" s="241" t="s">
        <v>100</v>
      </c>
      <c r="B256" s="243" t="s">
        <v>151</v>
      </c>
      <c r="C256" s="230"/>
      <c r="D256" s="230"/>
      <c r="E256" s="230"/>
      <c r="F256" s="230"/>
      <c r="G256" s="230"/>
      <c r="H256" s="230"/>
      <c r="I256" s="230"/>
      <c r="J256" s="230"/>
      <c r="K256" s="230"/>
      <c r="L256" s="230"/>
      <c r="M256" s="230"/>
      <c r="N256" s="230"/>
      <c r="O256" s="230"/>
      <c r="P256" s="230"/>
      <c r="Q256" s="230"/>
      <c r="R256" s="230"/>
      <c r="S256" s="142"/>
      <c r="T256" s="142"/>
      <c r="U256" s="142"/>
      <c r="V256" s="142"/>
      <c r="W256" s="142"/>
      <c r="X256" s="142"/>
      <c r="Y256" s="142"/>
      <c r="Z256" s="14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row>
    <row r="257" spans="1:78" ht="13.9" customHeight="1" x14ac:dyDescent="0.2">
      <c r="A257" s="241" t="s">
        <v>152</v>
      </c>
      <c r="B257" s="242">
        <v>30</v>
      </c>
      <c r="C257" s="230"/>
      <c r="D257" s="230"/>
      <c r="E257" s="230"/>
      <c r="F257" s="230"/>
      <c r="G257" s="230"/>
      <c r="H257" s="230"/>
      <c r="I257" s="230"/>
      <c r="J257" s="230"/>
      <c r="K257" s="230"/>
      <c r="L257" s="230"/>
      <c r="M257" s="230"/>
      <c r="N257" s="230"/>
      <c r="O257" s="230"/>
      <c r="P257" s="230"/>
      <c r="Q257" s="230"/>
      <c r="R257" s="230"/>
      <c r="S257" s="142"/>
      <c r="T257" s="142"/>
      <c r="U257" s="142"/>
      <c r="V257" s="142"/>
      <c r="W257" s="142"/>
      <c r="X257" s="142"/>
      <c r="Y257" s="142"/>
      <c r="Z257" s="14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row>
    <row r="258" spans="1:78" ht="13.9" customHeight="1" x14ac:dyDescent="0.2">
      <c r="A258" s="241" t="s">
        <v>153</v>
      </c>
      <c r="B258" s="242">
        <v>60</v>
      </c>
      <c r="C258" s="230"/>
      <c r="D258" s="230"/>
      <c r="E258" s="230"/>
      <c r="F258" s="230"/>
      <c r="G258" s="230"/>
      <c r="H258" s="230"/>
      <c r="I258" s="230"/>
      <c r="J258" s="230"/>
      <c r="K258" s="230"/>
      <c r="L258" s="230"/>
      <c r="M258" s="230"/>
      <c r="N258" s="230"/>
      <c r="O258" s="230"/>
      <c r="P258" s="230"/>
      <c r="Q258" s="230"/>
      <c r="R258" s="230"/>
      <c r="S258" s="142"/>
      <c r="T258" s="142"/>
      <c r="U258" s="142"/>
      <c r="V258" s="142"/>
      <c r="W258" s="142"/>
      <c r="X258" s="142"/>
      <c r="Y258" s="142"/>
      <c r="Z258" s="14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row>
    <row r="259" spans="1:78" ht="13.9" customHeight="1" x14ac:dyDescent="0.2">
      <c r="A259" s="241" t="s">
        <v>159</v>
      </c>
      <c r="B259" s="242">
        <v>100</v>
      </c>
      <c r="C259" s="230"/>
      <c r="D259" s="230"/>
      <c r="E259" s="230"/>
      <c r="F259" s="230"/>
      <c r="G259" s="230"/>
      <c r="H259" s="230"/>
      <c r="I259" s="230"/>
      <c r="J259" s="230"/>
      <c r="K259" s="230"/>
      <c r="L259" s="230"/>
      <c r="M259" s="230"/>
      <c r="N259" s="230"/>
      <c r="O259" s="230"/>
      <c r="P259" s="230"/>
      <c r="Q259" s="230"/>
      <c r="R259" s="230"/>
      <c r="S259" s="142"/>
      <c r="T259" s="142"/>
      <c r="U259" s="142"/>
      <c r="V259" s="142"/>
      <c r="W259" s="142"/>
      <c r="X259" s="142"/>
      <c r="Y259" s="142"/>
      <c r="Z259" s="14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row>
    <row r="260" spans="1:78" ht="13.9" customHeight="1" x14ac:dyDescent="0.2">
      <c r="A260" s="241" t="s">
        <v>160</v>
      </c>
      <c r="B260" s="244" t="s">
        <v>101</v>
      </c>
      <c r="C260" s="230"/>
      <c r="D260" s="230"/>
      <c r="E260" s="230"/>
      <c r="F260" s="230"/>
      <c r="G260" s="230"/>
      <c r="H260" s="230"/>
      <c r="I260" s="230"/>
      <c r="J260" s="230"/>
      <c r="K260" s="230"/>
      <c r="L260" s="230"/>
      <c r="M260" s="230"/>
      <c r="N260" s="230"/>
      <c r="O260" s="230"/>
      <c r="P260" s="230"/>
      <c r="Q260" s="230"/>
      <c r="R260" s="230"/>
      <c r="S260" s="142"/>
      <c r="T260" s="142"/>
      <c r="U260" s="142"/>
      <c r="V260" s="142"/>
      <c r="W260" s="142"/>
      <c r="X260" s="142"/>
      <c r="Y260" s="142"/>
      <c r="Z260" s="14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row>
    <row r="261" spans="1:78" ht="13.9" customHeight="1" x14ac:dyDescent="0.2">
      <c r="A261" s="241" t="s">
        <v>161</v>
      </c>
      <c r="B261" s="244">
        <v>60.5</v>
      </c>
      <c r="C261" s="230"/>
      <c r="D261" s="230"/>
      <c r="E261" s="230"/>
      <c r="F261" s="230"/>
      <c r="G261" s="230"/>
      <c r="H261" s="230"/>
      <c r="I261" s="230"/>
      <c r="J261" s="230"/>
      <c r="K261" s="230"/>
      <c r="L261" s="230"/>
      <c r="M261" s="230"/>
      <c r="N261" s="230"/>
      <c r="O261" s="230"/>
      <c r="P261" s="230"/>
      <c r="Q261" s="230"/>
      <c r="R261" s="230"/>
      <c r="S261" s="142"/>
      <c r="T261" s="142"/>
      <c r="U261" s="142"/>
      <c r="V261" s="142"/>
      <c r="W261" s="142"/>
      <c r="X261" s="142"/>
      <c r="Y261" s="142"/>
      <c r="Z261" s="14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row>
    <row r="262" spans="1:78" ht="13.9" customHeight="1" x14ac:dyDescent="0.2">
      <c r="A262" s="241" t="s">
        <v>154</v>
      </c>
      <c r="B262" s="242">
        <f>B259*B261</f>
        <v>6050</v>
      </c>
      <c r="C262" s="230"/>
      <c r="D262" s="230"/>
      <c r="E262" s="230"/>
      <c r="F262" s="230"/>
      <c r="G262" s="230"/>
      <c r="H262" s="230"/>
      <c r="I262" s="230"/>
      <c r="J262" s="230"/>
      <c r="K262" s="230"/>
      <c r="L262" s="230"/>
      <c r="M262" s="230"/>
      <c r="N262" s="230"/>
      <c r="O262" s="230"/>
      <c r="P262" s="230"/>
      <c r="Q262" s="230"/>
      <c r="R262" s="230"/>
      <c r="S262" s="142"/>
      <c r="T262" s="142"/>
      <c r="U262" s="142"/>
      <c r="V262" s="142"/>
      <c r="W262" s="142"/>
      <c r="X262" s="142"/>
      <c r="Y262" s="142"/>
      <c r="Z262" s="14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row>
    <row r="263" spans="1:78" ht="13.9" customHeight="1" x14ac:dyDescent="0.2">
      <c r="A263" s="241" t="s">
        <v>155</v>
      </c>
      <c r="B263" s="244">
        <f>B262/5280</f>
        <v>1.1458333333333333</v>
      </c>
      <c r="C263" s="230"/>
      <c r="D263" s="230"/>
      <c r="E263" s="230"/>
      <c r="F263" s="230"/>
      <c r="G263" s="230"/>
      <c r="H263" s="230"/>
      <c r="I263" s="230"/>
      <c r="J263" s="230"/>
      <c r="K263" s="230"/>
      <c r="L263" s="230"/>
      <c r="M263" s="230"/>
      <c r="N263" s="230"/>
      <c r="O263" s="230"/>
      <c r="P263" s="230"/>
      <c r="Q263" s="230"/>
      <c r="R263" s="230"/>
      <c r="S263" s="142"/>
      <c r="T263" s="142"/>
      <c r="U263" s="142"/>
      <c r="V263" s="142"/>
      <c r="W263" s="142"/>
      <c r="X263" s="142"/>
      <c r="Y263" s="142"/>
      <c r="Z263" s="14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row>
    <row r="264" spans="1:78" ht="13.9" customHeight="1" x14ac:dyDescent="0.2">
      <c r="A264" s="434" t="s">
        <v>162</v>
      </c>
      <c r="B264" s="435"/>
      <c r="C264" s="230"/>
      <c r="D264" s="230"/>
      <c r="E264" s="230"/>
      <c r="F264" s="230"/>
      <c r="G264" s="230"/>
      <c r="H264" s="230"/>
      <c r="I264" s="230"/>
      <c r="J264" s="230"/>
      <c r="K264" s="230"/>
      <c r="L264" s="230"/>
      <c r="M264" s="230"/>
      <c r="N264" s="230"/>
      <c r="O264" s="230"/>
      <c r="P264" s="230"/>
      <c r="Q264" s="230"/>
      <c r="R264" s="230"/>
      <c r="S264" s="142"/>
      <c r="T264" s="142"/>
      <c r="U264" s="142"/>
      <c r="V264" s="142"/>
      <c r="W264" s="142"/>
      <c r="X264" s="142"/>
      <c r="Y264" s="142"/>
      <c r="Z264" s="14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row>
    <row r="265" spans="1:78" ht="13.9" customHeight="1" x14ac:dyDescent="0.2">
      <c r="A265" s="241" t="s">
        <v>163</v>
      </c>
      <c r="B265" s="242">
        <f>B257</f>
        <v>30</v>
      </c>
      <c r="C265" s="230"/>
      <c r="D265" s="230"/>
      <c r="E265" s="230"/>
      <c r="F265" s="230"/>
      <c r="G265" s="230"/>
      <c r="H265" s="230"/>
      <c r="I265" s="230"/>
      <c r="J265" s="230"/>
      <c r="K265" s="230"/>
      <c r="L265" s="230"/>
      <c r="M265" s="230"/>
      <c r="N265" s="230"/>
      <c r="O265" s="230"/>
      <c r="P265" s="230"/>
      <c r="Q265" s="230"/>
      <c r="R265" s="230"/>
      <c r="S265" s="142"/>
      <c r="T265" s="142"/>
      <c r="U265" s="142"/>
      <c r="V265" s="142"/>
      <c r="W265" s="142"/>
      <c r="X265" s="142"/>
      <c r="Y265" s="142"/>
      <c r="Z265" s="14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row>
    <row r="266" spans="1:78" ht="13.9" customHeight="1" x14ac:dyDescent="0.2">
      <c r="A266" s="241" t="s">
        <v>102</v>
      </c>
      <c r="B266" s="242">
        <f>B265*5280</f>
        <v>158400</v>
      </c>
      <c r="C266" s="230"/>
      <c r="D266" s="230"/>
      <c r="E266" s="230"/>
      <c r="F266" s="230"/>
      <c r="G266" s="230"/>
      <c r="H266" s="230"/>
      <c r="I266" s="230"/>
      <c r="J266" s="230"/>
      <c r="K266" s="230"/>
      <c r="L266" s="230"/>
      <c r="M266" s="230"/>
      <c r="N266" s="230"/>
      <c r="O266" s="230"/>
      <c r="P266" s="230"/>
      <c r="Q266" s="230"/>
      <c r="R266" s="230"/>
      <c r="S266" s="142"/>
      <c r="T266" s="142"/>
      <c r="U266" s="142"/>
      <c r="V266" s="142"/>
      <c r="W266" s="142"/>
      <c r="X266" s="142"/>
      <c r="Y266" s="142"/>
      <c r="Z266" s="14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row>
    <row r="267" spans="1:78" ht="13.9" customHeight="1" x14ac:dyDescent="0.2">
      <c r="A267" s="241" t="s">
        <v>103</v>
      </c>
      <c r="B267" s="242">
        <f>B266/60</f>
        <v>2640</v>
      </c>
      <c r="C267" s="230"/>
      <c r="D267" s="230"/>
      <c r="E267" s="230"/>
      <c r="F267" s="230"/>
      <c r="G267" s="230"/>
      <c r="H267" s="230"/>
      <c r="I267" s="230"/>
      <c r="J267" s="230"/>
      <c r="K267" s="230"/>
      <c r="L267" s="230"/>
      <c r="M267" s="230"/>
      <c r="N267" s="230"/>
      <c r="O267" s="230"/>
      <c r="P267" s="230"/>
      <c r="Q267" s="230"/>
      <c r="R267" s="230"/>
      <c r="S267" s="142"/>
      <c r="T267" s="142"/>
      <c r="U267" s="142"/>
      <c r="V267" s="142"/>
      <c r="W267" s="142"/>
      <c r="X267" s="142"/>
      <c r="Y267" s="142"/>
      <c r="Z267" s="14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row>
    <row r="268" spans="1:78" ht="13.9" customHeight="1" x14ac:dyDescent="0.2">
      <c r="A268" s="241" t="s">
        <v>164</v>
      </c>
      <c r="B268" s="244">
        <f>B262/B267</f>
        <v>2.2916666666666665</v>
      </c>
      <c r="C268" s="245"/>
      <c r="D268" s="245"/>
      <c r="E268" s="230"/>
      <c r="F268" s="230"/>
      <c r="G268" s="230"/>
      <c r="H268" s="230"/>
      <c r="I268" s="230"/>
      <c r="J268" s="230"/>
      <c r="K268" s="230"/>
      <c r="L268" s="230"/>
      <c r="M268" s="230"/>
      <c r="N268" s="230"/>
      <c r="O268" s="230"/>
      <c r="P268" s="230"/>
      <c r="Q268" s="230"/>
      <c r="R268" s="230"/>
      <c r="S268" s="142"/>
      <c r="T268" s="142"/>
      <c r="U268" s="142"/>
      <c r="V268" s="142"/>
      <c r="W268" s="142"/>
      <c r="X268" s="142"/>
      <c r="Y268" s="142"/>
      <c r="Z268" s="14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row>
    <row r="269" spans="1:78" ht="13.9" customHeight="1" x14ac:dyDescent="0.2">
      <c r="A269" s="241" t="s">
        <v>165</v>
      </c>
      <c r="B269" s="244">
        <v>0.5</v>
      </c>
      <c r="C269" s="230"/>
      <c r="D269" s="230"/>
      <c r="E269" s="230"/>
      <c r="F269" s="230"/>
      <c r="G269" s="230"/>
      <c r="H269" s="230"/>
      <c r="I269" s="230"/>
      <c r="J269" s="230"/>
      <c r="K269" s="230"/>
      <c r="L269" s="230"/>
      <c r="M269" s="230"/>
      <c r="N269" s="230"/>
      <c r="O269" s="230"/>
      <c r="P269" s="230"/>
      <c r="Q269" s="230"/>
      <c r="R269" s="230"/>
      <c r="S269" s="142"/>
      <c r="T269" s="142"/>
      <c r="U269" s="142"/>
      <c r="V269" s="142"/>
      <c r="W269" s="142"/>
      <c r="X269" s="142"/>
      <c r="Y269" s="142"/>
      <c r="Z269" s="14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row>
    <row r="270" spans="1:78" ht="13.9" customHeight="1" x14ac:dyDescent="0.2">
      <c r="A270" s="241" t="s">
        <v>166</v>
      </c>
      <c r="B270" s="244">
        <f>B268+B269</f>
        <v>2.7916666666666665</v>
      </c>
      <c r="C270" s="230"/>
      <c r="D270" s="230"/>
      <c r="E270" s="230"/>
      <c r="F270" s="230"/>
      <c r="G270" s="230"/>
      <c r="H270" s="230"/>
      <c r="I270" s="230"/>
      <c r="J270" s="230"/>
      <c r="K270" s="230"/>
      <c r="L270" s="230"/>
      <c r="M270" s="230"/>
      <c r="N270" s="230"/>
      <c r="O270" s="230"/>
      <c r="P270" s="230"/>
      <c r="Q270" s="230"/>
      <c r="R270" s="230"/>
      <c r="S270" s="142"/>
      <c r="T270" s="142"/>
      <c r="U270" s="142"/>
      <c r="V270" s="142"/>
      <c r="W270" s="142"/>
      <c r="X270" s="142"/>
      <c r="Y270" s="142"/>
      <c r="Z270" s="14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row>
    <row r="271" spans="1:78" ht="13.9" customHeight="1" x14ac:dyDescent="0.2">
      <c r="A271" s="434" t="s">
        <v>167</v>
      </c>
      <c r="B271" s="435"/>
      <c r="C271" s="230"/>
      <c r="D271" s="230"/>
      <c r="E271" s="230"/>
      <c r="F271" s="230"/>
      <c r="G271" s="230"/>
      <c r="H271" s="230"/>
      <c r="I271" s="230"/>
      <c r="J271" s="230"/>
      <c r="K271" s="230"/>
      <c r="L271" s="230"/>
      <c r="M271" s="230"/>
      <c r="N271" s="230"/>
      <c r="O271" s="230"/>
      <c r="P271" s="230"/>
      <c r="Q271" s="230"/>
      <c r="R271" s="230"/>
      <c r="S271" s="142"/>
      <c r="T271" s="142"/>
      <c r="U271" s="142"/>
      <c r="V271" s="142"/>
      <c r="W271" s="142"/>
      <c r="X271" s="142"/>
      <c r="Y271" s="142"/>
      <c r="Z271" s="14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row>
    <row r="272" spans="1:78" ht="13.9" customHeight="1" x14ac:dyDescent="0.2">
      <c r="A272" s="241" t="s">
        <v>163</v>
      </c>
      <c r="B272" s="242">
        <f>B258</f>
        <v>60</v>
      </c>
      <c r="C272" s="230"/>
      <c r="D272" s="230"/>
      <c r="E272" s="230"/>
      <c r="F272" s="230"/>
      <c r="G272" s="230"/>
      <c r="H272" s="230"/>
      <c r="I272" s="230"/>
      <c r="J272" s="230"/>
      <c r="K272" s="230"/>
      <c r="L272" s="230"/>
      <c r="M272" s="230"/>
      <c r="N272" s="230"/>
      <c r="O272" s="230"/>
      <c r="P272" s="230"/>
      <c r="Q272" s="230"/>
      <c r="R272" s="230"/>
      <c r="S272" s="142"/>
      <c r="T272" s="142"/>
      <c r="U272" s="142"/>
      <c r="V272" s="142"/>
      <c r="W272" s="142"/>
      <c r="X272" s="142"/>
      <c r="Y272" s="142"/>
      <c r="Z272" s="14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row>
    <row r="273" spans="1:78" ht="13.9" customHeight="1" x14ac:dyDescent="0.2">
      <c r="A273" s="241" t="s">
        <v>102</v>
      </c>
      <c r="B273" s="242">
        <f>B272*5280</f>
        <v>316800</v>
      </c>
      <c r="C273" s="230"/>
      <c r="D273" s="230"/>
      <c r="E273" s="230"/>
      <c r="F273" s="230"/>
      <c r="G273" s="230"/>
      <c r="H273" s="230"/>
      <c r="I273" s="230"/>
      <c r="J273" s="230"/>
      <c r="K273" s="230"/>
      <c r="L273" s="230"/>
      <c r="M273" s="230"/>
      <c r="N273" s="230"/>
      <c r="O273" s="230"/>
      <c r="P273" s="230"/>
      <c r="Q273" s="230"/>
      <c r="R273" s="230"/>
      <c r="S273" s="142"/>
      <c r="T273" s="142"/>
      <c r="U273" s="142"/>
      <c r="V273" s="142"/>
      <c r="W273" s="142"/>
      <c r="X273" s="142"/>
      <c r="Y273" s="142"/>
      <c r="Z273" s="14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row>
    <row r="274" spans="1:78" ht="13.9" customHeight="1" x14ac:dyDescent="0.2">
      <c r="A274" s="241" t="s">
        <v>103</v>
      </c>
      <c r="B274" s="242">
        <f>B273/60</f>
        <v>5280</v>
      </c>
      <c r="C274" s="230"/>
      <c r="D274" s="230"/>
      <c r="E274" s="230"/>
      <c r="F274" s="230"/>
      <c r="G274" s="230"/>
      <c r="H274" s="230"/>
      <c r="I274" s="230"/>
      <c r="J274" s="230"/>
      <c r="K274" s="230"/>
      <c r="L274" s="230"/>
      <c r="M274" s="230"/>
      <c r="N274" s="230"/>
      <c r="O274" s="230"/>
      <c r="P274" s="230"/>
      <c r="Q274" s="230"/>
      <c r="R274" s="230"/>
      <c r="S274" s="142"/>
      <c r="T274" s="142"/>
      <c r="U274" s="142"/>
      <c r="V274" s="142"/>
      <c r="W274" s="142"/>
      <c r="X274" s="142"/>
      <c r="Y274" s="142"/>
      <c r="Z274" s="14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row>
    <row r="275" spans="1:78" ht="13.9" customHeight="1" x14ac:dyDescent="0.2">
      <c r="A275" s="241" t="s">
        <v>164</v>
      </c>
      <c r="B275" s="244">
        <f>B262/B274</f>
        <v>1.1458333333333333</v>
      </c>
      <c r="C275" s="230"/>
      <c r="D275" s="230"/>
      <c r="E275" s="230"/>
      <c r="F275" s="230"/>
      <c r="G275" s="230"/>
      <c r="H275" s="230"/>
      <c r="I275" s="230"/>
      <c r="J275" s="230"/>
      <c r="K275" s="230"/>
      <c r="L275" s="230"/>
      <c r="M275" s="230"/>
      <c r="N275" s="230"/>
      <c r="O275" s="230"/>
      <c r="P275" s="230"/>
      <c r="Q275" s="230"/>
      <c r="R275" s="230"/>
      <c r="S275" s="142"/>
      <c r="T275" s="142"/>
      <c r="U275" s="142"/>
      <c r="V275" s="142"/>
      <c r="W275" s="142"/>
      <c r="X275" s="142"/>
      <c r="Y275" s="142"/>
      <c r="Z275" s="14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row>
    <row r="276" spans="1:78" ht="13.9" customHeight="1" x14ac:dyDescent="0.2">
      <c r="A276" s="241" t="s">
        <v>165</v>
      </c>
      <c r="B276" s="244">
        <v>0.5</v>
      </c>
      <c r="C276" s="230"/>
      <c r="D276" s="230"/>
      <c r="E276" s="230"/>
      <c r="F276" s="230"/>
      <c r="G276" s="230"/>
      <c r="H276" s="230"/>
      <c r="I276" s="230"/>
      <c r="J276" s="230"/>
      <c r="K276" s="230"/>
      <c r="L276" s="230"/>
      <c r="M276" s="230"/>
      <c r="N276" s="230"/>
      <c r="O276" s="230"/>
      <c r="P276" s="230"/>
      <c r="Q276" s="230"/>
      <c r="R276" s="230"/>
      <c r="S276" s="142"/>
      <c r="T276" s="142"/>
      <c r="U276" s="142"/>
      <c r="V276" s="142"/>
      <c r="W276" s="142"/>
      <c r="X276" s="142"/>
      <c r="Y276" s="142"/>
      <c r="Z276" s="14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row>
    <row r="277" spans="1:78" ht="13.9" customHeight="1" x14ac:dyDescent="0.2">
      <c r="A277" s="241" t="s">
        <v>166</v>
      </c>
      <c r="B277" s="244">
        <f>B275+B276</f>
        <v>1.6458333333333333</v>
      </c>
      <c r="C277" s="230"/>
      <c r="D277" s="230"/>
      <c r="E277" s="230"/>
      <c r="F277" s="230"/>
      <c r="G277" s="230"/>
      <c r="H277" s="230"/>
      <c r="I277" s="230"/>
      <c r="J277" s="230"/>
      <c r="K277" s="230"/>
      <c r="L277" s="230"/>
      <c r="M277" s="230"/>
      <c r="N277" s="230"/>
      <c r="O277" s="230"/>
      <c r="P277" s="230"/>
      <c r="Q277" s="230"/>
      <c r="R277" s="230"/>
      <c r="S277" s="142"/>
      <c r="T277" s="142"/>
      <c r="U277" s="142"/>
      <c r="V277" s="142"/>
      <c r="W277" s="142"/>
      <c r="X277" s="142"/>
      <c r="Y277" s="142"/>
      <c r="Z277" s="14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row>
    <row r="278" spans="1:78" ht="13.9" customHeight="1" x14ac:dyDescent="0.2">
      <c r="A278" s="487" t="s">
        <v>199</v>
      </c>
      <c r="B278" s="488"/>
      <c r="C278" s="230"/>
      <c r="D278" s="230"/>
      <c r="E278" s="230"/>
      <c r="F278" s="230"/>
      <c r="G278" s="230"/>
      <c r="H278" s="230"/>
      <c r="I278" s="230"/>
      <c r="J278" s="230"/>
      <c r="K278" s="230"/>
      <c r="L278" s="230"/>
      <c r="M278" s="230"/>
      <c r="N278" s="230"/>
      <c r="O278" s="230"/>
      <c r="P278" s="230"/>
      <c r="Q278" s="230"/>
      <c r="R278" s="230"/>
      <c r="S278" s="142"/>
      <c r="T278" s="142"/>
      <c r="U278" s="142"/>
      <c r="V278" s="142"/>
      <c r="W278" s="142"/>
      <c r="X278" s="142"/>
      <c r="Y278" s="142"/>
      <c r="Z278" s="14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row>
    <row r="279" spans="1:78" ht="13.9" customHeight="1" x14ac:dyDescent="0.2">
      <c r="A279" s="246" t="s">
        <v>156</v>
      </c>
      <c r="B279" s="247"/>
      <c r="C279" s="230"/>
      <c r="D279" s="230"/>
      <c r="E279" s="230"/>
      <c r="F279" s="230"/>
      <c r="G279" s="230"/>
      <c r="H279" s="230"/>
      <c r="I279" s="230"/>
      <c r="J279" s="230"/>
      <c r="K279" s="230"/>
      <c r="L279" s="230"/>
      <c r="M279" s="230"/>
      <c r="N279" s="230"/>
      <c r="O279" s="230"/>
      <c r="P279" s="230"/>
      <c r="Q279" s="230"/>
      <c r="R279" s="230"/>
      <c r="S279" s="142"/>
      <c r="T279" s="142"/>
      <c r="U279" s="142"/>
      <c r="V279" s="142"/>
      <c r="W279" s="142"/>
      <c r="X279" s="142"/>
      <c r="Y279" s="142"/>
      <c r="Z279" s="14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row>
    <row r="280" spans="1:78" ht="13.9" customHeight="1" x14ac:dyDescent="0.2">
      <c r="A280" s="246" t="s">
        <v>157</v>
      </c>
      <c r="B280" s="247"/>
      <c r="C280" s="230"/>
      <c r="D280" s="230"/>
      <c r="E280" s="230"/>
      <c r="F280" s="230"/>
      <c r="G280" s="230"/>
      <c r="H280" s="230"/>
      <c r="I280" s="230"/>
      <c r="J280" s="230"/>
      <c r="K280" s="230"/>
      <c r="L280" s="230"/>
      <c r="M280" s="230"/>
      <c r="N280" s="230"/>
      <c r="O280" s="230"/>
      <c r="P280" s="230"/>
      <c r="Q280" s="230"/>
      <c r="R280" s="230"/>
      <c r="S280" s="142"/>
      <c r="T280" s="142"/>
      <c r="U280" s="142"/>
      <c r="V280" s="142"/>
      <c r="W280" s="142"/>
      <c r="X280" s="142"/>
      <c r="Y280" s="142"/>
      <c r="Z280" s="14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row>
    <row r="281" spans="1:78" ht="13.9" customHeight="1" x14ac:dyDescent="0.2">
      <c r="A281" s="246" t="s">
        <v>158</v>
      </c>
      <c r="B281" s="247"/>
      <c r="C281" s="230"/>
      <c r="D281" s="230"/>
      <c r="E281" s="230"/>
      <c r="F281" s="230"/>
      <c r="G281" s="230"/>
      <c r="H281" s="230"/>
      <c r="I281" s="230"/>
      <c r="J281" s="230"/>
      <c r="K281" s="230"/>
      <c r="L281" s="230"/>
      <c r="M281" s="230"/>
      <c r="N281" s="230"/>
      <c r="O281" s="230"/>
      <c r="P281" s="230"/>
      <c r="Q281" s="230"/>
      <c r="R281" s="230"/>
      <c r="S281" s="142"/>
      <c r="T281" s="142"/>
      <c r="U281" s="142"/>
      <c r="V281" s="142"/>
      <c r="W281" s="142"/>
      <c r="X281" s="142"/>
      <c r="Y281" s="142"/>
      <c r="Z281" s="14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row>
    <row r="282" spans="1:78" ht="13.9" customHeight="1" x14ac:dyDescent="0.2">
      <c r="A282" s="246" t="s">
        <v>168</v>
      </c>
      <c r="B282" s="247"/>
      <c r="C282" s="230"/>
      <c r="D282" s="230"/>
      <c r="E282" s="230"/>
      <c r="F282" s="230"/>
      <c r="G282" s="230"/>
      <c r="H282" s="230"/>
      <c r="I282" s="230"/>
      <c r="J282" s="230"/>
      <c r="K282" s="230"/>
      <c r="L282" s="230"/>
      <c r="M282" s="230"/>
      <c r="N282" s="230"/>
      <c r="O282" s="230"/>
      <c r="P282" s="230"/>
      <c r="Q282" s="230"/>
      <c r="R282" s="230"/>
      <c r="S282" s="142"/>
      <c r="T282" s="142"/>
      <c r="U282" s="142"/>
      <c r="V282" s="142"/>
      <c r="W282" s="142"/>
      <c r="X282" s="142"/>
      <c r="Y282" s="142"/>
      <c r="Z282" s="14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row>
    <row r="283" spans="1:78" ht="13.9" customHeight="1" x14ac:dyDescent="0.2">
      <c r="A283" s="230"/>
      <c r="B283" s="230"/>
      <c r="C283" s="230"/>
      <c r="D283" s="230"/>
      <c r="E283" s="230"/>
      <c r="F283" s="230"/>
      <c r="G283" s="230"/>
      <c r="H283" s="230"/>
      <c r="I283" s="230"/>
      <c r="J283" s="230"/>
      <c r="K283" s="230"/>
      <c r="L283" s="230"/>
      <c r="M283" s="230"/>
      <c r="N283" s="230"/>
      <c r="O283" s="230"/>
      <c r="P283" s="230"/>
      <c r="Q283" s="230"/>
      <c r="R283" s="230"/>
      <c r="S283" s="142"/>
      <c r="T283" s="142"/>
      <c r="U283" s="142"/>
      <c r="V283" s="142"/>
      <c r="W283" s="142"/>
      <c r="X283" s="142"/>
      <c r="Y283" s="142"/>
      <c r="Z283" s="14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row>
    <row r="284" spans="1:78" ht="13.9" customHeight="1" x14ac:dyDescent="0.2">
      <c r="A284" s="390" t="s">
        <v>169</v>
      </c>
      <c r="B284" s="391"/>
      <c r="C284" s="391"/>
      <c r="D284" s="391"/>
      <c r="E284" s="392"/>
      <c r="F284" s="230"/>
      <c r="G284" s="230"/>
      <c r="H284" s="230"/>
      <c r="I284" s="230"/>
      <c r="J284" s="230"/>
      <c r="K284" s="230"/>
      <c r="L284" s="230"/>
      <c r="M284" s="230"/>
      <c r="N284" s="230"/>
      <c r="O284" s="230"/>
      <c r="P284" s="230"/>
      <c r="Q284" s="230"/>
      <c r="R284" s="230"/>
      <c r="S284" s="142"/>
      <c r="T284" s="142"/>
      <c r="U284" s="142"/>
      <c r="V284" s="142"/>
      <c r="W284" s="142"/>
      <c r="X284" s="142"/>
      <c r="Y284" s="142"/>
      <c r="Z284" s="14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row>
    <row r="285" spans="1:78" ht="13.9" customHeight="1" x14ac:dyDescent="0.2">
      <c r="A285" s="429" t="s">
        <v>171</v>
      </c>
      <c r="B285" s="430"/>
      <c r="C285" s="430"/>
      <c r="D285" s="431"/>
      <c r="E285" s="242">
        <v>625</v>
      </c>
      <c r="F285" s="230"/>
      <c r="G285" s="230"/>
      <c r="H285" s="230"/>
      <c r="I285" s="230"/>
      <c r="J285" s="230"/>
      <c r="K285" s="230"/>
      <c r="L285" s="230"/>
      <c r="M285" s="230"/>
      <c r="N285" s="230"/>
      <c r="O285" s="230"/>
      <c r="P285" s="230"/>
      <c r="Q285" s="230"/>
      <c r="R285" s="230"/>
      <c r="S285" s="230"/>
      <c r="T285" s="142"/>
      <c r="U285" s="142"/>
      <c r="V285" s="142"/>
      <c r="W285" s="142"/>
      <c r="X285" s="142"/>
      <c r="Y285" s="142"/>
      <c r="Z285" s="14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row>
    <row r="286" spans="1:78" ht="13.9" customHeight="1" x14ac:dyDescent="0.2">
      <c r="A286" s="429" t="s">
        <v>170</v>
      </c>
      <c r="B286" s="430"/>
      <c r="C286" s="430"/>
      <c r="D286" s="431"/>
      <c r="E286" s="244">
        <f>E285/(365-104)</f>
        <v>2.3946360153256707</v>
      </c>
      <c r="F286" s="230"/>
      <c r="G286" s="230"/>
      <c r="H286" s="230"/>
      <c r="I286" s="230"/>
      <c r="J286" s="230"/>
      <c r="K286" s="230"/>
      <c r="L286" s="230"/>
      <c r="M286" s="230"/>
      <c r="N286" s="230"/>
      <c r="O286" s="230"/>
      <c r="P286" s="230"/>
      <c r="Q286" s="230"/>
      <c r="R286" s="230"/>
      <c r="S286" s="230"/>
      <c r="T286" s="142"/>
      <c r="U286" s="142"/>
      <c r="V286" s="142"/>
      <c r="W286" s="142"/>
      <c r="X286" s="142"/>
      <c r="Y286" s="142"/>
      <c r="Z286" s="14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row>
    <row r="287" spans="1:78" ht="13.9" customHeight="1" x14ac:dyDescent="0.2">
      <c r="A287" s="429" t="s">
        <v>304</v>
      </c>
      <c r="B287" s="430"/>
      <c r="C287" s="430"/>
      <c r="D287" s="431"/>
      <c r="E287" s="244">
        <v>25</v>
      </c>
      <c r="F287" s="230"/>
      <c r="G287" s="230"/>
      <c r="H287" s="230"/>
      <c r="I287" s="230"/>
      <c r="J287" s="230"/>
      <c r="K287" s="230"/>
      <c r="L287" s="230"/>
      <c r="M287" s="230"/>
      <c r="N287" s="230"/>
      <c r="O287" s="230"/>
      <c r="P287" s="230"/>
      <c r="Q287" s="230"/>
      <c r="R287" s="230"/>
      <c r="S287" s="230"/>
      <c r="T287" s="142"/>
      <c r="U287" s="142"/>
      <c r="V287" s="142"/>
      <c r="W287" s="142"/>
      <c r="X287" s="142"/>
      <c r="Y287" s="142"/>
      <c r="Z287" s="14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row>
    <row r="288" spans="1:78" ht="13.9" customHeight="1" x14ac:dyDescent="0.2">
      <c r="A288" s="486" t="s">
        <v>98</v>
      </c>
      <c r="B288" s="486"/>
      <c r="C288" s="486"/>
      <c r="D288" s="486"/>
      <c r="E288" s="486"/>
      <c r="F288" s="230"/>
      <c r="G288" s="230"/>
      <c r="H288" s="230"/>
      <c r="I288" s="230"/>
      <c r="J288" s="230"/>
      <c r="K288" s="230"/>
      <c r="L288" s="230"/>
      <c r="M288" s="230"/>
      <c r="N288" s="230"/>
      <c r="O288" s="230"/>
      <c r="P288" s="230"/>
      <c r="Q288" s="230"/>
      <c r="R288" s="230"/>
      <c r="S288" s="142"/>
      <c r="T288" s="142"/>
      <c r="U288" s="142"/>
      <c r="V288" s="142"/>
      <c r="W288" s="142"/>
      <c r="X288" s="142"/>
      <c r="Y288" s="142"/>
      <c r="Z288" s="14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row>
    <row r="289" spans="1:78" ht="13.9" customHeight="1" x14ac:dyDescent="0.2">
      <c r="A289" s="230"/>
      <c r="B289" s="230"/>
      <c r="C289" s="230"/>
      <c r="D289" s="230"/>
      <c r="E289" s="230"/>
      <c r="F289" s="230"/>
      <c r="G289" s="230"/>
      <c r="H289" s="230"/>
      <c r="I289" s="230"/>
      <c r="J289" s="230"/>
      <c r="K289" s="230"/>
      <c r="L289" s="230"/>
      <c r="M289" s="230"/>
      <c r="N289" s="230"/>
      <c r="O289" s="230"/>
      <c r="P289" s="230"/>
      <c r="Q289" s="230"/>
      <c r="R289" s="230"/>
      <c r="S289" s="142"/>
      <c r="T289" s="142"/>
      <c r="U289" s="142"/>
      <c r="V289" s="142"/>
      <c r="W289" s="142"/>
      <c r="X289" s="142"/>
      <c r="Y289" s="142"/>
      <c r="Z289" s="14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row>
    <row r="290" spans="1:78" ht="13.9" customHeight="1" x14ac:dyDescent="0.2">
      <c r="A290" s="390" t="s">
        <v>172</v>
      </c>
      <c r="B290" s="391"/>
      <c r="C290" s="391"/>
      <c r="D290" s="392"/>
      <c r="E290" s="230"/>
      <c r="F290" s="230"/>
      <c r="G290" s="230"/>
      <c r="H290" s="230"/>
      <c r="I290" s="230"/>
      <c r="J290" s="230"/>
      <c r="K290" s="230"/>
      <c r="L290" s="230"/>
      <c r="M290" s="230"/>
      <c r="N290" s="230"/>
      <c r="O290" s="230"/>
      <c r="P290" s="230"/>
      <c r="Q290" s="142"/>
      <c r="R290" s="142"/>
      <c r="S290" s="142"/>
      <c r="T290" s="142"/>
      <c r="U290" s="142"/>
      <c r="V290" s="142"/>
      <c r="W290" s="142"/>
      <c r="X290" s="142"/>
      <c r="Y290" s="142"/>
      <c r="Z290" s="14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row>
    <row r="291" spans="1:78" ht="13.9" customHeight="1" x14ac:dyDescent="0.2">
      <c r="A291" s="248"/>
      <c r="B291" s="202" t="s">
        <v>79</v>
      </c>
      <c r="C291" s="202" t="s">
        <v>41</v>
      </c>
      <c r="D291" s="202" t="s">
        <v>200</v>
      </c>
      <c r="E291" s="230"/>
      <c r="F291" s="230"/>
      <c r="G291" s="230"/>
      <c r="H291" s="230"/>
      <c r="I291" s="230"/>
      <c r="J291" s="230"/>
      <c r="K291" s="230"/>
      <c r="L291" s="230"/>
      <c r="M291" s="230"/>
      <c r="N291" s="230"/>
      <c r="O291" s="230"/>
      <c r="P291" s="230"/>
      <c r="Q291" s="142"/>
      <c r="R291" s="142"/>
      <c r="S291" s="142"/>
      <c r="T291" s="142"/>
      <c r="U291" s="142"/>
      <c r="V291" s="142"/>
      <c r="W291" s="142"/>
      <c r="X291" s="142"/>
      <c r="Y291" s="142"/>
      <c r="Z291" s="14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row>
    <row r="292" spans="1:78" ht="13.9" customHeight="1" x14ac:dyDescent="0.2">
      <c r="A292" s="241" t="s">
        <v>173</v>
      </c>
      <c r="B292" s="243">
        <f>SUM(B225:J225)</f>
        <v>8.25</v>
      </c>
      <c r="C292" s="243">
        <f>SUM(B233:J233)</f>
        <v>8.08</v>
      </c>
      <c r="D292" s="243">
        <f>SUM(B241:J241)</f>
        <v>7.25</v>
      </c>
      <c r="E292" s="230"/>
      <c r="F292" s="230"/>
      <c r="G292" s="230"/>
      <c r="H292" s="230"/>
      <c r="I292" s="230"/>
      <c r="J292" s="230"/>
      <c r="K292" s="230"/>
      <c r="L292" s="230"/>
      <c r="M292" s="230"/>
      <c r="N292" s="230"/>
      <c r="O292" s="230"/>
      <c r="P292" s="230"/>
      <c r="Q292" s="142"/>
      <c r="R292" s="142"/>
      <c r="S292" s="142"/>
      <c r="T292" s="142"/>
      <c r="U292" s="142"/>
      <c r="V292" s="142"/>
      <c r="W292" s="142"/>
      <c r="X292" s="142"/>
      <c r="Y292" s="142"/>
      <c r="Z292" s="14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row>
    <row r="293" spans="1:78" ht="13.9" customHeight="1" x14ac:dyDescent="0.2">
      <c r="A293" s="241" t="s">
        <v>174</v>
      </c>
      <c r="B293" s="243">
        <v>35</v>
      </c>
      <c r="C293" s="243">
        <v>65</v>
      </c>
      <c r="D293" s="243">
        <f>B293</f>
        <v>35</v>
      </c>
      <c r="E293" s="230"/>
      <c r="F293" s="230"/>
      <c r="G293" s="230"/>
      <c r="H293" s="230"/>
      <c r="I293" s="230"/>
      <c r="J293" s="230"/>
      <c r="K293" s="230"/>
      <c r="L293" s="230"/>
      <c r="M293" s="230"/>
      <c r="N293" s="230"/>
      <c r="O293" s="230"/>
      <c r="P293" s="230"/>
      <c r="Q293" s="142"/>
      <c r="R293" s="142"/>
      <c r="S293" s="142"/>
      <c r="T293" s="142"/>
      <c r="U293" s="142"/>
      <c r="V293" s="142"/>
      <c r="W293" s="142"/>
      <c r="X293" s="142"/>
      <c r="Y293" s="142"/>
      <c r="Z293" s="14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row>
    <row r="294" spans="1:78" ht="13.9" customHeight="1" x14ac:dyDescent="0.2">
      <c r="A294" s="241" t="s">
        <v>175</v>
      </c>
      <c r="B294" s="243">
        <f>B292/B293</f>
        <v>0.23571428571428571</v>
      </c>
      <c r="C294" s="243">
        <f t="shared" ref="C294:D294" si="131">C292/C293</f>
        <v>0.12430769230769231</v>
      </c>
      <c r="D294" s="243">
        <f t="shared" si="131"/>
        <v>0.20714285714285716</v>
      </c>
      <c r="E294" s="230"/>
      <c r="F294" s="230"/>
      <c r="G294" s="230"/>
      <c r="H294" s="230"/>
      <c r="I294" s="230"/>
      <c r="J294" s="230"/>
      <c r="K294" s="230"/>
      <c r="L294" s="230"/>
      <c r="M294" s="230"/>
      <c r="N294" s="230"/>
      <c r="O294" s="230"/>
      <c r="P294" s="230"/>
      <c r="Q294" s="142"/>
      <c r="R294" s="142"/>
      <c r="S294" s="142"/>
      <c r="T294" s="142"/>
      <c r="U294" s="142"/>
      <c r="V294" s="142"/>
      <c r="W294" s="142"/>
      <c r="X294" s="142"/>
      <c r="Y294" s="142"/>
      <c r="Z294" s="14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row>
    <row r="295" spans="1:78" ht="13.9" customHeight="1" x14ac:dyDescent="0.2">
      <c r="A295" s="436" t="s">
        <v>198</v>
      </c>
      <c r="B295" s="437"/>
      <c r="C295" s="437"/>
      <c r="D295" s="438"/>
      <c r="E295" s="230"/>
      <c r="F295" s="230"/>
      <c r="G295" s="230"/>
      <c r="H295" s="230"/>
      <c r="I295" s="230"/>
      <c r="J295" s="230"/>
      <c r="K295" s="230"/>
      <c r="L295" s="230"/>
      <c r="M295" s="230"/>
      <c r="N295" s="230"/>
      <c r="O295" s="230"/>
      <c r="P295" s="230"/>
      <c r="Q295" s="142"/>
      <c r="R295" s="142"/>
      <c r="S295" s="142"/>
      <c r="T295" s="142"/>
      <c r="U295" s="142"/>
      <c r="V295" s="142"/>
      <c r="W295" s="142"/>
      <c r="X295" s="142"/>
      <c r="Y295" s="142"/>
      <c r="Z295" s="14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row>
    <row r="296" spans="1:78" ht="13.9" customHeight="1" x14ac:dyDescent="0.2">
      <c r="A296" s="230"/>
      <c r="B296" s="230"/>
      <c r="C296" s="230"/>
      <c r="D296" s="230"/>
      <c r="E296" s="230"/>
      <c r="F296" s="230"/>
      <c r="G296" s="230"/>
      <c r="H296" s="230"/>
      <c r="I296" s="230"/>
      <c r="J296" s="230"/>
      <c r="K296" s="230"/>
      <c r="L296" s="230"/>
      <c r="M296" s="230"/>
      <c r="N296" s="230"/>
      <c r="O296" s="230"/>
      <c r="P296" s="230"/>
      <c r="Q296" s="230"/>
      <c r="R296" s="230"/>
      <c r="S296" s="142"/>
      <c r="T296" s="142"/>
      <c r="U296" s="142"/>
      <c r="V296" s="142"/>
      <c r="W296" s="142"/>
      <c r="X296" s="142"/>
      <c r="Y296" s="142"/>
      <c r="Z296" s="14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row>
    <row r="297" spans="1:78" ht="13.9" customHeight="1" x14ac:dyDescent="0.2">
      <c r="A297" s="156"/>
      <c r="B297" s="156"/>
      <c r="C297" s="229"/>
      <c r="D297" s="249"/>
      <c r="E297" s="156"/>
      <c r="F297" s="156"/>
      <c r="G297" s="250"/>
      <c r="H297" s="156"/>
      <c r="I297" s="156"/>
      <c r="J297" s="156"/>
      <c r="K297" s="231"/>
      <c r="L297" s="231"/>
      <c r="M297" s="233"/>
      <c r="N297" s="233"/>
      <c r="O297" s="233"/>
      <c r="P297" s="142"/>
      <c r="Q297" s="142"/>
      <c r="R297" s="142"/>
      <c r="S297" s="142"/>
      <c r="T297" s="142"/>
      <c r="U297" s="142"/>
      <c r="V297" s="142"/>
      <c r="W297" s="142"/>
      <c r="X297" s="142"/>
      <c r="Y297" s="142"/>
      <c r="Z297" s="14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row>
    <row r="298" spans="1:78" ht="13.9" customHeight="1" x14ac:dyDescent="0.2">
      <c r="A298" s="143">
        <v>30.8</v>
      </c>
      <c r="B298" s="142" t="s">
        <v>276</v>
      </c>
      <c r="C298" s="249"/>
      <c r="D298" s="250"/>
      <c r="E298" s="156"/>
      <c r="F298" s="156"/>
      <c r="G298" s="250"/>
      <c r="H298" s="156"/>
      <c r="I298" s="156"/>
      <c r="J298" s="156"/>
      <c r="K298" s="231"/>
      <c r="L298" s="231"/>
      <c r="M298" s="233"/>
      <c r="N298" s="233"/>
      <c r="O298" s="233"/>
      <c r="P298" s="142"/>
      <c r="Q298" s="142"/>
      <c r="R298" s="142"/>
      <c r="S298" s="142"/>
      <c r="T298" s="142"/>
      <c r="U298" s="142"/>
      <c r="V298" s="142"/>
      <c r="W298" s="142"/>
      <c r="X298" s="142"/>
      <c r="Y298" s="142"/>
      <c r="Z298" s="14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row>
    <row r="299" spans="1:78" ht="13.9" customHeight="1" x14ac:dyDescent="0.2">
      <c r="A299" s="143">
        <v>17.899999999999999</v>
      </c>
      <c r="B299" s="142" t="s">
        <v>277</v>
      </c>
      <c r="C299" s="249"/>
      <c r="D299" s="249"/>
      <c r="E299" s="156"/>
      <c r="F299" s="156"/>
      <c r="G299" s="250"/>
      <c r="H299" s="156"/>
      <c r="I299" s="156"/>
      <c r="J299" s="156"/>
      <c r="K299" s="230"/>
      <c r="L299" s="230"/>
      <c r="M299" s="230"/>
      <c r="N299" s="230"/>
      <c r="O299" s="230"/>
      <c r="P299" s="230"/>
      <c r="Q299" s="251"/>
      <c r="R299" s="231"/>
      <c r="S299" s="231"/>
      <c r="T299" s="231"/>
      <c r="U299" s="233"/>
      <c r="V299" s="233"/>
      <c r="W299" s="233"/>
      <c r="X299" s="142"/>
      <c r="Y299" s="142"/>
      <c r="Z299" s="14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row>
    <row r="300" spans="1:78" x14ac:dyDescent="0.2">
      <c r="A300" s="245"/>
      <c r="B300" s="252"/>
      <c r="C300" s="245"/>
      <c r="D300" s="249"/>
      <c r="E300" s="227"/>
      <c r="F300" s="224"/>
      <c r="G300" s="250"/>
      <c r="H300" s="156"/>
      <c r="I300" s="156"/>
      <c r="J300" s="156"/>
      <c r="K300" s="156"/>
      <c r="L300" s="217"/>
      <c r="M300" s="253"/>
      <c r="N300" s="217"/>
      <c r="O300" s="253"/>
      <c r="P300" s="217"/>
      <c r="Q300" s="253"/>
      <c r="R300" s="142"/>
      <c r="S300" s="142"/>
      <c r="T300" s="142"/>
      <c r="U300" s="142"/>
      <c r="V300" s="142"/>
      <c r="W300" s="142"/>
      <c r="X300" s="142"/>
      <c r="Y300" s="142"/>
      <c r="Z300" s="14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row>
    <row r="301" spans="1:78" x14ac:dyDescent="0.2">
      <c r="A301" s="143">
        <v>0.93</v>
      </c>
      <c r="B301" s="142" t="s">
        <v>278</v>
      </c>
      <c r="C301" s="249"/>
      <c r="D301" s="142"/>
      <c r="E301" s="156"/>
      <c r="F301" s="156"/>
      <c r="G301" s="250"/>
      <c r="H301" s="156"/>
      <c r="I301" s="156"/>
      <c r="J301" s="156"/>
      <c r="K301" s="156"/>
      <c r="L301" s="217"/>
      <c r="M301" s="253"/>
      <c r="N301" s="217"/>
      <c r="O301" s="253"/>
      <c r="P301" s="217"/>
      <c r="Q301" s="253"/>
      <c r="R301" s="142"/>
      <c r="S301" s="142"/>
      <c r="T301" s="142"/>
      <c r="U301" s="142"/>
      <c r="V301" s="142"/>
      <c r="W301" s="142"/>
      <c r="X301" s="142"/>
      <c r="Y301" s="142"/>
      <c r="Z301" s="14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row>
    <row r="302" spans="1:78" x14ac:dyDescent="0.2">
      <c r="A302" s="143">
        <v>0.43</v>
      </c>
      <c r="B302" s="142" t="s">
        <v>279</v>
      </c>
      <c r="C302" s="249"/>
      <c r="D302" s="142"/>
      <c r="E302" s="142"/>
      <c r="F302" s="142"/>
      <c r="G302" s="250"/>
      <c r="H302" s="227"/>
      <c r="I302" s="224"/>
      <c r="J302" s="142"/>
      <c r="K302" s="156"/>
      <c r="L302" s="217"/>
      <c r="M302" s="253"/>
      <c r="N302" s="217"/>
      <c r="O302" s="253"/>
      <c r="P302" s="217"/>
      <c r="Q302" s="253"/>
      <c r="R302" s="142"/>
      <c r="S302" s="142"/>
      <c r="T302" s="142"/>
      <c r="U302" s="142"/>
      <c r="V302" s="142"/>
      <c r="W302" s="142"/>
      <c r="X302" s="142"/>
      <c r="Y302" s="142"/>
      <c r="Z302" s="14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row>
    <row r="303" spans="1:78" x14ac:dyDescent="0.2">
      <c r="A303" s="142"/>
      <c r="B303" s="142"/>
      <c r="C303" s="142"/>
      <c r="D303" s="142"/>
      <c r="E303" s="142"/>
      <c r="F303" s="142"/>
      <c r="G303" s="142"/>
      <c r="H303" s="156"/>
      <c r="I303" s="156"/>
      <c r="J303" s="156"/>
      <c r="K303" s="156"/>
      <c r="L303" s="217"/>
      <c r="M303" s="253"/>
      <c r="N303" s="217"/>
      <c r="O303" s="253"/>
      <c r="P303" s="217"/>
      <c r="Q303" s="253"/>
      <c r="R303" s="142"/>
      <c r="S303" s="142"/>
      <c r="T303" s="142"/>
      <c r="U303" s="142"/>
      <c r="V303" s="142"/>
      <c r="W303" s="142"/>
      <c r="X303" s="142"/>
      <c r="Y303" s="142"/>
      <c r="Z303" s="14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row>
    <row r="304" spans="1:78" ht="13.15" customHeight="1" x14ac:dyDescent="0.2">
      <c r="A304" s="142"/>
      <c r="B304" s="142"/>
      <c r="C304" s="142"/>
      <c r="D304" s="142"/>
      <c r="E304" s="142"/>
      <c r="F304" s="142"/>
      <c r="G304" s="142"/>
      <c r="H304" s="142"/>
      <c r="I304" s="142"/>
      <c r="J304" s="142"/>
      <c r="K304" s="156"/>
      <c r="L304" s="245"/>
      <c r="M304" s="142"/>
      <c r="N304" s="142"/>
      <c r="O304" s="142"/>
      <c r="P304" s="142"/>
      <c r="Q304" s="142"/>
      <c r="R304" s="142"/>
      <c r="S304" s="142"/>
      <c r="T304" s="142"/>
      <c r="U304" s="142"/>
      <c r="V304" s="142"/>
      <c r="W304" s="142"/>
      <c r="X304" s="142"/>
      <c r="Y304" s="142"/>
      <c r="Z304" s="14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row>
    <row r="305" spans="1:78" ht="13.15" customHeight="1" x14ac:dyDescent="0.2">
      <c r="A305" s="142"/>
      <c r="B305" s="142"/>
      <c r="C305" s="142"/>
      <c r="D305" s="142"/>
      <c r="E305" s="142"/>
      <c r="F305" s="142"/>
      <c r="G305" s="142"/>
      <c r="H305" s="142"/>
      <c r="I305" s="142"/>
      <c r="J305" s="142"/>
      <c r="K305" s="142"/>
      <c r="L305" s="245"/>
      <c r="M305" s="142"/>
      <c r="N305" s="142"/>
      <c r="O305" s="142"/>
      <c r="P305" s="142"/>
      <c r="Q305" s="142"/>
      <c r="R305" s="142"/>
      <c r="S305" s="142"/>
      <c r="T305" s="142"/>
      <c r="U305" s="142"/>
      <c r="V305" s="142"/>
      <c r="W305" s="142"/>
      <c r="X305" s="142"/>
      <c r="Y305" s="142"/>
      <c r="Z305" s="14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row>
    <row r="306" spans="1:78" x14ac:dyDescent="0.2">
      <c r="A306" s="142"/>
      <c r="B306" s="142"/>
      <c r="C306" s="142"/>
      <c r="D306" s="142"/>
      <c r="E306" s="142"/>
      <c r="F306" s="142"/>
      <c r="G306" s="142"/>
      <c r="H306" s="142"/>
      <c r="I306" s="142"/>
      <c r="J306" s="142"/>
      <c r="K306" s="156"/>
      <c r="L306" s="142"/>
      <c r="M306" s="142"/>
      <c r="N306" s="142"/>
      <c r="O306" s="142"/>
      <c r="P306" s="142"/>
      <c r="Q306" s="142"/>
      <c r="R306" s="142"/>
      <c r="S306" s="142"/>
      <c r="T306" s="142"/>
      <c r="U306" s="142"/>
      <c r="V306" s="142"/>
      <c r="W306" s="142"/>
      <c r="X306" s="142"/>
      <c r="Y306" s="142"/>
      <c r="Z306" s="14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row>
    <row r="307" spans="1:78" x14ac:dyDescent="0.2">
      <c r="A307" s="142"/>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row>
    <row r="308" spans="1:78" x14ac:dyDescent="0.2">
      <c r="A308" s="142"/>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row>
    <row r="309" spans="1:78" x14ac:dyDescent="0.2">
      <c r="A309" s="142"/>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row>
    <row r="310" spans="1:78" x14ac:dyDescent="0.2">
      <c r="A310" s="142"/>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row>
    <row r="311" spans="1:78" x14ac:dyDescent="0.2">
      <c r="A311" s="142"/>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row>
    <row r="312" spans="1:78" x14ac:dyDescent="0.2">
      <c r="A312" s="14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row>
    <row r="313" spans="1:78" x14ac:dyDescent="0.2">
      <c r="A313" s="142"/>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row>
    <row r="314" spans="1:78" x14ac:dyDescent="0.2">
      <c r="A314" s="142"/>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row>
    <row r="315" spans="1:78" x14ac:dyDescent="0.2">
      <c r="A315" s="142"/>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row>
    <row r="316" spans="1:78" x14ac:dyDescent="0.2">
      <c r="A316" s="142"/>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row>
    <row r="317" spans="1:78" x14ac:dyDescent="0.2">
      <c r="A317" s="142"/>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row>
    <row r="318" spans="1:78" x14ac:dyDescent="0.2">
      <c r="A318" s="142"/>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row>
    <row r="319" spans="1:78" x14ac:dyDescent="0.2">
      <c r="A319" s="142"/>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row>
    <row r="320" spans="1:78" x14ac:dyDescent="0.2">
      <c r="A320" s="142"/>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row>
    <row r="321" spans="1:78" x14ac:dyDescent="0.2">
      <c r="A321" s="142"/>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row>
    <row r="322" spans="1:78" x14ac:dyDescent="0.2">
      <c r="A322" s="14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row>
    <row r="323" spans="1:78" x14ac:dyDescent="0.2">
      <c r="A323" s="142"/>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row>
    <row r="324" spans="1:78" x14ac:dyDescent="0.2">
      <c r="A324" s="142"/>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row>
    <row r="325" spans="1:78" x14ac:dyDescent="0.2">
      <c r="A325" s="142"/>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row>
    <row r="326" spans="1:78" x14ac:dyDescent="0.2">
      <c r="A326" s="142"/>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row>
    <row r="327" spans="1:78" x14ac:dyDescent="0.2">
      <c r="A327" s="142"/>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row>
    <row r="328" spans="1:78" x14ac:dyDescent="0.2">
      <c r="A328" s="142"/>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row>
    <row r="329" spans="1:78" x14ac:dyDescent="0.2">
      <c r="A329" s="142"/>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row>
    <row r="330" spans="1:78" x14ac:dyDescent="0.2">
      <c r="A330" s="142"/>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row>
    <row r="331" spans="1:78" x14ac:dyDescent="0.2">
      <c r="A331" s="142"/>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row>
    <row r="332" spans="1:78" x14ac:dyDescent="0.2">
      <c r="A332" s="14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row>
    <row r="333" spans="1:78" x14ac:dyDescent="0.2">
      <c r="A333" s="142"/>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row>
    <row r="334" spans="1:78" x14ac:dyDescent="0.2">
      <c r="A334" s="142"/>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row>
    <row r="335" spans="1:78" x14ac:dyDescent="0.2">
      <c r="A335" s="485"/>
      <c r="B335" s="477"/>
      <c r="C335" s="477"/>
      <c r="D335" s="477"/>
      <c r="E335" s="477"/>
      <c r="F335" s="477"/>
      <c r="G335" s="477"/>
      <c r="H335" s="142"/>
      <c r="I335" s="142"/>
      <c r="J335" s="142"/>
      <c r="K335" s="142"/>
      <c r="L335" s="142"/>
      <c r="M335" s="142"/>
      <c r="N335" s="142"/>
      <c r="O335" s="142"/>
      <c r="P335" s="142"/>
      <c r="Q335" s="142"/>
      <c r="R335" s="142"/>
      <c r="S335" s="142"/>
      <c r="T335" s="142"/>
      <c r="U335" s="142"/>
      <c r="V335" s="142"/>
      <c r="W335" s="142"/>
      <c r="X335" s="142"/>
      <c r="Y335" s="142"/>
      <c r="Z335" s="14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row>
    <row r="336" spans="1:78" x14ac:dyDescent="0.2">
      <c r="A336" s="485"/>
      <c r="B336" s="259"/>
      <c r="C336" s="260"/>
      <c r="D336" s="260"/>
      <c r="E336" s="259"/>
      <c r="F336" s="260"/>
      <c r="G336" s="260"/>
      <c r="H336" s="142"/>
      <c r="I336" s="142"/>
      <c r="J336" s="142"/>
      <c r="K336" s="142"/>
      <c r="L336" s="142"/>
      <c r="M336" s="142"/>
      <c r="N336" s="142"/>
      <c r="O336" s="142"/>
      <c r="P336" s="142"/>
      <c r="Q336" s="142"/>
      <c r="R336" s="142"/>
      <c r="S336" s="142"/>
      <c r="T336" s="142"/>
      <c r="U336" s="142"/>
      <c r="V336" s="142"/>
      <c r="W336" s="142"/>
      <c r="X336" s="142"/>
      <c r="Y336" s="142"/>
      <c r="Z336" s="14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row>
    <row r="337" spans="1:78" x14ac:dyDescent="0.2">
      <c r="A337" s="145"/>
      <c r="B337" s="144"/>
      <c r="C337" s="144"/>
      <c r="D337" s="144"/>
      <c r="E337" s="144"/>
      <c r="F337" s="144"/>
      <c r="G337" s="144"/>
      <c r="H337" s="142"/>
      <c r="I337" s="142"/>
      <c r="J337" s="142"/>
      <c r="K337" s="142"/>
      <c r="L337" s="142"/>
      <c r="M337" s="142"/>
      <c r="N337" s="142"/>
      <c r="O337" s="142"/>
      <c r="P337" s="142"/>
      <c r="Q337" s="142"/>
      <c r="R337" s="142"/>
      <c r="S337" s="142"/>
      <c r="T337" s="142"/>
      <c r="U337" s="142"/>
      <c r="V337" s="142"/>
      <c r="W337" s="142"/>
      <c r="X337" s="142"/>
      <c r="Y337" s="142"/>
      <c r="Z337" s="14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row>
    <row r="338" spans="1:78" x14ac:dyDescent="0.2">
      <c r="A338" s="145"/>
      <c r="B338" s="144"/>
      <c r="C338" s="144"/>
      <c r="D338" s="144"/>
      <c r="E338" s="144"/>
      <c r="F338" s="144"/>
      <c r="G338" s="144"/>
      <c r="H338" s="142"/>
      <c r="I338" s="142"/>
      <c r="J338" s="142"/>
      <c r="K338" s="142"/>
      <c r="L338" s="142"/>
      <c r="M338" s="142"/>
      <c r="N338" s="142"/>
      <c r="O338" s="142"/>
      <c r="P338" s="142"/>
      <c r="Q338" s="142"/>
      <c r="R338" s="142"/>
      <c r="S338" s="142"/>
      <c r="T338" s="142"/>
      <c r="U338" s="142"/>
      <c r="V338" s="142"/>
      <c r="W338" s="142"/>
      <c r="X338" s="142"/>
      <c r="Y338" s="142"/>
      <c r="Z338" s="14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row>
    <row r="339" spans="1:78" x14ac:dyDescent="0.2">
      <c r="A339" s="145"/>
      <c r="B339" s="144"/>
      <c r="C339" s="144"/>
      <c r="D339" s="144"/>
      <c r="E339" s="144"/>
      <c r="F339" s="144"/>
      <c r="G339" s="144"/>
      <c r="H339" s="142"/>
      <c r="I339" s="142"/>
      <c r="J339" s="142"/>
      <c r="K339" s="142"/>
      <c r="L339" s="142"/>
      <c r="M339" s="142"/>
      <c r="N339" s="142"/>
      <c r="O339" s="142"/>
      <c r="P339" s="142"/>
      <c r="Q339" s="142"/>
      <c r="R339" s="142"/>
      <c r="S339" s="142"/>
      <c r="T339" s="142"/>
      <c r="U339" s="142"/>
      <c r="V339" s="142"/>
      <c r="W339" s="142"/>
      <c r="X339" s="142"/>
      <c r="Y339" s="142"/>
      <c r="Z339" s="14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row>
    <row r="340" spans="1:78" x14ac:dyDescent="0.2">
      <c r="A340" s="145"/>
      <c r="B340" s="144"/>
      <c r="C340" s="144"/>
      <c r="D340" s="144"/>
      <c r="E340" s="144"/>
      <c r="F340" s="144"/>
      <c r="G340" s="144"/>
      <c r="H340" s="142"/>
      <c r="I340" s="142"/>
      <c r="J340" s="142"/>
      <c r="K340" s="142"/>
      <c r="L340" s="142"/>
      <c r="M340" s="142"/>
      <c r="N340" s="142"/>
      <c r="O340" s="142"/>
      <c r="P340" s="142"/>
      <c r="Q340" s="142"/>
      <c r="R340" s="142"/>
      <c r="S340" s="142"/>
      <c r="T340" s="142"/>
      <c r="U340" s="142"/>
      <c r="V340" s="142"/>
      <c r="W340" s="142"/>
      <c r="X340" s="142"/>
      <c r="Y340" s="142"/>
      <c r="Z340" s="14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row>
    <row r="341" spans="1:78" x14ac:dyDescent="0.2">
      <c r="A341" s="145"/>
      <c r="B341" s="144"/>
      <c r="C341" s="144"/>
      <c r="D341" s="144"/>
      <c r="E341" s="144"/>
      <c r="F341" s="144"/>
      <c r="G341" s="144"/>
      <c r="H341" s="142"/>
      <c r="I341" s="142"/>
      <c r="J341" s="142"/>
      <c r="K341" s="142"/>
      <c r="L341" s="142"/>
      <c r="M341" s="142"/>
      <c r="N341" s="142"/>
      <c r="O341" s="142"/>
      <c r="P341" s="142"/>
      <c r="Q341" s="142"/>
      <c r="R341" s="142"/>
      <c r="S341" s="142"/>
      <c r="T341" s="142"/>
      <c r="U341" s="142"/>
      <c r="V341" s="142"/>
      <c r="W341" s="142"/>
      <c r="X341" s="142"/>
      <c r="Y341" s="142"/>
      <c r="Z341" s="14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row>
    <row r="342" spans="1:78" x14ac:dyDescent="0.2">
      <c r="A342" s="145"/>
      <c r="B342" s="144"/>
      <c r="C342" s="144"/>
      <c r="D342" s="144"/>
      <c r="E342" s="144"/>
      <c r="F342" s="144"/>
      <c r="G342" s="144"/>
      <c r="H342" s="142"/>
      <c r="I342" s="142"/>
      <c r="J342" s="142"/>
      <c r="K342" s="142"/>
      <c r="L342" s="142"/>
      <c r="M342" s="142"/>
      <c r="N342" s="142"/>
      <c r="O342" s="142"/>
      <c r="P342" s="142"/>
      <c r="Q342" s="142"/>
      <c r="R342" s="142"/>
      <c r="S342" s="142"/>
      <c r="T342" s="142"/>
      <c r="U342" s="142"/>
      <c r="V342" s="142"/>
      <c r="W342" s="142"/>
      <c r="X342" s="142"/>
      <c r="Y342" s="142"/>
      <c r="Z342" s="1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row>
    <row r="343" spans="1:78" x14ac:dyDescent="0.2">
      <c r="A343" s="145"/>
      <c r="B343" s="144"/>
      <c r="C343" s="144"/>
      <c r="D343" s="144"/>
      <c r="E343" s="144"/>
      <c r="F343" s="144"/>
      <c r="G343" s="144"/>
      <c r="H343" s="142"/>
      <c r="I343" s="142"/>
      <c r="J343" s="142"/>
      <c r="K343" s="142"/>
      <c r="L343" s="142"/>
      <c r="M343" s="142"/>
      <c r="N343" s="142"/>
      <c r="O343" s="142"/>
      <c r="P343" s="142"/>
      <c r="Q343" s="142"/>
      <c r="R343" s="142"/>
      <c r="S343" s="142"/>
      <c r="T343" s="142"/>
      <c r="U343" s="142"/>
      <c r="V343" s="142"/>
      <c r="W343" s="142"/>
      <c r="X343" s="142"/>
      <c r="Y343" s="142"/>
      <c r="Z343" s="14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row>
    <row r="344" spans="1:78" x14ac:dyDescent="0.2">
      <c r="A344" s="145"/>
      <c r="B344" s="144"/>
      <c r="C344" s="144"/>
      <c r="D344" s="144"/>
      <c r="E344" s="144"/>
      <c r="F344" s="144"/>
      <c r="G344" s="144"/>
      <c r="H344" s="142"/>
      <c r="I344" s="142"/>
      <c r="J344" s="142"/>
      <c r="K344" s="142"/>
      <c r="L344" s="142"/>
      <c r="M344" s="142"/>
      <c r="N344" s="142"/>
      <c r="O344" s="142"/>
      <c r="P344" s="142"/>
      <c r="Q344" s="142"/>
      <c r="R344" s="142"/>
      <c r="S344" s="142"/>
      <c r="T344" s="142"/>
      <c r="U344" s="142"/>
      <c r="V344" s="142"/>
      <c r="W344" s="142"/>
      <c r="X344" s="142"/>
      <c r="Y344" s="142"/>
      <c r="Z344" s="14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row>
    <row r="345" spans="1:78" x14ac:dyDescent="0.2">
      <c r="A345" s="145"/>
      <c r="B345" s="144"/>
      <c r="C345" s="144"/>
      <c r="D345" s="144"/>
      <c r="E345" s="144"/>
      <c r="F345" s="144"/>
      <c r="G345" s="144"/>
      <c r="H345" s="142"/>
      <c r="I345" s="142"/>
      <c r="J345" s="142"/>
      <c r="K345" s="142"/>
      <c r="L345" s="142"/>
      <c r="M345" s="142"/>
      <c r="N345" s="142"/>
      <c r="O345" s="142"/>
      <c r="P345" s="142"/>
      <c r="Q345" s="142"/>
      <c r="R345" s="142"/>
      <c r="S345" s="142"/>
      <c r="T345" s="142"/>
      <c r="U345" s="142"/>
      <c r="V345" s="142"/>
      <c r="W345" s="142"/>
      <c r="X345" s="142"/>
      <c r="Y345" s="142"/>
      <c r="Z345" s="14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row>
    <row r="346" spans="1:78" x14ac:dyDescent="0.2">
      <c r="A346" s="145"/>
      <c r="B346" s="144"/>
      <c r="C346" s="144"/>
      <c r="D346" s="144"/>
      <c r="E346" s="144"/>
      <c r="F346" s="144"/>
      <c r="G346" s="144"/>
      <c r="H346" s="142"/>
      <c r="I346" s="142"/>
      <c r="J346" s="142"/>
      <c r="K346" s="142"/>
      <c r="L346" s="142"/>
      <c r="M346" s="142"/>
      <c r="N346" s="142"/>
      <c r="O346" s="142"/>
      <c r="P346" s="142"/>
      <c r="Q346" s="142"/>
      <c r="R346" s="142"/>
      <c r="S346" s="142"/>
      <c r="T346" s="142"/>
      <c r="U346" s="142"/>
      <c r="V346" s="142"/>
      <c r="W346" s="142"/>
      <c r="X346" s="142"/>
      <c r="Y346" s="142"/>
      <c r="Z346" s="14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row>
    <row r="347" spans="1:78" x14ac:dyDescent="0.2">
      <c r="A347" s="145"/>
      <c r="B347" s="144"/>
      <c r="C347" s="144"/>
      <c r="D347" s="144"/>
      <c r="E347" s="144"/>
      <c r="F347" s="144"/>
      <c r="G347" s="144"/>
      <c r="H347" s="142"/>
      <c r="I347" s="142"/>
      <c r="J347" s="142"/>
      <c r="K347" s="142"/>
      <c r="L347" s="142"/>
      <c r="M347" s="142"/>
      <c r="N347" s="142"/>
      <c r="O347" s="142"/>
      <c r="P347" s="142"/>
      <c r="Q347" s="142"/>
      <c r="R347" s="142"/>
      <c r="S347" s="142"/>
      <c r="T347" s="142"/>
      <c r="U347" s="142"/>
      <c r="V347" s="142"/>
      <c r="W347" s="142"/>
      <c r="X347" s="142"/>
      <c r="Y347" s="142"/>
      <c r="Z347" s="14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row>
    <row r="348" spans="1:78" x14ac:dyDescent="0.2">
      <c r="A348" s="145"/>
      <c r="B348" s="144"/>
      <c r="C348" s="144"/>
      <c r="D348" s="144"/>
      <c r="E348" s="144"/>
      <c r="F348" s="144"/>
      <c r="G348" s="144"/>
      <c r="H348" s="142"/>
      <c r="I348" s="142"/>
      <c r="J348" s="142"/>
      <c r="K348" s="142"/>
      <c r="L348" s="142"/>
      <c r="M348" s="142"/>
      <c r="N348" s="142"/>
      <c r="O348" s="142"/>
      <c r="P348" s="142"/>
      <c r="Q348" s="142"/>
      <c r="R348" s="142"/>
      <c r="S348" s="142"/>
      <c r="T348" s="142"/>
      <c r="U348" s="142"/>
      <c r="V348" s="142"/>
      <c r="W348" s="142"/>
      <c r="X348" s="142"/>
      <c r="Y348" s="142"/>
      <c r="Z348" s="14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row>
    <row r="349" spans="1:78" x14ac:dyDescent="0.2">
      <c r="A349" s="145"/>
      <c r="B349" s="144"/>
      <c r="C349" s="144"/>
      <c r="D349" s="144"/>
      <c r="E349" s="144"/>
      <c r="F349" s="144"/>
      <c r="G349" s="144"/>
      <c r="H349" s="142"/>
      <c r="I349" s="142"/>
      <c r="J349" s="142"/>
      <c r="K349" s="142"/>
      <c r="L349" s="142"/>
      <c r="M349" s="142"/>
      <c r="N349" s="142"/>
      <c r="O349" s="142"/>
      <c r="P349" s="142"/>
      <c r="Q349" s="142"/>
      <c r="R349" s="142"/>
      <c r="S349" s="142"/>
      <c r="T349" s="142"/>
      <c r="U349" s="142"/>
      <c r="V349" s="142"/>
      <c r="W349" s="142"/>
      <c r="X349" s="142"/>
      <c r="Y349" s="142"/>
      <c r="Z349" s="14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row>
    <row r="350" spans="1:78" x14ac:dyDescent="0.2">
      <c r="A350" s="145"/>
      <c r="B350" s="144"/>
      <c r="C350" s="144"/>
      <c r="D350" s="144"/>
      <c r="E350" s="144"/>
      <c r="F350" s="144"/>
      <c r="G350" s="144"/>
      <c r="H350" s="142"/>
      <c r="I350" s="142"/>
      <c r="J350" s="142"/>
      <c r="K350" s="142"/>
      <c r="L350" s="142"/>
      <c r="M350" s="142"/>
      <c r="N350" s="142"/>
      <c r="O350" s="142"/>
      <c r="P350" s="142"/>
      <c r="Q350" s="142"/>
      <c r="R350" s="142"/>
      <c r="S350" s="142"/>
      <c r="T350" s="142"/>
      <c r="U350" s="142"/>
      <c r="V350" s="142"/>
      <c r="W350" s="142"/>
      <c r="X350" s="142"/>
      <c r="Y350" s="142"/>
      <c r="Z350" s="14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row>
    <row r="351" spans="1:78" x14ac:dyDescent="0.2">
      <c r="A351" s="145"/>
      <c r="B351" s="144"/>
      <c r="C351" s="144"/>
      <c r="D351" s="144"/>
      <c r="E351" s="144"/>
      <c r="F351" s="144"/>
      <c r="G351" s="144"/>
      <c r="H351" s="142"/>
      <c r="I351" s="142"/>
      <c r="J351" s="142"/>
      <c r="K351" s="142"/>
      <c r="L351" s="142"/>
      <c r="M351" s="142"/>
      <c r="N351" s="142"/>
      <c r="O351" s="142"/>
      <c r="P351" s="142"/>
      <c r="Q351" s="142"/>
      <c r="R351" s="142"/>
      <c r="S351" s="142"/>
      <c r="T351" s="142"/>
      <c r="U351" s="142"/>
      <c r="V351" s="142"/>
      <c r="W351" s="142"/>
      <c r="X351" s="142"/>
      <c r="Y351" s="142"/>
      <c r="Z351" s="14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row>
    <row r="352" spans="1:78" x14ac:dyDescent="0.2">
      <c r="A352" s="145"/>
      <c r="B352" s="144"/>
      <c r="C352" s="144"/>
      <c r="D352" s="144"/>
      <c r="E352" s="144"/>
      <c r="F352" s="144"/>
      <c r="G352" s="144"/>
      <c r="H352" s="142"/>
      <c r="I352" s="142"/>
      <c r="J352" s="142"/>
      <c r="K352" s="142"/>
      <c r="L352" s="142"/>
      <c r="M352" s="142"/>
      <c r="N352" s="142"/>
      <c r="O352" s="142"/>
      <c r="P352" s="142"/>
      <c r="Q352" s="142"/>
      <c r="R352" s="142"/>
      <c r="S352" s="142"/>
      <c r="T352" s="142"/>
      <c r="U352" s="142"/>
      <c r="V352" s="142"/>
      <c r="W352" s="142"/>
      <c r="X352" s="142"/>
      <c r="Y352" s="142"/>
      <c r="Z352" s="14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row>
    <row r="353" spans="1:78" x14ac:dyDescent="0.2">
      <c r="A353" s="145"/>
      <c r="B353" s="144"/>
      <c r="C353" s="144"/>
      <c r="D353" s="144"/>
      <c r="E353" s="144"/>
      <c r="F353" s="144"/>
      <c r="G353" s="144"/>
      <c r="H353" s="142"/>
      <c r="I353" s="142"/>
      <c r="J353" s="142"/>
      <c r="K353" s="142"/>
      <c r="L353" s="142"/>
      <c r="M353" s="142"/>
      <c r="N353" s="142"/>
      <c r="O353" s="142"/>
      <c r="P353" s="142"/>
      <c r="Q353" s="142"/>
      <c r="R353" s="142"/>
      <c r="S353" s="142"/>
      <c r="T353" s="142"/>
      <c r="U353" s="142"/>
      <c r="V353" s="142"/>
      <c r="W353" s="142"/>
      <c r="X353" s="142"/>
      <c r="Y353" s="142"/>
      <c r="Z353" s="14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row>
    <row r="354" spans="1:78" x14ac:dyDescent="0.2">
      <c r="A354" s="145"/>
      <c r="B354" s="144"/>
      <c r="C354" s="144"/>
      <c r="D354" s="144"/>
      <c r="E354" s="144"/>
      <c r="F354" s="144"/>
      <c r="G354" s="144"/>
      <c r="H354" s="142"/>
      <c r="I354" s="142"/>
      <c r="J354" s="142"/>
      <c r="K354" s="142"/>
      <c r="L354" s="142"/>
      <c r="M354" s="142"/>
      <c r="N354" s="142"/>
      <c r="O354" s="142"/>
      <c r="P354" s="142"/>
      <c r="Q354" s="142"/>
      <c r="R354" s="142"/>
      <c r="S354" s="142"/>
      <c r="T354" s="142"/>
      <c r="U354" s="142"/>
      <c r="V354" s="142"/>
      <c r="W354" s="142"/>
      <c r="X354" s="142"/>
      <c r="Y354" s="142"/>
      <c r="Z354" s="14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row>
    <row r="355" spans="1:78" x14ac:dyDescent="0.2">
      <c r="A355" s="145"/>
      <c r="B355" s="144"/>
      <c r="C355" s="144"/>
      <c r="D355" s="144"/>
      <c r="E355" s="144"/>
      <c r="F355" s="144"/>
      <c r="G355" s="144"/>
      <c r="H355" s="142"/>
      <c r="I355" s="142"/>
      <c r="J355" s="142"/>
      <c r="K355" s="142"/>
      <c r="L355" s="142"/>
      <c r="M355" s="142"/>
      <c r="N355" s="142"/>
      <c r="O355" s="142"/>
      <c r="P355" s="142"/>
      <c r="Q355" s="142"/>
      <c r="R355" s="142"/>
      <c r="S355" s="142"/>
      <c r="T355" s="142"/>
      <c r="U355" s="142"/>
      <c r="V355" s="142"/>
      <c r="W355" s="142"/>
      <c r="X355" s="142"/>
      <c r="Y355" s="142"/>
      <c r="Z355" s="14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row>
    <row r="356" spans="1:78" x14ac:dyDescent="0.2">
      <c r="A356" s="145"/>
      <c r="B356" s="144"/>
      <c r="C356" s="144"/>
      <c r="D356" s="144"/>
      <c r="E356" s="144"/>
      <c r="F356" s="144"/>
      <c r="G356" s="144"/>
      <c r="H356" s="142"/>
      <c r="I356" s="142"/>
      <c r="J356" s="142"/>
      <c r="K356" s="142"/>
      <c r="L356" s="142"/>
      <c r="M356" s="142"/>
      <c r="N356" s="142"/>
      <c r="O356" s="142"/>
      <c r="P356" s="142"/>
      <c r="Q356" s="142"/>
      <c r="R356" s="142"/>
      <c r="S356" s="142"/>
      <c r="T356" s="142"/>
      <c r="U356" s="142"/>
      <c r="V356" s="142"/>
      <c r="W356" s="142"/>
      <c r="X356" s="142"/>
      <c r="Y356" s="142"/>
      <c r="Z356" s="14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row>
    <row r="357" spans="1:78" x14ac:dyDescent="0.2">
      <c r="A357" s="145"/>
      <c r="B357" s="144"/>
      <c r="C357" s="144"/>
      <c r="D357" s="144"/>
      <c r="E357" s="144"/>
      <c r="F357" s="144"/>
      <c r="G357" s="144"/>
      <c r="H357" s="142"/>
      <c r="I357" s="142"/>
      <c r="J357" s="142"/>
      <c r="K357" s="142"/>
      <c r="L357" s="142"/>
      <c r="M357" s="142"/>
      <c r="N357" s="142"/>
      <c r="O357" s="142"/>
      <c r="P357" s="142"/>
      <c r="Q357" s="142"/>
      <c r="R357" s="142"/>
      <c r="S357" s="142"/>
      <c r="T357" s="142"/>
      <c r="U357" s="142"/>
      <c r="V357" s="142"/>
      <c r="W357" s="142"/>
      <c r="X357" s="142"/>
      <c r="Y357" s="142"/>
      <c r="Z357" s="14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row>
    <row r="358" spans="1:78" x14ac:dyDescent="0.2">
      <c r="A358" s="145"/>
      <c r="B358" s="144"/>
      <c r="C358" s="144"/>
      <c r="D358" s="144"/>
      <c r="E358" s="144"/>
      <c r="F358" s="144"/>
      <c r="G358" s="144"/>
      <c r="H358" s="142"/>
      <c r="I358" s="142"/>
      <c r="J358" s="142"/>
      <c r="K358" s="142"/>
      <c r="L358" s="142"/>
      <c r="M358" s="142"/>
      <c r="N358" s="142"/>
      <c r="O358" s="142"/>
      <c r="P358" s="142"/>
      <c r="Q358" s="142"/>
      <c r="R358" s="142"/>
      <c r="S358" s="142"/>
      <c r="T358" s="142"/>
      <c r="U358" s="142"/>
      <c r="V358" s="142"/>
      <c r="W358" s="142"/>
      <c r="X358" s="142"/>
      <c r="Y358" s="142"/>
      <c r="Z358" s="14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row>
    <row r="359" spans="1:78" x14ac:dyDescent="0.2">
      <c r="A359" s="145"/>
      <c r="B359" s="144"/>
      <c r="C359" s="144"/>
      <c r="D359" s="144"/>
      <c r="E359" s="144"/>
      <c r="F359" s="144"/>
      <c r="G359" s="144"/>
      <c r="H359" s="142"/>
      <c r="I359" s="142"/>
      <c r="J359" s="142"/>
      <c r="K359" s="142"/>
      <c r="L359" s="142"/>
      <c r="M359" s="142"/>
      <c r="N359" s="142"/>
      <c r="O359" s="142"/>
      <c r="P359" s="142"/>
      <c r="Q359" s="142"/>
      <c r="R359" s="142"/>
      <c r="S359" s="142"/>
      <c r="T359" s="142"/>
      <c r="U359" s="142"/>
      <c r="V359" s="142"/>
      <c r="W359" s="142"/>
      <c r="X359" s="142"/>
      <c r="Y359" s="142"/>
      <c r="Z359" s="14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row>
    <row r="360" spans="1:78" x14ac:dyDescent="0.2">
      <c r="A360" s="145"/>
      <c r="B360" s="144"/>
      <c r="C360" s="144"/>
      <c r="D360" s="144"/>
      <c r="E360" s="144"/>
      <c r="F360" s="144"/>
      <c r="G360" s="144"/>
      <c r="H360" s="142"/>
      <c r="I360" s="142"/>
      <c r="J360" s="142"/>
      <c r="K360" s="142"/>
      <c r="L360" s="142"/>
      <c r="M360" s="142"/>
      <c r="N360" s="142"/>
      <c r="O360" s="142"/>
      <c r="P360" s="142"/>
      <c r="Q360" s="142"/>
      <c r="R360" s="142"/>
      <c r="S360" s="142"/>
      <c r="T360" s="142"/>
      <c r="U360" s="142"/>
      <c r="V360" s="142"/>
      <c r="W360" s="142"/>
      <c r="X360" s="142"/>
      <c r="Y360" s="142"/>
      <c r="Z360" s="14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row>
    <row r="361" spans="1:78" x14ac:dyDescent="0.2">
      <c r="A361" s="145"/>
      <c r="B361" s="144"/>
      <c r="C361" s="144"/>
      <c r="D361" s="144"/>
      <c r="E361" s="144"/>
      <c r="F361" s="144"/>
      <c r="G361" s="144"/>
      <c r="H361" s="142"/>
      <c r="I361" s="142"/>
      <c r="J361" s="142"/>
      <c r="K361" s="142"/>
      <c r="L361" s="142"/>
      <c r="M361" s="142"/>
      <c r="N361" s="142"/>
      <c r="O361" s="142"/>
      <c r="P361" s="142"/>
      <c r="Q361" s="142"/>
      <c r="R361" s="142"/>
      <c r="S361" s="142"/>
      <c r="T361" s="142"/>
      <c r="U361" s="142"/>
      <c r="V361" s="142"/>
      <c r="W361" s="142"/>
      <c r="X361" s="142"/>
      <c r="Y361" s="142"/>
      <c r="Z361" s="14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row>
    <row r="362" spans="1:78" x14ac:dyDescent="0.2">
      <c r="A362" s="145"/>
      <c r="B362" s="144"/>
      <c r="C362" s="144"/>
      <c r="D362" s="144"/>
      <c r="E362" s="144"/>
      <c r="F362" s="144"/>
      <c r="G362" s="144"/>
      <c r="H362" s="142"/>
      <c r="I362" s="142"/>
      <c r="J362" s="142"/>
      <c r="K362" s="142"/>
      <c r="L362" s="142"/>
      <c r="M362" s="142"/>
      <c r="N362" s="142"/>
      <c r="O362" s="142"/>
      <c r="P362" s="142"/>
      <c r="Q362" s="142"/>
      <c r="R362" s="142"/>
      <c r="S362" s="142"/>
      <c r="T362" s="142"/>
      <c r="U362" s="142"/>
      <c r="V362" s="142"/>
      <c r="W362" s="142"/>
      <c r="X362" s="142"/>
      <c r="Y362" s="142"/>
      <c r="Z362" s="14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row>
    <row r="363" spans="1:78" x14ac:dyDescent="0.2">
      <c r="A363" s="145"/>
      <c r="B363" s="144"/>
      <c r="C363" s="144"/>
      <c r="D363" s="144"/>
      <c r="E363" s="144"/>
      <c r="F363" s="144"/>
      <c r="G363" s="144"/>
      <c r="H363" s="142"/>
      <c r="I363" s="142"/>
      <c r="J363" s="142"/>
      <c r="K363" s="142"/>
      <c r="L363" s="142"/>
      <c r="M363" s="142"/>
      <c r="N363" s="142"/>
      <c r="O363" s="142"/>
      <c r="P363" s="142"/>
      <c r="Q363" s="142"/>
      <c r="R363" s="142"/>
      <c r="S363" s="142"/>
      <c r="T363" s="142"/>
      <c r="U363" s="142"/>
      <c r="V363" s="142"/>
      <c r="W363" s="142"/>
      <c r="X363" s="142"/>
      <c r="Y363" s="142"/>
      <c r="Z363" s="14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row>
    <row r="364" spans="1:78" x14ac:dyDescent="0.2">
      <c r="A364" s="145"/>
      <c r="B364" s="144"/>
      <c r="C364" s="144"/>
      <c r="D364" s="144"/>
      <c r="E364" s="144"/>
      <c r="F364" s="144"/>
      <c r="G364" s="144"/>
      <c r="H364" s="142"/>
      <c r="I364" s="142"/>
      <c r="J364" s="142"/>
      <c r="K364" s="142"/>
      <c r="L364" s="142"/>
      <c r="M364" s="142"/>
      <c r="N364" s="142"/>
      <c r="O364" s="142"/>
      <c r="P364" s="142"/>
      <c r="Q364" s="142"/>
      <c r="R364" s="142"/>
      <c r="S364" s="142"/>
      <c r="T364" s="142"/>
      <c r="U364" s="142"/>
      <c r="V364" s="142"/>
      <c r="W364" s="142"/>
      <c r="X364" s="142"/>
      <c r="Y364" s="142"/>
      <c r="Z364" s="14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row>
    <row r="365" spans="1:78" x14ac:dyDescent="0.2">
      <c r="A365" s="145"/>
      <c r="B365" s="144"/>
      <c r="C365" s="144"/>
      <c r="D365" s="144"/>
      <c r="E365" s="144"/>
      <c r="F365" s="144"/>
      <c r="G365" s="144"/>
      <c r="H365" s="142"/>
      <c r="I365" s="142"/>
      <c r="J365" s="142"/>
      <c r="K365" s="142"/>
      <c r="L365" s="142"/>
      <c r="M365" s="142"/>
      <c r="N365" s="142"/>
      <c r="O365" s="142"/>
      <c r="P365" s="142"/>
      <c r="Q365" s="142"/>
      <c r="R365" s="142"/>
      <c r="S365" s="142"/>
      <c r="T365" s="142"/>
      <c r="U365" s="142"/>
      <c r="V365" s="142"/>
      <c r="W365" s="142"/>
      <c r="X365" s="142"/>
      <c r="Y365" s="142"/>
      <c r="Z365" s="14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row>
    <row r="366" spans="1:78" x14ac:dyDescent="0.2">
      <c r="A366" s="145"/>
      <c r="B366" s="144"/>
      <c r="C366" s="144"/>
      <c r="D366" s="144"/>
      <c r="E366" s="144"/>
      <c r="F366" s="144"/>
      <c r="G366" s="144"/>
      <c r="H366" s="142"/>
      <c r="I366" s="142"/>
      <c r="J366" s="142"/>
      <c r="K366" s="142"/>
      <c r="L366" s="142"/>
      <c r="M366" s="142"/>
      <c r="N366" s="142"/>
      <c r="O366" s="142"/>
      <c r="P366" s="142"/>
      <c r="Q366" s="142"/>
      <c r="R366" s="142"/>
      <c r="S366" s="142"/>
      <c r="T366" s="142"/>
      <c r="U366" s="142"/>
      <c r="V366" s="142"/>
      <c r="W366" s="142"/>
      <c r="X366" s="142"/>
      <c r="Y366" s="142"/>
      <c r="Z366" s="14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row>
    <row r="367" spans="1:78" x14ac:dyDescent="0.2">
      <c r="A367" s="145"/>
      <c r="B367" s="144"/>
      <c r="C367" s="144"/>
      <c r="D367" s="144"/>
      <c r="E367" s="144"/>
      <c r="F367" s="144"/>
      <c r="G367" s="144"/>
      <c r="H367" s="142"/>
      <c r="I367" s="142"/>
      <c r="J367" s="142"/>
      <c r="K367" s="142"/>
      <c r="L367" s="142"/>
      <c r="M367" s="142"/>
      <c r="N367" s="142"/>
      <c r="O367" s="142"/>
      <c r="P367" s="142"/>
      <c r="Q367" s="142"/>
      <c r="R367" s="142"/>
      <c r="S367" s="142"/>
      <c r="T367" s="142"/>
      <c r="U367" s="142"/>
      <c r="V367" s="142"/>
      <c r="W367" s="142"/>
      <c r="X367" s="142"/>
      <c r="Y367" s="142"/>
      <c r="Z367" s="14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row>
    <row r="368" spans="1:78" x14ac:dyDescent="0.2">
      <c r="A368" s="145"/>
      <c r="B368" s="144"/>
      <c r="C368" s="144"/>
      <c r="D368" s="144"/>
      <c r="E368" s="144"/>
      <c r="F368" s="144"/>
      <c r="G368" s="144"/>
      <c r="H368" s="142"/>
      <c r="I368" s="142"/>
      <c r="J368" s="142"/>
      <c r="K368" s="142"/>
      <c r="L368" s="142"/>
      <c r="M368" s="142"/>
      <c r="N368" s="142"/>
      <c r="O368" s="142"/>
      <c r="P368" s="142"/>
      <c r="Q368" s="142"/>
      <c r="R368" s="142"/>
      <c r="S368" s="142"/>
      <c r="T368" s="142"/>
      <c r="U368" s="142"/>
      <c r="V368" s="142"/>
      <c r="W368" s="142"/>
      <c r="X368" s="142"/>
      <c r="Y368" s="142"/>
      <c r="Z368" s="14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row>
    <row r="369" spans="1:78" x14ac:dyDescent="0.2">
      <c r="A369" s="145"/>
      <c r="B369" s="144"/>
      <c r="C369" s="144"/>
      <c r="D369" s="144"/>
      <c r="E369" s="144"/>
      <c r="F369" s="144"/>
      <c r="G369" s="144"/>
      <c r="H369" s="142"/>
      <c r="I369" s="142"/>
      <c r="J369" s="142"/>
      <c r="K369" s="142"/>
      <c r="L369" s="142"/>
      <c r="M369" s="142"/>
      <c r="N369" s="142"/>
      <c r="O369" s="142"/>
      <c r="P369" s="142"/>
      <c r="Q369" s="142"/>
      <c r="R369" s="142"/>
      <c r="S369" s="142"/>
      <c r="T369" s="142"/>
      <c r="U369" s="142"/>
      <c r="V369" s="142"/>
      <c r="W369" s="142"/>
      <c r="X369" s="142"/>
      <c r="Y369" s="142"/>
      <c r="Z369" s="14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row>
    <row r="370" spans="1:78" x14ac:dyDescent="0.2">
      <c r="A370" s="145"/>
      <c r="B370" s="144"/>
      <c r="C370" s="144"/>
      <c r="D370" s="144"/>
      <c r="E370" s="144"/>
      <c r="F370" s="144"/>
      <c r="G370" s="144"/>
      <c r="H370" s="142"/>
      <c r="I370" s="142"/>
      <c r="J370" s="142"/>
      <c r="K370" s="142"/>
      <c r="L370" s="142"/>
      <c r="M370" s="142"/>
      <c r="N370" s="142"/>
      <c r="O370" s="142"/>
      <c r="P370" s="142"/>
      <c r="Q370" s="142"/>
      <c r="R370" s="142"/>
      <c r="S370" s="142"/>
      <c r="T370" s="142"/>
      <c r="U370" s="142"/>
      <c r="V370" s="142"/>
      <c r="W370" s="142"/>
      <c r="X370" s="142"/>
      <c r="Y370" s="142"/>
      <c r="Z370" s="14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row>
    <row r="371" spans="1:78" x14ac:dyDescent="0.2">
      <c r="A371" s="145"/>
      <c r="B371" s="144"/>
      <c r="C371" s="144"/>
      <c r="D371" s="144"/>
      <c r="E371" s="144"/>
      <c r="F371" s="144"/>
      <c r="G371" s="144"/>
      <c r="H371" s="142"/>
      <c r="I371" s="142"/>
      <c r="J371" s="142"/>
      <c r="K371" s="142"/>
      <c r="L371" s="142"/>
      <c r="M371" s="142"/>
      <c r="N371" s="142"/>
      <c r="O371" s="142"/>
      <c r="P371" s="142"/>
      <c r="Q371" s="142"/>
      <c r="R371" s="142"/>
      <c r="S371" s="142"/>
      <c r="T371" s="142"/>
      <c r="U371" s="142"/>
      <c r="V371" s="142"/>
      <c r="W371" s="142"/>
      <c r="X371" s="142"/>
      <c r="Y371" s="142"/>
      <c r="Z371" s="14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row>
    <row r="372" spans="1:78" x14ac:dyDescent="0.2">
      <c r="A372" s="145"/>
      <c r="B372" s="144"/>
      <c r="C372" s="144"/>
      <c r="D372" s="144"/>
      <c r="E372" s="144"/>
      <c r="F372" s="144"/>
      <c r="G372" s="144"/>
      <c r="H372" s="142"/>
      <c r="I372" s="142"/>
      <c r="J372" s="142"/>
      <c r="K372" s="142"/>
      <c r="L372" s="142"/>
      <c r="M372" s="142"/>
      <c r="N372" s="142"/>
      <c r="O372" s="142"/>
      <c r="P372" s="142"/>
      <c r="Q372" s="142"/>
      <c r="R372" s="142"/>
      <c r="S372" s="142"/>
      <c r="T372" s="142"/>
      <c r="U372" s="142"/>
      <c r="V372" s="142"/>
      <c r="W372" s="142"/>
      <c r="X372" s="142"/>
      <c r="Y372" s="142"/>
      <c r="Z372" s="14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row>
    <row r="373" spans="1:78" x14ac:dyDescent="0.2">
      <c r="A373" s="145"/>
      <c r="B373" s="144"/>
      <c r="C373" s="144"/>
      <c r="D373" s="144"/>
      <c r="E373" s="144"/>
      <c r="F373" s="144"/>
      <c r="G373" s="144"/>
      <c r="H373" s="142"/>
      <c r="I373" s="142"/>
      <c r="J373" s="142"/>
      <c r="K373" s="142"/>
      <c r="L373" s="142"/>
      <c r="M373" s="142"/>
      <c r="N373" s="142"/>
      <c r="O373" s="142"/>
      <c r="P373" s="142"/>
      <c r="Q373" s="142"/>
      <c r="R373" s="142"/>
      <c r="S373" s="142"/>
      <c r="T373" s="142"/>
      <c r="U373" s="142"/>
      <c r="V373" s="142"/>
      <c r="W373" s="142"/>
      <c r="X373" s="142"/>
      <c r="Y373" s="142"/>
      <c r="Z373" s="14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row>
    <row r="374" spans="1:78" x14ac:dyDescent="0.2">
      <c r="A374" s="142"/>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row>
    <row r="375" spans="1:78" x14ac:dyDescent="0.2">
      <c r="A375" s="142"/>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row>
    <row r="376" spans="1:78" x14ac:dyDescent="0.2">
      <c r="A376" s="142"/>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row>
    <row r="377" spans="1:78" x14ac:dyDescent="0.2">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row>
    <row r="378" spans="1:78" x14ac:dyDescent="0.2">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row>
    <row r="379" spans="1:78" x14ac:dyDescent="0.2">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row>
    <row r="380" spans="1:78" x14ac:dyDescent="0.2">
      <c r="A380" s="142"/>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row>
    <row r="381" spans="1:78" x14ac:dyDescent="0.2">
      <c r="A381" s="142"/>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row>
    <row r="382" spans="1:78" x14ac:dyDescent="0.2">
      <c r="A382" s="14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row>
    <row r="383" spans="1:78" x14ac:dyDescent="0.2">
      <c r="A383" s="142"/>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row>
    <row r="384" spans="1:78" x14ac:dyDescent="0.2">
      <c r="A384" s="142"/>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row>
    <row r="385" spans="1:78" x14ac:dyDescent="0.2">
      <c r="A385" s="142"/>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row>
    <row r="386" spans="1:78" x14ac:dyDescent="0.2">
      <c r="A386" s="142"/>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row>
    <row r="387" spans="1:78" x14ac:dyDescent="0.2">
      <c r="A387" s="142"/>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row>
    <row r="388" spans="1:78" x14ac:dyDescent="0.2">
      <c r="A388" s="142"/>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row>
    <row r="389" spans="1:78" x14ac:dyDescent="0.2">
      <c r="A389" s="142"/>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row>
    <row r="390" spans="1:78" x14ac:dyDescent="0.2">
      <c r="A390" s="142"/>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row>
    <row r="391" spans="1:78" x14ac:dyDescent="0.2">
      <c r="A391" s="142"/>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row>
    <row r="392" spans="1:78" x14ac:dyDescent="0.2">
      <c r="A392" s="14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row>
    <row r="393" spans="1:78" x14ac:dyDescent="0.2">
      <c r="A393" s="142"/>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row>
    <row r="394" spans="1:78" x14ac:dyDescent="0.2">
      <c r="A394" s="142"/>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row>
    <row r="395" spans="1:78" x14ac:dyDescent="0.2">
      <c r="A395" s="142"/>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row>
    <row r="396" spans="1:78" x14ac:dyDescent="0.2">
      <c r="A396" s="142"/>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row>
    <row r="397" spans="1:78" x14ac:dyDescent="0.2">
      <c r="A397" s="142"/>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row>
    <row r="398" spans="1:78" x14ac:dyDescent="0.2">
      <c r="A398" s="142"/>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row>
    <row r="399" spans="1:78" x14ac:dyDescent="0.2">
      <c r="A399" s="142"/>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row>
    <row r="400" spans="1:78" x14ac:dyDescent="0.2">
      <c r="A400" s="142"/>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row>
    <row r="401" spans="1:78" x14ac:dyDescent="0.2">
      <c r="A401" s="142"/>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row>
    <row r="402" spans="1:78" x14ac:dyDescent="0.2">
      <c r="A402" s="14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row>
    <row r="403" spans="1:78" x14ac:dyDescent="0.2">
      <c r="A403" s="142"/>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row>
    <row r="404" spans="1:78" x14ac:dyDescent="0.2">
      <c r="A404" s="142"/>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row>
    <row r="405" spans="1:78" x14ac:dyDescent="0.2">
      <c r="A405" s="142"/>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row>
    <row r="406" spans="1:78" x14ac:dyDescent="0.2">
      <c r="A406" s="142"/>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row>
    <row r="407" spans="1:78" x14ac:dyDescent="0.2">
      <c r="A407" s="142"/>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row>
    <row r="408" spans="1:78" x14ac:dyDescent="0.2">
      <c r="A408" s="142"/>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row>
    <row r="409" spans="1:78" x14ac:dyDescent="0.2">
      <c r="A409" s="142"/>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row>
    <row r="410" spans="1:78" x14ac:dyDescent="0.2">
      <c r="A410" s="142"/>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row>
    <row r="411" spans="1:78" x14ac:dyDescent="0.2">
      <c r="A411" s="142"/>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row>
    <row r="412" spans="1:78" x14ac:dyDescent="0.2">
      <c r="A412" s="14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row>
    <row r="413" spans="1:78" x14ac:dyDescent="0.2">
      <c r="A413" s="142"/>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row>
    <row r="414" spans="1:78" x14ac:dyDescent="0.2">
      <c r="A414" s="142"/>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row>
    <row r="415" spans="1:78" x14ac:dyDescent="0.2">
      <c r="A415" s="142"/>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row>
    <row r="416" spans="1:78" x14ac:dyDescent="0.2">
      <c r="A416" s="142"/>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row>
    <row r="417" spans="1:78" x14ac:dyDescent="0.2">
      <c r="A417" s="142"/>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row>
    <row r="418" spans="1:78" x14ac:dyDescent="0.2">
      <c r="A418" s="142"/>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row>
    <row r="419" spans="1:78" x14ac:dyDescent="0.2">
      <c r="A419" s="142"/>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row>
    <row r="420" spans="1:78" x14ac:dyDescent="0.2">
      <c r="A420" s="142"/>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row>
    <row r="421" spans="1:78" x14ac:dyDescent="0.2">
      <c r="A421" s="142"/>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row>
    <row r="422" spans="1:78" x14ac:dyDescent="0.2">
      <c r="A422" s="14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row>
    <row r="423" spans="1:78" x14ac:dyDescent="0.2">
      <c r="A423" s="142"/>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row>
    <row r="424" spans="1:78" x14ac:dyDescent="0.2">
      <c r="A424" s="142"/>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row>
    <row r="425" spans="1:78" x14ac:dyDescent="0.2">
      <c r="A425" s="142"/>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row>
    <row r="426" spans="1:78" x14ac:dyDescent="0.2">
      <c r="A426" s="142"/>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row>
    <row r="427" spans="1:78" x14ac:dyDescent="0.2">
      <c r="A427" s="142"/>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row>
    <row r="428" spans="1:78" x14ac:dyDescent="0.2">
      <c r="A428" s="142"/>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row>
    <row r="429" spans="1:78" x14ac:dyDescent="0.2">
      <c r="A429" s="142"/>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row>
    <row r="430" spans="1:78" x14ac:dyDescent="0.2">
      <c r="A430" s="142"/>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row>
    <row r="431" spans="1:78" x14ac:dyDescent="0.2">
      <c r="A431" s="142"/>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row>
    <row r="432" spans="1:78" x14ac:dyDescent="0.2">
      <c r="A432" s="14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row>
    <row r="433" spans="1:78" x14ac:dyDescent="0.2">
      <c r="A433" s="142"/>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row>
    <row r="434" spans="1:78" x14ac:dyDescent="0.2">
      <c r="A434" s="142"/>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row>
    <row r="435" spans="1:78" x14ac:dyDescent="0.2">
      <c r="A435" s="142"/>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row>
    <row r="436" spans="1:78" x14ac:dyDescent="0.2">
      <c r="A436" s="142"/>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row>
    <row r="437" spans="1:78" x14ac:dyDescent="0.2">
      <c r="A437" s="142"/>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row>
    <row r="438" spans="1:78" x14ac:dyDescent="0.2">
      <c r="A438" s="142"/>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row>
    <row r="439" spans="1:78" x14ac:dyDescent="0.2">
      <c r="A439" s="142"/>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row>
    <row r="440" spans="1:78" x14ac:dyDescent="0.2">
      <c r="A440" s="142"/>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row>
    <row r="441" spans="1:78" x14ac:dyDescent="0.2">
      <c r="A441" s="142"/>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row>
    <row r="442" spans="1:78" x14ac:dyDescent="0.2">
      <c r="A442" s="1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row>
    <row r="443" spans="1:78" x14ac:dyDescent="0.2">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row>
    <row r="444" spans="1:78" x14ac:dyDescent="0.2">
      <c r="A444" s="142"/>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row>
    <row r="445" spans="1:78" x14ac:dyDescent="0.2">
      <c r="A445" s="142"/>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row>
    <row r="446" spans="1:78" x14ac:dyDescent="0.2">
      <c r="A446" s="142"/>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row>
    <row r="447" spans="1:78" x14ac:dyDescent="0.2">
      <c r="A447" s="142"/>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row>
    <row r="448" spans="1:78" x14ac:dyDescent="0.2">
      <c r="A448" s="142"/>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row>
    <row r="449" spans="1:78" x14ac:dyDescent="0.2">
      <c r="A449" s="142"/>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row>
    <row r="450" spans="1:78" x14ac:dyDescent="0.2">
      <c r="A450" s="142"/>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row>
    <row r="451" spans="1:78" x14ac:dyDescent="0.2">
      <c r="A451" s="142"/>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row>
    <row r="452" spans="1:78" x14ac:dyDescent="0.2">
      <c r="A452" s="14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row>
    <row r="453" spans="1:78" x14ac:dyDescent="0.2">
      <c r="A453" s="142"/>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row>
    <row r="454" spans="1:78" x14ac:dyDescent="0.2">
      <c r="A454" s="142"/>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row>
    <row r="455" spans="1:78" x14ac:dyDescent="0.2">
      <c r="A455" s="142"/>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row>
    <row r="456" spans="1:78" x14ac:dyDescent="0.2">
      <c r="A456" s="142"/>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row>
    <row r="457" spans="1:78" x14ac:dyDescent="0.2">
      <c r="A457" s="142"/>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row>
    <row r="458" spans="1:78" x14ac:dyDescent="0.2">
      <c r="A458" s="142"/>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row>
    <row r="459" spans="1:78" x14ac:dyDescent="0.2">
      <c r="A459" s="142"/>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row>
    <row r="460" spans="1:78" x14ac:dyDescent="0.2">
      <c r="A460" s="142"/>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row>
    <row r="461" spans="1:78" x14ac:dyDescent="0.2">
      <c r="A461" s="142"/>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row>
    <row r="462" spans="1:78" x14ac:dyDescent="0.2">
      <c r="A462" s="14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row>
    <row r="463" spans="1:78" x14ac:dyDescent="0.2">
      <c r="A463" s="142"/>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row>
    <row r="464" spans="1:78" x14ac:dyDescent="0.2">
      <c r="A464" s="142"/>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row>
    <row r="465" spans="1:78" x14ac:dyDescent="0.2">
      <c r="A465" s="142"/>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row>
    <row r="466" spans="1:78" x14ac:dyDescent="0.2">
      <c r="A466" s="142"/>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row>
    <row r="467" spans="1:78" x14ac:dyDescent="0.2">
      <c r="A467" s="142"/>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row>
    <row r="468" spans="1:78" x14ac:dyDescent="0.2">
      <c r="A468" s="142"/>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row>
    <row r="469" spans="1:78" x14ac:dyDescent="0.2">
      <c r="A469" s="142"/>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row>
    <row r="470" spans="1:78" x14ac:dyDescent="0.2">
      <c r="A470" s="142"/>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row>
    <row r="471" spans="1:78" x14ac:dyDescent="0.2">
      <c r="A471" s="142"/>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row>
    <row r="472" spans="1:78" x14ac:dyDescent="0.2">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row>
    <row r="473" spans="1:78" x14ac:dyDescent="0.2">
      <c r="A473" s="142"/>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row>
    <row r="474" spans="1:78" x14ac:dyDescent="0.2">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row>
    <row r="475" spans="1:78" x14ac:dyDescent="0.2">
      <c r="A475" s="142"/>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row>
    <row r="476" spans="1:78" x14ac:dyDescent="0.2">
      <c r="A476" s="142"/>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row>
    <row r="477" spans="1:78" x14ac:dyDescent="0.2">
      <c r="A477" s="142"/>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row>
    <row r="478" spans="1:78" x14ac:dyDescent="0.2">
      <c r="A478" s="142"/>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row>
    <row r="479" spans="1:78" x14ac:dyDescent="0.2">
      <c r="A479" s="142"/>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row>
    <row r="480" spans="1:78" x14ac:dyDescent="0.2">
      <c r="A480" s="142"/>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row>
    <row r="481" spans="1:78" x14ac:dyDescent="0.2">
      <c r="A481" s="142"/>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row>
    <row r="482" spans="1:78" x14ac:dyDescent="0.2">
      <c r="A482" s="14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row>
    <row r="483" spans="1:78" x14ac:dyDescent="0.2">
      <c r="A483" s="142"/>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row>
    <row r="484" spans="1:78" x14ac:dyDescent="0.2">
      <c r="A484" s="142"/>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row>
    <row r="485" spans="1:78" x14ac:dyDescent="0.2">
      <c r="A485" s="142"/>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row>
    <row r="486" spans="1:78" x14ac:dyDescent="0.2">
      <c r="A486" s="142"/>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row>
    <row r="487" spans="1:78" x14ac:dyDescent="0.2">
      <c r="A487" s="142"/>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row>
    <row r="488" spans="1:78" x14ac:dyDescent="0.2">
      <c r="A488" s="142"/>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row>
    <row r="489" spans="1:78" x14ac:dyDescent="0.2">
      <c r="A489" s="142"/>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row>
    <row r="490" spans="1:78" x14ac:dyDescent="0.2">
      <c r="A490" s="142"/>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row>
    <row r="491" spans="1:78" x14ac:dyDescent="0.2">
      <c r="A491" s="142"/>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row>
    <row r="492" spans="1:78" x14ac:dyDescent="0.2">
      <c r="A492" s="14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row>
    <row r="493" spans="1:78" x14ac:dyDescent="0.2">
      <c r="A493" s="142"/>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row>
    <row r="494" spans="1:78" x14ac:dyDescent="0.2">
      <c r="A494" s="142"/>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row>
    <row r="495" spans="1:78" x14ac:dyDescent="0.2">
      <c r="A495" s="142"/>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row>
    <row r="496" spans="1:78" x14ac:dyDescent="0.2">
      <c r="A496" s="142"/>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row>
    <row r="497" spans="1:78" x14ac:dyDescent="0.2">
      <c r="A497" s="142"/>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row>
    <row r="498" spans="1:78" x14ac:dyDescent="0.2">
      <c r="A498" s="142"/>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row>
    <row r="499" spans="1:78" x14ac:dyDescent="0.2">
      <c r="A499" s="142"/>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row>
    <row r="500" spans="1:78" x14ac:dyDescent="0.2">
      <c r="A500" s="142"/>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row>
    <row r="501" spans="1:78" x14ac:dyDescent="0.2">
      <c r="A501" s="142"/>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row>
    <row r="502" spans="1:78" x14ac:dyDescent="0.2">
      <c r="A502" s="14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row>
    <row r="503" spans="1:78" x14ac:dyDescent="0.2">
      <c r="A503" s="142"/>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row>
    <row r="504" spans="1:78" x14ac:dyDescent="0.2">
      <c r="A504" s="142"/>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row>
    <row r="505" spans="1:78" x14ac:dyDescent="0.2">
      <c r="A505" s="142"/>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row>
    <row r="506" spans="1:78" x14ac:dyDescent="0.2">
      <c r="A506" s="142"/>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row>
    <row r="507" spans="1:78" x14ac:dyDescent="0.2">
      <c r="A507" s="142"/>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row>
    <row r="508" spans="1:78" x14ac:dyDescent="0.2">
      <c r="A508" s="142"/>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row>
  </sheetData>
  <mergeCells count="107">
    <mergeCell ref="E335:G335"/>
    <mergeCell ref="G235:I235"/>
    <mergeCell ref="G234:I234"/>
    <mergeCell ref="G233:I233"/>
    <mergeCell ref="G232:I232"/>
    <mergeCell ref="G231:I231"/>
    <mergeCell ref="B335:D335"/>
    <mergeCell ref="A335:A336"/>
    <mergeCell ref="D235:E235"/>
    <mergeCell ref="D234:E234"/>
    <mergeCell ref="D233:E233"/>
    <mergeCell ref="A287:D287"/>
    <mergeCell ref="A288:E288"/>
    <mergeCell ref="A290:D290"/>
    <mergeCell ref="A295:D295"/>
    <mergeCell ref="A252:B252"/>
    <mergeCell ref="A254:B254"/>
    <mergeCell ref="A264:B264"/>
    <mergeCell ref="A271:B271"/>
    <mergeCell ref="A284:E284"/>
    <mergeCell ref="A285:D285"/>
    <mergeCell ref="A278:B278"/>
    <mergeCell ref="A1:F1"/>
    <mergeCell ref="A2:B2"/>
    <mergeCell ref="C2:D2"/>
    <mergeCell ref="E2:F2"/>
    <mergeCell ref="A3:B3"/>
    <mergeCell ref="C3:D3"/>
    <mergeCell ref="E3:F3"/>
    <mergeCell ref="A4:B4"/>
    <mergeCell ref="C4:D4"/>
    <mergeCell ref="E4:F4"/>
    <mergeCell ref="A41:Q41"/>
    <mergeCell ref="A8:A10"/>
    <mergeCell ref="B8:K8"/>
    <mergeCell ref="P8:Q9"/>
    <mergeCell ref="R8:R10"/>
    <mergeCell ref="S8:S10"/>
    <mergeCell ref="B9:C9"/>
    <mergeCell ref="D9:E9"/>
    <mergeCell ref="F9:G9"/>
    <mergeCell ref="H9:I9"/>
    <mergeCell ref="J9:K9"/>
    <mergeCell ref="L9:M9"/>
    <mergeCell ref="N9:O9"/>
    <mergeCell ref="L8:O8"/>
    <mergeCell ref="J82:K82"/>
    <mergeCell ref="L82:M82"/>
    <mergeCell ref="B81:M81"/>
    <mergeCell ref="B82:D82"/>
    <mergeCell ref="N81:O81"/>
    <mergeCell ref="A80:O80"/>
    <mergeCell ref="A44:A46"/>
    <mergeCell ref="B44:E44"/>
    <mergeCell ref="F44:I44"/>
    <mergeCell ref="J44:K45"/>
    <mergeCell ref="L44:L46"/>
    <mergeCell ref="M44:M46"/>
    <mergeCell ref="B45:C45"/>
    <mergeCell ref="D45:E45"/>
    <mergeCell ref="F45:G45"/>
    <mergeCell ref="H45:I45"/>
    <mergeCell ref="A77:K77"/>
    <mergeCell ref="R177:S177"/>
    <mergeCell ref="T177:U177"/>
    <mergeCell ref="A220:A221"/>
    <mergeCell ref="K222:K227"/>
    <mergeCell ref="P133:Q133"/>
    <mergeCell ref="B177:D177"/>
    <mergeCell ref="E177:H177"/>
    <mergeCell ref="I177:J177"/>
    <mergeCell ref="K177:L177"/>
    <mergeCell ref="M177:N177"/>
    <mergeCell ref="O177:Q177"/>
    <mergeCell ref="A132:A134"/>
    <mergeCell ref="B132:O132"/>
    <mergeCell ref="P132:Q132"/>
    <mergeCell ref="B133:C133"/>
    <mergeCell ref="D133:E133"/>
    <mergeCell ref="A177:A178"/>
    <mergeCell ref="F133:G133"/>
    <mergeCell ref="H133:I133"/>
    <mergeCell ref="J133:K133"/>
    <mergeCell ref="A131:Q131"/>
    <mergeCell ref="A81:A83"/>
    <mergeCell ref="B228:K228"/>
    <mergeCell ref="B220:K220"/>
    <mergeCell ref="A219:K219"/>
    <mergeCell ref="A286:D286"/>
    <mergeCell ref="A236:A237"/>
    <mergeCell ref="K238:K243"/>
    <mergeCell ref="A246:B246"/>
    <mergeCell ref="A244:K244"/>
    <mergeCell ref="B236:K236"/>
    <mergeCell ref="K230:K235"/>
    <mergeCell ref="A228:A229"/>
    <mergeCell ref="D232:E232"/>
    <mergeCell ref="D231:E231"/>
    <mergeCell ref="D230:E230"/>
    <mergeCell ref="D229:E229"/>
    <mergeCell ref="G230:I230"/>
    <mergeCell ref="G229:I229"/>
    <mergeCell ref="J238:J243"/>
    <mergeCell ref="L133:M133"/>
    <mergeCell ref="N133:O133"/>
    <mergeCell ref="N82:O82"/>
    <mergeCell ref="E82:G82"/>
  </mergeCells>
  <pageMargins left="0.7" right="0.7" top="0.75" bottom="0.75" header="0.3" footer="0.3"/>
  <pageSetup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CACFE-AB91-415D-93CD-4570A9EE8E69}">
  <sheetPr>
    <tabColor theme="6"/>
    <pageSetUpPr fitToPage="1"/>
  </sheetPr>
  <dimension ref="A1:BA532"/>
  <sheetViews>
    <sheetView zoomScale="70" zoomScaleNormal="70" workbookViewId="0">
      <selection activeCell="C3" sqref="C3"/>
    </sheetView>
  </sheetViews>
  <sheetFormatPr defaultRowHeight="12.75" x14ac:dyDescent="0.2"/>
  <cols>
    <col min="1" max="1" width="14.85546875" customWidth="1"/>
    <col min="2" max="2" width="14.28515625" customWidth="1"/>
    <col min="3" max="3" width="16.140625" customWidth="1"/>
    <col min="4" max="4" width="14.28515625" customWidth="1"/>
    <col min="5" max="5" width="18" customWidth="1"/>
    <col min="6" max="6" width="15.7109375" customWidth="1"/>
    <col min="7" max="7" width="15.42578125" customWidth="1"/>
    <col min="8" max="9" width="15.140625" customWidth="1"/>
    <col min="10" max="10" width="20.85546875" customWidth="1"/>
    <col min="11" max="11" width="16.7109375" customWidth="1"/>
    <col min="12" max="12" width="15" customWidth="1"/>
    <col min="13" max="14" width="15.28515625" customWidth="1"/>
    <col min="15" max="16" width="17.28515625" bestFit="1" customWidth="1"/>
  </cols>
  <sheetData>
    <row r="1" spans="1:53" ht="18" customHeight="1" x14ac:dyDescent="0.2">
      <c r="A1" s="472" t="s">
        <v>85</v>
      </c>
      <c r="B1" s="473"/>
      <c r="C1" s="474"/>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row>
    <row r="2" spans="1:53" ht="18" customHeight="1" x14ac:dyDescent="0.2">
      <c r="A2" s="508" t="s">
        <v>84</v>
      </c>
      <c r="B2" s="509"/>
      <c r="C2" s="286">
        <f>I38</f>
        <v>-18034432</v>
      </c>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row>
    <row r="3" spans="1:53" ht="33.75" customHeight="1" x14ac:dyDescent="0.2">
      <c r="A3" s="508" t="s">
        <v>144</v>
      </c>
      <c r="B3" s="509"/>
      <c r="C3" s="286">
        <f>J38</f>
        <v>-5946964.3139415933</v>
      </c>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row>
    <row r="4" spans="1:53"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row>
    <row r="5" spans="1:53" x14ac:dyDescent="0.2">
      <c r="A5" s="387" t="s">
        <v>178</v>
      </c>
      <c r="B5" s="388"/>
      <c r="C5" s="388"/>
      <c r="D5" s="388"/>
      <c r="E5" s="388"/>
      <c r="F5" s="388"/>
      <c r="G5" s="388"/>
      <c r="H5" s="388"/>
      <c r="I5" s="388"/>
      <c r="J5" s="389"/>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row>
    <row r="6" spans="1:53" ht="12.75" customHeight="1" x14ac:dyDescent="0.2">
      <c r="A6" s="417" t="s">
        <v>1</v>
      </c>
      <c r="B6" s="402" t="s">
        <v>179</v>
      </c>
      <c r="C6" s="402"/>
      <c r="D6" s="399" t="s">
        <v>282</v>
      </c>
      <c r="E6" s="420"/>
      <c r="F6" s="400"/>
      <c r="G6" s="399" t="s">
        <v>281</v>
      </c>
      <c r="H6" s="420"/>
      <c r="I6" s="420"/>
      <c r="J6" s="400"/>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row>
    <row r="7" spans="1:53" ht="61.5" customHeight="1" thickBot="1" x14ac:dyDescent="0.25">
      <c r="A7" s="418"/>
      <c r="B7" s="263" t="s">
        <v>34</v>
      </c>
      <c r="C7" s="263" t="s">
        <v>78</v>
      </c>
      <c r="D7" s="76" t="s">
        <v>49</v>
      </c>
      <c r="E7" s="76" t="s">
        <v>180</v>
      </c>
      <c r="F7" s="76" t="s">
        <v>48</v>
      </c>
      <c r="G7" s="318" t="s">
        <v>280</v>
      </c>
      <c r="H7" s="318" t="s">
        <v>274</v>
      </c>
      <c r="I7" s="338" t="s">
        <v>305</v>
      </c>
      <c r="J7" s="318" t="s">
        <v>306</v>
      </c>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row>
    <row r="8" spans="1:53" ht="13.5" thickTop="1" x14ac:dyDescent="0.2">
      <c r="A8" s="83">
        <v>2027</v>
      </c>
      <c r="B8" s="84">
        <f>'Travel Time'!S187-'Travel Time'!U187</f>
        <v>-2084638.9302845895</v>
      </c>
      <c r="C8" s="13">
        <f>'Travel Time'!R187-'Travel Time'!T187</f>
        <v>-759995.86971540935</v>
      </c>
      <c r="D8" s="325">
        <f>ROUND($B8*$B$84+$C8*$B$85,0)/1000000</f>
        <v>-8.4428660000000004</v>
      </c>
      <c r="E8" s="326">
        <f>ROUND($B8*$C$84+$C8*$C$85,0)/1000000</f>
        <v>-0.17436599999999999</v>
      </c>
      <c r="F8" s="325">
        <f>ROUND($B8*$D$84+$C8*$D$85,0)/1000000</f>
        <v>-2195.822005</v>
      </c>
      <c r="G8" s="313">
        <f>ROUND(D8*B50+E8*D50,0)</f>
        <v>-288798</v>
      </c>
      <c r="H8" s="312">
        <f>ROUND(F8*E50,0)</f>
        <v>-127358</v>
      </c>
      <c r="I8" s="313">
        <f>G8+H8</f>
        <v>-416156</v>
      </c>
      <c r="J8" s="312">
        <f>G8*NPV!C11+H8*NPV!D11</f>
        <v>-268620.64664392819</v>
      </c>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row>
    <row r="9" spans="1:53" x14ac:dyDescent="0.2">
      <c r="A9" s="83">
        <v>2028</v>
      </c>
      <c r="B9" s="84">
        <f>'Travel Time'!S188-'Travel Time'!U188</f>
        <v>-2117585.2096759379</v>
      </c>
      <c r="C9" s="13">
        <f>'Travel Time'!R188-'Travel Time'!T188</f>
        <v>-771477.39032406267</v>
      </c>
      <c r="D9" s="325">
        <f t="shared" ref="D9:D37" si="0">ROUND($B9*$B$84+$C9*$B$85,0)/1000000</f>
        <v>-8.5717370000000006</v>
      </c>
      <c r="E9" s="326">
        <f t="shared" ref="E9:E37" si="1">ROUND($B9*$C$84+$C9*$C$85,0)/1000000</f>
        <v>-0.177014</v>
      </c>
      <c r="F9" s="325">
        <f t="shared" ref="F9:F37" si="2">ROUND($B9*$D$84+$C9*$D$85,0)/1000000</f>
        <v>-2229.768</v>
      </c>
      <c r="G9" s="313">
        <f t="shared" ref="G9:G36" si="3">ROUND(D9*B51+E9*D51,0)</f>
        <v>-296892</v>
      </c>
      <c r="H9" s="312">
        <f t="shared" ref="H9:H37" si="4">ROUND(F9*E51,0)</f>
        <v>-131556</v>
      </c>
      <c r="I9" s="313">
        <f t="shared" ref="I9:I37" si="5">G9+H9</f>
        <v>-428448</v>
      </c>
      <c r="J9" s="312">
        <f>G9*NPV!C12+H9*NPV!D12</f>
        <v>-262316.29634349106</v>
      </c>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row>
    <row r="10" spans="1:53" x14ac:dyDescent="0.2">
      <c r="A10" s="83">
        <v>2029</v>
      </c>
      <c r="B10" s="84">
        <f>'Travel Time'!S189-'Travel Time'!U189</f>
        <v>-2151603.9294965416</v>
      </c>
      <c r="C10" s="13">
        <f>'Travel Time'!R189-'Travel Time'!T189</f>
        <v>-783678.62050344795</v>
      </c>
      <c r="D10" s="325">
        <f t="shared" si="0"/>
        <v>-8.7077840000000002</v>
      </c>
      <c r="E10" s="326">
        <f t="shared" si="1"/>
        <v>-0.17981900000000001</v>
      </c>
      <c r="F10" s="325">
        <f t="shared" si="2"/>
        <v>-2265.3137179999999</v>
      </c>
      <c r="G10" s="313">
        <f t="shared" si="3"/>
        <v>-305392</v>
      </c>
      <c r="H10" s="312">
        <f t="shared" si="4"/>
        <v>-135919</v>
      </c>
      <c r="I10" s="313">
        <f t="shared" si="5"/>
        <v>-441311</v>
      </c>
      <c r="J10" s="312">
        <f>G10*NPV!C13+H10*NPV!D13</f>
        <v>-256382.30784245371</v>
      </c>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row>
    <row r="11" spans="1:53" x14ac:dyDescent="0.2">
      <c r="A11" s="83">
        <v>2030</v>
      </c>
      <c r="B11" s="84">
        <f>'Travel Time'!S190-'Travel Time'!U190</f>
        <v>-2186526.9734985605</v>
      </c>
      <c r="C11" s="13">
        <f>'Travel Time'!R190-'Travel Time'!T190</f>
        <v>-797132.67650144827</v>
      </c>
      <c r="D11" s="325">
        <f t="shared" si="0"/>
        <v>-8.8554429999999993</v>
      </c>
      <c r="E11" s="326">
        <f t="shared" si="1"/>
        <v>-0.18288599999999999</v>
      </c>
      <c r="F11" s="325">
        <f t="shared" si="2"/>
        <v>-2303.1320770000002</v>
      </c>
      <c r="G11" s="313">
        <f t="shared" si="3"/>
        <v>-315345</v>
      </c>
      <c r="H11" s="312">
        <f t="shared" si="4"/>
        <v>-140491</v>
      </c>
      <c r="I11" s="313">
        <f t="shared" si="5"/>
        <v>-455836</v>
      </c>
      <c r="J11" s="312">
        <f>G11*NPV!C14+H11*NPV!D14</f>
        <v>-251311.82544748022</v>
      </c>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row>
    <row r="12" spans="1:53" x14ac:dyDescent="0.2">
      <c r="A12" s="83">
        <v>2031</v>
      </c>
      <c r="B12" s="84">
        <f>'Travel Time'!S191-'Travel Time'!U191</f>
        <v>-2222372.1671978608</v>
      </c>
      <c r="C12" s="13">
        <f>'Travel Time'!R191-'Travel Time'!T191</f>
        <v>-808507.53280214127</v>
      </c>
      <c r="D12" s="325">
        <f t="shared" si="0"/>
        <v>-8.9860340000000001</v>
      </c>
      <c r="E12" s="326">
        <f t="shared" si="1"/>
        <v>-0.18554200000000001</v>
      </c>
      <c r="F12" s="325">
        <f t="shared" si="2"/>
        <v>-2338.4677649999999</v>
      </c>
      <c r="G12" s="313">
        <f t="shared" si="3"/>
        <v>-319960</v>
      </c>
      <c r="H12" s="312">
        <f t="shared" si="4"/>
        <v>-144985</v>
      </c>
      <c r="I12" s="313">
        <f t="shared" si="5"/>
        <v>-464945</v>
      </c>
      <c r="J12" s="312">
        <f>G12*NPV!C15+H12*NPV!D15</f>
        <v>-243755.62840844388</v>
      </c>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row>
    <row r="13" spans="1:53" x14ac:dyDescent="0.2">
      <c r="A13" s="83">
        <v>2032</v>
      </c>
      <c r="B13" s="84">
        <f>'Travel Time'!S192-'Travel Time'!U192</f>
        <v>-2254023.6189660281</v>
      </c>
      <c r="C13" s="13">
        <f>'Travel Time'!R192-'Travel Time'!T192</f>
        <v>-822857.03103397042</v>
      </c>
      <c r="D13" s="325">
        <f t="shared" si="0"/>
        <v>-9.1384290000000004</v>
      </c>
      <c r="E13" s="326">
        <f t="shared" si="1"/>
        <v>-0.18875700000000001</v>
      </c>
      <c r="F13" s="325">
        <f t="shared" si="2"/>
        <v>-2375.8261200000002</v>
      </c>
      <c r="G13" s="313">
        <f>ROUND(D13*B55+E13*D55,0)</f>
        <v>-325445</v>
      </c>
      <c r="H13" s="312">
        <f t="shared" si="4"/>
        <v>-149677</v>
      </c>
      <c r="I13" s="313">
        <f t="shared" si="5"/>
        <v>-475122</v>
      </c>
      <c r="J13" s="312">
        <f>G13*NPV!C16+H13*NPV!D16</f>
        <v>-236970.85845924399</v>
      </c>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row>
    <row r="14" spans="1:53" x14ac:dyDescent="0.2">
      <c r="A14" s="83">
        <v>2033</v>
      </c>
      <c r="B14" s="84">
        <f>'Travel Time'!S193-'Travel Time'!U193</f>
        <v>-2292263.3750185743</v>
      </c>
      <c r="C14" s="13">
        <f>'Travel Time'!R193-'Travel Time'!T193</f>
        <v>-835724.57498142496</v>
      </c>
      <c r="D14" s="325">
        <f t="shared" si="0"/>
        <v>-9.2840550000000004</v>
      </c>
      <c r="E14" s="326">
        <f t="shared" si="1"/>
        <v>-0.19173899999999999</v>
      </c>
      <c r="F14" s="325">
        <f t="shared" si="2"/>
        <v>-2414.5702580000002</v>
      </c>
      <c r="G14" s="313">
        <f t="shared" si="3"/>
        <v>-330609</v>
      </c>
      <c r="H14" s="312">
        <f t="shared" si="4"/>
        <v>-154532</v>
      </c>
      <c r="I14" s="313">
        <f t="shared" si="5"/>
        <v>-485141</v>
      </c>
      <c r="J14" s="312">
        <f>G14*NPV!C17+H14*NPV!D17</f>
        <v>-230379.72700425965</v>
      </c>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row>
    <row r="15" spans="1:53" x14ac:dyDescent="0.2">
      <c r="A15" s="83">
        <v>2034</v>
      </c>
      <c r="B15" s="84">
        <f>'Travel Time'!S194-'Travel Time'!U194</f>
        <v>-2331325.8909162134</v>
      </c>
      <c r="C15" s="13">
        <f>'Travel Time'!R194-'Travel Time'!T194</f>
        <v>-849258.55908378586</v>
      </c>
      <c r="D15" s="325">
        <f t="shared" si="0"/>
        <v>-9.4361709999999999</v>
      </c>
      <c r="E15" s="326">
        <f t="shared" si="1"/>
        <v>-0.19486300000000001</v>
      </c>
      <c r="F15" s="325">
        <f t="shared" si="2"/>
        <v>-2454.705113</v>
      </c>
      <c r="G15" s="313">
        <f t="shared" si="3"/>
        <v>-336011</v>
      </c>
      <c r="H15" s="312">
        <f t="shared" si="4"/>
        <v>-162011</v>
      </c>
      <c r="I15" s="313">
        <f t="shared" si="5"/>
        <v>-498022</v>
      </c>
      <c r="J15" s="312">
        <f>G15*NPV!C18+H15*NPV!D18</f>
        <v>-225774.54546573854</v>
      </c>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row>
    <row r="16" spans="1:53" x14ac:dyDescent="0.2">
      <c r="A16" s="83">
        <v>2035</v>
      </c>
      <c r="B16" s="84">
        <f>'Travel Time'!S195-'Travel Time'!U195</f>
        <v>-2363376.9183190614</v>
      </c>
      <c r="C16" s="13">
        <f>'Travel Time'!R195-'Travel Time'!T195</f>
        <v>-862989.48168093339</v>
      </c>
      <c r="D16" s="325">
        <f t="shared" si="0"/>
        <v>-9.5836009999999998</v>
      </c>
      <c r="E16" s="326">
        <f t="shared" si="1"/>
        <v>-0.197958</v>
      </c>
      <c r="F16" s="325">
        <f t="shared" si="2"/>
        <v>-2491.3914789999999</v>
      </c>
      <c r="G16" s="313">
        <f t="shared" si="3"/>
        <v>-341304</v>
      </c>
      <c r="H16" s="312">
        <f t="shared" si="4"/>
        <v>-166923</v>
      </c>
      <c r="I16" s="313">
        <f t="shared" si="5"/>
        <v>-508227</v>
      </c>
      <c r="J16" s="312">
        <f>G16*NPV!C19+H16*NPV!D19</f>
        <v>-219632.36816180917</v>
      </c>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row>
    <row r="17" spans="1:53" x14ac:dyDescent="0.2">
      <c r="A17" s="83">
        <v>2036</v>
      </c>
      <c r="B17" s="84">
        <f>'Travel Time'!S196-'Travel Time'!U196</f>
        <v>-2402184.3690384626</v>
      </c>
      <c r="C17" s="13">
        <f>'Travel Time'!R196-'Travel Time'!T196</f>
        <v>-874705.33096153848</v>
      </c>
      <c r="D17" s="325">
        <f t="shared" si="0"/>
        <v>-9.7198250000000002</v>
      </c>
      <c r="E17" s="326">
        <f t="shared" si="1"/>
        <v>-0.200712</v>
      </c>
      <c r="F17" s="325">
        <f t="shared" si="2"/>
        <v>-2528.790708</v>
      </c>
      <c r="G17" s="313">
        <f t="shared" si="3"/>
        <v>-346104</v>
      </c>
      <c r="H17" s="312">
        <f t="shared" si="4"/>
        <v>-171958</v>
      </c>
      <c r="I17" s="313">
        <f t="shared" si="5"/>
        <v>-518062</v>
      </c>
      <c r="J17" s="312">
        <f>G17*NPV!C20+H17*NPV!D20</f>
        <v>-213605.08083176555</v>
      </c>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row>
    <row r="18" spans="1:53" x14ac:dyDescent="0.2">
      <c r="A18" s="83">
        <v>2037</v>
      </c>
      <c r="B18" s="84">
        <f>'Travel Time'!S197-'Travel Time'!U197</f>
        <v>-2441964.8678743094</v>
      </c>
      <c r="C18" s="13">
        <f>'Travel Time'!R197-'Travel Time'!T197</f>
        <v>-889886.53212568909</v>
      </c>
      <c r="D18" s="325">
        <f t="shared" si="0"/>
        <v>-9.8867809999999992</v>
      </c>
      <c r="E18" s="326">
        <f t="shared" si="1"/>
        <v>-0.204177</v>
      </c>
      <c r="F18" s="325">
        <f t="shared" si="2"/>
        <v>-2571.663051</v>
      </c>
      <c r="G18" s="313">
        <f t="shared" si="3"/>
        <v>-352064</v>
      </c>
      <c r="H18" s="312">
        <f t="shared" si="4"/>
        <v>-177445</v>
      </c>
      <c r="I18" s="313">
        <f t="shared" si="5"/>
        <v>-529509</v>
      </c>
      <c r="J18" s="312">
        <f>G18*NPV!C21+H18*NPV!D21</f>
        <v>-208393.26998431847</v>
      </c>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row>
    <row r="19" spans="1:53" x14ac:dyDescent="0.2">
      <c r="A19" s="83">
        <v>2038</v>
      </c>
      <c r="B19" s="84">
        <f>'Travel Time'!S198-'Travel Time'!U198</f>
        <v>-2480150.3531056941</v>
      </c>
      <c r="C19" s="13">
        <f>'Travel Time'!R198-'Travel Time'!T198</f>
        <v>-905808.64689430222</v>
      </c>
      <c r="D19" s="325">
        <f t="shared" si="0"/>
        <v>-10.058667</v>
      </c>
      <c r="E19" s="326">
        <f t="shared" si="1"/>
        <v>-0.20777499999999999</v>
      </c>
      <c r="F19" s="325">
        <f t="shared" si="2"/>
        <v>-2614.746353</v>
      </c>
      <c r="G19" s="313">
        <f t="shared" si="3"/>
        <v>-358226</v>
      </c>
      <c r="H19" s="312">
        <f t="shared" si="4"/>
        <v>-183032</v>
      </c>
      <c r="I19" s="313">
        <f t="shared" si="5"/>
        <v>-541258</v>
      </c>
      <c r="J19" s="312">
        <f>G19*NPV!C22+H19*NPV!D22</f>
        <v>-203433.06616058125</v>
      </c>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row>
    <row r="20" spans="1:53" x14ac:dyDescent="0.2">
      <c r="A20" s="83">
        <v>2039</v>
      </c>
      <c r="B20" s="84">
        <f>'Travel Time'!S199-'Travel Time'!U199</f>
        <v>-2522343.2430639341</v>
      </c>
      <c r="C20" s="13">
        <f>'Travel Time'!R199-'Travel Time'!T199</f>
        <v>-919150.50693606772</v>
      </c>
      <c r="D20" s="325">
        <f t="shared" si="0"/>
        <v>-10.211976</v>
      </c>
      <c r="E20" s="326">
        <f t="shared" si="1"/>
        <v>-0.210892</v>
      </c>
      <c r="F20" s="325">
        <f t="shared" si="2"/>
        <v>-2656.2718300000001</v>
      </c>
      <c r="G20" s="313">
        <f t="shared" si="3"/>
        <v>-363643</v>
      </c>
      <c r="H20" s="312">
        <f t="shared" si="4"/>
        <v>-188595</v>
      </c>
      <c r="I20" s="313">
        <f t="shared" si="5"/>
        <v>-552238</v>
      </c>
      <c r="J20" s="312">
        <f>G20*NPV!C23+H20*NPV!D23</f>
        <v>-198392.7403010155</v>
      </c>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row>
    <row r="21" spans="1:53" x14ac:dyDescent="0.2">
      <c r="A21" s="83">
        <v>2040</v>
      </c>
      <c r="B21" s="84">
        <f>'Travel Time'!S200-'Travel Time'!U200</f>
        <v>-2562941.1193104088</v>
      </c>
      <c r="C21" s="13">
        <f>'Travel Time'!R200-'Travel Time'!T200</f>
        <v>-933233.28068958782</v>
      </c>
      <c r="D21" s="325">
        <f t="shared" si="0"/>
        <v>-10.370215</v>
      </c>
      <c r="E21" s="326">
        <f t="shared" si="1"/>
        <v>-0.214143</v>
      </c>
      <c r="F21" s="325">
        <f t="shared" si="2"/>
        <v>-2698.0082670000002</v>
      </c>
      <c r="G21" s="313">
        <f t="shared" si="3"/>
        <v>-369264</v>
      </c>
      <c r="H21" s="312">
        <f t="shared" si="4"/>
        <v>-194257</v>
      </c>
      <c r="I21" s="313">
        <f t="shared" si="5"/>
        <v>-563521</v>
      </c>
      <c r="J21" s="312">
        <f>G21*NPV!C24+H21*NPV!D24</f>
        <v>-193604.79815294017</v>
      </c>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row>
    <row r="22" spans="1:53" x14ac:dyDescent="0.2">
      <c r="A22" s="83">
        <v>2041</v>
      </c>
      <c r="B22" s="84">
        <f>'Travel Time'!S201-'Travel Time'!U201</f>
        <v>-2922195.4142605066</v>
      </c>
      <c r="C22" s="13">
        <f>'Travel Time'!R201-'Travel Time'!T201</f>
        <v>-1012515.5357394945</v>
      </c>
      <c r="D22" s="325">
        <f t="shared" si="0"/>
        <v>-11.379994</v>
      </c>
      <c r="E22" s="326">
        <f t="shared" si="1"/>
        <v>-0.23375000000000001</v>
      </c>
      <c r="F22" s="325">
        <f t="shared" si="2"/>
        <v>-3002.5051760000001</v>
      </c>
      <c r="G22" s="313">
        <f t="shared" si="3"/>
        <v>-404159</v>
      </c>
      <c r="H22" s="312">
        <f t="shared" si="4"/>
        <v>-219183</v>
      </c>
      <c r="I22" s="313">
        <f t="shared" si="5"/>
        <v>-623342</v>
      </c>
      <c r="J22" s="312">
        <f>G22*NPV!C25+H22*NPV!D25</f>
        <v>-205613.97114667957</v>
      </c>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row>
    <row r="23" spans="1:53" x14ac:dyDescent="0.2">
      <c r="A23" s="83">
        <v>2042</v>
      </c>
      <c r="B23" s="84">
        <f>'Travel Time'!S202-'Travel Time'!U202</f>
        <v>-2946859.0595639348</v>
      </c>
      <c r="C23" s="13">
        <f>'Travel Time'!R202-'Travel Time'!T202</f>
        <v>-1022099.8404360656</v>
      </c>
      <c r="D23" s="325">
        <f t="shared" si="0"/>
        <v>-11.484988</v>
      </c>
      <c r="E23" s="326">
        <f t="shared" si="1"/>
        <v>-0.235933</v>
      </c>
      <c r="F23" s="325">
        <f t="shared" si="2"/>
        <v>-3029.331792</v>
      </c>
      <c r="G23" s="313">
        <f t="shared" si="3"/>
        <v>-407910</v>
      </c>
      <c r="H23" s="312">
        <f t="shared" si="4"/>
        <v>-227200</v>
      </c>
      <c r="I23" s="313">
        <f t="shared" si="5"/>
        <v>-635110</v>
      </c>
      <c r="J23" s="312">
        <f>G23*NPV!C26+H23*NPV!D26</f>
        <v>-201167.70842857211</v>
      </c>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row>
    <row r="24" spans="1:53" x14ac:dyDescent="0.2">
      <c r="A24" s="83">
        <v>2043</v>
      </c>
      <c r="B24" s="84">
        <f>'Travel Time'!S203-'Travel Time'!U203</f>
        <v>-2974758.2527203858</v>
      </c>
      <c r="C24" s="13">
        <f>'Travel Time'!R203-'Travel Time'!T203</f>
        <v>-1033981.9972796142</v>
      </c>
      <c r="D24" s="325">
        <f t="shared" si="0"/>
        <v>-11.612717</v>
      </c>
      <c r="E24" s="326">
        <f t="shared" si="1"/>
        <v>-0.23861199999999999</v>
      </c>
      <c r="F24" s="325">
        <f t="shared" si="2"/>
        <v>-3061.1656469999998</v>
      </c>
      <c r="G24" s="313">
        <f t="shared" si="3"/>
        <v>-412493</v>
      </c>
      <c r="H24" s="312">
        <f t="shared" si="4"/>
        <v>-232649</v>
      </c>
      <c r="I24" s="313">
        <f t="shared" si="5"/>
        <v>-645142</v>
      </c>
      <c r="J24" s="312">
        <f>G24*NPV!C27+H24*NPV!D27</f>
        <v>-195769.49252818938</v>
      </c>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row>
    <row r="25" spans="1:53" x14ac:dyDescent="0.2">
      <c r="A25" s="83">
        <v>2044</v>
      </c>
      <c r="B25" s="84">
        <f>'Travel Time'!S204-'Travel Time'!U204</f>
        <v>-3000593.7319894359</v>
      </c>
      <c r="C25" s="13">
        <f>'Travel Time'!R204-'Travel Time'!T204</f>
        <v>-1041540.3680105563</v>
      </c>
      <c r="D25" s="325">
        <f t="shared" si="0"/>
        <v>-11.701326999999999</v>
      </c>
      <c r="E25" s="326">
        <f t="shared" si="1"/>
        <v>-0.240397</v>
      </c>
      <c r="F25" s="325">
        <f t="shared" si="2"/>
        <v>-3085.7185920000002</v>
      </c>
      <c r="G25" s="313">
        <f t="shared" si="3"/>
        <v>-415610</v>
      </c>
      <c r="H25" s="312">
        <f t="shared" si="4"/>
        <v>-237600</v>
      </c>
      <c r="I25" s="313">
        <f t="shared" si="5"/>
        <v>-653210</v>
      </c>
      <c r="J25" s="312">
        <f>G25*NPV!C28+H25*NPV!D28</f>
        <v>-190054.88392658831</v>
      </c>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row>
    <row r="26" spans="1:53" x14ac:dyDescent="0.2">
      <c r="A26" s="83">
        <v>2045</v>
      </c>
      <c r="B26" s="84">
        <f>'Travel Time'!S205-'Travel Time'!U205</f>
        <v>-3026329.8217849433</v>
      </c>
      <c r="C26" s="13">
        <f>'Travel Time'!R205-'Travel Time'!T205</f>
        <v>-1051844.3782150596</v>
      </c>
      <c r="D26" s="325">
        <f t="shared" si="0"/>
        <v>-11.813496000000001</v>
      </c>
      <c r="E26" s="326">
        <f t="shared" si="1"/>
        <v>-0.24273600000000001</v>
      </c>
      <c r="F26" s="325">
        <f t="shared" si="2"/>
        <v>-3114.1449259999999</v>
      </c>
      <c r="G26" s="313">
        <f t="shared" si="3"/>
        <v>-419624</v>
      </c>
      <c r="H26" s="312">
        <f t="shared" si="4"/>
        <v>-242903</v>
      </c>
      <c r="I26" s="313">
        <f t="shared" si="5"/>
        <v>-662527</v>
      </c>
      <c r="J26" s="312">
        <f>G26*NPV!C29+H26*NPV!D29</f>
        <v>-184890.20193842708</v>
      </c>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row>
    <row r="27" spans="1:53" x14ac:dyDescent="0.2">
      <c r="A27" s="83">
        <v>2046</v>
      </c>
      <c r="B27" s="84">
        <f>'Travel Time'!S206-'Travel Time'!U206</f>
        <v>-3055568.9604847431</v>
      </c>
      <c r="C27" s="13">
        <f>'Travel Time'!R206-'Travel Time'!T206</f>
        <v>-1061167.4895152636</v>
      </c>
      <c r="D27" s="325">
        <f t="shared" si="0"/>
        <v>-11.920403</v>
      </c>
      <c r="E27" s="326">
        <f t="shared" si="1"/>
        <v>-0.24491199999999999</v>
      </c>
      <c r="F27" s="325">
        <f t="shared" si="2"/>
        <v>-3143.032197</v>
      </c>
      <c r="G27" s="313">
        <f t="shared" si="3"/>
        <v>-423404</v>
      </c>
      <c r="H27" s="312">
        <f t="shared" si="4"/>
        <v>-248300</v>
      </c>
      <c r="I27" s="313">
        <f t="shared" si="5"/>
        <v>-671704</v>
      </c>
      <c r="J27" s="312">
        <f>G27*NPV!C30+H27*NPV!D30</f>
        <v>-179920.50378304604</v>
      </c>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row>
    <row r="28" spans="1:53" x14ac:dyDescent="0.2">
      <c r="A28" s="83">
        <v>2047</v>
      </c>
      <c r="B28" s="84">
        <f>'Travel Time'!S207-'Travel Time'!U207</f>
        <v>-3085144.3323372081</v>
      </c>
      <c r="C28" s="13">
        <f>'Travel Time'!R207-'Travel Time'!T207</f>
        <v>-1069424.3676627893</v>
      </c>
      <c r="D28" s="325">
        <f t="shared" si="0"/>
        <v>-12.018433</v>
      </c>
      <c r="E28" s="326">
        <f t="shared" si="1"/>
        <v>-0.24687500000000001</v>
      </c>
      <c r="F28" s="325">
        <f t="shared" si="2"/>
        <v>-3170.5736310000002</v>
      </c>
      <c r="G28" s="313">
        <f t="shared" si="3"/>
        <v>-426842</v>
      </c>
      <c r="H28" s="312">
        <f t="shared" si="4"/>
        <v>-253646</v>
      </c>
      <c r="I28" s="313">
        <f t="shared" si="5"/>
        <v>-680488</v>
      </c>
      <c r="J28" s="312">
        <f>G28*NPV!C31+H28*NPV!D31</f>
        <v>-175060.75129283557</v>
      </c>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row>
    <row r="29" spans="1:53" x14ac:dyDescent="0.2">
      <c r="A29" s="83">
        <v>2048</v>
      </c>
      <c r="B29" s="84">
        <f>'Travel Time'!S208-'Travel Time'!U208</f>
        <v>-3112370.6620061025</v>
      </c>
      <c r="C29" s="13">
        <f>'Travel Time'!R208-'Travel Time'!T208</f>
        <v>-1079968.237993896</v>
      </c>
      <c r="D29" s="325">
        <f t="shared" si="0"/>
        <v>-12.134024</v>
      </c>
      <c r="E29" s="326">
        <f t="shared" si="1"/>
        <v>-0.249277</v>
      </c>
      <c r="F29" s="325">
        <f t="shared" si="2"/>
        <v>-3200.135773</v>
      </c>
      <c r="G29" s="313">
        <f t="shared" si="3"/>
        <v>-430971</v>
      </c>
      <c r="H29" s="312">
        <f t="shared" si="4"/>
        <v>-259211</v>
      </c>
      <c r="I29" s="313">
        <f t="shared" si="5"/>
        <v>-690182</v>
      </c>
      <c r="J29" s="312">
        <f>G29*NPV!C32+H29*NPV!D32</f>
        <v>-170573.74201504095</v>
      </c>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row>
    <row r="30" spans="1:53" x14ac:dyDescent="0.2">
      <c r="A30" s="83">
        <v>2049</v>
      </c>
      <c r="B30" s="84">
        <f>'Travel Time'!S209-'Travel Time'!U209</f>
        <v>-3140182.9059930146</v>
      </c>
      <c r="C30" s="13">
        <f>'Travel Time'!R209-'Travel Time'!T209</f>
        <v>-1089499.1440069824</v>
      </c>
      <c r="D30" s="325">
        <f t="shared" si="0"/>
        <v>-12.241422999999999</v>
      </c>
      <c r="E30" s="326">
        <f t="shared" si="1"/>
        <v>-0.25148100000000001</v>
      </c>
      <c r="F30" s="325">
        <f t="shared" si="2"/>
        <v>-3228.5610820000002</v>
      </c>
      <c r="G30" s="313">
        <f t="shared" si="3"/>
        <v>-434783</v>
      </c>
      <c r="H30" s="312">
        <f t="shared" si="4"/>
        <v>-267971</v>
      </c>
      <c r="I30" s="313">
        <f t="shared" si="5"/>
        <v>-702754</v>
      </c>
      <c r="J30" s="312">
        <f>G30*NPV!C33+H30*NPV!D33</f>
        <v>-167516.69323206111</v>
      </c>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row>
    <row r="31" spans="1:53" ht="13.9" customHeight="1" x14ac:dyDescent="0.2">
      <c r="A31" s="83">
        <v>2050</v>
      </c>
      <c r="B31" s="84">
        <f>'Travel Time'!S210-'Travel Time'!U210</f>
        <v>-3168331.3813486472</v>
      </c>
      <c r="C31" s="13">
        <f>'Travel Time'!R210-'Travel Time'!T210</f>
        <v>-1097963.8186513577</v>
      </c>
      <c r="D31" s="325">
        <f t="shared" si="0"/>
        <v>-12.339943999999999</v>
      </c>
      <c r="E31" s="326">
        <f t="shared" si="1"/>
        <v>-0.25347199999999998</v>
      </c>
      <c r="F31" s="325">
        <f t="shared" si="2"/>
        <v>-3255.6405559999998</v>
      </c>
      <c r="G31" s="313">
        <f t="shared" si="3"/>
        <v>-438255</v>
      </c>
      <c r="H31" s="312">
        <f t="shared" si="4"/>
        <v>-273474</v>
      </c>
      <c r="I31" s="313">
        <f t="shared" si="5"/>
        <v>-711729</v>
      </c>
      <c r="J31" s="312">
        <f>G31*NPV!C34+H31*NPV!D34</f>
        <v>-163191.96858118603</v>
      </c>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row>
    <row r="32" spans="1:53" ht="13.9" customHeight="1" x14ac:dyDescent="0.2">
      <c r="A32" s="83">
        <v>2051</v>
      </c>
      <c r="B32" s="84">
        <f>'Travel Time'!S211-'Travel Time'!U211</f>
        <v>-3194130.813806735</v>
      </c>
      <c r="C32" s="13">
        <f>'Travel Time'!R211-'Travel Time'!T211</f>
        <v>-1108715.4861932639</v>
      </c>
      <c r="D32" s="325">
        <f t="shared" si="0"/>
        <v>-12.456026</v>
      </c>
      <c r="E32" s="326">
        <f t="shared" si="1"/>
        <v>-0.25590200000000002</v>
      </c>
      <c r="F32" s="325">
        <f t="shared" si="2"/>
        <v>-3284.740738</v>
      </c>
      <c r="G32" s="313">
        <f t="shared" si="3"/>
        <v>-442416</v>
      </c>
      <c r="H32" s="312">
        <f t="shared" si="4"/>
        <v>-279203</v>
      </c>
      <c r="I32" s="313">
        <f t="shared" si="5"/>
        <v>-721619</v>
      </c>
      <c r="J32" s="312">
        <f>G32*NPV!C35+H32*NPV!D35</f>
        <v>-159188.17571431983</v>
      </c>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row>
    <row r="33" spans="1:53" x14ac:dyDescent="0.2">
      <c r="A33" s="83">
        <v>2052</v>
      </c>
      <c r="B33" s="84">
        <f>'Travel Time'!S212-'Travel Time'!U212</f>
        <v>-3225682.9523031414</v>
      </c>
      <c r="C33" s="13">
        <f>'Travel Time'!R212-'Travel Time'!T212</f>
        <v>-1118944.8976968527</v>
      </c>
      <c r="D33" s="325">
        <f t="shared" si="0"/>
        <v>-12.572844</v>
      </c>
      <c r="E33" s="326">
        <f t="shared" si="1"/>
        <v>-0.25828400000000001</v>
      </c>
      <c r="F33" s="325">
        <f t="shared" si="2"/>
        <v>-3316.1545339999998</v>
      </c>
      <c r="G33" s="313">
        <f t="shared" si="3"/>
        <v>-446550</v>
      </c>
      <c r="H33" s="312">
        <f t="shared" si="4"/>
        <v>-285189</v>
      </c>
      <c r="I33" s="313">
        <f t="shared" si="5"/>
        <v>-731739</v>
      </c>
      <c r="J33" s="312">
        <f>G33*NPV!C36+H33*NPV!D36</f>
        <v>-155409.3930410865</v>
      </c>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row>
    <row r="34" spans="1:53" x14ac:dyDescent="0.2">
      <c r="A34" s="83">
        <v>2053</v>
      </c>
      <c r="B34" s="84">
        <f>'Travel Time'!S213-'Travel Time'!U213</f>
        <v>-3252404.5302700326</v>
      </c>
      <c r="C34" s="13">
        <f>'Travel Time'!R213-'Travel Time'!T213</f>
        <v>-1127617.3697299641</v>
      </c>
      <c r="D34" s="325">
        <f t="shared" si="0"/>
        <v>-12.671856999999999</v>
      </c>
      <c r="E34" s="326">
        <f t="shared" si="1"/>
        <v>-0.26030300000000001</v>
      </c>
      <c r="F34" s="325">
        <f t="shared" si="2"/>
        <v>-3342.7720490000002</v>
      </c>
      <c r="G34" s="313">
        <f t="shared" si="3"/>
        <v>-450054</v>
      </c>
      <c r="H34" s="312">
        <f t="shared" si="4"/>
        <v>-290821</v>
      </c>
      <c r="I34" s="313">
        <f t="shared" si="5"/>
        <v>-740875</v>
      </c>
      <c r="J34" s="312">
        <f>G34*NPV!C37+H34*NPV!D37</f>
        <v>-151557.660746643</v>
      </c>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row>
    <row r="35" spans="1:53" x14ac:dyDescent="0.2">
      <c r="A35" s="83">
        <v>2054</v>
      </c>
      <c r="B35" s="84">
        <f>'Travel Time'!S214-'Travel Time'!U214</f>
        <v>-3284860.9950740561</v>
      </c>
      <c r="C35" s="13">
        <f>'Travel Time'!R214-'Travel Time'!T214</f>
        <v>-1139099.6049259435</v>
      </c>
      <c r="D35" s="325">
        <f t="shared" si="0"/>
        <v>-12.800288</v>
      </c>
      <c r="E35" s="326">
        <f t="shared" si="1"/>
        <v>-0.26294699999999999</v>
      </c>
      <c r="F35" s="325">
        <f t="shared" si="2"/>
        <v>-3376.4584840000002</v>
      </c>
      <c r="G35" s="313">
        <f t="shared" si="3"/>
        <v>-454620</v>
      </c>
      <c r="H35" s="312">
        <f t="shared" si="4"/>
        <v>-297128</v>
      </c>
      <c r="I35" s="313">
        <f t="shared" si="5"/>
        <v>-751748</v>
      </c>
      <c r="J35" s="312">
        <f>G35*NPV!C38+H35*NPV!D38</f>
        <v>-148175.40353847665</v>
      </c>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row>
    <row r="36" spans="1:53" x14ac:dyDescent="0.2">
      <c r="A36" s="83">
        <v>2055</v>
      </c>
      <c r="B36" s="84">
        <f>'Travel Time'!S215-'Travel Time'!U215</f>
        <v>-3312856.5635600239</v>
      </c>
      <c r="C36" s="13">
        <f>'Travel Time'!R215-'Travel Time'!T215</f>
        <v>-1149012.9364399761</v>
      </c>
      <c r="D36" s="325">
        <f t="shared" si="0"/>
        <v>-12.911148000000001</v>
      </c>
      <c r="E36" s="326">
        <f t="shared" si="1"/>
        <v>-0.26522899999999999</v>
      </c>
      <c r="F36" s="325">
        <f t="shared" si="2"/>
        <v>-3405.5281909999999</v>
      </c>
      <c r="G36" s="313">
        <f t="shared" si="3"/>
        <v>-458561</v>
      </c>
      <c r="H36" s="312">
        <f>ROUND(F36*E78,0)</f>
        <v>-303092</v>
      </c>
      <c r="I36" s="313">
        <f t="shared" si="5"/>
        <v>-761653</v>
      </c>
      <c r="J36" s="312">
        <f>G36*NPV!C39+H36*NPV!D39</f>
        <v>-144716.9144640161</v>
      </c>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row>
    <row r="37" spans="1:53" ht="13.5" thickBot="1" x14ac:dyDescent="0.25">
      <c r="A37" s="268">
        <v>2056</v>
      </c>
      <c r="B37" s="351">
        <f>'Travel Time'!S216-'Travel Time'!U216</f>
        <v>-3343098.6663678437</v>
      </c>
      <c r="C37" s="55">
        <f>'Travel Time'!R216-'Travel Time'!T216</f>
        <v>-1161194.7836321574</v>
      </c>
      <c r="D37" s="352">
        <f t="shared" si="0"/>
        <v>-13.04359</v>
      </c>
      <c r="E37" s="353">
        <f t="shared" si="1"/>
        <v>-0.26799200000000001</v>
      </c>
      <c r="F37" s="352">
        <f t="shared" si="2"/>
        <v>-3439.0370309999998</v>
      </c>
      <c r="G37" s="354">
        <f>ROUND(D37*B79+E37*D79,0)</f>
        <v>-463301</v>
      </c>
      <c r="H37" s="355">
        <f t="shared" si="4"/>
        <v>-309513</v>
      </c>
      <c r="I37" s="354">
        <f t="shared" si="5"/>
        <v>-772814</v>
      </c>
      <c r="J37" s="355">
        <f>G37*NPV!C40+H37*NPV!D40</f>
        <v>-141583.69035695534</v>
      </c>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row>
    <row r="38" spans="1:53" ht="16.5" customHeight="1" thickTop="1" x14ac:dyDescent="0.2">
      <c r="A38" s="505" t="s">
        <v>0</v>
      </c>
      <c r="B38" s="506"/>
      <c r="C38" s="506"/>
      <c r="D38" s="506"/>
      <c r="E38" s="506"/>
      <c r="F38" s="507"/>
      <c r="G38" s="349">
        <f>SUM(G8:G37)</f>
        <v>-11578610</v>
      </c>
      <c r="H38" s="350">
        <f>SUM(H8:H37)</f>
        <v>-6455822</v>
      </c>
      <c r="I38" s="349">
        <f>SUM(I8:I37)</f>
        <v>-18034432</v>
      </c>
      <c r="J38" s="350">
        <f>SUM(J8:J37)</f>
        <v>-5946964.3139415933</v>
      </c>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row>
    <row r="39" spans="1:53" x14ac:dyDescent="0.2">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row>
    <row r="40" spans="1:53" x14ac:dyDescent="0.2">
      <c r="A40" s="387" t="s">
        <v>47</v>
      </c>
      <c r="B40" s="388"/>
      <c r="C40" s="388"/>
      <c r="D40" s="388"/>
      <c r="E40" s="389"/>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row>
    <row r="41" spans="1:53" x14ac:dyDescent="0.2">
      <c r="A41" s="489" t="s">
        <v>1</v>
      </c>
      <c r="B41" s="387" t="s">
        <v>272</v>
      </c>
      <c r="C41" s="388"/>
      <c r="D41" s="388"/>
      <c r="E41" s="389"/>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row>
    <row r="42" spans="1:53" x14ac:dyDescent="0.2">
      <c r="A42" s="370"/>
      <c r="B42" s="11" t="s">
        <v>183</v>
      </c>
      <c r="C42" s="317" t="s">
        <v>273</v>
      </c>
      <c r="D42" s="317" t="s">
        <v>184</v>
      </c>
      <c r="E42" s="317" t="s">
        <v>274</v>
      </c>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row>
    <row r="43" spans="1:53" x14ac:dyDescent="0.2">
      <c r="A43" s="341">
        <v>2020</v>
      </c>
      <c r="B43" s="320">
        <v>15700</v>
      </c>
      <c r="C43" s="343">
        <v>40400</v>
      </c>
      <c r="D43" s="320">
        <v>729300</v>
      </c>
      <c r="E43" s="343">
        <v>50</v>
      </c>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row>
    <row r="44" spans="1:53" x14ac:dyDescent="0.2">
      <c r="A44" s="267">
        <v>2021</v>
      </c>
      <c r="B44" s="321">
        <v>15900</v>
      </c>
      <c r="C44" s="344">
        <v>41300</v>
      </c>
      <c r="D44" s="321">
        <v>742300</v>
      </c>
      <c r="E44" s="344">
        <v>52</v>
      </c>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row>
    <row r="45" spans="1:53" x14ac:dyDescent="0.2">
      <c r="A45" s="267">
        <v>2022</v>
      </c>
      <c r="B45" s="321">
        <v>16100</v>
      </c>
      <c r="C45" s="344">
        <v>42100</v>
      </c>
      <c r="D45" s="321">
        <v>755500</v>
      </c>
      <c r="E45" s="344">
        <v>53</v>
      </c>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row>
    <row r="46" spans="1:53" x14ac:dyDescent="0.2">
      <c r="A46" s="267">
        <v>2023</v>
      </c>
      <c r="B46" s="321">
        <v>16400</v>
      </c>
      <c r="C46" s="344">
        <v>43000</v>
      </c>
      <c r="D46" s="321">
        <v>769000</v>
      </c>
      <c r="E46" s="344">
        <v>54</v>
      </c>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row>
    <row r="47" spans="1:53" x14ac:dyDescent="0.2">
      <c r="A47" s="267">
        <v>2024</v>
      </c>
      <c r="B47" s="321">
        <v>16600</v>
      </c>
      <c r="C47" s="344">
        <v>43900</v>
      </c>
      <c r="D47" s="321">
        <v>782700</v>
      </c>
      <c r="E47" s="344">
        <v>55</v>
      </c>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row>
    <row r="48" spans="1:53" x14ac:dyDescent="0.2">
      <c r="A48" s="267">
        <v>2025</v>
      </c>
      <c r="B48" s="321">
        <v>16800</v>
      </c>
      <c r="C48" s="344">
        <v>44900</v>
      </c>
      <c r="D48" s="321">
        <v>796600</v>
      </c>
      <c r="E48" s="344">
        <v>56</v>
      </c>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row>
    <row r="49" spans="1:53" x14ac:dyDescent="0.2">
      <c r="A49" s="267">
        <v>2026</v>
      </c>
      <c r="B49" s="321">
        <v>17000</v>
      </c>
      <c r="C49" s="344">
        <v>45500</v>
      </c>
      <c r="D49" s="321">
        <v>807500</v>
      </c>
      <c r="E49" s="344">
        <v>57</v>
      </c>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row>
    <row r="50" spans="1:53" x14ac:dyDescent="0.2">
      <c r="A50" s="267">
        <v>2027</v>
      </c>
      <c r="B50" s="321">
        <v>17300</v>
      </c>
      <c r="C50" s="344">
        <v>46200</v>
      </c>
      <c r="D50" s="321">
        <v>818600</v>
      </c>
      <c r="E50" s="344">
        <v>58</v>
      </c>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row>
    <row r="51" spans="1:53" x14ac:dyDescent="0.2">
      <c r="A51" s="267">
        <v>2028</v>
      </c>
      <c r="B51" s="321">
        <v>17500</v>
      </c>
      <c r="C51" s="344">
        <v>46900</v>
      </c>
      <c r="D51" s="321">
        <v>829800</v>
      </c>
      <c r="E51" s="344">
        <v>59</v>
      </c>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row>
    <row r="52" spans="1:53" x14ac:dyDescent="0.2">
      <c r="A52" s="267">
        <v>2029</v>
      </c>
      <c r="B52" s="321">
        <v>17700</v>
      </c>
      <c r="C52" s="344">
        <v>47600</v>
      </c>
      <c r="D52" s="321">
        <v>841200</v>
      </c>
      <c r="E52" s="344">
        <v>60</v>
      </c>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row>
    <row r="53" spans="1:53" x14ac:dyDescent="0.2">
      <c r="A53" s="267">
        <v>2030</v>
      </c>
      <c r="B53" s="321">
        <v>18000</v>
      </c>
      <c r="C53" s="344">
        <v>48200</v>
      </c>
      <c r="D53" s="321">
        <v>852700</v>
      </c>
      <c r="E53" s="344">
        <v>61</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row>
    <row r="54" spans="1:53" x14ac:dyDescent="0.2">
      <c r="A54" s="267">
        <v>2031</v>
      </c>
      <c r="B54" s="321">
        <v>18000</v>
      </c>
      <c r="C54" s="344">
        <v>48200</v>
      </c>
      <c r="D54" s="321">
        <v>852700</v>
      </c>
      <c r="E54" s="344">
        <v>62</v>
      </c>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row>
    <row r="55" spans="1:53" x14ac:dyDescent="0.2">
      <c r="A55" s="267">
        <v>2032</v>
      </c>
      <c r="B55" s="321">
        <v>18000</v>
      </c>
      <c r="C55" s="344">
        <v>48200</v>
      </c>
      <c r="D55" s="321">
        <v>852700</v>
      </c>
      <c r="E55" s="344">
        <v>63</v>
      </c>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row>
    <row r="56" spans="1:53" x14ac:dyDescent="0.2">
      <c r="A56" s="267">
        <v>2033</v>
      </c>
      <c r="B56" s="321">
        <v>18000</v>
      </c>
      <c r="C56" s="344">
        <v>48200</v>
      </c>
      <c r="D56" s="321">
        <v>852700</v>
      </c>
      <c r="E56" s="344">
        <v>64</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row>
    <row r="57" spans="1:53" x14ac:dyDescent="0.2">
      <c r="A57" s="267">
        <v>2034</v>
      </c>
      <c r="B57" s="321">
        <v>18000</v>
      </c>
      <c r="C57" s="344">
        <v>48200</v>
      </c>
      <c r="D57" s="321">
        <v>852700</v>
      </c>
      <c r="E57" s="344">
        <v>66</v>
      </c>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row>
    <row r="58" spans="1:53" x14ac:dyDescent="0.2">
      <c r="A58" s="267">
        <v>2035</v>
      </c>
      <c r="B58" s="321">
        <v>18000</v>
      </c>
      <c r="C58" s="344">
        <v>48200</v>
      </c>
      <c r="D58" s="321">
        <v>852700</v>
      </c>
      <c r="E58" s="344">
        <v>67</v>
      </c>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row>
    <row r="59" spans="1:53" x14ac:dyDescent="0.2">
      <c r="A59" s="267">
        <v>2036</v>
      </c>
      <c r="B59" s="321">
        <v>18000</v>
      </c>
      <c r="C59" s="344">
        <v>48200</v>
      </c>
      <c r="D59" s="321">
        <v>852700</v>
      </c>
      <c r="E59" s="344">
        <v>68</v>
      </c>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row>
    <row r="60" spans="1:53" x14ac:dyDescent="0.2">
      <c r="A60" s="267">
        <v>2037</v>
      </c>
      <c r="B60" s="321">
        <v>18000</v>
      </c>
      <c r="C60" s="344">
        <v>48200</v>
      </c>
      <c r="D60" s="321">
        <v>852700</v>
      </c>
      <c r="E60" s="344">
        <v>69</v>
      </c>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row>
    <row r="61" spans="1:53" x14ac:dyDescent="0.2">
      <c r="A61" s="267">
        <v>2038</v>
      </c>
      <c r="B61" s="321">
        <v>18000</v>
      </c>
      <c r="C61" s="344">
        <v>48200</v>
      </c>
      <c r="D61" s="321">
        <v>852700</v>
      </c>
      <c r="E61" s="344">
        <v>70</v>
      </c>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row>
    <row r="62" spans="1:53" x14ac:dyDescent="0.2">
      <c r="A62" s="267">
        <v>2039</v>
      </c>
      <c r="B62" s="321">
        <v>18000</v>
      </c>
      <c r="C62" s="344">
        <v>48200</v>
      </c>
      <c r="D62" s="321">
        <v>852700</v>
      </c>
      <c r="E62" s="344">
        <v>71</v>
      </c>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row>
    <row r="63" spans="1:53" x14ac:dyDescent="0.2">
      <c r="A63" s="267">
        <v>2040</v>
      </c>
      <c r="B63" s="321">
        <v>18000</v>
      </c>
      <c r="C63" s="344">
        <v>48200</v>
      </c>
      <c r="D63" s="321">
        <v>852700</v>
      </c>
      <c r="E63" s="344">
        <v>72</v>
      </c>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row>
    <row r="64" spans="1:53" x14ac:dyDescent="0.2">
      <c r="A64" s="267">
        <v>2041</v>
      </c>
      <c r="B64" s="321">
        <v>18000</v>
      </c>
      <c r="C64" s="344">
        <v>48200</v>
      </c>
      <c r="D64" s="321">
        <v>852700</v>
      </c>
      <c r="E64" s="344">
        <v>73</v>
      </c>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row>
    <row r="65" spans="1:53" x14ac:dyDescent="0.2">
      <c r="A65" s="267">
        <v>2042</v>
      </c>
      <c r="B65" s="321">
        <v>18000</v>
      </c>
      <c r="C65" s="344">
        <v>48200</v>
      </c>
      <c r="D65" s="321">
        <v>852700</v>
      </c>
      <c r="E65" s="344">
        <v>75</v>
      </c>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row>
    <row r="66" spans="1:53" x14ac:dyDescent="0.2">
      <c r="A66" s="267">
        <v>2043</v>
      </c>
      <c r="B66" s="321">
        <v>18000</v>
      </c>
      <c r="C66" s="344">
        <v>48200</v>
      </c>
      <c r="D66" s="321">
        <v>852700</v>
      </c>
      <c r="E66" s="344">
        <v>76</v>
      </c>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row>
    <row r="67" spans="1:53" x14ac:dyDescent="0.2">
      <c r="A67" s="267">
        <v>2044</v>
      </c>
      <c r="B67" s="321">
        <v>18000</v>
      </c>
      <c r="C67" s="344">
        <v>48200</v>
      </c>
      <c r="D67" s="321">
        <v>852700</v>
      </c>
      <c r="E67" s="344">
        <v>77</v>
      </c>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row>
    <row r="68" spans="1:53" x14ac:dyDescent="0.2">
      <c r="A68" s="267">
        <v>2045</v>
      </c>
      <c r="B68" s="321">
        <v>18000</v>
      </c>
      <c r="C68" s="344">
        <v>48200</v>
      </c>
      <c r="D68" s="321">
        <v>852700</v>
      </c>
      <c r="E68" s="344">
        <v>78</v>
      </c>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row>
    <row r="69" spans="1:53" x14ac:dyDescent="0.2">
      <c r="A69" s="267">
        <v>2046</v>
      </c>
      <c r="B69" s="321">
        <v>18000</v>
      </c>
      <c r="C69" s="344">
        <v>48200</v>
      </c>
      <c r="D69" s="321">
        <v>852700</v>
      </c>
      <c r="E69" s="344">
        <v>79</v>
      </c>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row>
    <row r="70" spans="1:53" x14ac:dyDescent="0.2">
      <c r="A70" s="267">
        <v>2047</v>
      </c>
      <c r="B70" s="321">
        <v>18000</v>
      </c>
      <c r="C70" s="344">
        <v>48200</v>
      </c>
      <c r="D70" s="321">
        <v>852700</v>
      </c>
      <c r="E70" s="344">
        <v>80</v>
      </c>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row>
    <row r="71" spans="1:53" x14ac:dyDescent="0.2">
      <c r="A71" s="267">
        <v>2048</v>
      </c>
      <c r="B71" s="321">
        <v>18000</v>
      </c>
      <c r="C71" s="344">
        <v>48200</v>
      </c>
      <c r="D71" s="321">
        <v>852700</v>
      </c>
      <c r="E71" s="344">
        <v>81</v>
      </c>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row>
    <row r="72" spans="1:53" x14ac:dyDescent="0.2">
      <c r="A72" s="267">
        <v>2049</v>
      </c>
      <c r="B72" s="321">
        <v>18000</v>
      </c>
      <c r="C72" s="344">
        <v>48200</v>
      </c>
      <c r="D72" s="321">
        <v>852700</v>
      </c>
      <c r="E72" s="344">
        <v>83</v>
      </c>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row>
    <row r="73" spans="1:53" x14ac:dyDescent="0.2">
      <c r="A73" s="267">
        <v>2050</v>
      </c>
      <c r="B73" s="321">
        <v>18000</v>
      </c>
      <c r="C73" s="344">
        <v>48200</v>
      </c>
      <c r="D73" s="321">
        <v>852700</v>
      </c>
      <c r="E73" s="344">
        <v>84</v>
      </c>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row>
    <row r="74" spans="1:53" x14ac:dyDescent="0.2">
      <c r="A74" s="267">
        <v>2051</v>
      </c>
      <c r="B74" s="321">
        <v>18000</v>
      </c>
      <c r="C74" s="344">
        <v>48200</v>
      </c>
      <c r="D74" s="321">
        <v>852700</v>
      </c>
      <c r="E74" s="344">
        <v>85</v>
      </c>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row>
    <row r="75" spans="1:53" x14ac:dyDescent="0.2">
      <c r="A75" s="267">
        <v>2052</v>
      </c>
      <c r="B75" s="321">
        <v>18000</v>
      </c>
      <c r="C75" s="344">
        <v>48200</v>
      </c>
      <c r="D75" s="321">
        <v>852700</v>
      </c>
      <c r="E75" s="344">
        <v>86</v>
      </c>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row>
    <row r="76" spans="1:53" x14ac:dyDescent="0.2">
      <c r="A76" s="267">
        <v>2053</v>
      </c>
      <c r="B76" s="321">
        <v>18000</v>
      </c>
      <c r="C76" s="344">
        <v>48200</v>
      </c>
      <c r="D76" s="321">
        <v>852700</v>
      </c>
      <c r="E76" s="344">
        <v>87</v>
      </c>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row>
    <row r="77" spans="1:53" x14ac:dyDescent="0.2">
      <c r="A77" s="267">
        <v>2054</v>
      </c>
      <c r="B77" s="321">
        <v>18000</v>
      </c>
      <c r="C77" s="344">
        <v>48200</v>
      </c>
      <c r="D77" s="321">
        <v>852700</v>
      </c>
      <c r="E77" s="344">
        <v>88</v>
      </c>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row>
    <row r="78" spans="1:53" x14ac:dyDescent="0.2">
      <c r="A78" s="267">
        <v>2055</v>
      </c>
      <c r="B78" s="321">
        <v>18000</v>
      </c>
      <c r="C78" s="344">
        <v>48200</v>
      </c>
      <c r="D78" s="321">
        <v>852700</v>
      </c>
      <c r="E78" s="344">
        <v>89</v>
      </c>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row>
    <row r="79" spans="1:53" x14ac:dyDescent="0.2">
      <c r="A79" s="342">
        <v>2056</v>
      </c>
      <c r="B79" s="322">
        <v>18000</v>
      </c>
      <c r="C79" s="345">
        <v>48200</v>
      </c>
      <c r="D79" s="322">
        <v>852700</v>
      </c>
      <c r="E79" s="345">
        <v>90</v>
      </c>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row>
    <row r="80" spans="1:53" x14ac:dyDescent="0.2">
      <c r="A80" s="323" t="s">
        <v>275</v>
      </c>
      <c r="B80" s="324"/>
      <c r="C80" s="324"/>
      <c r="D80" s="324"/>
      <c r="E80" s="324"/>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row>
    <row r="81" spans="1:53" x14ac:dyDescent="0.2">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row>
    <row r="82" spans="1:53" ht="16.5" x14ac:dyDescent="0.3">
      <c r="A82" s="493" t="s">
        <v>181</v>
      </c>
      <c r="B82" s="494"/>
      <c r="C82" s="494"/>
      <c r="D82" s="495"/>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row>
    <row r="83" spans="1:53" x14ac:dyDescent="0.2">
      <c r="A83" s="87" t="s">
        <v>182</v>
      </c>
      <c r="B83" s="87" t="s">
        <v>183</v>
      </c>
      <c r="C83" s="87" t="s">
        <v>184</v>
      </c>
      <c r="D83" s="87" t="s">
        <v>185</v>
      </c>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row>
    <row r="84" spans="1:53" x14ac:dyDescent="0.2">
      <c r="A84" s="88" t="s">
        <v>186</v>
      </c>
      <c r="B84" s="89">
        <v>0.91</v>
      </c>
      <c r="C84" s="346">
        <v>0.01</v>
      </c>
      <c r="D84" s="89">
        <v>532</v>
      </c>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row>
    <row r="85" spans="1:53" x14ac:dyDescent="0.2">
      <c r="A85" s="88" t="s">
        <v>187</v>
      </c>
      <c r="B85" s="89">
        <v>8.6129999999999995</v>
      </c>
      <c r="C85" s="346">
        <v>0.20200000000000001</v>
      </c>
      <c r="D85" s="89">
        <v>1430</v>
      </c>
      <c r="E85" s="90" t="s">
        <v>188</v>
      </c>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row>
    <row r="86" spans="1:53" x14ac:dyDescent="0.2">
      <c r="A86" s="88" t="s">
        <v>189</v>
      </c>
      <c r="B86" s="89">
        <v>8.67</v>
      </c>
      <c r="C86" s="346">
        <v>0.48</v>
      </c>
      <c r="D86" s="89">
        <v>3319</v>
      </c>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row>
    <row r="87" spans="1:53" x14ac:dyDescent="0.2">
      <c r="A87" s="88" t="s">
        <v>190</v>
      </c>
      <c r="B87" s="89">
        <v>3.84</v>
      </c>
      <c r="C87" s="346">
        <v>0.01</v>
      </c>
      <c r="D87" s="89">
        <v>2935</v>
      </c>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row>
    <row r="88" spans="1:53" x14ac:dyDescent="0.2">
      <c r="A88" s="88" t="s">
        <v>191</v>
      </c>
      <c r="B88" s="89">
        <v>5.83</v>
      </c>
      <c r="C88" s="346">
        <v>0.378</v>
      </c>
      <c r="D88" s="89">
        <v>2934</v>
      </c>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row>
    <row r="89" spans="1:53" ht="52.9" customHeight="1" x14ac:dyDescent="0.2">
      <c r="A89" s="496" t="s">
        <v>192</v>
      </c>
      <c r="B89" s="497"/>
      <c r="C89" s="497"/>
      <c r="D89" s="498"/>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row>
    <row r="90" spans="1:53" ht="12.75" customHeight="1" x14ac:dyDescent="0.2">
      <c r="A90" s="499" t="s">
        <v>244</v>
      </c>
      <c r="B90" s="500"/>
      <c r="C90" s="500"/>
      <c r="D90" s="501"/>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row>
    <row r="91" spans="1:53" x14ac:dyDescent="0.2">
      <c r="A91" s="502"/>
      <c r="B91" s="503"/>
      <c r="C91" s="503"/>
      <c r="D91" s="504"/>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row>
    <row r="92" spans="1:53" ht="13.15" customHeight="1" x14ac:dyDescent="0.2">
      <c r="A92" s="490" t="s">
        <v>193</v>
      </c>
      <c r="B92" s="491"/>
      <c r="C92" s="491"/>
      <c r="D92" s="49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row>
    <row r="93" spans="1:53" ht="12.75" customHeight="1" x14ac:dyDescent="0.2">
      <c r="A93" s="91"/>
      <c r="B93" s="91"/>
      <c r="C93" s="91"/>
      <c r="D93" s="91"/>
      <c r="E93" s="91"/>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row>
    <row r="94" spans="1:53" x14ac:dyDescent="0.2">
      <c r="A94" s="91"/>
      <c r="B94" s="91"/>
      <c r="C94" s="91"/>
      <c r="D94" s="91"/>
      <c r="E94" s="91"/>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row>
    <row r="95" spans="1:53" x14ac:dyDescent="0.2">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row>
    <row r="96" spans="1:53" x14ac:dyDescent="0.2">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row>
    <row r="97" spans="1:53" x14ac:dyDescent="0.2">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row>
    <row r="98" spans="1:53" x14ac:dyDescent="0.2">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row>
    <row r="99" spans="1:53" x14ac:dyDescent="0.2">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row>
    <row r="100" spans="1:53" ht="12.75" customHeight="1" x14ac:dyDescent="0.2">
      <c r="A100" s="92"/>
      <c r="B100" s="92"/>
      <c r="C100" s="92"/>
      <c r="D100" s="9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row>
    <row r="101" spans="1:53" x14ac:dyDescent="0.2">
      <c r="A101" s="92"/>
      <c r="B101" s="92"/>
      <c r="C101" s="92"/>
      <c r="D101" s="9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row>
    <row r="102" spans="1:53" x14ac:dyDescent="0.2">
      <c r="A102" s="92"/>
      <c r="B102" s="92"/>
      <c r="C102" s="92"/>
      <c r="D102" s="9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row>
    <row r="103" spans="1:53" x14ac:dyDescent="0.2">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row>
    <row r="104" spans="1:53" x14ac:dyDescent="0.2">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row>
    <row r="105" spans="1:53" x14ac:dyDescent="0.2">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row>
    <row r="106" spans="1:53" x14ac:dyDescent="0.2">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row>
    <row r="107" spans="1:53" x14ac:dyDescent="0.2">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row>
    <row r="108" spans="1:53" x14ac:dyDescent="0.2">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row>
    <row r="109" spans="1:53" x14ac:dyDescent="0.2">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row>
    <row r="110" spans="1:53" x14ac:dyDescent="0.2">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row>
    <row r="111" spans="1:53" x14ac:dyDescent="0.2">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row>
    <row r="112" spans="1:53" x14ac:dyDescent="0.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row>
    <row r="113" spans="1:53" x14ac:dyDescent="0.2">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row>
    <row r="114" spans="1:53" x14ac:dyDescent="0.2">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row>
    <row r="115" spans="1:53" x14ac:dyDescent="0.2">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row>
    <row r="116" spans="1:53" x14ac:dyDescent="0.2">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row>
    <row r="117" spans="1:53" x14ac:dyDescent="0.2">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row>
    <row r="118" spans="1:53" x14ac:dyDescent="0.2">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row>
    <row r="119" spans="1:53" x14ac:dyDescent="0.2">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row>
    <row r="120" spans="1:53" x14ac:dyDescent="0.2">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row>
    <row r="121" spans="1:53" x14ac:dyDescent="0.2">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row>
    <row r="122" spans="1:53" x14ac:dyDescent="0.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row>
    <row r="123" spans="1:53" x14ac:dyDescent="0.2">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row>
    <row r="124" spans="1:53" x14ac:dyDescent="0.2">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row>
    <row r="125" spans="1:53" x14ac:dyDescent="0.2">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row>
    <row r="126" spans="1:53" x14ac:dyDescent="0.2">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row>
    <row r="127" spans="1:53" x14ac:dyDescent="0.2">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row>
    <row r="128" spans="1:53" x14ac:dyDescent="0.2">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row>
    <row r="129" spans="1:53" x14ac:dyDescent="0.2">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row>
    <row r="130" spans="1:53" x14ac:dyDescent="0.2">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row>
    <row r="131" spans="1:53" x14ac:dyDescent="0.2">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row>
    <row r="132" spans="1:53" x14ac:dyDescent="0.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row>
    <row r="133" spans="1:53" x14ac:dyDescent="0.2">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row>
    <row r="134" spans="1:53" x14ac:dyDescent="0.2">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row>
    <row r="135" spans="1:53" x14ac:dyDescent="0.2">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row>
    <row r="136" spans="1:53" x14ac:dyDescent="0.2">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row>
    <row r="137" spans="1:53" x14ac:dyDescent="0.2">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row>
    <row r="138" spans="1:53" x14ac:dyDescent="0.2">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row>
    <row r="139" spans="1:53" x14ac:dyDescent="0.2">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row>
    <row r="140" spans="1:53" x14ac:dyDescent="0.2">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row>
    <row r="141" spans="1:53" x14ac:dyDescent="0.2">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row>
    <row r="142" spans="1:53" x14ac:dyDescent="0.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row>
    <row r="143" spans="1:53" x14ac:dyDescent="0.2">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row>
    <row r="144" spans="1:53" x14ac:dyDescent="0.2">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row>
    <row r="145" spans="1:53" x14ac:dyDescent="0.2">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row>
    <row r="146" spans="1:53" x14ac:dyDescent="0.2">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row>
    <row r="147" spans="1:53" x14ac:dyDescent="0.2">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row>
    <row r="148" spans="1:53" x14ac:dyDescent="0.2">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row>
    <row r="149" spans="1:53" x14ac:dyDescent="0.2">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row>
    <row r="150" spans="1:53" x14ac:dyDescent="0.2">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row>
    <row r="151" spans="1:53" x14ac:dyDescent="0.2">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row>
    <row r="152" spans="1:53" x14ac:dyDescent="0.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row>
    <row r="153" spans="1:53" x14ac:dyDescent="0.2">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row>
    <row r="154" spans="1:53" x14ac:dyDescent="0.2">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row>
    <row r="155" spans="1:53" x14ac:dyDescent="0.2">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row>
    <row r="156" spans="1:53" x14ac:dyDescent="0.2">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row>
    <row r="157" spans="1:53" x14ac:dyDescent="0.2">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row>
    <row r="158" spans="1:53" x14ac:dyDescent="0.2">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row>
    <row r="159" spans="1:53" x14ac:dyDescent="0.2">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row>
    <row r="160" spans="1:53" x14ac:dyDescent="0.2">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row>
    <row r="161" spans="1:53" x14ac:dyDescent="0.2">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row>
    <row r="162" spans="1:53" x14ac:dyDescent="0.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row>
    <row r="163" spans="1:53" x14ac:dyDescent="0.2">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row>
    <row r="164" spans="1:53" x14ac:dyDescent="0.2">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row>
    <row r="165" spans="1:53" x14ac:dyDescent="0.2">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row>
    <row r="166" spans="1:53" x14ac:dyDescent="0.2">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row>
    <row r="167" spans="1:53" x14ac:dyDescent="0.2">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row>
    <row r="168" spans="1:53" x14ac:dyDescent="0.2">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row>
    <row r="169" spans="1:53" x14ac:dyDescent="0.2">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row>
    <row r="170" spans="1:53" x14ac:dyDescent="0.2">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row>
    <row r="171" spans="1:53" x14ac:dyDescent="0.2">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row>
    <row r="172" spans="1:53" x14ac:dyDescent="0.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row>
    <row r="173" spans="1:53" x14ac:dyDescent="0.2">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row>
    <row r="174" spans="1:53" x14ac:dyDescent="0.2">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row>
    <row r="175" spans="1:53" x14ac:dyDescent="0.2">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row>
    <row r="176" spans="1:53" x14ac:dyDescent="0.2">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row>
    <row r="177" spans="1:53" x14ac:dyDescent="0.2">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row>
    <row r="178" spans="1:53" x14ac:dyDescent="0.2">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row>
    <row r="179" spans="1:53" x14ac:dyDescent="0.2">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row>
    <row r="180" spans="1:53" x14ac:dyDescent="0.2">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row>
    <row r="181" spans="1:53" x14ac:dyDescent="0.2">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row>
    <row r="182" spans="1:53" x14ac:dyDescent="0.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row>
    <row r="183" spans="1:53" x14ac:dyDescent="0.2">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row>
    <row r="184" spans="1:53" x14ac:dyDescent="0.2">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row>
    <row r="185" spans="1:53" x14ac:dyDescent="0.2">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row>
    <row r="186" spans="1:53" x14ac:dyDescent="0.2">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row>
    <row r="187" spans="1:53" x14ac:dyDescent="0.2">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row>
    <row r="188" spans="1:53" x14ac:dyDescent="0.2">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row>
    <row r="189" spans="1:53" x14ac:dyDescent="0.2">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row>
    <row r="190" spans="1:53" x14ac:dyDescent="0.2">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row>
    <row r="191" spans="1:53" x14ac:dyDescent="0.2">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row>
    <row r="192" spans="1:53" x14ac:dyDescent="0.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row>
    <row r="193" spans="1:53" x14ac:dyDescent="0.2">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row>
    <row r="194" spans="1:53" x14ac:dyDescent="0.2">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row>
    <row r="195" spans="1:53" x14ac:dyDescent="0.2">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row>
    <row r="196" spans="1:53" x14ac:dyDescent="0.2">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row>
    <row r="197" spans="1:53" x14ac:dyDescent="0.2">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row>
    <row r="198" spans="1:53" x14ac:dyDescent="0.2">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row>
    <row r="199" spans="1:53" x14ac:dyDescent="0.2">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row>
    <row r="200" spans="1:53" x14ac:dyDescent="0.2">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row>
    <row r="201" spans="1:53" x14ac:dyDescent="0.2">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row>
    <row r="202" spans="1:53" x14ac:dyDescent="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row>
    <row r="203" spans="1:53" x14ac:dyDescent="0.2">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row>
    <row r="204" spans="1:53" x14ac:dyDescent="0.2">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row>
    <row r="205" spans="1:53" x14ac:dyDescent="0.2">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row>
    <row r="206" spans="1:53" x14ac:dyDescent="0.2">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row>
    <row r="207" spans="1:53" x14ac:dyDescent="0.2">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row>
    <row r="208" spans="1:53" x14ac:dyDescent="0.2">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row>
    <row r="209" spans="1:53" x14ac:dyDescent="0.2">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row>
    <row r="210" spans="1:53" x14ac:dyDescent="0.2">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row>
    <row r="211" spans="1:53" x14ac:dyDescent="0.2">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row>
    <row r="212" spans="1:53" x14ac:dyDescent="0.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row>
    <row r="213" spans="1:53" x14ac:dyDescent="0.2">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row>
    <row r="214" spans="1:53" x14ac:dyDescent="0.2">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row>
    <row r="215" spans="1:53" x14ac:dyDescent="0.2">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row>
    <row r="216" spans="1:53" x14ac:dyDescent="0.2">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row>
    <row r="217" spans="1:53" x14ac:dyDescent="0.2">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row>
    <row r="218" spans="1:53" x14ac:dyDescent="0.2">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row>
    <row r="219" spans="1:53" x14ac:dyDescent="0.2">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row>
    <row r="220" spans="1:53" x14ac:dyDescent="0.2">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row>
    <row r="221" spans="1:53" x14ac:dyDescent="0.2">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row>
    <row r="222" spans="1:53" x14ac:dyDescent="0.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row>
    <row r="223" spans="1:53" x14ac:dyDescent="0.2">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row>
    <row r="224" spans="1:53" x14ac:dyDescent="0.2">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row>
    <row r="225" spans="1:53" x14ac:dyDescent="0.2">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row>
    <row r="226" spans="1:53" x14ac:dyDescent="0.2">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row>
    <row r="227" spans="1:53" x14ac:dyDescent="0.2">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row>
    <row r="228" spans="1:53" x14ac:dyDescent="0.2">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row>
    <row r="229" spans="1:53" x14ac:dyDescent="0.2">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row>
    <row r="230" spans="1:53" x14ac:dyDescent="0.2">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row>
    <row r="231" spans="1:53" x14ac:dyDescent="0.2">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row>
    <row r="232" spans="1:53" x14ac:dyDescent="0.2">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row>
    <row r="233" spans="1:53" x14ac:dyDescent="0.2">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row>
    <row r="234" spans="1:53" x14ac:dyDescent="0.2">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row>
    <row r="235" spans="1:53" x14ac:dyDescent="0.2">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row>
    <row r="236" spans="1:53" x14ac:dyDescent="0.2">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row>
    <row r="237" spans="1:53" x14ac:dyDescent="0.2">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row>
    <row r="238" spans="1:53" x14ac:dyDescent="0.2">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row>
    <row r="239" spans="1:53" x14ac:dyDescent="0.2">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row>
    <row r="240" spans="1:53" x14ac:dyDescent="0.2">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row>
    <row r="241" spans="1:53" x14ac:dyDescent="0.2">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row>
    <row r="242" spans="1:53" x14ac:dyDescent="0.2">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row>
    <row r="243" spans="1:53" x14ac:dyDescent="0.2">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row>
    <row r="244" spans="1:53" x14ac:dyDescent="0.2">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row>
    <row r="245" spans="1:53" x14ac:dyDescent="0.2">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c r="AU245" s="82"/>
      <c r="AV245" s="82"/>
      <c r="AW245" s="82"/>
      <c r="AX245" s="82"/>
      <c r="AY245" s="82"/>
      <c r="AZ245" s="82"/>
      <c r="BA245" s="82"/>
    </row>
    <row r="246" spans="1:53" x14ac:dyDescent="0.2">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c r="AU246" s="82"/>
      <c r="AV246" s="82"/>
      <c r="AW246" s="82"/>
      <c r="AX246" s="82"/>
      <c r="AY246" s="82"/>
      <c r="AZ246" s="82"/>
      <c r="BA246" s="82"/>
    </row>
    <row r="247" spans="1:53" x14ac:dyDescent="0.2">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c r="AU247" s="82"/>
      <c r="AV247" s="82"/>
      <c r="AW247" s="82"/>
      <c r="AX247" s="82"/>
      <c r="AY247" s="82"/>
      <c r="AZ247" s="82"/>
      <c r="BA247" s="82"/>
    </row>
    <row r="248" spans="1:53" x14ac:dyDescent="0.2">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c r="AU248" s="82"/>
      <c r="AV248" s="82"/>
      <c r="AW248" s="82"/>
      <c r="AX248" s="82"/>
      <c r="AY248" s="82"/>
      <c r="AZ248" s="82"/>
      <c r="BA248" s="82"/>
    </row>
    <row r="249" spans="1:53" x14ac:dyDescent="0.2">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c r="AU249" s="82"/>
      <c r="AV249" s="82"/>
      <c r="AW249" s="82"/>
      <c r="AX249" s="82"/>
      <c r="AY249" s="82"/>
      <c r="AZ249" s="82"/>
      <c r="BA249" s="82"/>
    </row>
    <row r="250" spans="1:53" x14ac:dyDescent="0.2">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c r="AU250" s="82"/>
      <c r="AV250" s="82"/>
      <c r="AW250" s="82"/>
      <c r="AX250" s="82"/>
      <c r="AY250" s="82"/>
      <c r="AZ250" s="82"/>
      <c r="BA250" s="82"/>
    </row>
    <row r="251" spans="1:53" x14ac:dyDescent="0.2">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c r="AW251" s="82"/>
      <c r="AX251" s="82"/>
      <c r="AY251" s="82"/>
      <c r="AZ251" s="82"/>
      <c r="BA251" s="82"/>
    </row>
    <row r="252" spans="1:53" x14ac:dyDescent="0.2">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c r="AU252" s="82"/>
      <c r="AV252" s="82"/>
      <c r="AW252" s="82"/>
      <c r="AX252" s="82"/>
      <c r="AY252" s="82"/>
      <c r="AZ252" s="82"/>
      <c r="BA252" s="82"/>
    </row>
    <row r="253" spans="1:53" x14ac:dyDescent="0.2">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c r="AV253" s="82"/>
      <c r="AW253" s="82"/>
      <c r="AX253" s="82"/>
      <c r="AY253" s="82"/>
      <c r="AZ253" s="82"/>
      <c r="BA253" s="82"/>
    </row>
    <row r="254" spans="1:53" x14ac:dyDescent="0.2">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c r="AW254" s="82"/>
      <c r="AX254" s="82"/>
      <c r="AY254" s="82"/>
      <c r="AZ254" s="82"/>
      <c r="BA254" s="82"/>
    </row>
    <row r="255" spans="1:53" x14ac:dyDescent="0.2">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82"/>
      <c r="AX255" s="82"/>
      <c r="AY255" s="82"/>
      <c r="AZ255" s="82"/>
      <c r="BA255" s="82"/>
    </row>
    <row r="256" spans="1:53" x14ac:dyDescent="0.2">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c r="AU256" s="82"/>
      <c r="AV256" s="82"/>
      <c r="AW256" s="82"/>
      <c r="AX256" s="82"/>
      <c r="AY256" s="82"/>
      <c r="AZ256" s="82"/>
      <c r="BA256" s="82"/>
    </row>
    <row r="257" spans="1:53" x14ac:dyDescent="0.2">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c r="AU257" s="82"/>
      <c r="AV257" s="82"/>
      <c r="AW257" s="82"/>
      <c r="AX257" s="82"/>
      <c r="AY257" s="82"/>
      <c r="AZ257" s="82"/>
      <c r="BA257" s="82"/>
    </row>
    <row r="258" spans="1:53" x14ac:dyDescent="0.2">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c r="AU258" s="82"/>
      <c r="AV258" s="82"/>
      <c r="AW258" s="82"/>
      <c r="AX258" s="82"/>
      <c r="AY258" s="82"/>
      <c r="AZ258" s="82"/>
      <c r="BA258" s="82"/>
    </row>
    <row r="259" spans="1:53" x14ac:dyDescent="0.2">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c r="AW259" s="82"/>
      <c r="AX259" s="82"/>
      <c r="AY259" s="82"/>
      <c r="AZ259" s="82"/>
      <c r="BA259" s="82"/>
    </row>
    <row r="260" spans="1:53" x14ac:dyDescent="0.2">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c r="AU260" s="82"/>
      <c r="AV260" s="82"/>
      <c r="AW260" s="82"/>
      <c r="AX260" s="82"/>
      <c r="AY260" s="82"/>
      <c r="AZ260" s="82"/>
      <c r="BA260" s="82"/>
    </row>
    <row r="261" spans="1:53" x14ac:dyDescent="0.2">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c r="AU261" s="82"/>
      <c r="AV261" s="82"/>
      <c r="AW261" s="82"/>
      <c r="AX261" s="82"/>
      <c r="AY261" s="82"/>
      <c r="AZ261" s="82"/>
      <c r="BA261" s="82"/>
    </row>
    <row r="262" spans="1:53" x14ac:dyDescent="0.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c r="AW262" s="82"/>
      <c r="AX262" s="82"/>
      <c r="AY262" s="82"/>
      <c r="AZ262" s="82"/>
      <c r="BA262" s="82"/>
    </row>
    <row r="263" spans="1:53" x14ac:dyDescent="0.2">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c r="AU263" s="82"/>
      <c r="AV263" s="82"/>
      <c r="AW263" s="82"/>
      <c r="AX263" s="82"/>
      <c r="AY263" s="82"/>
      <c r="AZ263" s="82"/>
      <c r="BA263" s="82"/>
    </row>
    <row r="264" spans="1:53" x14ac:dyDescent="0.2">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AY264" s="82"/>
      <c r="AZ264" s="82"/>
      <c r="BA264" s="82"/>
    </row>
    <row r="265" spans="1:53" x14ac:dyDescent="0.2">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c r="AU265" s="82"/>
      <c r="AV265" s="82"/>
      <c r="AW265" s="82"/>
      <c r="AX265" s="82"/>
      <c r="AY265" s="82"/>
      <c r="AZ265" s="82"/>
      <c r="BA265" s="82"/>
    </row>
    <row r="266" spans="1:53" x14ac:dyDescent="0.2">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c r="AW266" s="82"/>
      <c r="AX266" s="82"/>
      <c r="AY266" s="82"/>
      <c r="AZ266" s="82"/>
      <c r="BA266" s="82"/>
    </row>
    <row r="267" spans="1:53" x14ac:dyDescent="0.2">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c r="AV267" s="82"/>
      <c r="AW267" s="82"/>
      <c r="AX267" s="82"/>
      <c r="AY267" s="82"/>
      <c r="AZ267" s="82"/>
      <c r="BA267" s="82"/>
    </row>
    <row r="268" spans="1:53" x14ac:dyDescent="0.2">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82"/>
      <c r="AX268" s="82"/>
      <c r="AY268" s="82"/>
      <c r="AZ268" s="82"/>
      <c r="BA268" s="82"/>
    </row>
    <row r="269" spans="1:53" x14ac:dyDescent="0.2">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82"/>
      <c r="AX269" s="82"/>
      <c r="AY269" s="82"/>
      <c r="AZ269" s="82"/>
      <c r="BA269" s="82"/>
    </row>
    <row r="270" spans="1:53" x14ac:dyDescent="0.2">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c r="BA270" s="82"/>
    </row>
    <row r="271" spans="1:53" x14ac:dyDescent="0.2">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c r="AW271" s="82"/>
      <c r="AX271" s="82"/>
      <c r="AY271" s="82"/>
      <c r="AZ271" s="82"/>
      <c r="BA271" s="82"/>
    </row>
    <row r="272" spans="1:53" x14ac:dyDescent="0.2">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c r="AW272" s="82"/>
      <c r="AX272" s="82"/>
      <c r="AY272" s="82"/>
      <c r="AZ272" s="82"/>
      <c r="BA272" s="82"/>
    </row>
    <row r="273" spans="1:53" x14ac:dyDescent="0.2">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c r="AY273" s="82"/>
      <c r="AZ273" s="82"/>
      <c r="BA273" s="82"/>
    </row>
    <row r="274" spans="1:53" x14ac:dyDescent="0.2">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c r="AW274" s="82"/>
      <c r="AX274" s="82"/>
      <c r="AY274" s="82"/>
      <c r="AZ274" s="82"/>
      <c r="BA274" s="82"/>
    </row>
    <row r="275" spans="1:53" x14ac:dyDescent="0.2">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c r="AU275" s="82"/>
      <c r="AV275" s="82"/>
      <c r="AW275" s="82"/>
      <c r="AX275" s="82"/>
      <c r="AY275" s="82"/>
      <c r="AZ275" s="82"/>
      <c r="BA275" s="82"/>
    </row>
    <row r="276" spans="1:53" x14ac:dyDescent="0.2">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c r="AU276" s="82"/>
      <c r="AV276" s="82"/>
      <c r="AW276" s="82"/>
      <c r="AX276" s="82"/>
      <c r="AY276" s="82"/>
      <c r="AZ276" s="82"/>
      <c r="BA276" s="82"/>
    </row>
    <row r="277" spans="1:53" x14ac:dyDescent="0.2">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c r="AW277" s="82"/>
      <c r="AX277" s="82"/>
      <c r="AY277" s="82"/>
      <c r="AZ277" s="82"/>
      <c r="BA277" s="82"/>
    </row>
    <row r="278" spans="1:53" x14ac:dyDescent="0.2">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c r="BA278" s="82"/>
    </row>
    <row r="279" spans="1:53" x14ac:dyDescent="0.2">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82"/>
      <c r="AX279" s="82"/>
      <c r="AY279" s="82"/>
      <c r="AZ279" s="82"/>
      <c r="BA279" s="82"/>
    </row>
    <row r="280" spans="1:53" x14ac:dyDescent="0.2">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82"/>
      <c r="AX280" s="82"/>
      <c r="AY280" s="82"/>
      <c r="AZ280" s="82"/>
      <c r="BA280" s="82"/>
    </row>
    <row r="281" spans="1:53" x14ac:dyDescent="0.2">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82"/>
      <c r="AX281" s="82"/>
      <c r="AY281" s="82"/>
      <c r="AZ281" s="82"/>
      <c r="BA281" s="82"/>
    </row>
    <row r="282" spans="1:53" x14ac:dyDescent="0.2">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AY282" s="82"/>
      <c r="AZ282" s="82"/>
      <c r="BA282" s="82"/>
    </row>
    <row r="283" spans="1:53" x14ac:dyDescent="0.2">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82"/>
      <c r="AX283" s="82"/>
      <c r="AY283" s="82"/>
      <c r="AZ283" s="82"/>
      <c r="BA283" s="82"/>
    </row>
    <row r="284" spans="1:53" x14ac:dyDescent="0.2">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c r="AU284" s="82"/>
      <c r="AV284" s="82"/>
      <c r="AW284" s="82"/>
      <c r="AX284" s="82"/>
      <c r="AY284" s="82"/>
      <c r="AZ284" s="82"/>
      <c r="BA284" s="82"/>
    </row>
    <row r="285" spans="1:53" x14ac:dyDescent="0.2">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c r="AV285" s="82"/>
      <c r="AW285" s="82"/>
      <c r="AX285" s="82"/>
      <c r="AY285" s="82"/>
      <c r="AZ285" s="82"/>
      <c r="BA285" s="82"/>
    </row>
    <row r="286" spans="1:53" x14ac:dyDescent="0.2">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c r="AV286" s="82"/>
      <c r="AW286" s="82"/>
      <c r="AX286" s="82"/>
      <c r="AY286" s="82"/>
      <c r="AZ286" s="82"/>
      <c r="BA286" s="82"/>
    </row>
    <row r="287" spans="1:53" x14ac:dyDescent="0.2">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c r="AW287" s="82"/>
      <c r="AX287" s="82"/>
      <c r="AY287" s="82"/>
      <c r="AZ287" s="82"/>
      <c r="BA287" s="82"/>
    </row>
    <row r="288" spans="1:53" x14ac:dyDescent="0.2">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c r="AW288" s="82"/>
      <c r="AX288" s="82"/>
      <c r="AY288" s="82"/>
      <c r="AZ288" s="82"/>
      <c r="BA288" s="82"/>
    </row>
    <row r="289" spans="1:53" x14ac:dyDescent="0.2">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c r="AU289" s="82"/>
      <c r="AV289" s="82"/>
      <c r="AW289" s="82"/>
      <c r="AX289" s="82"/>
      <c r="AY289" s="82"/>
      <c r="AZ289" s="82"/>
      <c r="BA289" s="82"/>
    </row>
    <row r="290" spans="1:53" x14ac:dyDescent="0.2">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c r="AV290" s="82"/>
      <c r="AW290" s="82"/>
      <c r="AX290" s="82"/>
      <c r="AY290" s="82"/>
      <c r="AZ290" s="82"/>
      <c r="BA290" s="82"/>
    </row>
    <row r="291" spans="1:53" x14ac:dyDescent="0.2">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c r="AU291" s="82"/>
      <c r="AV291" s="82"/>
      <c r="AW291" s="82"/>
      <c r="AX291" s="82"/>
      <c r="AY291" s="82"/>
      <c r="AZ291" s="82"/>
      <c r="BA291" s="82"/>
    </row>
    <row r="292" spans="1:53" x14ac:dyDescent="0.2">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c r="AU292" s="82"/>
      <c r="AV292" s="82"/>
      <c r="AW292" s="82"/>
      <c r="AX292" s="82"/>
      <c r="AY292" s="82"/>
      <c r="AZ292" s="82"/>
      <c r="BA292" s="82"/>
    </row>
    <row r="293" spans="1:53" x14ac:dyDescent="0.2">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c r="AW293" s="82"/>
      <c r="AX293" s="82"/>
      <c r="AY293" s="82"/>
      <c r="AZ293" s="82"/>
      <c r="BA293" s="82"/>
    </row>
    <row r="294" spans="1:53" x14ac:dyDescent="0.2">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c r="AW294" s="82"/>
      <c r="AX294" s="82"/>
      <c r="AY294" s="82"/>
      <c r="AZ294" s="82"/>
      <c r="BA294" s="82"/>
    </row>
    <row r="295" spans="1:53" x14ac:dyDescent="0.2">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c r="AY295" s="82"/>
      <c r="AZ295" s="82"/>
      <c r="BA295" s="82"/>
    </row>
    <row r="296" spans="1:53" x14ac:dyDescent="0.2">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c r="AW296" s="82"/>
      <c r="AX296" s="82"/>
      <c r="AY296" s="82"/>
      <c r="AZ296" s="82"/>
      <c r="BA296" s="82"/>
    </row>
    <row r="297" spans="1:53" x14ac:dyDescent="0.2">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c r="AW297" s="82"/>
      <c r="AX297" s="82"/>
      <c r="AY297" s="82"/>
      <c r="AZ297" s="82"/>
      <c r="BA297" s="82"/>
    </row>
    <row r="298" spans="1:53" x14ac:dyDescent="0.2">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c r="AW298" s="82"/>
      <c r="AX298" s="82"/>
      <c r="AY298" s="82"/>
      <c r="AZ298" s="82"/>
      <c r="BA298" s="82"/>
    </row>
    <row r="299" spans="1:53" x14ac:dyDescent="0.2">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c r="AU299" s="82"/>
      <c r="AV299" s="82"/>
      <c r="AW299" s="82"/>
      <c r="AX299" s="82"/>
      <c r="AY299" s="82"/>
      <c r="AZ299" s="82"/>
      <c r="BA299" s="82"/>
    </row>
    <row r="300" spans="1:53" x14ac:dyDescent="0.2">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c r="AU300" s="82"/>
      <c r="AV300" s="82"/>
      <c r="AW300" s="82"/>
      <c r="AX300" s="82"/>
      <c r="AY300" s="82"/>
      <c r="AZ300" s="82"/>
      <c r="BA300" s="82"/>
    </row>
    <row r="301" spans="1:53" x14ac:dyDescent="0.2">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c r="AU301" s="82"/>
      <c r="AV301" s="82"/>
      <c r="AW301" s="82"/>
      <c r="AX301" s="82"/>
      <c r="AY301" s="82"/>
      <c r="AZ301" s="82"/>
      <c r="BA301" s="82"/>
    </row>
    <row r="302" spans="1:53" x14ac:dyDescent="0.2">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c r="AW302" s="82"/>
      <c r="AX302" s="82"/>
      <c r="AY302" s="82"/>
      <c r="AZ302" s="82"/>
      <c r="BA302" s="82"/>
    </row>
    <row r="303" spans="1:53" x14ac:dyDescent="0.2">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c r="AY303" s="82"/>
      <c r="AZ303" s="82"/>
      <c r="BA303" s="82"/>
    </row>
    <row r="304" spans="1:53" x14ac:dyDescent="0.2">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c r="AU304" s="82"/>
      <c r="AV304" s="82"/>
      <c r="AW304" s="82"/>
      <c r="AX304" s="82"/>
      <c r="AY304" s="82"/>
      <c r="AZ304" s="82"/>
      <c r="BA304" s="82"/>
    </row>
    <row r="305" spans="1:53" x14ac:dyDescent="0.2">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c r="AW305" s="82"/>
      <c r="AX305" s="82"/>
      <c r="AY305" s="82"/>
      <c r="AZ305" s="82"/>
      <c r="BA305" s="82"/>
    </row>
    <row r="306" spans="1:53" x14ac:dyDescent="0.2">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c r="AP306" s="82"/>
      <c r="AQ306" s="82"/>
      <c r="AR306" s="82"/>
      <c r="AS306" s="82"/>
      <c r="AT306" s="82"/>
      <c r="AU306" s="82"/>
      <c r="AV306" s="82"/>
      <c r="AW306" s="82"/>
      <c r="AX306" s="82"/>
      <c r="AY306" s="82"/>
      <c r="AZ306" s="82"/>
      <c r="BA306" s="82"/>
    </row>
    <row r="307" spans="1:53" x14ac:dyDescent="0.2">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c r="AY307" s="82"/>
      <c r="AZ307" s="82"/>
      <c r="BA307" s="82"/>
    </row>
    <row r="308" spans="1:53" x14ac:dyDescent="0.2">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c r="AW308" s="82"/>
      <c r="AX308" s="82"/>
      <c r="AY308" s="82"/>
      <c r="AZ308" s="82"/>
      <c r="BA308" s="82"/>
    </row>
    <row r="309" spans="1:53" x14ac:dyDescent="0.2">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c r="AU309" s="82"/>
      <c r="AV309" s="82"/>
      <c r="AW309" s="82"/>
      <c r="AX309" s="82"/>
      <c r="AY309" s="82"/>
      <c r="AZ309" s="82"/>
      <c r="BA309" s="82"/>
    </row>
    <row r="310" spans="1:53" x14ac:dyDescent="0.2">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c r="AU310" s="82"/>
      <c r="AV310" s="82"/>
      <c r="AW310" s="82"/>
      <c r="AX310" s="82"/>
      <c r="AY310" s="82"/>
      <c r="AZ310" s="82"/>
      <c r="BA310" s="82"/>
    </row>
    <row r="311" spans="1:53" x14ac:dyDescent="0.2">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c r="AU311" s="82"/>
      <c r="AV311" s="82"/>
      <c r="AW311" s="82"/>
      <c r="AX311" s="82"/>
      <c r="AY311" s="82"/>
      <c r="AZ311" s="82"/>
      <c r="BA311" s="82"/>
    </row>
    <row r="312" spans="1:53" x14ac:dyDescent="0.2">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c r="AU312" s="82"/>
      <c r="AV312" s="82"/>
      <c r="AW312" s="82"/>
      <c r="AX312" s="82"/>
      <c r="AY312" s="82"/>
      <c r="AZ312" s="82"/>
      <c r="BA312" s="82"/>
    </row>
    <row r="313" spans="1:53" x14ac:dyDescent="0.2">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c r="AU313" s="82"/>
      <c r="AV313" s="82"/>
      <c r="AW313" s="82"/>
      <c r="AX313" s="82"/>
      <c r="AY313" s="82"/>
      <c r="AZ313" s="82"/>
      <c r="BA313" s="82"/>
    </row>
    <row r="314" spans="1:53" x14ac:dyDescent="0.2">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82"/>
      <c r="AX314" s="82"/>
      <c r="AY314" s="82"/>
      <c r="AZ314" s="82"/>
      <c r="BA314" s="82"/>
    </row>
    <row r="315" spans="1:53" x14ac:dyDescent="0.2">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c r="AW315" s="82"/>
      <c r="AX315" s="82"/>
      <c r="AY315" s="82"/>
      <c r="AZ315" s="82"/>
      <c r="BA315" s="82"/>
    </row>
    <row r="316" spans="1:53" x14ac:dyDescent="0.2">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c r="AU316" s="82"/>
      <c r="AV316" s="82"/>
      <c r="AW316" s="82"/>
      <c r="AX316" s="82"/>
      <c r="AY316" s="82"/>
      <c r="AZ316" s="82"/>
      <c r="BA316" s="82"/>
    </row>
    <row r="317" spans="1:53" x14ac:dyDescent="0.2">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82"/>
      <c r="AX317" s="82"/>
      <c r="AY317" s="82"/>
      <c r="AZ317" s="82"/>
      <c r="BA317" s="82"/>
    </row>
    <row r="318" spans="1:53" x14ac:dyDescent="0.2">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82"/>
      <c r="AW318" s="82"/>
      <c r="AX318" s="82"/>
      <c r="AY318" s="82"/>
      <c r="AZ318" s="82"/>
      <c r="BA318" s="82"/>
    </row>
    <row r="319" spans="1:53" x14ac:dyDescent="0.2">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82"/>
      <c r="AX319" s="82"/>
      <c r="AY319" s="82"/>
      <c r="AZ319" s="82"/>
      <c r="BA319" s="82"/>
    </row>
    <row r="320" spans="1:53" x14ac:dyDescent="0.2">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c r="AU320" s="82"/>
      <c r="AV320" s="82"/>
      <c r="AW320" s="82"/>
      <c r="AX320" s="82"/>
      <c r="AY320" s="82"/>
      <c r="AZ320" s="82"/>
      <c r="BA320" s="82"/>
    </row>
    <row r="321" spans="1:53" x14ac:dyDescent="0.2">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c r="AU321" s="82"/>
      <c r="AV321" s="82"/>
      <c r="AW321" s="82"/>
      <c r="AX321" s="82"/>
      <c r="AY321" s="82"/>
      <c r="AZ321" s="82"/>
      <c r="BA321" s="82"/>
    </row>
    <row r="322" spans="1:53" x14ac:dyDescent="0.2">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c r="AU322" s="82"/>
      <c r="AV322" s="82"/>
      <c r="AW322" s="82"/>
      <c r="AX322" s="82"/>
      <c r="AY322" s="82"/>
      <c r="AZ322" s="82"/>
      <c r="BA322" s="82"/>
    </row>
    <row r="323" spans="1:53" x14ac:dyDescent="0.2">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c r="AU323" s="82"/>
      <c r="AV323" s="82"/>
      <c r="AW323" s="82"/>
      <c r="AX323" s="82"/>
      <c r="AY323" s="82"/>
      <c r="AZ323" s="82"/>
      <c r="BA323" s="82"/>
    </row>
    <row r="324" spans="1:53" x14ac:dyDescent="0.2">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c r="AV324" s="82"/>
      <c r="AW324" s="82"/>
      <c r="AX324" s="82"/>
      <c r="AY324" s="82"/>
      <c r="AZ324" s="82"/>
      <c r="BA324" s="82"/>
    </row>
    <row r="325" spans="1:53" x14ac:dyDescent="0.2">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c r="AV325" s="82"/>
      <c r="AW325" s="82"/>
      <c r="AX325" s="82"/>
      <c r="AY325" s="82"/>
      <c r="AZ325" s="82"/>
      <c r="BA325" s="82"/>
    </row>
    <row r="326" spans="1:53" x14ac:dyDescent="0.2">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row>
    <row r="327" spans="1:53" x14ac:dyDescent="0.2">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c r="AU327" s="82"/>
      <c r="AV327" s="82"/>
      <c r="AW327" s="82"/>
      <c r="AX327" s="82"/>
      <c r="AY327" s="82"/>
      <c r="AZ327" s="82"/>
      <c r="BA327" s="82"/>
    </row>
    <row r="328" spans="1:53" x14ac:dyDescent="0.2">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c r="AV328" s="82"/>
      <c r="AW328" s="82"/>
      <c r="AX328" s="82"/>
      <c r="AY328" s="82"/>
      <c r="AZ328" s="82"/>
      <c r="BA328" s="82"/>
    </row>
    <row r="329" spans="1:53" x14ac:dyDescent="0.2">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c r="AU329" s="82"/>
      <c r="AV329" s="82"/>
      <c r="AW329" s="82"/>
      <c r="AX329" s="82"/>
      <c r="AY329" s="82"/>
      <c r="AZ329" s="82"/>
      <c r="BA329" s="82"/>
    </row>
    <row r="330" spans="1:53" x14ac:dyDescent="0.2">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c r="AV330" s="82"/>
      <c r="AW330" s="82"/>
      <c r="AX330" s="82"/>
      <c r="AY330" s="82"/>
      <c r="AZ330" s="82"/>
      <c r="BA330" s="82"/>
    </row>
    <row r="331" spans="1:53" x14ac:dyDescent="0.2">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c r="AV331" s="82"/>
      <c r="AW331" s="82"/>
      <c r="AX331" s="82"/>
      <c r="AY331" s="82"/>
      <c r="AZ331" s="82"/>
      <c r="BA331" s="82"/>
    </row>
    <row r="332" spans="1:53" x14ac:dyDescent="0.2">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c r="AV332" s="82"/>
      <c r="AW332" s="82"/>
      <c r="AX332" s="82"/>
      <c r="AY332" s="82"/>
      <c r="AZ332" s="82"/>
      <c r="BA332" s="82"/>
    </row>
    <row r="333" spans="1:53" x14ac:dyDescent="0.2">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c r="AU333" s="82"/>
      <c r="AV333" s="82"/>
      <c r="AW333" s="82"/>
      <c r="AX333" s="82"/>
      <c r="AY333" s="82"/>
      <c r="AZ333" s="82"/>
      <c r="BA333" s="82"/>
    </row>
    <row r="334" spans="1:53" x14ac:dyDescent="0.2">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c r="AP334" s="82"/>
      <c r="AQ334" s="82"/>
      <c r="AR334" s="82"/>
      <c r="AS334" s="82"/>
      <c r="AT334" s="82"/>
      <c r="AU334" s="82"/>
      <c r="AV334" s="82"/>
      <c r="AW334" s="82"/>
      <c r="AX334" s="82"/>
      <c r="AY334" s="82"/>
      <c r="AZ334" s="82"/>
      <c r="BA334" s="82"/>
    </row>
    <row r="335" spans="1:53" x14ac:dyDescent="0.2">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c r="AP335" s="82"/>
      <c r="AQ335" s="82"/>
      <c r="AR335" s="82"/>
      <c r="AS335" s="82"/>
      <c r="AT335" s="82"/>
      <c r="AU335" s="82"/>
      <c r="AV335" s="82"/>
      <c r="AW335" s="82"/>
      <c r="AX335" s="82"/>
      <c r="AY335" s="82"/>
      <c r="AZ335" s="82"/>
      <c r="BA335" s="82"/>
    </row>
    <row r="336" spans="1:53" x14ac:dyDescent="0.2">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c r="AU336" s="82"/>
      <c r="AV336" s="82"/>
      <c r="AW336" s="82"/>
      <c r="AX336" s="82"/>
      <c r="AY336" s="82"/>
      <c r="AZ336" s="82"/>
      <c r="BA336" s="82"/>
    </row>
    <row r="337" spans="1:53" x14ac:dyDescent="0.2">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c r="AU337" s="82"/>
      <c r="AV337" s="82"/>
      <c r="AW337" s="82"/>
      <c r="AX337" s="82"/>
      <c r="AY337" s="82"/>
      <c r="AZ337" s="82"/>
      <c r="BA337" s="82"/>
    </row>
    <row r="338" spans="1:53" x14ac:dyDescent="0.2">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c r="AU338" s="82"/>
      <c r="AV338" s="82"/>
      <c r="AW338" s="82"/>
      <c r="AX338" s="82"/>
      <c r="AY338" s="82"/>
      <c r="AZ338" s="82"/>
      <c r="BA338" s="82"/>
    </row>
    <row r="339" spans="1:53" x14ac:dyDescent="0.2">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c r="AU339" s="82"/>
      <c r="AV339" s="82"/>
      <c r="AW339" s="82"/>
      <c r="AX339" s="82"/>
      <c r="AY339" s="82"/>
      <c r="AZ339" s="82"/>
      <c r="BA339" s="82"/>
    </row>
    <row r="340" spans="1:53" x14ac:dyDescent="0.2">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c r="AU340" s="82"/>
      <c r="AV340" s="82"/>
      <c r="AW340" s="82"/>
      <c r="AX340" s="82"/>
      <c r="AY340" s="82"/>
      <c r="AZ340" s="82"/>
      <c r="BA340" s="82"/>
    </row>
    <row r="341" spans="1:53" x14ac:dyDescent="0.2">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c r="AU341" s="82"/>
      <c r="AV341" s="82"/>
      <c r="AW341" s="82"/>
      <c r="AX341" s="82"/>
      <c r="AY341" s="82"/>
      <c r="AZ341" s="82"/>
      <c r="BA341" s="82"/>
    </row>
    <row r="342" spans="1:53" x14ac:dyDescent="0.2">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c r="AP342" s="82"/>
      <c r="AQ342" s="82"/>
      <c r="AR342" s="82"/>
      <c r="AS342" s="82"/>
      <c r="AT342" s="82"/>
      <c r="AU342" s="82"/>
      <c r="AV342" s="82"/>
      <c r="AW342" s="82"/>
      <c r="AX342" s="82"/>
      <c r="AY342" s="82"/>
      <c r="AZ342" s="82"/>
      <c r="BA342" s="82"/>
    </row>
    <row r="343" spans="1:53" x14ac:dyDescent="0.2">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c r="AU343" s="82"/>
      <c r="AV343" s="82"/>
      <c r="AW343" s="82"/>
      <c r="AX343" s="82"/>
      <c r="AY343" s="82"/>
      <c r="AZ343" s="82"/>
      <c r="BA343" s="82"/>
    </row>
    <row r="344" spans="1:53" x14ac:dyDescent="0.2">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c r="AP344" s="82"/>
      <c r="AQ344" s="82"/>
      <c r="AR344" s="82"/>
      <c r="AS344" s="82"/>
      <c r="AT344" s="82"/>
      <c r="AU344" s="82"/>
      <c r="AV344" s="82"/>
      <c r="AW344" s="82"/>
      <c r="AX344" s="82"/>
      <c r="AY344" s="82"/>
      <c r="AZ344" s="82"/>
      <c r="BA344" s="82"/>
    </row>
    <row r="345" spans="1:53" x14ac:dyDescent="0.2">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c r="AP345" s="82"/>
      <c r="AQ345" s="82"/>
      <c r="AR345" s="82"/>
      <c r="AS345" s="82"/>
      <c r="AT345" s="82"/>
      <c r="AU345" s="82"/>
      <c r="AV345" s="82"/>
      <c r="AW345" s="82"/>
      <c r="AX345" s="82"/>
      <c r="AY345" s="82"/>
      <c r="AZ345" s="82"/>
      <c r="BA345" s="82"/>
    </row>
    <row r="346" spans="1:53" x14ac:dyDescent="0.2">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c r="AU346" s="82"/>
      <c r="AV346" s="82"/>
      <c r="AW346" s="82"/>
      <c r="AX346" s="82"/>
      <c r="AY346" s="82"/>
      <c r="AZ346" s="82"/>
      <c r="BA346" s="82"/>
    </row>
    <row r="347" spans="1:53" x14ac:dyDescent="0.2">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c r="AU347" s="82"/>
      <c r="AV347" s="82"/>
      <c r="AW347" s="82"/>
      <c r="AX347" s="82"/>
      <c r="AY347" s="82"/>
      <c r="AZ347" s="82"/>
      <c r="BA347" s="82"/>
    </row>
    <row r="348" spans="1:53" x14ac:dyDescent="0.2">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c r="AP348" s="82"/>
      <c r="AQ348" s="82"/>
      <c r="AR348" s="82"/>
      <c r="AS348" s="82"/>
      <c r="AT348" s="82"/>
      <c r="AU348" s="82"/>
      <c r="AV348" s="82"/>
      <c r="AW348" s="82"/>
      <c r="AX348" s="82"/>
      <c r="AY348" s="82"/>
      <c r="AZ348" s="82"/>
      <c r="BA348" s="82"/>
    </row>
    <row r="349" spans="1:53" x14ac:dyDescent="0.2">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c r="AU349" s="82"/>
      <c r="AV349" s="82"/>
      <c r="AW349" s="82"/>
      <c r="AX349" s="82"/>
      <c r="AY349" s="82"/>
      <c r="AZ349" s="82"/>
      <c r="BA349" s="82"/>
    </row>
    <row r="350" spans="1:53" x14ac:dyDescent="0.2">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c r="AP350" s="82"/>
      <c r="AQ350" s="82"/>
      <c r="AR350" s="82"/>
      <c r="AS350" s="82"/>
      <c r="AT350" s="82"/>
      <c r="AU350" s="82"/>
      <c r="AV350" s="82"/>
      <c r="AW350" s="82"/>
      <c r="AX350" s="82"/>
      <c r="AY350" s="82"/>
      <c r="AZ350" s="82"/>
      <c r="BA350" s="82"/>
    </row>
    <row r="351" spans="1:53" x14ac:dyDescent="0.2">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c r="AU351" s="82"/>
      <c r="AV351" s="82"/>
      <c r="AW351" s="82"/>
      <c r="AX351" s="82"/>
      <c r="AY351" s="82"/>
      <c r="AZ351" s="82"/>
      <c r="BA351" s="82"/>
    </row>
    <row r="352" spans="1:53" x14ac:dyDescent="0.2">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c r="AU352" s="82"/>
      <c r="AV352" s="82"/>
      <c r="AW352" s="82"/>
      <c r="AX352" s="82"/>
      <c r="AY352" s="82"/>
      <c r="AZ352" s="82"/>
      <c r="BA352" s="82"/>
    </row>
    <row r="353" spans="1:53" x14ac:dyDescent="0.2">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c r="AP353" s="82"/>
      <c r="AQ353" s="82"/>
      <c r="AR353" s="82"/>
      <c r="AS353" s="82"/>
      <c r="AT353" s="82"/>
      <c r="AU353" s="82"/>
      <c r="AV353" s="82"/>
      <c r="AW353" s="82"/>
      <c r="AX353" s="82"/>
      <c r="AY353" s="82"/>
      <c r="AZ353" s="82"/>
      <c r="BA353" s="82"/>
    </row>
    <row r="354" spans="1:53" x14ac:dyDescent="0.2">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c r="AU354" s="82"/>
      <c r="AV354" s="82"/>
      <c r="AW354" s="82"/>
      <c r="AX354" s="82"/>
      <c r="AY354" s="82"/>
      <c r="AZ354" s="82"/>
      <c r="BA354" s="82"/>
    </row>
    <row r="355" spans="1:53" x14ac:dyDescent="0.2">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c r="AU355" s="82"/>
      <c r="AV355" s="82"/>
      <c r="AW355" s="82"/>
      <c r="AX355" s="82"/>
      <c r="AY355" s="82"/>
      <c r="AZ355" s="82"/>
      <c r="BA355" s="82"/>
    </row>
    <row r="356" spans="1:53" x14ac:dyDescent="0.2">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c r="AU356" s="82"/>
      <c r="AV356" s="82"/>
      <c r="AW356" s="82"/>
      <c r="AX356" s="82"/>
      <c r="AY356" s="82"/>
      <c r="AZ356" s="82"/>
      <c r="BA356" s="82"/>
    </row>
    <row r="357" spans="1:53" x14ac:dyDescent="0.2">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c r="AW357" s="82"/>
      <c r="AX357" s="82"/>
      <c r="AY357" s="82"/>
      <c r="AZ357" s="82"/>
      <c r="BA357" s="82"/>
    </row>
    <row r="358" spans="1:53" x14ac:dyDescent="0.2">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c r="AP358" s="82"/>
      <c r="AQ358" s="82"/>
      <c r="AR358" s="82"/>
      <c r="AS358" s="82"/>
      <c r="AT358" s="82"/>
      <c r="AU358" s="82"/>
      <c r="AV358" s="82"/>
      <c r="AW358" s="82"/>
      <c r="AX358" s="82"/>
      <c r="AY358" s="82"/>
      <c r="AZ358" s="82"/>
      <c r="BA358" s="82"/>
    </row>
    <row r="359" spans="1:53" x14ac:dyDescent="0.2">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c r="AU359" s="82"/>
      <c r="AV359" s="82"/>
      <c r="AW359" s="82"/>
      <c r="AX359" s="82"/>
      <c r="AY359" s="82"/>
      <c r="AZ359" s="82"/>
      <c r="BA359" s="82"/>
    </row>
    <row r="360" spans="1:53" x14ac:dyDescent="0.2">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c r="AU360" s="82"/>
      <c r="AV360" s="82"/>
      <c r="AW360" s="82"/>
      <c r="AX360" s="82"/>
      <c r="AY360" s="82"/>
      <c r="AZ360" s="82"/>
      <c r="BA360" s="82"/>
    </row>
    <row r="361" spans="1:53" x14ac:dyDescent="0.2">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c r="AP361" s="82"/>
      <c r="AQ361" s="82"/>
      <c r="AR361" s="82"/>
      <c r="AS361" s="82"/>
      <c r="AT361" s="82"/>
      <c r="AU361" s="82"/>
      <c r="AV361" s="82"/>
      <c r="AW361" s="82"/>
      <c r="AX361" s="82"/>
      <c r="AY361" s="82"/>
      <c r="AZ361" s="82"/>
      <c r="BA361" s="82"/>
    </row>
    <row r="362" spans="1:53" x14ac:dyDescent="0.2">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c r="AU362" s="82"/>
      <c r="AV362" s="82"/>
      <c r="AW362" s="82"/>
      <c r="AX362" s="82"/>
      <c r="AY362" s="82"/>
      <c r="AZ362" s="82"/>
      <c r="BA362" s="82"/>
    </row>
    <row r="363" spans="1:53" x14ac:dyDescent="0.2">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c r="AP363" s="82"/>
      <c r="AQ363" s="82"/>
      <c r="AR363" s="82"/>
      <c r="AS363" s="82"/>
      <c r="AT363" s="82"/>
      <c r="AU363" s="82"/>
      <c r="AV363" s="82"/>
      <c r="AW363" s="82"/>
      <c r="AX363" s="82"/>
      <c r="AY363" s="82"/>
      <c r="AZ363" s="82"/>
      <c r="BA363" s="82"/>
    </row>
    <row r="364" spans="1:53" x14ac:dyDescent="0.2">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c r="AU364" s="82"/>
      <c r="AV364" s="82"/>
      <c r="AW364" s="82"/>
      <c r="AX364" s="82"/>
      <c r="AY364" s="82"/>
      <c r="AZ364" s="82"/>
      <c r="BA364" s="82"/>
    </row>
    <row r="365" spans="1:53" x14ac:dyDescent="0.2">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c r="AP365" s="82"/>
      <c r="AQ365" s="82"/>
      <c r="AR365" s="82"/>
      <c r="AS365" s="82"/>
      <c r="AT365" s="82"/>
      <c r="AU365" s="82"/>
      <c r="AV365" s="82"/>
      <c r="AW365" s="82"/>
      <c r="AX365" s="82"/>
      <c r="AY365" s="82"/>
      <c r="AZ365" s="82"/>
      <c r="BA365" s="82"/>
    </row>
    <row r="366" spans="1:53" x14ac:dyDescent="0.2">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c r="AU366" s="82"/>
      <c r="AV366" s="82"/>
      <c r="AW366" s="82"/>
      <c r="AX366" s="82"/>
      <c r="AY366" s="82"/>
      <c r="AZ366" s="82"/>
      <c r="BA366" s="82"/>
    </row>
    <row r="367" spans="1:53" x14ac:dyDescent="0.2">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c r="AP367" s="82"/>
      <c r="AQ367" s="82"/>
      <c r="AR367" s="82"/>
      <c r="AS367" s="82"/>
      <c r="AT367" s="82"/>
      <c r="AU367" s="82"/>
      <c r="AV367" s="82"/>
      <c r="AW367" s="82"/>
      <c r="AX367" s="82"/>
      <c r="AY367" s="82"/>
      <c r="AZ367" s="82"/>
      <c r="BA367" s="82"/>
    </row>
    <row r="368" spans="1:53" x14ac:dyDescent="0.2">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c r="AP368" s="82"/>
      <c r="AQ368" s="82"/>
      <c r="AR368" s="82"/>
      <c r="AS368" s="82"/>
      <c r="AT368" s="82"/>
      <c r="AU368" s="82"/>
      <c r="AV368" s="82"/>
      <c r="AW368" s="82"/>
      <c r="AX368" s="82"/>
      <c r="AY368" s="82"/>
      <c r="AZ368" s="82"/>
      <c r="BA368" s="82"/>
    </row>
    <row r="369" spans="1:53" x14ac:dyDescent="0.2">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c r="AU369" s="82"/>
      <c r="AV369" s="82"/>
      <c r="AW369" s="82"/>
      <c r="AX369" s="82"/>
      <c r="AY369" s="82"/>
      <c r="AZ369" s="82"/>
      <c r="BA369" s="82"/>
    </row>
    <row r="370" spans="1:53" x14ac:dyDescent="0.2">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c r="AU370" s="82"/>
      <c r="AV370" s="82"/>
      <c r="AW370" s="82"/>
      <c r="AX370" s="82"/>
      <c r="AY370" s="82"/>
      <c r="AZ370" s="82"/>
      <c r="BA370" s="82"/>
    </row>
    <row r="371" spans="1:53" x14ac:dyDescent="0.2">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c r="AW371" s="82"/>
      <c r="AX371" s="82"/>
      <c r="AY371" s="82"/>
      <c r="AZ371" s="82"/>
      <c r="BA371" s="82"/>
    </row>
    <row r="372" spans="1:53" x14ac:dyDescent="0.2">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c r="AP372" s="82"/>
      <c r="AQ372" s="82"/>
      <c r="AR372" s="82"/>
      <c r="AS372" s="82"/>
      <c r="AT372" s="82"/>
      <c r="AU372" s="82"/>
      <c r="AV372" s="82"/>
      <c r="AW372" s="82"/>
      <c r="AX372" s="82"/>
      <c r="AY372" s="82"/>
      <c r="AZ372" s="82"/>
      <c r="BA372" s="82"/>
    </row>
    <row r="373" spans="1:53" x14ac:dyDescent="0.2">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c r="AU373" s="82"/>
      <c r="AV373" s="82"/>
      <c r="AW373" s="82"/>
      <c r="AX373" s="82"/>
      <c r="AY373" s="82"/>
      <c r="AZ373" s="82"/>
      <c r="BA373" s="82"/>
    </row>
    <row r="374" spans="1:53" x14ac:dyDescent="0.2">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c r="AW374" s="82"/>
      <c r="AX374" s="82"/>
      <c r="AY374" s="82"/>
      <c r="AZ374" s="82"/>
      <c r="BA374" s="82"/>
    </row>
    <row r="375" spans="1:53" x14ac:dyDescent="0.2">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c r="AW375" s="82"/>
      <c r="AX375" s="82"/>
      <c r="AY375" s="82"/>
      <c r="AZ375" s="82"/>
      <c r="BA375" s="82"/>
    </row>
    <row r="376" spans="1:53" x14ac:dyDescent="0.2">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82"/>
      <c r="AV376" s="82"/>
      <c r="AW376" s="82"/>
      <c r="AX376" s="82"/>
      <c r="AY376" s="82"/>
      <c r="AZ376" s="82"/>
      <c r="BA376" s="82"/>
    </row>
    <row r="377" spans="1:53" x14ac:dyDescent="0.2">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82"/>
      <c r="AV377" s="82"/>
      <c r="AW377" s="82"/>
      <c r="AX377" s="82"/>
      <c r="AY377" s="82"/>
      <c r="AZ377" s="82"/>
      <c r="BA377" s="82"/>
    </row>
    <row r="378" spans="1:53" x14ac:dyDescent="0.2">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c r="AP378" s="82"/>
      <c r="AQ378" s="82"/>
      <c r="AR378" s="82"/>
      <c r="AS378" s="82"/>
      <c r="AT378" s="82"/>
      <c r="AU378" s="82"/>
      <c r="AV378" s="82"/>
      <c r="AW378" s="82"/>
      <c r="AX378" s="82"/>
      <c r="AY378" s="82"/>
      <c r="AZ378" s="82"/>
      <c r="BA378" s="82"/>
    </row>
    <row r="379" spans="1:53" x14ac:dyDescent="0.2">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c r="AU379" s="82"/>
      <c r="AV379" s="82"/>
      <c r="AW379" s="82"/>
      <c r="AX379" s="82"/>
      <c r="AY379" s="82"/>
      <c r="AZ379" s="82"/>
      <c r="BA379" s="82"/>
    </row>
    <row r="380" spans="1:53" x14ac:dyDescent="0.2">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c r="AU380" s="82"/>
      <c r="AV380" s="82"/>
      <c r="AW380" s="82"/>
      <c r="AX380" s="82"/>
      <c r="AY380" s="82"/>
      <c r="AZ380" s="82"/>
      <c r="BA380" s="82"/>
    </row>
    <row r="381" spans="1:53" x14ac:dyDescent="0.2">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c r="AU381" s="82"/>
      <c r="AV381" s="82"/>
      <c r="AW381" s="82"/>
      <c r="AX381" s="82"/>
      <c r="AY381" s="82"/>
      <c r="AZ381" s="82"/>
      <c r="BA381" s="82"/>
    </row>
    <row r="382" spans="1:53" x14ac:dyDescent="0.2">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c r="AU382" s="82"/>
      <c r="AV382" s="82"/>
      <c r="AW382" s="82"/>
      <c r="AX382" s="82"/>
      <c r="AY382" s="82"/>
      <c r="AZ382" s="82"/>
      <c r="BA382" s="82"/>
    </row>
    <row r="383" spans="1:53" x14ac:dyDescent="0.2">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82"/>
      <c r="AV383" s="82"/>
      <c r="AW383" s="82"/>
      <c r="AX383" s="82"/>
      <c r="AY383" s="82"/>
      <c r="AZ383" s="82"/>
      <c r="BA383" s="82"/>
    </row>
    <row r="384" spans="1:53" x14ac:dyDescent="0.2">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c r="AU384" s="82"/>
      <c r="AV384" s="82"/>
      <c r="AW384" s="82"/>
      <c r="AX384" s="82"/>
      <c r="AY384" s="82"/>
      <c r="AZ384" s="82"/>
      <c r="BA384" s="82"/>
    </row>
    <row r="385" spans="1:53" x14ac:dyDescent="0.2">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c r="AU385" s="82"/>
      <c r="AV385" s="82"/>
      <c r="AW385" s="82"/>
      <c r="AX385" s="82"/>
      <c r="AY385" s="82"/>
      <c r="AZ385" s="82"/>
      <c r="BA385" s="82"/>
    </row>
    <row r="386" spans="1:53" x14ac:dyDescent="0.2">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82"/>
      <c r="AV386" s="82"/>
      <c r="AW386" s="82"/>
      <c r="AX386" s="82"/>
      <c r="AY386" s="82"/>
      <c r="AZ386" s="82"/>
      <c r="BA386" s="82"/>
    </row>
    <row r="387" spans="1:53" x14ac:dyDescent="0.2">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82"/>
      <c r="AV387" s="82"/>
      <c r="AW387" s="82"/>
      <c r="AX387" s="82"/>
      <c r="AY387" s="82"/>
      <c r="AZ387" s="82"/>
      <c r="BA387" s="82"/>
    </row>
    <row r="388" spans="1:53" x14ac:dyDescent="0.2">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c r="AU388" s="82"/>
      <c r="AV388" s="82"/>
      <c r="AW388" s="82"/>
      <c r="AX388" s="82"/>
      <c r="AY388" s="82"/>
      <c r="AZ388" s="82"/>
      <c r="BA388" s="82"/>
    </row>
    <row r="389" spans="1:53" x14ac:dyDescent="0.2">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c r="AU389" s="82"/>
      <c r="AV389" s="82"/>
      <c r="AW389" s="82"/>
      <c r="AX389" s="82"/>
      <c r="AY389" s="82"/>
      <c r="AZ389" s="82"/>
      <c r="BA389" s="82"/>
    </row>
    <row r="390" spans="1:53" x14ac:dyDescent="0.2">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c r="AP390" s="82"/>
      <c r="AQ390" s="82"/>
      <c r="AR390" s="82"/>
      <c r="AS390" s="82"/>
      <c r="AT390" s="82"/>
      <c r="AU390" s="82"/>
      <c r="AV390" s="82"/>
      <c r="AW390" s="82"/>
      <c r="AX390" s="82"/>
      <c r="AY390" s="82"/>
      <c r="AZ390" s="82"/>
      <c r="BA390" s="82"/>
    </row>
    <row r="391" spans="1:53" x14ac:dyDescent="0.2">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c r="AU391" s="82"/>
      <c r="AV391" s="82"/>
      <c r="AW391" s="82"/>
      <c r="AX391" s="82"/>
      <c r="AY391" s="82"/>
      <c r="AZ391" s="82"/>
      <c r="BA391" s="82"/>
    </row>
    <row r="392" spans="1:53" x14ac:dyDescent="0.2">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c r="AP392" s="82"/>
      <c r="AQ392" s="82"/>
      <c r="AR392" s="82"/>
      <c r="AS392" s="82"/>
      <c r="AT392" s="82"/>
      <c r="AU392" s="82"/>
      <c r="AV392" s="82"/>
      <c r="AW392" s="82"/>
      <c r="AX392" s="82"/>
      <c r="AY392" s="82"/>
      <c r="AZ392" s="82"/>
      <c r="BA392" s="82"/>
    </row>
    <row r="393" spans="1:53" x14ac:dyDescent="0.2">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c r="AU393" s="82"/>
      <c r="AV393" s="82"/>
      <c r="AW393" s="82"/>
      <c r="AX393" s="82"/>
      <c r="AY393" s="82"/>
      <c r="AZ393" s="82"/>
      <c r="BA393" s="82"/>
    </row>
    <row r="394" spans="1:53" x14ac:dyDescent="0.2">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c r="AU394" s="82"/>
      <c r="AV394" s="82"/>
      <c r="AW394" s="82"/>
      <c r="AX394" s="82"/>
      <c r="AY394" s="82"/>
      <c r="AZ394" s="82"/>
      <c r="BA394" s="82"/>
    </row>
    <row r="395" spans="1:53" x14ac:dyDescent="0.2">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c r="AU395" s="82"/>
      <c r="AV395" s="82"/>
      <c r="AW395" s="82"/>
      <c r="AX395" s="82"/>
      <c r="AY395" s="82"/>
      <c r="AZ395" s="82"/>
      <c r="BA395" s="82"/>
    </row>
    <row r="396" spans="1:53" x14ac:dyDescent="0.2">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c r="AU396" s="82"/>
      <c r="AV396" s="82"/>
      <c r="AW396" s="82"/>
      <c r="AX396" s="82"/>
      <c r="AY396" s="82"/>
      <c r="AZ396" s="82"/>
      <c r="BA396" s="82"/>
    </row>
    <row r="397" spans="1:53" x14ac:dyDescent="0.2">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c r="AU397" s="82"/>
      <c r="AV397" s="82"/>
      <c r="AW397" s="82"/>
      <c r="AX397" s="82"/>
      <c r="AY397" s="82"/>
      <c r="AZ397" s="82"/>
      <c r="BA397" s="82"/>
    </row>
    <row r="398" spans="1:53" x14ac:dyDescent="0.2">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c r="AP398" s="82"/>
      <c r="AQ398" s="82"/>
      <c r="AR398" s="82"/>
      <c r="AS398" s="82"/>
      <c r="AT398" s="82"/>
      <c r="AU398" s="82"/>
      <c r="AV398" s="82"/>
      <c r="AW398" s="82"/>
      <c r="AX398" s="82"/>
      <c r="AY398" s="82"/>
      <c r="AZ398" s="82"/>
      <c r="BA398" s="82"/>
    </row>
    <row r="399" spans="1:53" x14ac:dyDescent="0.2">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c r="AP399" s="82"/>
      <c r="AQ399" s="82"/>
      <c r="AR399" s="82"/>
      <c r="AS399" s="82"/>
      <c r="AT399" s="82"/>
      <c r="AU399" s="82"/>
      <c r="AV399" s="82"/>
      <c r="AW399" s="82"/>
      <c r="AX399" s="82"/>
      <c r="AY399" s="82"/>
      <c r="AZ399" s="82"/>
      <c r="BA399" s="82"/>
    </row>
    <row r="400" spans="1:53" x14ac:dyDescent="0.2">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c r="AP400" s="82"/>
      <c r="AQ400" s="82"/>
      <c r="AR400" s="82"/>
      <c r="AS400" s="82"/>
      <c r="AT400" s="82"/>
      <c r="AU400" s="82"/>
      <c r="AV400" s="82"/>
      <c r="AW400" s="82"/>
      <c r="AX400" s="82"/>
      <c r="AY400" s="82"/>
      <c r="AZ400" s="82"/>
      <c r="BA400" s="82"/>
    </row>
    <row r="401" spans="1:53" x14ac:dyDescent="0.2">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c r="AP401" s="82"/>
      <c r="AQ401" s="82"/>
      <c r="AR401" s="82"/>
      <c r="AS401" s="82"/>
      <c r="AT401" s="82"/>
      <c r="AU401" s="82"/>
      <c r="AV401" s="82"/>
      <c r="AW401" s="82"/>
      <c r="AX401" s="82"/>
      <c r="AY401" s="82"/>
      <c r="AZ401" s="82"/>
      <c r="BA401" s="82"/>
    </row>
    <row r="402" spans="1:53" x14ac:dyDescent="0.2">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c r="AP402" s="82"/>
      <c r="AQ402" s="82"/>
      <c r="AR402" s="82"/>
      <c r="AS402" s="82"/>
      <c r="AT402" s="82"/>
      <c r="AU402" s="82"/>
      <c r="AV402" s="82"/>
      <c r="AW402" s="82"/>
      <c r="AX402" s="82"/>
      <c r="AY402" s="82"/>
      <c r="AZ402" s="82"/>
      <c r="BA402" s="82"/>
    </row>
    <row r="403" spans="1:53" x14ac:dyDescent="0.2">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c r="AP403" s="82"/>
      <c r="AQ403" s="82"/>
      <c r="AR403" s="82"/>
      <c r="AS403" s="82"/>
      <c r="AT403" s="82"/>
      <c r="AU403" s="82"/>
      <c r="AV403" s="82"/>
      <c r="AW403" s="82"/>
      <c r="AX403" s="82"/>
      <c r="AY403" s="82"/>
      <c r="AZ403" s="82"/>
      <c r="BA403" s="82"/>
    </row>
    <row r="404" spans="1:53" x14ac:dyDescent="0.2">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c r="AP404" s="82"/>
      <c r="AQ404" s="82"/>
      <c r="AR404" s="82"/>
      <c r="AS404" s="82"/>
      <c r="AT404" s="82"/>
      <c r="AU404" s="82"/>
      <c r="AV404" s="82"/>
      <c r="AW404" s="82"/>
      <c r="AX404" s="82"/>
      <c r="AY404" s="82"/>
      <c r="AZ404" s="82"/>
      <c r="BA404" s="82"/>
    </row>
    <row r="405" spans="1:53" x14ac:dyDescent="0.2">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c r="AU405" s="82"/>
      <c r="AV405" s="82"/>
      <c r="AW405" s="82"/>
      <c r="AX405" s="82"/>
      <c r="AY405" s="82"/>
      <c r="AZ405" s="82"/>
      <c r="BA405" s="82"/>
    </row>
    <row r="406" spans="1:53" x14ac:dyDescent="0.2">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c r="AU406" s="82"/>
      <c r="AV406" s="82"/>
      <c r="AW406" s="82"/>
      <c r="AX406" s="82"/>
      <c r="AY406" s="82"/>
      <c r="AZ406" s="82"/>
      <c r="BA406" s="82"/>
    </row>
    <row r="407" spans="1:53" x14ac:dyDescent="0.2">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c r="AP407" s="82"/>
      <c r="AQ407" s="82"/>
      <c r="AR407" s="82"/>
      <c r="AS407" s="82"/>
      <c r="AT407" s="82"/>
      <c r="AU407" s="82"/>
      <c r="AV407" s="82"/>
      <c r="AW407" s="82"/>
      <c r="AX407" s="82"/>
      <c r="AY407" s="82"/>
      <c r="AZ407" s="82"/>
      <c r="BA407" s="82"/>
    </row>
    <row r="408" spans="1:53" x14ac:dyDescent="0.2">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c r="AP408" s="82"/>
      <c r="AQ408" s="82"/>
      <c r="AR408" s="82"/>
      <c r="AS408" s="82"/>
      <c r="AT408" s="82"/>
      <c r="AU408" s="82"/>
      <c r="AV408" s="82"/>
      <c r="AW408" s="82"/>
      <c r="AX408" s="82"/>
      <c r="AY408" s="82"/>
      <c r="AZ408" s="82"/>
      <c r="BA408" s="82"/>
    </row>
    <row r="409" spans="1:53" x14ac:dyDescent="0.2">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c r="AU409" s="82"/>
      <c r="AV409" s="82"/>
      <c r="AW409" s="82"/>
      <c r="AX409" s="82"/>
      <c r="AY409" s="82"/>
      <c r="AZ409" s="82"/>
      <c r="BA409" s="82"/>
    </row>
    <row r="410" spans="1:53" x14ac:dyDescent="0.2">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c r="AU410" s="82"/>
      <c r="AV410" s="82"/>
      <c r="AW410" s="82"/>
      <c r="AX410" s="82"/>
      <c r="AY410" s="82"/>
      <c r="AZ410" s="82"/>
      <c r="BA410" s="82"/>
    </row>
    <row r="411" spans="1:53" x14ac:dyDescent="0.2">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c r="AU411" s="82"/>
      <c r="AV411" s="82"/>
      <c r="AW411" s="82"/>
      <c r="AX411" s="82"/>
      <c r="AY411" s="82"/>
      <c r="AZ411" s="82"/>
      <c r="BA411" s="82"/>
    </row>
    <row r="412" spans="1:53" x14ac:dyDescent="0.2">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c r="AU412" s="82"/>
      <c r="AV412" s="82"/>
      <c r="AW412" s="82"/>
      <c r="AX412" s="82"/>
      <c r="AY412" s="82"/>
      <c r="AZ412" s="82"/>
      <c r="BA412" s="82"/>
    </row>
    <row r="413" spans="1:53" x14ac:dyDescent="0.2">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c r="AP413" s="82"/>
      <c r="AQ413" s="82"/>
      <c r="AR413" s="82"/>
      <c r="AS413" s="82"/>
      <c r="AT413" s="82"/>
      <c r="AU413" s="82"/>
      <c r="AV413" s="82"/>
      <c r="AW413" s="82"/>
      <c r="AX413" s="82"/>
      <c r="AY413" s="82"/>
      <c r="AZ413" s="82"/>
      <c r="BA413" s="82"/>
    </row>
    <row r="414" spans="1:53" x14ac:dyDescent="0.2">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c r="AP414" s="82"/>
      <c r="AQ414" s="82"/>
      <c r="AR414" s="82"/>
      <c r="AS414" s="82"/>
      <c r="AT414" s="82"/>
      <c r="AU414" s="82"/>
      <c r="AV414" s="82"/>
      <c r="AW414" s="82"/>
      <c r="AX414" s="82"/>
      <c r="AY414" s="82"/>
      <c r="AZ414" s="82"/>
      <c r="BA414" s="82"/>
    </row>
    <row r="415" spans="1:53" x14ac:dyDescent="0.2">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c r="AS415" s="82"/>
      <c r="AT415" s="82"/>
      <c r="AU415" s="82"/>
      <c r="AV415" s="82"/>
      <c r="AW415" s="82"/>
      <c r="AX415" s="82"/>
      <c r="AY415" s="82"/>
      <c r="AZ415" s="82"/>
      <c r="BA415" s="82"/>
    </row>
    <row r="416" spans="1:53" x14ac:dyDescent="0.2">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c r="AS416" s="82"/>
      <c r="AT416" s="82"/>
      <c r="AU416" s="82"/>
      <c r="AV416" s="82"/>
      <c r="AW416" s="82"/>
      <c r="AX416" s="82"/>
      <c r="AY416" s="82"/>
      <c r="AZ416" s="82"/>
      <c r="BA416" s="82"/>
    </row>
    <row r="417" spans="1:53" x14ac:dyDescent="0.2">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c r="AP417" s="82"/>
      <c r="AQ417" s="82"/>
      <c r="AR417" s="82"/>
      <c r="AS417" s="82"/>
      <c r="AT417" s="82"/>
      <c r="AU417" s="82"/>
      <c r="AV417" s="82"/>
      <c r="AW417" s="82"/>
      <c r="AX417" s="82"/>
      <c r="AY417" s="82"/>
      <c r="AZ417" s="82"/>
      <c r="BA417" s="82"/>
    </row>
    <row r="418" spans="1:53" x14ac:dyDescent="0.2">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c r="AU418" s="82"/>
      <c r="AV418" s="82"/>
      <c r="AW418" s="82"/>
      <c r="AX418" s="82"/>
      <c r="AY418" s="82"/>
      <c r="AZ418" s="82"/>
      <c r="BA418" s="82"/>
    </row>
    <row r="419" spans="1:53" x14ac:dyDescent="0.2">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c r="AU419" s="82"/>
      <c r="AV419" s="82"/>
      <c r="AW419" s="82"/>
      <c r="AX419" s="82"/>
      <c r="AY419" s="82"/>
      <c r="AZ419" s="82"/>
      <c r="BA419" s="82"/>
    </row>
    <row r="420" spans="1:53" x14ac:dyDescent="0.2">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c r="AP420" s="82"/>
      <c r="AQ420" s="82"/>
      <c r="AR420" s="82"/>
      <c r="AS420" s="82"/>
      <c r="AT420" s="82"/>
      <c r="AU420" s="82"/>
      <c r="AV420" s="82"/>
      <c r="AW420" s="82"/>
      <c r="AX420" s="82"/>
      <c r="AY420" s="82"/>
      <c r="AZ420" s="82"/>
      <c r="BA420" s="82"/>
    </row>
    <row r="421" spans="1:53" x14ac:dyDescent="0.2">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c r="AP421" s="82"/>
      <c r="AQ421" s="82"/>
      <c r="AR421" s="82"/>
      <c r="AS421" s="82"/>
      <c r="AT421" s="82"/>
      <c r="AU421" s="82"/>
      <c r="AV421" s="82"/>
      <c r="AW421" s="82"/>
      <c r="AX421" s="82"/>
      <c r="AY421" s="82"/>
      <c r="AZ421" s="82"/>
      <c r="BA421" s="82"/>
    </row>
    <row r="422" spans="1:53" x14ac:dyDescent="0.2">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c r="AU422" s="82"/>
      <c r="AV422" s="82"/>
      <c r="AW422" s="82"/>
      <c r="AX422" s="82"/>
      <c r="AY422" s="82"/>
      <c r="AZ422" s="82"/>
      <c r="BA422" s="82"/>
    </row>
    <row r="423" spans="1:53" x14ac:dyDescent="0.2">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c r="AP423" s="82"/>
      <c r="AQ423" s="82"/>
      <c r="AR423" s="82"/>
      <c r="AS423" s="82"/>
      <c r="AT423" s="82"/>
      <c r="AU423" s="82"/>
      <c r="AV423" s="82"/>
      <c r="AW423" s="82"/>
      <c r="AX423" s="82"/>
      <c r="AY423" s="82"/>
      <c r="AZ423" s="82"/>
      <c r="BA423" s="82"/>
    </row>
    <row r="424" spans="1:53" x14ac:dyDescent="0.2">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c r="AU424" s="82"/>
      <c r="AV424" s="82"/>
      <c r="AW424" s="82"/>
      <c r="AX424" s="82"/>
      <c r="AY424" s="82"/>
      <c r="AZ424" s="82"/>
      <c r="BA424" s="82"/>
    </row>
    <row r="425" spans="1:53" x14ac:dyDescent="0.2">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c r="AP425" s="82"/>
      <c r="AQ425" s="82"/>
      <c r="AR425" s="82"/>
      <c r="AS425" s="82"/>
      <c r="AT425" s="82"/>
      <c r="AU425" s="82"/>
      <c r="AV425" s="82"/>
      <c r="AW425" s="82"/>
      <c r="AX425" s="82"/>
      <c r="AY425" s="82"/>
      <c r="AZ425" s="82"/>
      <c r="BA425" s="82"/>
    </row>
    <row r="426" spans="1:53" x14ac:dyDescent="0.2">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c r="AP426" s="82"/>
      <c r="AQ426" s="82"/>
      <c r="AR426" s="82"/>
      <c r="AS426" s="82"/>
      <c r="AT426" s="82"/>
      <c r="AU426" s="82"/>
      <c r="AV426" s="82"/>
      <c r="AW426" s="82"/>
      <c r="AX426" s="82"/>
      <c r="AY426" s="82"/>
      <c r="AZ426" s="82"/>
      <c r="BA426" s="82"/>
    </row>
    <row r="427" spans="1:53" x14ac:dyDescent="0.2">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c r="AP427" s="82"/>
      <c r="AQ427" s="82"/>
      <c r="AR427" s="82"/>
      <c r="AS427" s="82"/>
      <c r="AT427" s="82"/>
      <c r="AU427" s="82"/>
      <c r="AV427" s="82"/>
      <c r="AW427" s="82"/>
      <c r="AX427" s="82"/>
      <c r="AY427" s="82"/>
      <c r="AZ427" s="82"/>
      <c r="BA427" s="82"/>
    </row>
    <row r="428" spans="1:53" x14ac:dyDescent="0.2">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c r="AS428" s="82"/>
      <c r="AT428" s="82"/>
      <c r="AU428" s="82"/>
      <c r="AV428" s="82"/>
      <c r="AW428" s="82"/>
      <c r="AX428" s="82"/>
      <c r="AY428" s="82"/>
      <c r="AZ428" s="82"/>
      <c r="BA428" s="82"/>
    </row>
    <row r="429" spans="1:53" x14ac:dyDescent="0.2">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c r="AU429" s="82"/>
      <c r="AV429" s="82"/>
      <c r="AW429" s="82"/>
      <c r="AX429" s="82"/>
      <c r="AY429" s="82"/>
      <c r="AZ429" s="82"/>
      <c r="BA429" s="82"/>
    </row>
    <row r="430" spans="1:53" x14ac:dyDescent="0.2">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c r="AU430" s="82"/>
      <c r="AV430" s="82"/>
      <c r="AW430" s="82"/>
      <c r="AX430" s="82"/>
      <c r="AY430" s="82"/>
      <c r="AZ430" s="82"/>
      <c r="BA430" s="82"/>
    </row>
    <row r="431" spans="1:53" x14ac:dyDescent="0.2">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c r="AU431" s="82"/>
      <c r="AV431" s="82"/>
      <c r="AW431" s="82"/>
      <c r="AX431" s="82"/>
      <c r="AY431" s="82"/>
      <c r="AZ431" s="82"/>
      <c r="BA431" s="82"/>
    </row>
    <row r="432" spans="1:53" x14ac:dyDescent="0.2">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c r="AU432" s="82"/>
      <c r="AV432" s="82"/>
      <c r="AW432" s="82"/>
      <c r="AX432" s="82"/>
      <c r="AY432" s="82"/>
      <c r="AZ432" s="82"/>
      <c r="BA432" s="82"/>
    </row>
    <row r="433" spans="1:53" x14ac:dyDescent="0.2">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c r="AP433" s="82"/>
      <c r="AQ433" s="82"/>
      <c r="AR433" s="82"/>
      <c r="AS433" s="82"/>
      <c r="AT433" s="82"/>
      <c r="AU433" s="82"/>
      <c r="AV433" s="82"/>
      <c r="AW433" s="82"/>
      <c r="AX433" s="82"/>
      <c r="AY433" s="82"/>
      <c r="AZ433" s="82"/>
      <c r="BA433" s="82"/>
    </row>
    <row r="434" spans="1:53" x14ac:dyDescent="0.2">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c r="AP434" s="82"/>
      <c r="AQ434" s="82"/>
      <c r="AR434" s="82"/>
      <c r="AS434" s="82"/>
      <c r="AT434" s="82"/>
      <c r="AU434" s="82"/>
      <c r="AV434" s="82"/>
      <c r="AW434" s="82"/>
      <c r="AX434" s="82"/>
      <c r="AY434" s="82"/>
      <c r="AZ434" s="82"/>
      <c r="BA434" s="82"/>
    </row>
    <row r="435" spans="1:53" x14ac:dyDescent="0.2">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c r="AU435" s="82"/>
      <c r="AV435" s="82"/>
      <c r="AW435" s="82"/>
      <c r="AX435" s="82"/>
      <c r="AY435" s="82"/>
      <c r="AZ435" s="82"/>
      <c r="BA435" s="82"/>
    </row>
    <row r="436" spans="1:53" x14ac:dyDescent="0.2">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c r="AU436" s="82"/>
      <c r="AV436" s="82"/>
      <c r="AW436" s="82"/>
      <c r="AX436" s="82"/>
      <c r="AY436" s="82"/>
      <c r="AZ436" s="82"/>
      <c r="BA436" s="82"/>
    </row>
    <row r="437" spans="1:53" x14ac:dyDescent="0.2">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c r="AU437" s="82"/>
      <c r="AV437" s="82"/>
      <c r="AW437" s="82"/>
      <c r="AX437" s="82"/>
      <c r="AY437" s="82"/>
      <c r="AZ437" s="82"/>
      <c r="BA437" s="82"/>
    </row>
    <row r="438" spans="1:53" x14ac:dyDescent="0.2">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c r="AS438" s="82"/>
      <c r="AT438" s="82"/>
      <c r="AU438" s="82"/>
      <c r="AV438" s="82"/>
      <c r="AW438" s="82"/>
      <c r="AX438" s="82"/>
      <c r="AY438" s="82"/>
      <c r="AZ438" s="82"/>
      <c r="BA438" s="82"/>
    </row>
    <row r="439" spans="1:53" x14ac:dyDescent="0.2">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2"/>
      <c r="AQ439" s="82"/>
      <c r="AR439" s="82"/>
      <c r="AS439" s="82"/>
      <c r="AT439" s="82"/>
      <c r="AU439" s="82"/>
      <c r="AV439" s="82"/>
      <c r="AW439" s="82"/>
      <c r="AX439" s="82"/>
      <c r="AY439" s="82"/>
      <c r="AZ439" s="82"/>
      <c r="BA439" s="82"/>
    </row>
    <row r="440" spans="1:53" x14ac:dyDescent="0.2">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82"/>
      <c r="AQ440" s="82"/>
      <c r="AR440" s="82"/>
      <c r="AS440" s="82"/>
      <c r="AT440" s="82"/>
      <c r="AU440" s="82"/>
      <c r="AV440" s="82"/>
      <c r="AW440" s="82"/>
      <c r="AX440" s="82"/>
      <c r="AY440" s="82"/>
      <c r="AZ440" s="82"/>
      <c r="BA440" s="82"/>
    </row>
    <row r="441" spans="1:53" x14ac:dyDescent="0.2">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c r="AU441" s="82"/>
      <c r="AV441" s="82"/>
      <c r="AW441" s="82"/>
      <c r="AX441" s="82"/>
      <c r="AY441" s="82"/>
      <c r="AZ441" s="82"/>
      <c r="BA441" s="82"/>
    </row>
    <row r="442" spans="1:53" x14ac:dyDescent="0.2">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c r="AU442" s="82"/>
      <c r="AV442" s="82"/>
      <c r="AW442" s="82"/>
      <c r="AX442" s="82"/>
      <c r="AY442" s="82"/>
      <c r="AZ442" s="82"/>
      <c r="BA442" s="82"/>
    </row>
    <row r="443" spans="1:53" x14ac:dyDescent="0.2">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82"/>
      <c r="AQ443" s="82"/>
      <c r="AR443" s="82"/>
      <c r="AS443" s="82"/>
      <c r="AT443" s="82"/>
      <c r="AU443" s="82"/>
      <c r="AV443" s="82"/>
      <c r="AW443" s="82"/>
      <c r="AX443" s="82"/>
      <c r="AY443" s="82"/>
      <c r="AZ443" s="82"/>
      <c r="BA443" s="82"/>
    </row>
    <row r="444" spans="1:53" x14ac:dyDescent="0.2">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c r="AU444" s="82"/>
      <c r="AV444" s="82"/>
      <c r="AW444" s="82"/>
      <c r="AX444" s="82"/>
      <c r="AY444" s="82"/>
      <c r="AZ444" s="82"/>
      <c r="BA444" s="82"/>
    </row>
    <row r="445" spans="1:53" x14ac:dyDescent="0.2">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c r="AU445" s="82"/>
      <c r="AV445" s="82"/>
      <c r="AW445" s="82"/>
      <c r="AX445" s="82"/>
      <c r="AY445" s="82"/>
      <c r="AZ445" s="82"/>
      <c r="BA445" s="82"/>
    </row>
    <row r="446" spans="1:53" x14ac:dyDescent="0.2">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c r="AU446" s="82"/>
      <c r="AV446" s="82"/>
      <c r="AW446" s="82"/>
      <c r="AX446" s="82"/>
      <c r="AY446" s="82"/>
      <c r="AZ446" s="82"/>
      <c r="BA446" s="82"/>
    </row>
    <row r="447" spans="1:53" x14ac:dyDescent="0.2">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c r="AT447" s="82"/>
      <c r="AU447" s="82"/>
      <c r="AV447" s="82"/>
      <c r="AW447" s="82"/>
      <c r="AX447" s="82"/>
      <c r="AY447" s="82"/>
      <c r="AZ447" s="82"/>
      <c r="BA447" s="82"/>
    </row>
    <row r="448" spans="1:53" x14ac:dyDescent="0.2">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c r="AP448" s="82"/>
      <c r="AQ448" s="82"/>
      <c r="AR448" s="82"/>
      <c r="AS448" s="82"/>
      <c r="AT448" s="82"/>
      <c r="AU448" s="82"/>
      <c r="AV448" s="82"/>
      <c r="AW448" s="82"/>
      <c r="AX448" s="82"/>
      <c r="AY448" s="82"/>
      <c r="AZ448" s="82"/>
      <c r="BA448" s="82"/>
    </row>
    <row r="449" spans="1:53" x14ac:dyDescent="0.2">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c r="AU449" s="82"/>
      <c r="AV449" s="82"/>
      <c r="AW449" s="82"/>
      <c r="AX449" s="82"/>
      <c r="AY449" s="82"/>
      <c r="AZ449" s="82"/>
      <c r="BA449" s="82"/>
    </row>
    <row r="450" spans="1:53" x14ac:dyDescent="0.2">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c r="AU450" s="82"/>
      <c r="AV450" s="82"/>
      <c r="AW450" s="82"/>
      <c r="AX450" s="82"/>
      <c r="AY450" s="82"/>
      <c r="AZ450" s="82"/>
      <c r="BA450" s="82"/>
    </row>
    <row r="451" spans="1:53" x14ac:dyDescent="0.2">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c r="AU451" s="82"/>
      <c r="AV451" s="82"/>
      <c r="AW451" s="82"/>
      <c r="AX451" s="82"/>
      <c r="AY451" s="82"/>
      <c r="AZ451" s="82"/>
      <c r="BA451" s="82"/>
    </row>
    <row r="452" spans="1:53" x14ac:dyDescent="0.2">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c r="AP452" s="82"/>
      <c r="AQ452" s="82"/>
      <c r="AR452" s="82"/>
      <c r="AS452" s="82"/>
      <c r="AT452" s="82"/>
      <c r="AU452" s="82"/>
      <c r="AV452" s="82"/>
      <c r="AW452" s="82"/>
      <c r="AX452" s="82"/>
      <c r="AY452" s="82"/>
      <c r="AZ452" s="82"/>
      <c r="BA452" s="82"/>
    </row>
    <row r="453" spans="1:53" x14ac:dyDescent="0.2">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c r="AU453" s="82"/>
      <c r="AV453" s="82"/>
      <c r="AW453" s="82"/>
      <c r="AX453" s="82"/>
      <c r="AY453" s="82"/>
      <c r="AZ453" s="82"/>
      <c r="BA453" s="82"/>
    </row>
    <row r="454" spans="1:53" x14ac:dyDescent="0.2">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c r="AU454" s="82"/>
      <c r="AV454" s="82"/>
      <c r="AW454" s="82"/>
      <c r="AX454" s="82"/>
      <c r="AY454" s="82"/>
      <c r="AZ454" s="82"/>
      <c r="BA454" s="82"/>
    </row>
    <row r="455" spans="1:53" x14ac:dyDescent="0.2">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c r="AP455" s="82"/>
      <c r="AQ455" s="82"/>
      <c r="AR455" s="82"/>
      <c r="AS455" s="82"/>
      <c r="AT455" s="82"/>
      <c r="AU455" s="82"/>
      <c r="AV455" s="82"/>
      <c r="AW455" s="82"/>
      <c r="AX455" s="82"/>
      <c r="AY455" s="82"/>
      <c r="AZ455" s="82"/>
      <c r="BA455" s="82"/>
    </row>
    <row r="456" spans="1:53" x14ac:dyDescent="0.2">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c r="AP456" s="82"/>
      <c r="AQ456" s="82"/>
      <c r="AR456" s="82"/>
      <c r="AS456" s="82"/>
      <c r="AT456" s="82"/>
      <c r="AU456" s="82"/>
      <c r="AV456" s="82"/>
      <c r="AW456" s="82"/>
      <c r="AX456" s="82"/>
      <c r="AY456" s="82"/>
      <c r="AZ456" s="82"/>
      <c r="BA456" s="82"/>
    </row>
    <row r="457" spans="1:53" x14ac:dyDescent="0.2">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c r="AP457" s="82"/>
      <c r="AQ457" s="82"/>
      <c r="AR457" s="82"/>
      <c r="AS457" s="82"/>
      <c r="AT457" s="82"/>
      <c r="AU457" s="82"/>
      <c r="AV457" s="82"/>
      <c r="AW457" s="82"/>
      <c r="AX457" s="82"/>
      <c r="AY457" s="82"/>
      <c r="AZ457" s="82"/>
      <c r="BA457" s="82"/>
    </row>
    <row r="458" spans="1:53" x14ac:dyDescent="0.2">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c r="AP458" s="82"/>
      <c r="AQ458" s="82"/>
      <c r="AR458" s="82"/>
      <c r="AS458" s="82"/>
      <c r="AT458" s="82"/>
      <c r="AU458" s="82"/>
      <c r="AV458" s="82"/>
      <c r="AW458" s="82"/>
      <c r="AX458" s="82"/>
      <c r="AY458" s="82"/>
      <c r="AZ458" s="82"/>
      <c r="BA458" s="82"/>
    </row>
    <row r="459" spans="1:53" x14ac:dyDescent="0.2">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c r="AP459" s="82"/>
      <c r="AQ459" s="82"/>
      <c r="AR459" s="82"/>
      <c r="AS459" s="82"/>
      <c r="AT459" s="82"/>
      <c r="AU459" s="82"/>
      <c r="AV459" s="82"/>
      <c r="AW459" s="82"/>
      <c r="AX459" s="82"/>
      <c r="AY459" s="82"/>
      <c r="AZ459" s="82"/>
      <c r="BA459" s="82"/>
    </row>
    <row r="460" spans="1:53" x14ac:dyDescent="0.2">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c r="AP460" s="82"/>
      <c r="AQ460" s="82"/>
      <c r="AR460" s="82"/>
      <c r="AS460" s="82"/>
      <c r="AT460" s="82"/>
      <c r="AU460" s="82"/>
      <c r="AV460" s="82"/>
      <c r="AW460" s="82"/>
      <c r="AX460" s="82"/>
      <c r="AY460" s="82"/>
      <c r="AZ460" s="82"/>
      <c r="BA460" s="82"/>
    </row>
    <row r="461" spans="1:53" x14ac:dyDescent="0.2">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c r="AP461" s="82"/>
      <c r="AQ461" s="82"/>
      <c r="AR461" s="82"/>
      <c r="AS461" s="82"/>
      <c r="AT461" s="82"/>
      <c r="AU461" s="82"/>
      <c r="AV461" s="82"/>
      <c r="AW461" s="82"/>
      <c r="AX461" s="82"/>
      <c r="AY461" s="82"/>
      <c r="AZ461" s="82"/>
      <c r="BA461" s="82"/>
    </row>
    <row r="462" spans="1:53" x14ac:dyDescent="0.2">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c r="AP462" s="82"/>
      <c r="AQ462" s="82"/>
      <c r="AR462" s="82"/>
      <c r="AS462" s="82"/>
      <c r="AT462" s="82"/>
      <c r="AU462" s="82"/>
      <c r="AV462" s="82"/>
      <c r="AW462" s="82"/>
      <c r="AX462" s="82"/>
      <c r="AY462" s="82"/>
      <c r="AZ462" s="82"/>
      <c r="BA462" s="82"/>
    </row>
    <row r="463" spans="1:53" x14ac:dyDescent="0.2">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c r="AP463" s="82"/>
      <c r="AQ463" s="82"/>
      <c r="AR463" s="82"/>
      <c r="AS463" s="82"/>
      <c r="AT463" s="82"/>
      <c r="AU463" s="82"/>
      <c r="AV463" s="82"/>
      <c r="AW463" s="82"/>
      <c r="AX463" s="82"/>
      <c r="AY463" s="82"/>
      <c r="AZ463" s="82"/>
      <c r="BA463" s="82"/>
    </row>
    <row r="464" spans="1:53" x14ac:dyDescent="0.2">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c r="AP464" s="82"/>
      <c r="AQ464" s="82"/>
      <c r="AR464" s="82"/>
      <c r="AS464" s="82"/>
      <c r="AT464" s="82"/>
      <c r="AU464" s="82"/>
      <c r="AV464" s="82"/>
      <c r="AW464" s="82"/>
      <c r="AX464" s="82"/>
      <c r="AY464" s="82"/>
      <c r="AZ464" s="82"/>
      <c r="BA464" s="82"/>
    </row>
    <row r="465" spans="1:53" x14ac:dyDescent="0.2">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c r="AU465" s="82"/>
      <c r="AV465" s="82"/>
      <c r="AW465" s="82"/>
      <c r="AX465" s="82"/>
      <c r="AY465" s="82"/>
      <c r="AZ465" s="82"/>
      <c r="BA465" s="82"/>
    </row>
    <row r="466" spans="1:53" x14ac:dyDescent="0.2">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c r="AP466" s="82"/>
      <c r="AQ466" s="82"/>
      <c r="AR466" s="82"/>
      <c r="AS466" s="82"/>
      <c r="AT466" s="82"/>
      <c r="AU466" s="82"/>
      <c r="AV466" s="82"/>
      <c r="AW466" s="82"/>
      <c r="AX466" s="82"/>
      <c r="AY466" s="82"/>
      <c r="AZ466" s="82"/>
      <c r="BA466" s="82"/>
    </row>
    <row r="467" spans="1:53" x14ac:dyDescent="0.2">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c r="AP467" s="82"/>
      <c r="AQ467" s="82"/>
      <c r="AR467" s="82"/>
      <c r="AS467" s="82"/>
      <c r="AT467" s="82"/>
      <c r="AU467" s="82"/>
      <c r="AV467" s="82"/>
      <c r="AW467" s="82"/>
      <c r="AX467" s="82"/>
      <c r="AY467" s="82"/>
      <c r="AZ467" s="82"/>
      <c r="BA467" s="82"/>
    </row>
    <row r="468" spans="1:53" x14ac:dyDescent="0.2">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c r="AP468" s="82"/>
      <c r="AQ468" s="82"/>
      <c r="AR468" s="82"/>
      <c r="AS468" s="82"/>
      <c r="AT468" s="82"/>
      <c r="AU468" s="82"/>
      <c r="AV468" s="82"/>
      <c r="AW468" s="82"/>
      <c r="AX468" s="82"/>
      <c r="AY468" s="82"/>
      <c r="AZ468" s="82"/>
      <c r="BA468" s="82"/>
    </row>
    <row r="469" spans="1:53" x14ac:dyDescent="0.2">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c r="AU469" s="82"/>
      <c r="AV469" s="82"/>
      <c r="AW469" s="82"/>
      <c r="AX469" s="82"/>
      <c r="AY469" s="82"/>
      <c r="AZ469" s="82"/>
      <c r="BA469" s="82"/>
    </row>
    <row r="470" spans="1:53" x14ac:dyDescent="0.2">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c r="AP470" s="82"/>
      <c r="AQ470" s="82"/>
      <c r="AR470" s="82"/>
      <c r="AS470" s="82"/>
      <c r="AT470" s="82"/>
      <c r="AU470" s="82"/>
      <c r="AV470" s="82"/>
      <c r="AW470" s="82"/>
      <c r="AX470" s="82"/>
      <c r="AY470" s="82"/>
      <c r="AZ470" s="82"/>
      <c r="BA470" s="82"/>
    </row>
    <row r="471" spans="1:53" x14ac:dyDescent="0.2">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c r="AP471" s="82"/>
      <c r="AQ471" s="82"/>
      <c r="AR471" s="82"/>
      <c r="AS471" s="82"/>
      <c r="AT471" s="82"/>
      <c r="AU471" s="82"/>
      <c r="AV471" s="82"/>
      <c r="AW471" s="82"/>
      <c r="AX471" s="82"/>
      <c r="AY471" s="82"/>
      <c r="AZ471" s="82"/>
      <c r="BA471" s="82"/>
    </row>
    <row r="472" spans="1:53" x14ac:dyDescent="0.2">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c r="AP472" s="82"/>
      <c r="AQ472" s="82"/>
      <c r="AR472" s="82"/>
      <c r="AS472" s="82"/>
      <c r="AT472" s="82"/>
      <c r="AU472" s="82"/>
      <c r="AV472" s="82"/>
      <c r="AW472" s="82"/>
      <c r="AX472" s="82"/>
      <c r="AY472" s="82"/>
      <c r="AZ472" s="82"/>
      <c r="BA472" s="82"/>
    </row>
    <row r="473" spans="1:53" x14ac:dyDescent="0.2">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c r="AP473" s="82"/>
      <c r="AQ473" s="82"/>
      <c r="AR473" s="82"/>
      <c r="AS473" s="82"/>
      <c r="AT473" s="82"/>
      <c r="AU473" s="82"/>
      <c r="AV473" s="82"/>
      <c r="AW473" s="82"/>
      <c r="AX473" s="82"/>
      <c r="AY473" s="82"/>
      <c r="AZ473" s="82"/>
      <c r="BA473" s="82"/>
    </row>
    <row r="474" spans="1:53" x14ac:dyDescent="0.2">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c r="AP474" s="82"/>
      <c r="AQ474" s="82"/>
      <c r="AR474" s="82"/>
      <c r="AS474" s="82"/>
      <c r="AT474" s="82"/>
      <c r="AU474" s="82"/>
      <c r="AV474" s="82"/>
      <c r="AW474" s="82"/>
      <c r="AX474" s="82"/>
      <c r="AY474" s="82"/>
      <c r="AZ474" s="82"/>
      <c r="BA474" s="82"/>
    </row>
    <row r="475" spans="1:53" x14ac:dyDescent="0.2">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c r="AP475" s="82"/>
      <c r="AQ475" s="82"/>
      <c r="AR475" s="82"/>
      <c r="AS475" s="82"/>
      <c r="AT475" s="82"/>
      <c r="AU475" s="82"/>
      <c r="AV475" s="82"/>
      <c r="AW475" s="82"/>
      <c r="AX475" s="82"/>
      <c r="AY475" s="82"/>
      <c r="AZ475" s="82"/>
      <c r="BA475" s="82"/>
    </row>
    <row r="476" spans="1:53" x14ac:dyDescent="0.2">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c r="AP476" s="82"/>
      <c r="AQ476" s="82"/>
      <c r="AR476" s="82"/>
      <c r="AS476" s="82"/>
      <c r="AT476" s="82"/>
      <c r="AU476" s="82"/>
      <c r="AV476" s="82"/>
      <c r="AW476" s="82"/>
      <c r="AX476" s="82"/>
      <c r="AY476" s="82"/>
      <c r="AZ476" s="82"/>
      <c r="BA476" s="82"/>
    </row>
    <row r="477" spans="1:53" x14ac:dyDescent="0.2">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c r="AP477" s="82"/>
      <c r="AQ477" s="82"/>
      <c r="AR477" s="82"/>
      <c r="AS477" s="82"/>
      <c r="AT477" s="82"/>
      <c r="AU477" s="82"/>
      <c r="AV477" s="82"/>
      <c r="AW477" s="82"/>
      <c r="AX477" s="82"/>
      <c r="AY477" s="82"/>
      <c r="AZ477" s="82"/>
      <c r="BA477" s="82"/>
    </row>
    <row r="478" spans="1:53" x14ac:dyDescent="0.2">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c r="AP478" s="82"/>
      <c r="AQ478" s="82"/>
      <c r="AR478" s="82"/>
      <c r="AS478" s="82"/>
      <c r="AT478" s="82"/>
      <c r="AU478" s="82"/>
      <c r="AV478" s="82"/>
      <c r="AW478" s="82"/>
      <c r="AX478" s="82"/>
      <c r="AY478" s="82"/>
      <c r="AZ478" s="82"/>
      <c r="BA478" s="82"/>
    </row>
    <row r="479" spans="1:53" x14ac:dyDescent="0.2">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c r="AP479" s="82"/>
      <c r="AQ479" s="82"/>
      <c r="AR479" s="82"/>
      <c r="AS479" s="82"/>
      <c r="AT479" s="82"/>
      <c r="AU479" s="82"/>
      <c r="AV479" s="82"/>
      <c r="AW479" s="82"/>
      <c r="AX479" s="82"/>
      <c r="AY479" s="82"/>
      <c r="AZ479" s="82"/>
      <c r="BA479" s="82"/>
    </row>
    <row r="480" spans="1:53" x14ac:dyDescent="0.2">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c r="AP480" s="82"/>
      <c r="AQ480" s="82"/>
      <c r="AR480" s="82"/>
      <c r="AS480" s="82"/>
      <c r="AT480" s="82"/>
      <c r="AU480" s="82"/>
      <c r="AV480" s="82"/>
      <c r="AW480" s="82"/>
      <c r="AX480" s="82"/>
      <c r="AY480" s="82"/>
      <c r="AZ480" s="82"/>
      <c r="BA480" s="82"/>
    </row>
    <row r="481" spans="1:53" x14ac:dyDescent="0.2">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c r="AP481" s="82"/>
      <c r="AQ481" s="82"/>
      <c r="AR481" s="82"/>
      <c r="AS481" s="82"/>
      <c r="AT481" s="82"/>
      <c r="AU481" s="82"/>
      <c r="AV481" s="82"/>
      <c r="AW481" s="82"/>
      <c r="AX481" s="82"/>
      <c r="AY481" s="82"/>
      <c r="AZ481" s="82"/>
      <c r="BA481" s="82"/>
    </row>
    <row r="482" spans="1:53" x14ac:dyDescent="0.2">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c r="AP482" s="82"/>
      <c r="AQ482" s="82"/>
      <c r="AR482" s="82"/>
      <c r="AS482" s="82"/>
      <c r="AT482" s="82"/>
      <c r="AU482" s="82"/>
      <c r="AV482" s="82"/>
      <c r="AW482" s="82"/>
      <c r="AX482" s="82"/>
      <c r="AY482" s="82"/>
      <c r="AZ482" s="82"/>
      <c r="BA482" s="82"/>
    </row>
    <row r="483" spans="1:53" x14ac:dyDescent="0.2">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c r="AP483" s="82"/>
      <c r="AQ483" s="82"/>
      <c r="AR483" s="82"/>
      <c r="AS483" s="82"/>
      <c r="AT483" s="82"/>
      <c r="AU483" s="82"/>
      <c r="AV483" s="82"/>
      <c r="AW483" s="82"/>
      <c r="AX483" s="82"/>
      <c r="AY483" s="82"/>
      <c r="AZ483" s="82"/>
      <c r="BA483" s="82"/>
    </row>
    <row r="484" spans="1:53" x14ac:dyDescent="0.2">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c r="AP484" s="82"/>
      <c r="AQ484" s="82"/>
      <c r="AR484" s="82"/>
      <c r="AS484" s="82"/>
      <c r="AT484" s="82"/>
      <c r="AU484" s="82"/>
      <c r="AV484" s="82"/>
      <c r="AW484" s="82"/>
      <c r="AX484" s="82"/>
      <c r="AY484" s="82"/>
      <c r="AZ484" s="82"/>
      <c r="BA484" s="82"/>
    </row>
    <row r="485" spans="1:53" x14ac:dyDescent="0.2">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c r="AP485" s="82"/>
      <c r="AQ485" s="82"/>
      <c r="AR485" s="82"/>
      <c r="AS485" s="82"/>
      <c r="AT485" s="82"/>
      <c r="AU485" s="82"/>
      <c r="AV485" s="82"/>
      <c r="AW485" s="82"/>
      <c r="AX485" s="82"/>
      <c r="AY485" s="82"/>
      <c r="AZ485" s="82"/>
      <c r="BA485" s="82"/>
    </row>
    <row r="486" spans="1:53" x14ac:dyDescent="0.2">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c r="AP486" s="82"/>
      <c r="AQ486" s="82"/>
      <c r="AR486" s="82"/>
      <c r="AS486" s="82"/>
      <c r="AT486" s="82"/>
      <c r="AU486" s="82"/>
      <c r="AV486" s="82"/>
      <c r="AW486" s="82"/>
      <c r="AX486" s="82"/>
      <c r="AY486" s="82"/>
      <c r="AZ486" s="82"/>
      <c r="BA486" s="82"/>
    </row>
    <row r="487" spans="1:53" x14ac:dyDescent="0.2">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c r="AR487" s="82"/>
      <c r="AS487" s="82"/>
      <c r="AT487" s="82"/>
      <c r="AU487" s="82"/>
      <c r="AV487" s="82"/>
      <c r="AW487" s="82"/>
      <c r="AX487" s="82"/>
      <c r="AY487" s="82"/>
      <c r="AZ487" s="82"/>
      <c r="BA487" s="82"/>
    </row>
    <row r="488" spans="1:53" x14ac:dyDescent="0.2">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c r="AR488" s="82"/>
      <c r="AS488" s="82"/>
      <c r="AT488" s="82"/>
      <c r="AU488" s="82"/>
      <c r="AV488" s="82"/>
      <c r="AW488" s="82"/>
      <c r="AX488" s="82"/>
      <c r="AY488" s="82"/>
      <c r="AZ488" s="82"/>
      <c r="BA488" s="82"/>
    </row>
    <row r="489" spans="1:53" x14ac:dyDescent="0.2">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c r="AR489" s="82"/>
      <c r="AS489" s="82"/>
      <c r="AT489" s="82"/>
      <c r="AU489" s="82"/>
      <c r="AV489" s="82"/>
      <c r="AW489" s="82"/>
      <c r="AX489" s="82"/>
      <c r="AY489" s="82"/>
      <c r="AZ489" s="82"/>
      <c r="BA489" s="82"/>
    </row>
    <row r="490" spans="1:53" x14ac:dyDescent="0.2">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c r="AR490" s="82"/>
      <c r="AS490" s="82"/>
      <c r="AT490" s="82"/>
      <c r="AU490" s="82"/>
      <c r="AV490" s="82"/>
      <c r="AW490" s="82"/>
      <c r="AX490" s="82"/>
      <c r="AY490" s="82"/>
      <c r="AZ490" s="82"/>
      <c r="BA490" s="82"/>
    </row>
    <row r="491" spans="1:53" x14ac:dyDescent="0.2">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c r="AU491" s="82"/>
      <c r="AV491" s="82"/>
      <c r="AW491" s="82"/>
      <c r="AX491" s="82"/>
      <c r="AY491" s="82"/>
      <c r="AZ491" s="82"/>
      <c r="BA491" s="82"/>
    </row>
    <row r="492" spans="1:53" x14ac:dyDescent="0.2">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c r="AR492" s="82"/>
      <c r="AS492" s="82"/>
      <c r="AT492" s="82"/>
      <c r="AU492" s="82"/>
      <c r="AV492" s="82"/>
      <c r="AW492" s="82"/>
      <c r="AX492" s="82"/>
      <c r="AY492" s="82"/>
      <c r="AZ492" s="82"/>
      <c r="BA492" s="82"/>
    </row>
    <row r="493" spans="1:53" x14ac:dyDescent="0.2">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c r="AR493" s="82"/>
      <c r="AS493" s="82"/>
      <c r="AT493" s="82"/>
      <c r="AU493" s="82"/>
      <c r="AV493" s="82"/>
      <c r="AW493" s="82"/>
      <c r="AX493" s="82"/>
      <c r="AY493" s="82"/>
      <c r="AZ493" s="82"/>
      <c r="BA493" s="82"/>
    </row>
    <row r="494" spans="1:53" x14ac:dyDescent="0.2">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c r="AU494" s="82"/>
      <c r="AV494" s="82"/>
      <c r="AW494" s="82"/>
      <c r="AX494" s="82"/>
      <c r="AY494" s="82"/>
      <c r="AZ494" s="82"/>
      <c r="BA494" s="82"/>
    </row>
    <row r="495" spans="1:53" x14ac:dyDescent="0.2">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c r="AR495" s="82"/>
      <c r="AS495" s="82"/>
      <c r="AT495" s="82"/>
      <c r="AU495" s="82"/>
      <c r="AV495" s="82"/>
      <c r="AW495" s="82"/>
      <c r="AX495" s="82"/>
      <c r="AY495" s="82"/>
      <c r="AZ495" s="82"/>
      <c r="BA495" s="82"/>
    </row>
    <row r="496" spans="1:53" x14ac:dyDescent="0.2">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c r="AR496" s="82"/>
      <c r="AS496" s="82"/>
      <c r="AT496" s="82"/>
      <c r="AU496" s="82"/>
      <c r="AV496" s="82"/>
      <c r="AW496" s="82"/>
      <c r="AX496" s="82"/>
      <c r="AY496" s="82"/>
      <c r="AZ496" s="82"/>
      <c r="BA496" s="82"/>
    </row>
    <row r="497" spans="1:53" x14ac:dyDescent="0.2">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c r="AR497" s="82"/>
      <c r="AS497" s="82"/>
      <c r="AT497" s="82"/>
      <c r="AU497" s="82"/>
      <c r="AV497" s="82"/>
      <c r="AW497" s="82"/>
      <c r="AX497" s="82"/>
      <c r="AY497" s="82"/>
      <c r="AZ497" s="82"/>
      <c r="BA497" s="82"/>
    </row>
    <row r="498" spans="1:53" x14ac:dyDescent="0.2">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c r="AR498" s="82"/>
      <c r="AS498" s="82"/>
      <c r="AT498" s="82"/>
      <c r="AU498" s="82"/>
      <c r="AV498" s="82"/>
      <c r="AW498" s="82"/>
      <c r="AX498" s="82"/>
      <c r="AY498" s="82"/>
      <c r="AZ498" s="82"/>
      <c r="BA498" s="82"/>
    </row>
    <row r="499" spans="1:53" x14ac:dyDescent="0.2">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c r="AR499" s="82"/>
      <c r="AS499" s="82"/>
      <c r="AT499" s="82"/>
      <c r="AU499" s="82"/>
      <c r="AV499" s="82"/>
      <c r="AW499" s="82"/>
      <c r="AX499" s="82"/>
      <c r="AY499" s="82"/>
      <c r="AZ499" s="82"/>
      <c r="BA499" s="82"/>
    </row>
    <row r="500" spans="1:53" x14ac:dyDescent="0.2">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c r="AR500" s="82"/>
      <c r="AS500" s="82"/>
      <c r="AT500" s="82"/>
      <c r="AU500" s="82"/>
      <c r="AV500" s="82"/>
      <c r="AW500" s="82"/>
      <c r="AX500" s="82"/>
      <c r="AY500" s="82"/>
      <c r="AZ500" s="82"/>
      <c r="BA500" s="82"/>
    </row>
    <row r="501" spans="1:53" x14ac:dyDescent="0.2">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c r="AR501" s="82"/>
      <c r="AS501" s="82"/>
      <c r="AT501" s="82"/>
      <c r="AU501" s="82"/>
      <c r="AV501" s="82"/>
      <c r="AW501" s="82"/>
      <c r="AX501" s="82"/>
      <c r="AY501" s="82"/>
      <c r="AZ501" s="82"/>
      <c r="BA501" s="82"/>
    </row>
    <row r="502" spans="1:53" x14ac:dyDescent="0.2">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c r="AR502" s="82"/>
      <c r="AS502" s="82"/>
      <c r="AT502" s="82"/>
      <c r="AU502" s="82"/>
      <c r="AV502" s="82"/>
      <c r="AW502" s="82"/>
      <c r="AX502" s="82"/>
      <c r="AY502" s="82"/>
      <c r="AZ502" s="82"/>
      <c r="BA502" s="82"/>
    </row>
    <row r="503" spans="1:53" x14ac:dyDescent="0.2">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c r="AP503" s="82"/>
      <c r="AQ503" s="82"/>
      <c r="AR503" s="82"/>
      <c r="AS503" s="82"/>
      <c r="AT503" s="82"/>
      <c r="AU503" s="82"/>
      <c r="AV503" s="82"/>
      <c r="AW503" s="82"/>
      <c r="AX503" s="82"/>
      <c r="AY503" s="82"/>
      <c r="AZ503" s="82"/>
      <c r="BA503" s="82"/>
    </row>
    <row r="504" spans="1:53" x14ac:dyDescent="0.2">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c r="AP504" s="82"/>
      <c r="AQ504" s="82"/>
      <c r="AR504" s="82"/>
      <c r="AS504" s="82"/>
      <c r="AT504" s="82"/>
      <c r="AU504" s="82"/>
      <c r="AV504" s="82"/>
      <c r="AW504" s="82"/>
      <c r="AX504" s="82"/>
      <c r="AY504" s="82"/>
      <c r="AZ504" s="82"/>
      <c r="BA504" s="82"/>
    </row>
    <row r="505" spans="1:53" x14ac:dyDescent="0.2">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c r="AP505" s="82"/>
      <c r="AQ505" s="82"/>
      <c r="AR505" s="82"/>
      <c r="AS505" s="82"/>
      <c r="AT505" s="82"/>
      <c r="AU505" s="82"/>
      <c r="AV505" s="82"/>
      <c r="AW505" s="82"/>
      <c r="AX505" s="82"/>
      <c r="AY505" s="82"/>
      <c r="AZ505" s="82"/>
      <c r="BA505" s="82"/>
    </row>
    <row r="506" spans="1:53" x14ac:dyDescent="0.2">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c r="AP506" s="82"/>
      <c r="AQ506" s="82"/>
      <c r="AR506" s="82"/>
      <c r="AS506" s="82"/>
      <c r="AT506" s="82"/>
      <c r="AU506" s="82"/>
      <c r="AV506" s="82"/>
      <c r="AW506" s="82"/>
      <c r="AX506" s="82"/>
      <c r="AY506" s="82"/>
      <c r="AZ506" s="82"/>
      <c r="BA506" s="82"/>
    </row>
    <row r="507" spans="1:53" x14ac:dyDescent="0.2">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c r="AP507" s="82"/>
      <c r="AQ507" s="82"/>
      <c r="AR507" s="82"/>
      <c r="AS507" s="82"/>
      <c r="AT507" s="82"/>
      <c r="AU507" s="82"/>
      <c r="AV507" s="82"/>
      <c r="AW507" s="82"/>
      <c r="AX507" s="82"/>
      <c r="AY507" s="82"/>
      <c r="AZ507" s="82"/>
      <c r="BA507" s="82"/>
    </row>
    <row r="508" spans="1:53" x14ac:dyDescent="0.2">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c r="AP508" s="82"/>
      <c r="AQ508" s="82"/>
      <c r="AR508" s="82"/>
      <c r="AS508" s="82"/>
      <c r="AT508" s="82"/>
      <c r="AU508" s="82"/>
      <c r="AV508" s="82"/>
      <c r="AW508" s="82"/>
      <c r="AX508" s="82"/>
      <c r="AY508" s="82"/>
      <c r="AZ508" s="82"/>
      <c r="BA508" s="82"/>
    </row>
    <row r="509" spans="1:53" x14ac:dyDescent="0.2">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c r="AP509" s="82"/>
      <c r="AQ509" s="82"/>
      <c r="AR509" s="82"/>
      <c r="AS509" s="82"/>
      <c r="AT509" s="82"/>
      <c r="AU509" s="82"/>
      <c r="AV509" s="82"/>
      <c r="AW509" s="82"/>
      <c r="AX509" s="82"/>
      <c r="AY509" s="82"/>
      <c r="AZ509" s="82"/>
      <c r="BA509" s="82"/>
    </row>
    <row r="510" spans="1:53" x14ac:dyDescent="0.2">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c r="AP510" s="82"/>
      <c r="AQ510" s="82"/>
      <c r="AR510" s="82"/>
      <c r="AS510" s="82"/>
      <c r="AT510" s="82"/>
      <c r="AU510" s="82"/>
      <c r="AV510" s="82"/>
      <c r="AW510" s="82"/>
      <c r="AX510" s="82"/>
      <c r="AY510" s="82"/>
      <c r="AZ510" s="82"/>
      <c r="BA510" s="82"/>
    </row>
    <row r="511" spans="1:53" x14ac:dyDescent="0.2">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c r="AP511" s="82"/>
      <c r="AQ511" s="82"/>
      <c r="AR511" s="82"/>
      <c r="AS511" s="82"/>
      <c r="AT511" s="82"/>
      <c r="AU511" s="82"/>
      <c r="AV511" s="82"/>
      <c r="AW511" s="82"/>
      <c r="AX511" s="82"/>
      <c r="AY511" s="82"/>
      <c r="AZ511" s="82"/>
      <c r="BA511" s="82"/>
    </row>
    <row r="512" spans="1:53" x14ac:dyDescent="0.2">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c r="AP512" s="82"/>
      <c r="AQ512" s="82"/>
      <c r="AR512" s="82"/>
      <c r="AS512" s="82"/>
      <c r="AT512" s="82"/>
      <c r="AU512" s="82"/>
      <c r="AV512" s="82"/>
      <c r="AW512" s="82"/>
      <c r="AX512" s="82"/>
      <c r="AY512" s="82"/>
      <c r="AZ512" s="82"/>
      <c r="BA512" s="82"/>
    </row>
    <row r="513" spans="1:53" x14ac:dyDescent="0.2">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c r="AP513" s="82"/>
      <c r="AQ513" s="82"/>
      <c r="AR513" s="82"/>
      <c r="AS513" s="82"/>
      <c r="AT513" s="82"/>
      <c r="AU513" s="82"/>
      <c r="AV513" s="82"/>
      <c r="AW513" s="82"/>
      <c r="AX513" s="82"/>
      <c r="AY513" s="82"/>
      <c r="AZ513" s="82"/>
      <c r="BA513" s="82"/>
    </row>
    <row r="514" spans="1:53" x14ac:dyDescent="0.2">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c r="AP514" s="82"/>
      <c r="AQ514" s="82"/>
      <c r="AR514" s="82"/>
      <c r="AS514" s="82"/>
      <c r="AT514" s="82"/>
      <c r="AU514" s="82"/>
      <c r="AV514" s="82"/>
      <c r="AW514" s="82"/>
      <c r="AX514" s="82"/>
      <c r="AY514" s="82"/>
      <c r="AZ514" s="82"/>
      <c r="BA514" s="82"/>
    </row>
    <row r="515" spans="1:53" x14ac:dyDescent="0.2">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c r="AP515" s="82"/>
      <c r="AQ515" s="82"/>
      <c r="AR515" s="82"/>
      <c r="AS515" s="82"/>
      <c r="AT515" s="82"/>
      <c r="AU515" s="82"/>
      <c r="AV515" s="82"/>
      <c r="AW515" s="82"/>
      <c r="AX515" s="82"/>
      <c r="AY515" s="82"/>
      <c r="AZ515" s="82"/>
      <c r="BA515" s="82"/>
    </row>
    <row r="516" spans="1:53" x14ac:dyDescent="0.2">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c r="AP516" s="82"/>
      <c r="AQ516" s="82"/>
      <c r="AR516" s="82"/>
      <c r="AS516" s="82"/>
      <c r="AT516" s="82"/>
      <c r="AU516" s="82"/>
      <c r="AV516" s="82"/>
      <c r="AW516" s="82"/>
      <c r="AX516" s="82"/>
      <c r="AY516" s="82"/>
      <c r="AZ516" s="82"/>
      <c r="BA516" s="82"/>
    </row>
    <row r="517" spans="1:53" x14ac:dyDescent="0.2">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c r="AP517" s="82"/>
      <c r="AQ517" s="82"/>
      <c r="AR517" s="82"/>
      <c r="AS517" s="82"/>
      <c r="AT517" s="82"/>
      <c r="AU517" s="82"/>
      <c r="AV517" s="82"/>
      <c r="AW517" s="82"/>
      <c r="AX517" s="82"/>
      <c r="AY517" s="82"/>
      <c r="AZ517" s="82"/>
      <c r="BA517" s="82"/>
    </row>
    <row r="518" spans="1:53" x14ac:dyDescent="0.2">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c r="AP518" s="82"/>
      <c r="AQ518" s="82"/>
      <c r="AR518" s="82"/>
      <c r="AS518" s="82"/>
      <c r="AT518" s="82"/>
      <c r="AU518" s="82"/>
      <c r="AV518" s="82"/>
      <c r="AW518" s="82"/>
      <c r="AX518" s="82"/>
      <c r="AY518" s="82"/>
      <c r="AZ518" s="82"/>
      <c r="BA518" s="82"/>
    </row>
    <row r="519" spans="1:53" x14ac:dyDescent="0.2">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c r="AP519" s="82"/>
      <c r="AQ519" s="82"/>
      <c r="AR519" s="82"/>
      <c r="AS519" s="82"/>
      <c r="AT519" s="82"/>
      <c r="AU519" s="82"/>
      <c r="AV519" s="82"/>
      <c r="AW519" s="82"/>
      <c r="AX519" s="82"/>
      <c r="AY519" s="82"/>
      <c r="AZ519" s="82"/>
      <c r="BA519" s="82"/>
    </row>
    <row r="520" spans="1:53" x14ac:dyDescent="0.2">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c r="AP520" s="82"/>
      <c r="AQ520" s="82"/>
      <c r="AR520" s="82"/>
      <c r="AS520" s="82"/>
      <c r="AT520" s="82"/>
      <c r="AU520" s="82"/>
      <c r="AV520" s="82"/>
      <c r="AW520" s="82"/>
      <c r="AX520" s="82"/>
      <c r="AY520" s="82"/>
      <c r="AZ520" s="82"/>
      <c r="BA520" s="82"/>
    </row>
    <row r="521" spans="1:53" x14ac:dyDescent="0.2">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c r="AP521" s="82"/>
      <c r="AQ521" s="82"/>
      <c r="AR521" s="82"/>
      <c r="AS521" s="82"/>
      <c r="AT521" s="82"/>
      <c r="AU521" s="82"/>
      <c r="AV521" s="82"/>
      <c r="AW521" s="82"/>
      <c r="AX521" s="82"/>
      <c r="AY521" s="82"/>
      <c r="AZ521" s="82"/>
      <c r="BA521" s="82"/>
    </row>
    <row r="522" spans="1:53" x14ac:dyDescent="0.2">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c r="AP522" s="82"/>
      <c r="AQ522" s="82"/>
      <c r="AR522" s="82"/>
      <c r="AS522" s="82"/>
      <c r="AT522" s="82"/>
      <c r="AU522" s="82"/>
      <c r="AV522" s="82"/>
      <c r="AW522" s="82"/>
      <c r="AX522" s="82"/>
      <c r="AY522" s="82"/>
      <c r="AZ522" s="82"/>
      <c r="BA522" s="82"/>
    </row>
    <row r="523" spans="1:53" x14ac:dyDescent="0.2">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c r="AP523" s="82"/>
      <c r="AQ523" s="82"/>
      <c r="AR523" s="82"/>
      <c r="AS523" s="82"/>
      <c r="AT523" s="82"/>
      <c r="AU523" s="82"/>
      <c r="AV523" s="82"/>
      <c r="AW523" s="82"/>
      <c r="AX523" s="82"/>
      <c r="AY523" s="82"/>
      <c r="AZ523" s="82"/>
      <c r="BA523" s="82"/>
    </row>
    <row r="524" spans="1:53" x14ac:dyDescent="0.2">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c r="AP524" s="82"/>
      <c r="AQ524" s="82"/>
      <c r="AR524" s="82"/>
      <c r="AS524" s="82"/>
      <c r="AT524" s="82"/>
      <c r="AU524" s="82"/>
      <c r="AV524" s="82"/>
      <c r="AW524" s="82"/>
      <c r="AX524" s="82"/>
      <c r="AY524" s="82"/>
      <c r="AZ524" s="82"/>
      <c r="BA524" s="82"/>
    </row>
    <row r="525" spans="1:53" x14ac:dyDescent="0.2">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c r="AP525" s="82"/>
      <c r="AQ525" s="82"/>
      <c r="AR525" s="82"/>
      <c r="AS525" s="82"/>
      <c r="AT525" s="82"/>
      <c r="AU525" s="82"/>
      <c r="AV525" s="82"/>
      <c r="AW525" s="82"/>
      <c r="AX525" s="82"/>
      <c r="AY525" s="82"/>
      <c r="AZ525" s="82"/>
      <c r="BA525" s="82"/>
    </row>
    <row r="526" spans="1:53" x14ac:dyDescent="0.2">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c r="AP526" s="82"/>
      <c r="AQ526" s="82"/>
      <c r="AR526" s="82"/>
      <c r="AS526" s="82"/>
      <c r="AT526" s="82"/>
      <c r="AU526" s="82"/>
      <c r="AV526" s="82"/>
      <c r="AW526" s="82"/>
      <c r="AX526" s="82"/>
      <c r="AY526" s="82"/>
      <c r="AZ526" s="82"/>
      <c r="BA526" s="82"/>
    </row>
    <row r="527" spans="1:53" x14ac:dyDescent="0.2">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c r="AP527" s="82"/>
      <c r="AQ527" s="82"/>
      <c r="AR527" s="82"/>
      <c r="AS527" s="82"/>
      <c r="AT527" s="82"/>
      <c r="AU527" s="82"/>
      <c r="AV527" s="82"/>
      <c r="AW527" s="82"/>
      <c r="AX527" s="82"/>
      <c r="AY527" s="82"/>
      <c r="AZ527" s="82"/>
      <c r="BA527" s="82"/>
    </row>
    <row r="528" spans="1:53" x14ac:dyDescent="0.2">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c r="AP528" s="82"/>
      <c r="AQ528" s="82"/>
      <c r="AR528" s="82"/>
      <c r="AS528" s="82"/>
      <c r="AT528" s="82"/>
      <c r="AU528" s="82"/>
      <c r="AV528" s="82"/>
      <c r="AW528" s="82"/>
      <c r="AX528" s="82"/>
      <c r="AY528" s="82"/>
      <c r="AZ528" s="82"/>
      <c r="BA528" s="82"/>
    </row>
    <row r="529" spans="1:53" x14ac:dyDescent="0.2">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c r="AP529" s="82"/>
      <c r="AQ529" s="82"/>
      <c r="AR529" s="82"/>
      <c r="AS529" s="82"/>
      <c r="AT529" s="82"/>
      <c r="AU529" s="82"/>
      <c r="AV529" s="82"/>
      <c r="AW529" s="82"/>
      <c r="AX529" s="82"/>
      <c r="AY529" s="82"/>
      <c r="AZ529" s="82"/>
      <c r="BA529" s="82"/>
    </row>
    <row r="530" spans="1:53" x14ac:dyDescent="0.2">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c r="AP530" s="82"/>
      <c r="AQ530" s="82"/>
      <c r="AR530" s="82"/>
      <c r="AS530" s="82"/>
      <c r="AT530" s="82"/>
      <c r="AU530" s="82"/>
      <c r="AV530" s="82"/>
      <c r="AW530" s="82"/>
      <c r="AX530" s="82"/>
      <c r="AY530" s="82"/>
      <c r="AZ530" s="82"/>
      <c r="BA530" s="82"/>
    </row>
    <row r="531" spans="1:53" x14ac:dyDescent="0.2">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c r="AP531" s="82"/>
      <c r="AQ531" s="82"/>
      <c r="AR531" s="82"/>
      <c r="AS531" s="82"/>
      <c r="AT531" s="82"/>
      <c r="AU531" s="82"/>
      <c r="AV531" s="82"/>
      <c r="AW531" s="82"/>
      <c r="AX531" s="82"/>
      <c r="AY531" s="82"/>
      <c r="AZ531" s="82"/>
      <c r="BA531" s="82"/>
    </row>
    <row r="532" spans="1:53" x14ac:dyDescent="0.2">
      <c r="A532" s="82"/>
      <c r="B532" s="82"/>
      <c r="C532" s="82"/>
      <c r="D532" s="82"/>
      <c r="E532" s="82"/>
      <c r="F532" s="82"/>
      <c r="G532" s="82"/>
      <c r="H532" s="82"/>
      <c r="I532" s="82"/>
      <c r="J532" s="82"/>
      <c r="K532" s="82"/>
      <c r="L532" s="82"/>
      <c r="M532" s="82"/>
      <c r="N532" s="82"/>
      <c r="O532" s="82"/>
      <c r="P532" s="82"/>
      <c r="Q532" s="82"/>
      <c r="R532" s="82"/>
      <c r="S532" s="82"/>
      <c r="T532" s="82"/>
      <c r="U532" s="82"/>
      <c r="V532" s="82"/>
      <c r="W532" s="82"/>
    </row>
  </sheetData>
  <mergeCells count="16">
    <mergeCell ref="A38:F38"/>
    <mergeCell ref="G6:J6"/>
    <mergeCell ref="A1:C1"/>
    <mergeCell ref="A2:B2"/>
    <mergeCell ref="A3:B3"/>
    <mergeCell ref="A6:A7"/>
    <mergeCell ref="B6:C6"/>
    <mergeCell ref="D6:F6"/>
    <mergeCell ref="A5:J5"/>
    <mergeCell ref="A40:E40"/>
    <mergeCell ref="A41:A42"/>
    <mergeCell ref="A92:D92"/>
    <mergeCell ref="B41:E41"/>
    <mergeCell ref="A82:D82"/>
    <mergeCell ref="A89:D89"/>
    <mergeCell ref="A90:D91"/>
  </mergeCells>
  <hyperlinks>
    <hyperlink ref="E85" r:id="rId1" xr:uid="{5B5EA329-0186-436C-8DE2-3A45BF366D5E}"/>
  </hyperlinks>
  <pageMargins left="0.25" right="0.25" top="0.75" bottom="0.75" header="0.3" footer="0.3"/>
  <pageSetup paperSize="3" scale="94" orientation="landscape"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Summary</vt:lpstr>
      <vt:lpstr>Summary Table</vt:lpstr>
      <vt:lpstr>NPV</vt:lpstr>
      <vt:lpstr>Costs</vt:lpstr>
      <vt:lpstr>Maintenance</vt:lpstr>
      <vt:lpstr>Safety</vt:lpstr>
      <vt:lpstr>Travel Time</vt:lpstr>
      <vt:lpstr>Environmental Protection</vt:lpstr>
      <vt:lpstr>Costs!Print_Area</vt:lpstr>
      <vt:lpstr>'Environmental Protection'!Print_Area</vt:lpstr>
      <vt:lpstr>Maintenance!Print_Area</vt:lpstr>
      <vt:lpstr>NPV!Print_Area</vt:lpstr>
      <vt:lpstr>Summary!Print_Area</vt:lpstr>
      <vt:lpstr>'Summary Table'!Print_Area</vt:lpstr>
      <vt:lpstr>'Travel Time'!Print_Area</vt:lpstr>
    </vt:vector>
  </TitlesOfParts>
  <Company>Kimley-Horn and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aaron.nathan</dc:creator>
  <cp:lastModifiedBy>Eric Strack</cp:lastModifiedBy>
  <cp:lastPrinted>2019-06-28T16:52:49Z</cp:lastPrinted>
  <dcterms:created xsi:type="dcterms:W3CDTF">2011-10-18T15:31:40Z</dcterms:created>
  <dcterms:modified xsi:type="dcterms:W3CDTF">2021-03-17T15:30:42Z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m_Crash_Cost" linkTarget="Prop_Dam_Crash_Cost">
    <vt:lpwstr>#REF!</vt:lpwstr>
  </property>
</Properties>
</file>